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785" yWindow="-15" windowWidth="10830" windowHeight="9540" tabRatio="685" firstSheet="1" activeTab="6"/>
  </bookViews>
  <sheets>
    <sheet name="ALfinal" sheetId="11" r:id="rId1"/>
    <sheet name="AL2" sheetId="1" r:id="rId2"/>
    <sheet name="ALRaw" sheetId="9" r:id="rId3"/>
    <sheet name="NLfinal" sheetId="12" r:id="rId4"/>
    <sheet name="NL2" sheetId="2" r:id="rId5"/>
    <sheet name="NLRaw" sheetId="14" r:id="rId6"/>
    <sheet name="Multi-teamPitchers" sheetId="23" r:id="rId7"/>
    <sheet name="C-P-RollAdj" sheetId="4" r:id="rId8"/>
    <sheet name="Instructions" sheetId="19" r:id="rId9"/>
    <sheet name="LeagueRatings" sheetId="10" r:id="rId10"/>
    <sheet name="LeagueTotals" sheetId="22" r:id="rId11"/>
    <sheet name="2016Minors" sheetId="24" r:id="rId12"/>
    <sheet name="2015Minors" sheetId="21" r:id="rId13"/>
    <sheet name="2014Minors" sheetId="6" r:id="rId14"/>
    <sheet name="Multi-teamPitchers-Spare" sheetId="17" r:id="rId15"/>
    <sheet name="Compatibility Report" sheetId="18" r:id="rId16"/>
  </sheets>
  <calcPr calcId="145621"/>
</workbook>
</file>

<file path=xl/calcChain.xml><?xml version="1.0" encoding="utf-8"?>
<calcChain xmlns="http://schemas.openxmlformats.org/spreadsheetml/2006/main">
  <c r="AI348" i="23" l="1"/>
  <c r="AC121" i="23"/>
  <c r="Z121" i="23"/>
  <c r="L120" i="23"/>
  <c r="L121" i="23"/>
  <c r="AP121" i="23"/>
  <c r="AO121" i="23"/>
  <c r="AN121" i="23"/>
  <c r="AE121" i="23"/>
  <c r="AF121" i="23" s="1"/>
  <c r="AB121" i="23"/>
  <c r="Y121" i="23"/>
  <c r="AR121" i="23"/>
  <c r="AM121" i="23" s="1"/>
  <c r="AP120" i="23"/>
  <c r="AO120" i="23"/>
  <c r="AO124" i="23" s="1"/>
  <c r="AN120" i="23"/>
  <c r="AN124" i="23" s="1"/>
  <c r="AE120" i="23"/>
  <c r="AF120" i="23" s="1"/>
  <c r="AB120" i="23"/>
  <c r="AC120" i="23" s="1"/>
  <c r="Y120" i="23"/>
  <c r="Z120" i="23" s="1"/>
  <c r="L122" i="23" l="1"/>
  <c r="AC122" i="23" s="1"/>
  <c r="AP124" i="23"/>
  <c r="AK120" i="23"/>
  <c r="AA120" i="23"/>
  <c r="Z122" i="23"/>
  <c r="AD120" i="23"/>
  <c r="AL120" i="23"/>
  <c r="AD121" i="23"/>
  <c r="AL121" i="23"/>
  <c r="AG120" i="23"/>
  <c r="AR120" i="23"/>
  <c r="AM120" i="23" s="1"/>
  <c r="AM124" i="23" s="1"/>
  <c r="AA121" i="23"/>
  <c r="AK121" i="23"/>
  <c r="L123" i="23"/>
  <c r="Z123" i="23" s="1"/>
  <c r="AG121" i="23"/>
  <c r="AH121" i="23" l="1"/>
  <c r="AH123" i="23" s="1"/>
  <c r="AC123" i="23"/>
  <c r="AC124" i="23" s="1"/>
  <c r="AL124" i="23" s="1"/>
  <c r="AH120" i="23"/>
  <c r="AH122" i="23" s="1"/>
  <c r="Z124" i="23"/>
  <c r="AK124" i="23" s="1"/>
  <c r="AK108" i="11"/>
  <c r="AH124" i="23" l="1"/>
  <c r="AK208" i="11"/>
  <c r="AD188" i="11" l="1"/>
  <c r="AD13" i="12"/>
  <c r="AA178" i="12"/>
  <c r="AA113" i="12"/>
  <c r="AA84" i="12"/>
  <c r="AA59" i="12"/>
  <c r="AA60" i="12"/>
  <c r="AA237" i="11"/>
  <c r="AA208" i="11"/>
  <c r="AA164" i="12"/>
  <c r="AR28" i="12" l="1"/>
  <c r="AR29" i="12"/>
  <c r="AP29" i="12"/>
  <c r="AP28" i="12"/>
  <c r="AO28" i="12"/>
  <c r="AO29" i="12"/>
  <c r="AN29" i="12"/>
  <c r="AN28" i="12"/>
  <c r="AG29" i="12"/>
  <c r="AG28" i="12"/>
  <c r="AE29" i="12"/>
  <c r="AF29" i="12" s="1"/>
  <c r="AE28" i="12"/>
  <c r="AB28" i="12"/>
  <c r="AB29" i="12"/>
  <c r="AC29" i="12" s="1"/>
  <c r="AD29" i="12" s="1"/>
  <c r="Y29" i="12"/>
  <c r="Y28" i="12"/>
  <c r="Z29" i="12"/>
  <c r="AA29" i="12" s="1"/>
  <c r="AH29" i="12" l="1"/>
  <c r="AL29" i="12"/>
  <c r="AK29" i="12"/>
  <c r="AC343" i="23"/>
  <c r="AC342" i="23"/>
  <c r="Z343" i="23"/>
  <c r="Z342" i="23"/>
  <c r="L343" i="23"/>
  <c r="L342" i="23"/>
  <c r="AC337" i="23"/>
  <c r="AC336" i="23"/>
  <c r="Z337" i="23"/>
  <c r="Z336" i="23"/>
  <c r="L337" i="23"/>
  <c r="L336" i="23"/>
  <c r="AC330" i="23"/>
  <c r="Z330" i="23"/>
  <c r="L331" i="23"/>
  <c r="L330" i="23"/>
  <c r="AC324" i="23"/>
  <c r="Z324" i="23"/>
  <c r="L325" i="23"/>
  <c r="L324" i="23"/>
  <c r="L319" i="23"/>
  <c r="L318" i="23"/>
  <c r="AC312" i="23"/>
  <c r="Z312" i="23"/>
  <c r="L313" i="23"/>
  <c r="L312" i="23"/>
  <c r="AC306" i="23"/>
  <c r="Z306" i="23"/>
  <c r="L307" i="23"/>
  <c r="L306" i="23"/>
  <c r="AC301" i="23"/>
  <c r="Z301" i="23"/>
  <c r="L301" i="23"/>
  <c r="L300" i="23"/>
  <c r="AC295" i="23"/>
  <c r="Z295" i="23"/>
  <c r="L295" i="23"/>
  <c r="L294" i="23"/>
  <c r="AC289" i="23"/>
  <c r="Z289" i="23"/>
  <c r="L289" i="23"/>
  <c r="L288" i="23"/>
  <c r="AC283" i="23"/>
  <c r="Z283" i="23"/>
  <c r="L283" i="23"/>
  <c r="L282" i="23"/>
  <c r="L277" i="23"/>
  <c r="AC277" i="23"/>
  <c r="Z277" i="23"/>
  <c r="L276" i="23"/>
  <c r="AC270" i="23"/>
  <c r="Z270" i="23"/>
  <c r="L271" i="23"/>
  <c r="L270" i="23"/>
  <c r="AC265" i="23"/>
  <c r="AC264" i="23"/>
  <c r="Z265" i="23"/>
  <c r="Z264" i="23"/>
  <c r="L265" i="23"/>
  <c r="L264" i="23"/>
  <c r="AC258" i="23"/>
  <c r="Z258" i="23"/>
  <c r="L259" i="23"/>
  <c r="L258" i="23"/>
  <c r="AC252" i="23"/>
  <c r="Z252" i="23"/>
  <c r="L253" i="23"/>
  <c r="L252" i="23"/>
  <c r="AC247" i="23"/>
  <c r="AC246" i="23"/>
  <c r="Z247" i="23"/>
  <c r="Z246" i="23"/>
  <c r="L247" i="23"/>
  <c r="AR247" i="23" s="1"/>
  <c r="AM247" i="23" s="1"/>
  <c r="L246" i="23"/>
  <c r="AC241" i="23"/>
  <c r="AC240" i="23"/>
  <c r="AD240" i="23" s="1"/>
  <c r="Z241" i="23"/>
  <c r="Z240" i="23"/>
  <c r="L241" i="23"/>
  <c r="L240" i="23"/>
  <c r="AC235" i="23"/>
  <c r="Z235" i="23"/>
  <c r="Z222" i="23"/>
  <c r="AC222" i="23"/>
  <c r="L235" i="23"/>
  <c r="L234" i="23"/>
  <c r="AC229" i="23"/>
  <c r="Z229" i="23"/>
  <c r="AC228" i="23"/>
  <c r="Z228" i="23"/>
  <c r="L229" i="23"/>
  <c r="L228" i="23"/>
  <c r="AC223" i="23"/>
  <c r="Z223" i="23"/>
  <c r="L223" i="23"/>
  <c r="L222" i="23"/>
  <c r="AC217" i="23"/>
  <c r="AC216" i="23"/>
  <c r="Z217" i="23"/>
  <c r="Z216" i="23"/>
  <c r="L217" i="23"/>
  <c r="L216" i="23"/>
  <c r="L211" i="23"/>
  <c r="L210" i="23"/>
  <c r="AC204" i="23"/>
  <c r="Z204" i="23"/>
  <c r="L205" i="23"/>
  <c r="L204" i="23"/>
  <c r="L199" i="23"/>
  <c r="L198" i="23"/>
  <c r="AC192" i="23"/>
  <c r="Z192" i="23"/>
  <c r="AK192" i="23" s="1"/>
  <c r="AC193" i="23"/>
  <c r="Z193" i="23"/>
  <c r="L193" i="23"/>
  <c r="L192" i="23"/>
  <c r="AC187" i="23"/>
  <c r="AC186" i="23"/>
  <c r="Z187" i="23"/>
  <c r="Z186" i="23"/>
  <c r="L187" i="23"/>
  <c r="L186" i="23"/>
  <c r="AC181" i="23"/>
  <c r="AC180" i="23"/>
  <c r="Z181" i="23"/>
  <c r="Z180" i="23"/>
  <c r="L181" i="23"/>
  <c r="L180" i="23"/>
  <c r="AC174" i="23"/>
  <c r="Z174" i="23"/>
  <c r="L175" i="23"/>
  <c r="L174" i="23"/>
  <c r="AC169" i="23"/>
  <c r="Z169" i="23"/>
  <c r="L169" i="23"/>
  <c r="L168" i="23"/>
  <c r="L163" i="23"/>
  <c r="L162" i="23"/>
  <c r="AC157" i="23"/>
  <c r="Z157" i="23"/>
  <c r="L157" i="23"/>
  <c r="L156" i="23"/>
  <c r="Z151" i="23"/>
  <c r="AC151" i="23"/>
  <c r="AC150" i="23"/>
  <c r="Z150" i="23"/>
  <c r="L151" i="23"/>
  <c r="L150" i="23"/>
  <c r="AC144" i="23"/>
  <c r="Z144" i="23"/>
  <c r="L145" i="23"/>
  <c r="L144" i="23"/>
  <c r="AC139" i="23"/>
  <c r="AC138" i="23"/>
  <c r="Z139" i="23"/>
  <c r="Z138" i="23"/>
  <c r="AC126" i="23"/>
  <c r="Z126" i="23"/>
  <c r="L139" i="23"/>
  <c r="L138" i="23"/>
  <c r="L127" i="23"/>
  <c r="L126" i="23"/>
  <c r="AC115" i="23"/>
  <c r="Z115" i="23"/>
  <c r="AC114" i="23"/>
  <c r="Z114" i="23"/>
  <c r="L115" i="23"/>
  <c r="L114" i="23"/>
  <c r="AC109" i="23"/>
  <c r="Z109" i="23"/>
  <c r="L109" i="23"/>
  <c r="L108" i="23"/>
  <c r="L103" i="23"/>
  <c r="L102" i="23"/>
  <c r="AC97" i="23"/>
  <c r="AC96" i="23"/>
  <c r="Z97" i="23"/>
  <c r="Z96" i="23"/>
  <c r="L97" i="23"/>
  <c r="L96" i="23"/>
  <c r="AC91" i="23"/>
  <c r="Z91" i="23"/>
  <c r="L91" i="23"/>
  <c r="L90" i="23"/>
  <c r="L85" i="23"/>
  <c r="L84" i="23"/>
  <c r="AR84" i="23" s="1"/>
  <c r="AM84" i="23" s="1"/>
  <c r="AC79" i="23"/>
  <c r="Z79" i="23"/>
  <c r="AC78" i="23"/>
  <c r="Z78" i="23"/>
  <c r="L79" i="23"/>
  <c r="L78" i="23"/>
  <c r="AC72" i="23"/>
  <c r="Z72" i="23"/>
  <c r="L73" i="23"/>
  <c r="L72" i="23"/>
  <c r="AC67" i="23"/>
  <c r="Z67" i="23"/>
  <c r="L67" i="23"/>
  <c r="L66" i="23"/>
  <c r="AC60" i="23"/>
  <c r="Z60" i="23"/>
  <c r="L61" i="23"/>
  <c r="L60" i="23"/>
  <c r="L55" i="23"/>
  <c r="L54" i="23"/>
  <c r="AC49" i="23"/>
  <c r="Z49" i="23"/>
  <c r="L49" i="23"/>
  <c r="L48" i="23"/>
  <c r="L43" i="23"/>
  <c r="L42" i="23"/>
  <c r="AC37" i="23"/>
  <c r="AC36" i="23"/>
  <c r="Z36" i="23"/>
  <c r="Z37" i="23"/>
  <c r="L37" i="23"/>
  <c r="L36" i="23"/>
  <c r="AC30" i="23"/>
  <c r="Z30" i="23"/>
  <c r="AK30" i="23" s="1"/>
  <c r="L31" i="23"/>
  <c r="L30" i="23"/>
  <c r="AC24" i="23"/>
  <c r="Z24" i="23"/>
  <c r="L25" i="23"/>
  <c r="L24" i="23"/>
  <c r="AC19" i="23"/>
  <c r="Z19" i="23"/>
  <c r="L19" i="23"/>
  <c r="L18" i="23"/>
  <c r="L13" i="23"/>
  <c r="L12" i="23"/>
  <c r="AC7" i="23"/>
  <c r="Z7" i="23"/>
  <c r="AC6" i="23"/>
  <c r="Z6" i="23"/>
  <c r="AA6" i="23" s="1"/>
  <c r="L7" i="23"/>
  <c r="L6" i="23"/>
  <c r="L133" i="23"/>
  <c r="L132" i="23"/>
  <c r="Y132" i="23"/>
  <c r="Z132" i="23" s="1"/>
  <c r="AK132" i="23" s="1"/>
  <c r="AP247" i="23"/>
  <c r="AO247" i="23"/>
  <c r="AN247" i="23"/>
  <c r="AE247" i="23"/>
  <c r="AF247" i="23" s="1"/>
  <c r="AB247" i="23"/>
  <c r="Y247" i="23"/>
  <c r="AP246" i="23"/>
  <c r="AO246" i="23"/>
  <c r="AN246" i="23"/>
  <c r="AE246" i="23"/>
  <c r="AF246" i="23" s="1"/>
  <c r="AB246" i="23"/>
  <c r="AL246" i="23" s="1"/>
  <c r="Y246" i="23"/>
  <c r="L339" i="23"/>
  <c r="L338" i="23"/>
  <c r="AR337" i="23"/>
  <c r="AM337" i="23" s="1"/>
  <c r="AP337" i="23"/>
  <c r="AO337" i="23"/>
  <c r="AN337" i="23"/>
  <c r="AG337" i="23"/>
  <c r="AE337" i="23"/>
  <c r="AF337" i="23" s="1"/>
  <c r="AB337" i="23"/>
  <c r="Y337" i="23"/>
  <c r="AR336" i="23"/>
  <c r="AM336" i="23" s="1"/>
  <c r="AP336" i="23"/>
  <c r="AP340" i="23" s="1"/>
  <c r="AO336" i="23"/>
  <c r="AN336" i="23"/>
  <c r="AN340" i="23" s="1"/>
  <c r="AG336" i="23"/>
  <c r="AE336" i="23"/>
  <c r="AF336" i="23" s="1"/>
  <c r="AB336" i="23"/>
  <c r="Y336" i="23"/>
  <c r="AP85" i="23"/>
  <c r="AO85" i="23"/>
  <c r="AN85" i="23"/>
  <c r="AE85" i="23"/>
  <c r="AF85" i="23" s="1"/>
  <c r="AB85" i="23"/>
  <c r="AC85" i="23" s="1"/>
  <c r="Y85" i="23"/>
  <c r="Z85" i="23" s="1"/>
  <c r="AP84" i="23"/>
  <c r="AO84" i="23"/>
  <c r="AN84" i="23"/>
  <c r="AN88" i="23" s="1"/>
  <c r="AE84" i="23"/>
  <c r="AF84" i="23" s="1"/>
  <c r="AB84" i="23"/>
  <c r="AC84" i="23" s="1"/>
  <c r="Y84" i="23"/>
  <c r="Z84" i="23" s="1"/>
  <c r="AA132" i="23" l="1"/>
  <c r="AO88" i="23"/>
  <c r="L87" i="23"/>
  <c r="Z87" i="23" s="1"/>
  <c r="AL109" i="23"/>
  <c r="AD109" i="23"/>
  <c r="AP88" i="23"/>
  <c r="AL222" i="23"/>
  <c r="AD222" i="23"/>
  <c r="AK306" i="23"/>
  <c r="AA306" i="23"/>
  <c r="AK36" i="23"/>
  <c r="AA36" i="23"/>
  <c r="AK343" i="23"/>
  <c r="AA343" i="23"/>
  <c r="AK240" i="23"/>
  <c r="AA240" i="23"/>
  <c r="AG247" i="23"/>
  <c r="L248" i="23"/>
  <c r="Z248" i="23" s="1"/>
  <c r="AR246" i="23"/>
  <c r="AM246" i="23" s="1"/>
  <c r="AM250" i="23" s="1"/>
  <c r="L249" i="23"/>
  <c r="AG246" i="23"/>
  <c r="AG85" i="23"/>
  <c r="AR85" i="23"/>
  <c r="AM85" i="23" s="1"/>
  <c r="AM88" i="23" s="1"/>
  <c r="L86" i="23"/>
  <c r="Z86" i="23" s="1"/>
  <c r="AG84" i="23"/>
  <c r="AC87" i="23"/>
  <c r="AO250" i="23"/>
  <c r="AN250" i="23"/>
  <c r="AP250" i="23"/>
  <c r="AO340" i="23"/>
  <c r="AM340" i="23"/>
  <c r="AK246" i="23"/>
  <c r="Z249" i="23"/>
  <c r="AK247" i="23"/>
  <c r="AA247" i="23"/>
  <c r="AD247" i="23"/>
  <c r="AC249" i="23"/>
  <c r="AL247" i="23"/>
  <c r="AD246" i="23"/>
  <c r="AD337" i="23"/>
  <c r="AC339" i="23"/>
  <c r="AL337" i="23"/>
  <c r="AK336" i="23"/>
  <c r="AA336" i="23"/>
  <c r="Z338" i="23"/>
  <c r="AD336" i="23"/>
  <c r="AC338" i="23"/>
  <c r="AL336" i="23"/>
  <c r="Z339" i="23"/>
  <c r="AK337" i="23"/>
  <c r="AA337" i="23"/>
  <c r="AD84" i="23"/>
  <c r="AL84" i="23"/>
  <c r="AK85" i="23"/>
  <c r="AA85" i="23"/>
  <c r="AD85" i="23"/>
  <c r="AL85" i="23"/>
  <c r="L704" i="23"/>
  <c r="L703" i="23"/>
  <c r="AG702" i="23"/>
  <c r="AE702" i="23"/>
  <c r="AF702" i="23" s="1"/>
  <c r="AB702" i="23"/>
  <c r="AC702" i="23" s="1"/>
  <c r="AC704" i="23" s="1"/>
  <c r="Y702" i="23"/>
  <c r="Z702" i="23" s="1"/>
  <c r="AG701" i="23"/>
  <c r="AE701" i="23"/>
  <c r="AF701" i="23" s="1"/>
  <c r="AB701" i="23"/>
  <c r="AC701" i="23" s="1"/>
  <c r="Y701" i="23"/>
  <c r="Z701" i="23" s="1"/>
  <c r="Z703" i="23" s="1"/>
  <c r="AP697" i="23"/>
  <c r="AO697" i="23"/>
  <c r="AN697" i="23"/>
  <c r="AP696" i="23"/>
  <c r="AO696" i="23"/>
  <c r="AN696" i="23"/>
  <c r="AP695" i="23"/>
  <c r="AO695" i="23"/>
  <c r="AN695" i="23"/>
  <c r="AP694" i="23"/>
  <c r="AO694" i="23"/>
  <c r="AN694" i="23"/>
  <c r="AP693" i="23"/>
  <c r="AO693" i="23"/>
  <c r="AN693" i="23"/>
  <c r="AP692" i="23"/>
  <c r="AO692" i="23"/>
  <c r="AN692" i="23"/>
  <c r="L692" i="23"/>
  <c r="AP691" i="23"/>
  <c r="AO691" i="23"/>
  <c r="AN691" i="23"/>
  <c r="L691" i="23"/>
  <c r="AP690" i="23"/>
  <c r="AO690" i="23"/>
  <c r="AN690" i="23"/>
  <c r="AG690" i="23"/>
  <c r="AE690" i="23"/>
  <c r="AF690" i="23" s="1"/>
  <c r="AB690" i="23"/>
  <c r="AC690" i="23" s="1"/>
  <c r="Y690" i="23"/>
  <c r="Z690" i="23" s="1"/>
  <c r="AP689" i="23"/>
  <c r="AO689" i="23"/>
  <c r="AN689" i="23"/>
  <c r="AG689" i="23"/>
  <c r="AE689" i="23"/>
  <c r="AF689" i="23" s="1"/>
  <c r="AB689" i="23"/>
  <c r="AC689" i="23" s="1"/>
  <c r="Y689" i="23"/>
  <c r="Z689" i="23" s="1"/>
  <c r="AP688" i="23"/>
  <c r="AO688" i="23"/>
  <c r="AN688" i="23"/>
  <c r="AP687" i="23"/>
  <c r="AO687" i="23"/>
  <c r="AN687" i="23"/>
  <c r="AP685" i="23"/>
  <c r="AO685" i="23"/>
  <c r="AN685" i="23"/>
  <c r="AP684" i="23"/>
  <c r="AO684" i="23"/>
  <c r="AN684" i="23"/>
  <c r="AP683" i="23"/>
  <c r="AO683" i="23"/>
  <c r="AN683" i="23"/>
  <c r="AP682" i="23"/>
  <c r="AO682" i="23"/>
  <c r="AN682" i="23"/>
  <c r="AP681" i="23"/>
  <c r="AO681" i="23"/>
  <c r="AN681" i="23"/>
  <c r="AP680" i="23"/>
  <c r="AO680" i="23"/>
  <c r="AN680" i="23"/>
  <c r="L680" i="23"/>
  <c r="AR563" i="23" s="1"/>
  <c r="AP679" i="23"/>
  <c r="AO679" i="23"/>
  <c r="AN679" i="23"/>
  <c r="L679" i="23"/>
  <c r="AR562" i="23" s="1"/>
  <c r="AP678" i="23"/>
  <c r="AO678" i="23"/>
  <c r="AN678" i="23"/>
  <c r="AG678" i="23"/>
  <c r="AE678" i="23"/>
  <c r="AF678" i="23" s="1"/>
  <c r="AB678" i="23"/>
  <c r="AC678" i="23" s="1"/>
  <c r="Y678" i="23"/>
  <c r="Z678" i="23" s="1"/>
  <c r="AP677" i="23"/>
  <c r="AO677" i="23"/>
  <c r="AN677" i="23"/>
  <c r="AG677" i="23"/>
  <c r="AE677" i="23"/>
  <c r="AF677" i="23" s="1"/>
  <c r="AB677" i="23"/>
  <c r="AC677" i="23" s="1"/>
  <c r="Y677" i="23"/>
  <c r="Z677" i="23" s="1"/>
  <c r="AP676" i="23"/>
  <c r="AO676" i="23"/>
  <c r="AN676" i="23"/>
  <c r="AP675" i="23"/>
  <c r="AO675" i="23"/>
  <c r="AN675" i="23"/>
  <c r="L674" i="23"/>
  <c r="AP673" i="23"/>
  <c r="AO673" i="23"/>
  <c r="AN673" i="23"/>
  <c r="L673" i="23"/>
  <c r="AP672" i="23"/>
  <c r="AO672" i="23"/>
  <c r="AN672" i="23"/>
  <c r="AG672" i="23"/>
  <c r="AE672" i="23"/>
  <c r="AF672" i="23" s="1"/>
  <c r="AB672" i="23"/>
  <c r="AC672" i="23" s="1"/>
  <c r="Y672" i="23"/>
  <c r="Z672" i="23" s="1"/>
  <c r="AP671" i="23"/>
  <c r="AO671" i="23"/>
  <c r="AN671" i="23"/>
  <c r="AG671" i="23"/>
  <c r="AE671" i="23"/>
  <c r="AF671" i="23" s="1"/>
  <c r="AB671" i="23"/>
  <c r="AC671" i="23" s="1"/>
  <c r="Y671" i="23"/>
  <c r="Z671" i="23" s="1"/>
  <c r="AP670" i="23"/>
  <c r="AO670" i="23"/>
  <c r="AN670" i="23"/>
  <c r="AP669" i="23"/>
  <c r="AO669" i="23"/>
  <c r="AN669" i="23"/>
  <c r="L668" i="23"/>
  <c r="AP667" i="23"/>
  <c r="AO667" i="23"/>
  <c r="AN667" i="23"/>
  <c r="L667" i="23"/>
  <c r="AP666" i="23"/>
  <c r="AO666" i="23"/>
  <c r="AN666" i="23"/>
  <c r="AG666" i="23"/>
  <c r="AE666" i="23"/>
  <c r="AF666" i="23" s="1"/>
  <c r="AB666" i="23"/>
  <c r="AC666" i="23" s="1"/>
  <c r="Y666" i="23"/>
  <c r="Z666" i="23" s="1"/>
  <c r="AP665" i="23"/>
  <c r="AO665" i="23"/>
  <c r="AN665" i="23"/>
  <c r="AG665" i="23"/>
  <c r="AE665" i="23"/>
  <c r="AF665" i="23" s="1"/>
  <c r="AB665" i="23"/>
  <c r="AC665" i="23" s="1"/>
  <c r="Y665" i="23"/>
  <c r="Z665" i="23" s="1"/>
  <c r="AP664" i="23"/>
  <c r="AO664" i="23"/>
  <c r="AN664" i="23"/>
  <c r="AP663" i="23"/>
  <c r="AO663" i="23"/>
  <c r="AN663" i="23"/>
  <c r="L662" i="23"/>
  <c r="AP661" i="23"/>
  <c r="AO661" i="23"/>
  <c r="AN661" i="23"/>
  <c r="L661" i="23"/>
  <c r="AR544" i="23" s="1"/>
  <c r="AP660" i="23"/>
  <c r="AO660" i="23"/>
  <c r="AN660" i="23"/>
  <c r="AG660" i="23"/>
  <c r="AE660" i="23"/>
  <c r="AF660" i="23" s="1"/>
  <c r="AB660" i="23"/>
  <c r="AC660" i="23" s="1"/>
  <c r="Y660" i="23"/>
  <c r="Z660" i="23" s="1"/>
  <c r="AP659" i="23"/>
  <c r="AO659" i="23"/>
  <c r="AN659" i="23"/>
  <c r="AG659" i="23"/>
  <c r="AE659" i="23"/>
  <c r="AF659" i="23" s="1"/>
  <c r="AB659" i="23"/>
  <c r="AC659" i="23" s="1"/>
  <c r="Y659" i="23"/>
  <c r="Z659" i="23" s="1"/>
  <c r="AP658" i="23"/>
  <c r="AO658" i="23"/>
  <c r="AN658" i="23"/>
  <c r="AP657" i="23"/>
  <c r="AO657" i="23"/>
  <c r="AN657" i="23"/>
  <c r="L656" i="23"/>
  <c r="AR539" i="23" s="1"/>
  <c r="AP655" i="23"/>
  <c r="AO655" i="23"/>
  <c r="AN655" i="23"/>
  <c r="L655" i="23"/>
  <c r="AR538" i="23" s="1"/>
  <c r="AP654" i="23"/>
  <c r="AO654" i="23"/>
  <c r="AN654" i="23"/>
  <c r="AG654" i="23"/>
  <c r="AE654" i="23"/>
  <c r="AF654" i="23" s="1"/>
  <c r="AB654" i="23"/>
  <c r="AC654" i="23" s="1"/>
  <c r="Y654" i="23"/>
  <c r="Z654" i="23" s="1"/>
  <c r="AP653" i="23"/>
  <c r="AO653" i="23"/>
  <c r="AN653" i="23"/>
  <c r="AM653" i="23"/>
  <c r="AG653" i="23"/>
  <c r="AE653" i="23"/>
  <c r="AF653" i="23" s="1"/>
  <c r="AB653" i="23"/>
  <c r="AC653" i="23" s="1"/>
  <c r="Y653" i="23"/>
  <c r="Z653" i="23" s="1"/>
  <c r="AP652" i="23"/>
  <c r="AO652" i="23"/>
  <c r="AN652" i="23"/>
  <c r="AP651" i="23"/>
  <c r="AO651" i="23"/>
  <c r="AN651" i="23"/>
  <c r="AP649" i="23"/>
  <c r="AO649" i="23"/>
  <c r="AN649" i="23"/>
  <c r="AP648" i="23"/>
  <c r="AO648" i="23"/>
  <c r="AN648" i="23"/>
  <c r="AP645" i="23"/>
  <c r="AO645" i="23"/>
  <c r="AN645" i="23"/>
  <c r="L645" i="23"/>
  <c r="AR528" i="23" s="1"/>
  <c r="AP644" i="23"/>
  <c r="AO644" i="23"/>
  <c r="AN644" i="23"/>
  <c r="L644" i="23"/>
  <c r="AR527" i="23" s="1"/>
  <c r="AP643" i="23"/>
  <c r="AO643" i="23"/>
  <c r="AN643" i="23"/>
  <c r="L643" i="23"/>
  <c r="AP642" i="23"/>
  <c r="AO642" i="23"/>
  <c r="AN642" i="23"/>
  <c r="AG642" i="23"/>
  <c r="AE642" i="23"/>
  <c r="AF642" i="23" s="1"/>
  <c r="AB642" i="23"/>
  <c r="AC642" i="23" s="1"/>
  <c r="Y642" i="23"/>
  <c r="Z642" i="23" s="1"/>
  <c r="AP641" i="23"/>
  <c r="AO641" i="23"/>
  <c r="AN641" i="23"/>
  <c r="AG641" i="23"/>
  <c r="AE641" i="23"/>
  <c r="AF641" i="23" s="1"/>
  <c r="AB641" i="23"/>
  <c r="AC641" i="23" s="1"/>
  <c r="Y641" i="23"/>
  <c r="Z641" i="23" s="1"/>
  <c r="AP640" i="23"/>
  <c r="AO640" i="23"/>
  <c r="AN640" i="23"/>
  <c r="AG640" i="23"/>
  <c r="AE640" i="23"/>
  <c r="AF640" i="23" s="1"/>
  <c r="AB640" i="23"/>
  <c r="AC640" i="23" s="1"/>
  <c r="AC643" i="23" s="1"/>
  <c r="Y640" i="23"/>
  <c r="Z640" i="23" s="1"/>
  <c r="AP639" i="23"/>
  <c r="AO639" i="23"/>
  <c r="AN639" i="23"/>
  <c r="AP637" i="23"/>
  <c r="AO637" i="23"/>
  <c r="AN637" i="23"/>
  <c r="L637" i="23"/>
  <c r="AR520" i="23" s="1"/>
  <c r="AP636" i="23"/>
  <c r="AO636" i="23"/>
  <c r="AN636" i="23"/>
  <c r="L636" i="23"/>
  <c r="AP635" i="23"/>
  <c r="AO635" i="23"/>
  <c r="AN635" i="23"/>
  <c r="AG635" i="23"/>
  <c r="AE635" i="23"/>
  <c r="AF635" i="23" s="1"/>
  <c r="AB635" i="23"/>
  <c r="AC635" i="23" s="1"/>
  <c r="Y635" i="23"/>
  <c r="Z635" i="23" s="1"/>
  <c r="AP634" i="23"/>
  <c r="AO634" i="23"/>
  <c r="AN634" i="23"/>
  <c r="AG634" i="23"/>
  <c r="AE634" i="23"/>
  <c r="AF634" i="23" s="1"/>
  <c r="AB634" i="23"/>
  <c r="AC634" i="23" s="1"/>
  <c r="Y634" i="23"/>
  <c r="Z634" i="23" s="1"/>
  <c r="AP633" i="23"/>
  <c r="AO633" i="23"/>
  <c r="AN633" i="23"/>
  <c r="AP631" i="23"/>
  <c r="AO631" i="23"/>
  <c r="AN631" i="23"/>
  <c r="L631" i="23"/>
  <c r="AP630" i="23"/>
  <c r="AO630" i="23"/>
  <c r="AN630" i="23"/>
  <c r="L630" i="23"/>
  <c r="AR513" i="23" s="1"/>
  <c r="AP629" i="23"/>
  <c r="AO629" i="23"/>
  <c r="AN629" i="23"/>
  <c r="AG629" i="23"/>
  <c r="AE629" i="23"/>
  <c r="AF629" i="23" s="1"/>
  <c r="AB629" i="23"/>
  <c r="AC629" i="23" s="1"/>
  <c r="Y629" i="23"/>
  <c r="Z629" i="23" s="1"/>
  <c r="AP628" i="23"/>
  <c r="AO628" i="23"/>
  <c r="AN628" i="23"/>
  <c r="AG628" i="23"/>
  <c r="AE628" i="23"/>
  <c r="AF628" i="23" s="1"/>
  <c r="AB628" i="23"/>
  <c r="AC628" i="23" s="1"/>
  <c r="Y628" i="23"/>
  <c r="Z628" i="23" s="1"/>
  <c r="AP625" i="23"/>
  <c r="AO625" i="23"/>
  <c r="AN625" i="23"/>
  <c r="L625" i="23"/>
  <c r="AP624" i="23"/>
  <c r="AO624" i="23"/>
  <c r="AN624" i="23"/>
  <c r="L624" i="23"/>
  <c r="AP623" i="23"/>
  <c r="AO623" i="23"/>
  <c r="AN623" i="23"/>
  <c r="AG623" i="23"/>
  <c r="AE623" i="23"/>
  <c r="AF623" i="23" s="1"/>
  <c r="AB623" i="23"/>
  <c r="AC623" i="23" s="1"/>
  <c r="Y623" i="23"/>
  <c r="Z623" i="23" s="1"/>
  <c r="AP622" i="23"/>
  <c r="AO622" i="23"/>
  <c r="AN622" i="23"/>
  <c r="AG622" i="23"/>
  <c r="AE622" i="23"/>
  <c r="AF622" i="23" s="1"/>
  <c r="AB622" i="23"/>
  <c r="AC622" i="23" s="1"/>
  <c r="Y622" i="23"/>
  <c r="Z622" i="23" s="1"/>
  <c r="AP619" i="23"/>
  <c r="AO619" i="23"/>
  <c r="AN619" i="23"/>
  <c r="L619" i="23"/>
  <c r="AR502" i="23" s="1"/>
  <c r="AP618" i="23"/>
  <c r="AO618" i="23"/>
  <c r="AN618" i="23"/>
  <c r="L618" i="23"/>
  <c r="AR501" i="23" s="1"/>
  <c r="AP617" i="23"/>
  <c r="AO617" i="23"/>
  <c r="AN617" i="23"/>
  <c r="AG617" i="23"/>
  <c r="AE617" i="23"/>
  <c r="AF617" i="23" s="1"/>
  <c r="AB617" i="23"/>
  <c r="AC617" i="23" s="1"/>
  <c r="Y617" i="23"/>
  <c r="Z617" i="23" s="1"/>
  <c r="AP616" i="23"/>
  <c r="AO616" i="23"/>
  <c r="AN616" i="23"/>
  <c r="AG616" i="23"/>
  <c r="AE616" i="23"/>
  <c r="AF616" i="23" s="1"/>
  <c r="AB616" i="23"/>
  <c r="AC616" i="23" s="1"/>
  <c r="Y616" i="23"/>
  <c r="Z616" i="23" s="1"/>
  <c r="AP613" i="23"/>
  <c r="AO613" i="23"/>
  <c r="AN613" i="23"/>
  <c r="L613" i="23"/>
  <c r="AP612" i="23"/>
  <c r="AO612" i="23"/>
  <c r="AN612" i="23"/>
  <c r="L612" i="23"/>
  <c r="AP611" i="23"/>
  <c r="AO611" i="23"/>
  <c r="AN611" i="23"/>
  <c r="AG611" i="23"/>
  <c r="AE611" i="23"/>
  <c r="AF611" i="23" s="1"/>
  <c r="AB611" i="23"/>
  <c r="AC611" i="23" s="1"/>
  <c r="Y611" i="23"/>
  <c r="Z611" i="23" s="1"/>
  <c r="AP610" i="23"/>
  <c r="AO610" i="23"/>
  <c r="AN610" i="23"/>
  <c r="AG610" i="23"/>
  <c r="AE610" i="23"/>
  <c r="AF610" i="23" s="1"/>
  <c r="AB610" i="23"/>
  <c r="AC610" i="23" s="1"/>
  <c r="Y610" i="23"/>
  <c r="Z610" i="23" s="1"/>
  <c r="AP607" i="23"/>
  <c r="AO607" i="23"/>
  <c r="AN607" i="23"/>
  <c r="L607" i="23"/>
  <c r="AR490" i="23" s="1"/>
  <c r="AP606" i="23"/>
  <c r="AO606" i="23"/>
  <c r="AN606" i="23"/>
  <c r="L606" i="23"/>
  <c r="AR489" i="23" s="1"/>
  <c r="AP605" i="23"/>
  <c r="AO605" i="23"/>
  <c r="AN605" i="23"/>
  <c r="AG605" i="23"/>
  <c r="AE605" i="23"/>
  <c r="AF605" i="23" s="1"/>
  <c r="AB605" i="23"/>
  <c r="AC605" i="23" s="1"/>
  <c r="Y605" i="23"/>
  <c r="Z605" i="23" s="1"/>
  <c r="AP604" i="23"/>
  <c r="AO604" i="23"/>
  <c r="AN604" i="23"/>
  <c r="AG604" i="23"/>
  <c r="AE604" i="23"/>
  <c r="AF604" i="23" s="1"/>
  <c r="AB604" i="23"/>
  <c r="AC604" i="23" s="1"/>
  <c r="Y604" i="23"/>
  <c r="Z604" i="23" s="1"/>
  <c r="AP603" i="23"/>
  <c r="AO603" i="23"/>
  <c r="AN603" i="23"/>
  <c r="AP601" i="23"/>
  <c r="AO601" i="23"/>
  <c r="AN601" i="23"/>
  <c r="L601" i="23"/>
  <c r="AP600" i="23"/>
  <c r="AO600" i="23"/>
  <c r="AN600" i="23"/>
  <c r="L600" i="23"/>
  <c r="AP599" i="23"/>
  <c r="AO599" i="23"/>
  <c r="AN599" i="23"/>
  <c r="AG599" i="23"/>
  <c r="AE599" i="23"/>
  <c r="AF599" i="23" s="1"/>
  <c r="AB599" i="23"/>
  <c r="AC599" i="23" s="1"/>
  <c r="Y599" i="23"/>
  <c r="Z599" i="23" s="1"/>
  <c r="AP598" i="23"/>
  <c r="AO598" i="23"/>
  <c r="AN598" i="23"/>
  <c r="AG598" i="23"/>
  <c r="AE598" i="23"/>
  <c r="AF598" i="23" s="1"/>
  <c r="AB598" i="23"/>
  <c r="AC598" i="23" s="1"/>
  <c r="Y598" i="23"/>
  <c r="Z598" i="23" s="1"/>
  <c r="AP597" i="23"/>
  <c r="AO597" i="23"/>
  <c r="AN597" i="23"/>
  <c r="AP595" i="23"/>
  <c r="AO595" i="23"/>
  <c r="AN595" i="23"/>
  <c r="L595" i="23"/>
  <c r="AP594" i="23"/>
  <c r="AO594" i="23"/>
  <c r="AN594" i="23"/>
  <c r="L594" i="23"/>
  <c r="AP593" i="23"/>
  <c r="AO593" i="23"/>
  <c r="AN593" i="23"/>
  <c r="AG593" i="23"/>
  <c r="AE593" i="23"/>
  <c r="AF593" i="23" s="1"/>
  <c r="AB593" i="23"/>
  <c r="AC593" i="23" s="1"/>
  <c r="Y593" i="23"/>
  <c r="Z593" i="23" s="1"/>
  <c r="AP592" i="23"/>
  <c r="AO592" i="23"/>
  <c r="AN592" i="23"/>
  <c r="AG592" i="23"/>
  <c r="AE592" i="23"/>
  <c r="AF592" i="23" s="1"/>
  <c r="AB592" i="23"/>
  <c r="AC592" i="23" s="1"/>
  <c r="Y592" i="23"/>
  <c r="Z592" i="23" s="1"/>
  <c r="AP591" i="23"/>
  <c r="AO591" i="23"/>
  <c r="AN591" i="23"/>
  <c r="AP589" i="23"/>
  <c r="AO589" i="23"/>
  <c r="AN589" i="23"/>
  <c r="L589" i="23"/>
  <c r="AR472" i="23" s="1"/>
  <c r="AP588" i="23"/>
  <c r="AO588" i="23"/>
  <c r="AN588" i="23"/>
  <c r="L588" i="23"/>
  <c r="AR471" i="23" s="1"/>
  <c r="AP587" i="23"/>
  <c r="AO587" i="23"/>
  <c r="AN587" i="23"/>
  <c r="AG587" i="23"/>
  <c r="AE587" i="23"/>
  <c r="AF587" i="23" s="1"/>
  <c r="AB587" i="23"/>
  <c r="AC587" i="23" s="1"/>
  <c r="Y587" i="23"/>
  <c r="Z587" i="23" s="1"/>
  <c r="AP586" i="23"/>
  <c r="AO586" i="23"/>
  <c r="AN586" i="23"/>
  <c r="AG586" i="23"/>
  <c r="AE586" i="23"/>
  <c r="AF586" i="23" s="1"/>
  <c r="AB586" i="23"/>
  <c r="AC586" i="23" s="1"/>
  <c r="Y586" i="23"/>
  <c r="Z586" i="23" s="1"/>
  <c r="AP585" i="23"/>
  <c r="AO585" i="23"/>
  <c r="AN585" i="23"/>
  <c r="AP583" i="23"/>
  <c r="AO583" i="23"/>
  <c r="AN583" i="23"/>
  <c r="L583" i="23"/>
  <c r="AP582" i="23"/>
  <c r="AO582" i="23"/>
  <c r="AN582" i="23"/>
  <c r="L582" i="23"/>
  <c r="AR581" i="23"/>
  <c r="AP581" i="23"/>
  <c r="AO581" i="23"/>
  <c r="AN581" i="23"/>
  <c r="AG581" i="23"/>
  <c r="AE581" i="23"/>
  <c r="AF581" i="23" s="1"/>
  <c r="AB581" i="23"/>
  <c r="AC581" i="23" s="1"/>
  <c r="Y581" i="23"/>
  <c r="Z581" i="23" s="1"/>
  <c r="AR580" i="23"/>
  <c r="AP580" i="23"/>
  <c r="AO580" i="23"/>
  <c r="AN580" i="23"/>
  <c r="AG580" i="23"/>
  <c r="AE580" i="23"/>
  <c r="AF580" i="23" s="1"/>
  <c r="AB580" i="23"/>
  <c r="AC580" i="23" s="1"/>
  <c r="Y580" i="23"/>
  <c r="Z580" i="23" s="1"/>
  <c r="AR579" i="23"/>
  <c r="AP579" i="23"/>
  <c r="AO579" i="23"/>
  <c r="AN579" i="23"/>
  <c r="AR578" i="23"/>
  <c r="AR577" i="23"/>
  <c r="AP577" i="23"/>
  <c r="AO577" i="23"/>
  <c r="AN577" i="23"/>
  <c r="L577" i="23"/>
  <c r="AR576" i="23"/>
  <c r="AP576" i="23"/>
  <c r="AO576" i="23"/>
  <c r="AN576" i="23"/>
  <c r="L576" i="23"/>
  <c r="AR575" i="23"/>
  <c r="AP575" i="23"/>
  <c r="AO575" i="23"/>
  <c r="AN575" i="23"/>
  <c r="AG575" i="23"/>
  <c r="AE575" i="23"/>
  <c r="AF575" i="23" s="1"/>
  <c r="AB575" i="23"/>
  <c r="AC575" i="23" s="1"/>
  <c r="AC577" i="23" s="1"/>
  <c r="Y575" i="23"/>
  <c r="Z575" i="23" s="1"/>
  <c r="AR574" i="23"/>
  <c r="AP574" i="23"/>
  <c r="AO574" i="23"/>
  <c r="AN574" i="23"/>
  <c r="AG574" i="23"/>
  <c r="AE574" i="23"/>
  <c r="AF574" i="23" s="1"/>
  <c r="AB574" i="23"/>
  <c r="AC574" i="23" s="1"/>
  <c r="Y574" i="23"/>
  <c r="Z574" i="23" s="1"/>
  <c r="AR573" i="23"/>
  <c r="AP573" i="23"/>
  <c r="AO573" i="23"/>
  <c r="AN573" i="23"/>
  <c r="AR572" i="23"/>
  <c r="AM695" i="23" s="1"/>
  <c r="AR571" i="23"/>
  <c r="AM694" i="23" s="1"/>
  <c r="AP571" i="23"/>
  <c r="AO571" i="23"/>
  <c r="AN571" i="23"/>
  <c r="L571" i="23"/>
  <c r="AR570" i="23"/>
  <c r="AP570" i="23"/>
  <c r="AO570" i="23"/>
  <c r="AN570" i="23"/>
  <c r="L570" i="23"/>
  <c r="AR569" i="23"/>
  <c r="AP569" i="23"/>
  <c r="AO569" i="23"/>
  <c r="AN569" i="23"/>
  <c r="AG569" i="23"/>
  <c r="AE569" i="23"/>
  <c r="AF569" i="23" s="1"/>
  <c r="AB569" i="23"/>
  <c r="AC569" i="23" s="1"/>
  <c r="AC571" i="23" s="1"/>
  <c r="Y569" i="23"/>
  <c r="Z569" i="23" s="1"/>
  <c r="AR568" i="23"/>
  <c r="AP568" i="23"/>
  <c r="AO568" i="23"/>
  <c r="AN568" i="23"/>
  <c r="AG568" i="23"/>
  <c r="AE568" i="23"/>
  <c r="AF568" i="23" s="1"/>
  <c r="AB568" i="23"/>
  <c r="AC568" i="23" s="1"/>
  <c r="Y568" i="23"/>
  <c r="Z568" i="23" s="1"/>
  <c r="Z570" i="23" s="1"/>
  <c r="AR567" i="23"/>
  <c r="AP567" i="23"/>
  <c r="AO567" i="23"/>
  <c r="AN567" i="23"/>
  <c r="AR566" i="23"/>
  <c r="AR565" i="23"/>
  <c r="AP565" i="23"/>
  <c r="AO565" i="23"/>
  <c r="AN565" i="23"/>
  <c r="L565" i="23"/>
  <c r="AR448" i="23" s="1"/>
  <c r="AR564" i="23"/>
  <c r="AP564" i="23"/>
  <c r="AO564" i="23"/>
  <c r="AN564" i="23"/>
  <c r="L564" i="23"/>
  <c r="AR447" i="23" s="1"/>
  <c r="AP563" i="23"/>
  <c r="AO563" i="23"/>
  <c r="AN563" i="23"/>
  <c r="AG563" i="23"/>
  <c r="AE563" i="23"/>
  <c r="AF563" i="23" s="1"/>
  <c r="AB563" i="23"/>
  <c r="AC563" i="23" s="1"/>
  <c r="Y563" i="23"/>
  <c r="Z563" i="23" s="1"/>
  <c r="AP562" i="23"/>
  <c r="AO562" i="23"/>
  <c r="AN562" i="23"/>
  <c r="AG562" i="23"/>
  <c r="AE562" i="23"/>
  <c r="AF562" i="23" s="1"/>
  <c r="AB562" i="23"/>
  <c r="AC562" i="23" s="1"/>
  <c r="Y562" i="23"/>
  <c r="Z562" i="23" s="1"/>
  <c r="AR561" i="23"/>
  <c r="AR560" i="23"/>
  <c r="AM683" i="23" s="1"/>
  <c r="AR559" i="23"/>
  <c r="AM682" i="23" s="1"/>
  <c r="AR558" i="23"/>
  <c r="AP558" i="23"/>
  <c r="AO558" i="23"/>
  <c r="AN558" i="23"/>
  <c r="L558" i="23"/>
  <c r="AR557" i="23"/>
  <c r="AP557" i="23"/>
  <c r="AO557" i="23"/>
  <c r="AN557" i="23"/>
  <c r="L557" i="23"/>
  <c r="AR556" i="23"/>
  <c r="AP556" i="23"/>
  <c r="AO556" i="23"/>
  <c r="AN556" i="23"/>
  <c r="AG556" i="23"/>
  <c r="AE556" i="23"/>
  <c r="AF556" i="23" s="1"/>
  <c r="AB556" i="23"/>
  <c r="AC556" i="23" s="1"/>
  <c r="Y556" i="23"/>
  <c r="Z556" i="23" s="1"/>
  <c r="AR555" i="23"/>
  <c r="AP555" i="23"/>
  <c r="AO555" i="23"/>
  <c r="AN555" i="23"/>
  <c r="AG555" i="23"/>
  <c r="AE555" i="23"/>
  <c r="AF555" i="23" s="1"/>
  <c r="AB555" i="23"/>
  <c r="AC555" i="23" s="1"/>
  <c r="Y555" i="23"/>
  <c r="Z555" i="23" s="1"/>
  <c r="Z557" i="23" s="1"/>
  <c r="AR554" i="23"/>
  <c r="AR553" i="23"/>
  <c r="AR552" i="23"/>
  <c r="L552" i="23"/>
  <c r="AR551" i="23"/>
  <c r="AP551" i="23"/>
  <c r="AO551" i="23"/>
  <c r="AN551" i="23"/>
  <c r="L551" i="23"/>
  <c r="AR434" i="23" s="1"/>
  <c r="AR550" i="23"/>
  <c r="AP550" i="23"/>
  <c r="AO550" i="23"/>
  <c r="AN550" i="23"/>
  <c r="L550" i="23"/>
  <c r="AR549" i="23"/>
  <c r="AP549" i="23"/>
  <c r="AO549" i="23"/>
  <c r="AN549" i="23"/>
  <c r="AG549" i="23"/>
  <c r="AE549" i="23"/>
  <c r="AF549" i="23" s="1"/>
  <c r="AB549" i="23"/>
  <c r="AC549" i="23" s="1"/>
  <c r="Y549" i="23"/>
  <c r="Z549" i="23" s="1"/>
  <c r="AR548" i="23"/>
  <c r="AM671" i="23" s="1"/>
  <c r="AP548" i="23"/>
  <c r="AO548" i="23"/>
  <c r="AN548" i="23"/>
  <c r="AG548" i="23"/>
  <c r="AE548" i="23"/>
  <c r="AF548" i="23" s="1"/>
  <c r="AB548" i="23"/>
  <c r="AC548" i="23" s="1"/>
  <c r="AC551" i="23" s="1"/>
  <c r="Y548" i="23"/>
  <c r="Z548" i="23" s="1"/>
  <c r="AR547" i="23"/>
  <c r="AM670" i="23" s="1"/>
  <c r="AM674" i="23" s="1"/>
  <c r="AP547" i="23"/>
  <c r="AO547" i="23"/>
  <c r="AN547" i="23"/>
  <c r="AG547" i="23"/>
  <c r="AE547" i="23"/>
  <c r="AF547" i="23" s="1"/>
  <c r="AB547" i="23"/>
  <c r="AC547" i="23" s="1"/>
  <c r="Y547" i="23"/>
  <c r="Z547" i="23" s="1"/>
  <c r="AR546" i="23"/>
  <c r="AP546" i="23"/>
  <c r="AO546" i="23"/>
  <c r="AN546" i="23"/>
  <c r="AR545" i="23"/>
  <c r="AP544" i="23"/>
  <c r="AO544" i="23"/>
  <c r="AN544" i="23"/>
  <c r="L544" i="23"/>
  <c r="AR543" i="23"/>
  <c r="AP543" i="23"/>
  <c r="AO543" i="23"/>
  <c r="AN543" i="23"/>
  <c r="L543" i="23"/>
  <c r="AR426" i="23" s="1"/>
  <c r="AR542" i="23"/>
  <c r="AM665" i="23" s="1"/>
  <c r="AP542" i="23"/>
  <c r="AO542" i="23"/>
  <c r="AN542" i="23"/>
  <c r="AG542" i="23"/>
  <c r="AE542" i="23"/>
  <c r="AF542" i="23" s="1"/>
  <c r="AB542" i="23"/>
  <c r="AC542" i="23" s="1"/>
  <c r="AC544" i="23" s="1"/>
  <c r="Y542" i="23"/>
  <c r="Z542" i="23" s="1"/>
  <c r="AR541" i="23"/>
  <c r="AM664" i="23" s="1"/>
  <c r="AP541" i="23"/>
  <c r="AO541" i="23"/>
  <c r="AN541" i="23"/>
  <c r="AG541" i="23"/>
  <c r="AE541" i="23"/>
  <c r="AF541" i="23" s="1"/>
  <c r="AB541" i="23"/>
  <c r="AC541" i="23" s="1"/>
  <c r="Y541" i="23"/>
  <c r="Z541" i="23" s="1"/>
  <c r="Z543" i="23" s="1"/>
  <c r="AR540" i="23"/>
  <c r="AP540" i="23"/>
  <c r="AO540" i="23"/>
  <c r="AN540" i="23"/>
  <c r="AP538" i="23"/>
  <c r="AO538" i="23"/>
  <c r="AN538" i="23"/>
  <c r="L538" i="23"/>
  <c r="AR421" i="23" s="1"/>
  <c r="AR537" i="23"/>
  <c r="AP537" i="23"/>
  <c r="AO537" i="23"/>
  <c r="AN537" i="23"/>
  <c r="L537" i="23"/>
  <c r="AR536" i="23"/>
  <c r="AM659" i="23" s="1"/>
  <c r="AP536" i="23"/>
  <c r="AO536" i="23"/>
  <c r="AN536" i="23"/>
  <c r="AG536" i="23"/>
  <c r="AE536" i="23"/>
  <c r="AF536" i="23" s="1"/>
  <c r="AB536" i="23"/>
  <c r="AC536" i="23" s="1"/>
  <c r="Y536" i="23"/>
  <c r="Z536" i="23" s="1"/>
  <c r="AR535" i="23"/>
  <c r="AM658" i="23" s="1"/>
  <c r="AM662" i="23" s="1"/>
  <c r="AP535" i="23"/>
  <c r="AO535" i="23"/>
  <c r="AN535" i="23"/>
  <c r="AG535" i="23"/>
  <c r="AE535" i="23"/>
  <c r="AF535" i="23" s="1"/>
  <c r="AB535" i="23"/>
  <c r="AC535" i="23" s="1"/>
  <c r="Y535" i="23"/>
  <c r="Z535" i="23" s="1"/>
  <c r="Z537" i="23" s="1"/>
  <c r="AR534" i="23"/>
  <c r="AP534" i="23"/>
  <c r="AO534" i="23"/>
  <c r="AN534" i="23"/>
  <c r="AR533" i="23"/>
  <c r="AR532" i="23"/>
  <c r="AP532" i="23"/>
  <c r="AO532" i="23"/>
  <c r="AN532" i="23"/>
  <c r="L532" i="23"/>
  <c r="AR531" i="23"/>
  <c r="AP531" i="23"/>
  <c r="AO531" i="23"/>
  <c r="AN531" i="23"/>
  <c r="L531" i="23"/>
  <c r="AR414" i="23" s="1"/>
  <c r="AP530" i="23"/>
  <c r="AO530" i="23"/>
  <c r="AN530" i="23"/>
  <c r="AG530" i="23"/>
  <c r="AE530" i="23"/>
  <c r="AF530" i="23" s="1"/>
  <c r="AB530" i="23"/>
  <c r="AC530" i="23" s="1"/>
  <c r="Y530" i="23"/>
  <c r="Z530" i="23" s="1"/>
  <c r="Z532" i="23" s="1"/>
  <c r="AR529" i="23"/>
  <c r="AM652" i="23" s="1"/>
  <c r="AP529" i="23"/>
  <c r="AO529" i="23"/>
  <c r="AN529" i="23"/>
  <c r="AG529" i="23"/>
  <c r="AE529" i="23"/>
  <c r="AF529" i="23" s="1"/>
  <c r="AB529" i="23"/>
  <c r="AC529" i="23" s="1"/>
  <c r="Y529" i="23"/>
  <c r="Z529" i="23" s="1"/>
  <c r="AR526" i="23"/>
  <c r="AP526" i="23"/>
  <c r="AO526" i="23"/>
  <c r="AN526" i="23"/>
  <c r="L526" i="23"/>
  <c r="AR409" i="23" s="1"/>
  <c r="AR525" i="23"/>
  <c r="AM642" i="23" s="1"/>
  <c r="AP525" i="23"/>
  <c r="AO525" i="23"/>
  <c r="AN525" i="23"/>
  <c r="L525" i="23"/>
  <c r="AR524" i="23"/>
  <c r="AM641" i="23" s="1"/>
  <c r="AP524" i="23"/>
  <c r="AO524" i="23"/>
  <c r="AN524" i="23"/>
  <c r="AG524" i="23"/>
  <c r="AE524" i="23"/>
  <c r="AF524" i="23" s="1"/>
  <c r="AB524" i="23"/>
  <c r="AC524" i="23" s="1"/>
  <c r="AC526" i="23" s="1"/>
  <c r="Y524" i="23"/>
  <c r="Z524" i="23" s="1"/>
  <c r="AR523" i="23"/>
  <c r="AM640" i="23" s="1"/>
  <c r="AP523" i="23"/>
  <c r="AO523" i="23"/>
  <c r="AN523" i="23"/>
  <c r="AG523" i="23"/>
  <c r="AE523" i="23"/>
  <c r="AF523" i="23" s="1"/>
  <c r="AB523" i="23"/>
  <c r="AC523" i="23" s="1"/>
  <c r="Y523" i="23"/>
  <c r="Z523" i="23" s="1"/>
  <c r="Z525" i="23" s="1"/>
  <c r="AR522" i="23"/>
  <c r="AP522" i="23"/>
  <c r="AO522" i="23"/>
  <c r="AN522" i="23"/>
  <c r="AR521" i="23"/>
  <c r="AP520" i="23"/>
  <c r="AO520" i="23"/>
  <c r="AN520" i="23"/>
  <c r="L520" i="23"/>
  <c r="AR519" i="23"/>
  <c r="AP519" i="23"/>
  <c r="AO519" i="23"/>
  <c r="AN519" i="23"/>
  <c r="L519" i="23"/>
  <c r="AR402" i="23" s="1"/>
  <c r="AR518" i="23"/>
  <c r="AM635" i="23" s="1"/>
  <c r="AP518" i="23"/>
  <c r="AO518" i="23"/>
  <c r="AN518" i="23"/>
  <c r="AM518" i="23"/>
  <c r="AG518" i="23"/>
  <c r="AE518" i="23"/>
  <c r="AF518" i="23" s="1"/>
  <c r="AB518" i="23"/>
  <c r="AC518" i="23" s="1"/>
  <c r="Y518" i="23"/>
  <c r="Z518" i="23" s="1"/>
  <c r="AR517" i="23"/>
  <c r="AM634" i="23" s="1"/>
  <c r="AP517" i="23"/>
  <c r="AO517" i="23"/>
  <c r="AN517" i="23"/>
  <c r="AM517" i="23"/>
  <c r="AG517" i="23"/>
  <c r="AE517" i="23"/>
  <c r="AF517" i="23" s="1"/>
  <c r="AB517" i="23"/>
  <c r="AC517" i="23" s="1"/>
  <c r="Y517" i="23"/>
  <c r="Z517" i="23" s="1"/>
  <c r="AR516" i="23"/>
  <c r="AP516" i="23"/>
  <c r="AO516" i="23"/>
  <c r="AN516" i="23"/>
  <c r="AR515" i="23"/>
  <c r="AR514" i="23"/>
  <c r="AP514" i="23"/>
  <c r="AO514" i="23"/>
  <c r="AN514" i="23"/>
  <c r="L514" i="23"/>
  <c r="AP513" i="23"/>
  <c r="AO513" i="23"/>
  <c r="AN513" i="23"/>
  <c r="L513" i="23"/>
  <c r="AR512" i="23"/>
  <c r="AM629" i="23" s="1"/>
  <c r="AP512" i="23"/>
  <c r="AO512" i="23"/>
  <c r="AN512" i="23"/>
  <c r="AM512" i="23"/>
  <c r="AG512" i="23"/>
  <c r="AE512" i="23"/>
  <c r="AF512" i="23" s="1"/>
  <c r="AB512" i="23"/>
  <c r="AC512" i="23" s="1"/>
  <c r="Y512" i="23"/>
  <c r="Z512" i="23" s="1"/>
  <c r="AR511" i="23"/>
  <c r="AM628" i="23" s="1"/>
  <c r="AP511" i="23"/>
  <c r="AO511" i="23"/>
  <c r="AN511" i="23"/>
  <c r="AM511" i="23"/>
  <c r="AG511" i="23"/>
  <c r="AE511" i="23"/>
  <c r="AF511" i="23" s="1"/>
  <c r="AB511" i="23"/>
  <c r="AC511" i="23" s="1"/>
  <c r="Y511" i="23"/>
  <c r="Z511" i="23" s="1"/>
  <c r="AP510" i="23"/>
  <c r="AO510" i="23"/>
  <c r="AN510" i="23"/>
  <c r="AR509" i="23"/>
  <c r="AR508" i="23"/>
  <c r="AP508" i="23"/>
  <c r="AO508" i="23"/>
  <c r="AN508" i="23"/>
  <c r="L508" i="23"/>
  <c r="AR507" i="23"/>
  <c r="AP507" i="23"/>
  <c r="AO507" i="23"/>
  <c r="AN507" i="23"/>
  <c r="L507" i="23"/>
  <c r="AR506" i="23"/>
  <c r="AM623" i="23" s="1"/>
  <c r="AP506" i="23"/>
  <c r="AO506" i="23"/>
  <c r="AN506" i="23"/>
  <c r="AM506" i="23"/>
  <c r="AG506" i="23"/>
  <c r="AE506" i="23"/>
  <c r="AF506" i="23" s="1"/>
  <c r="AB506" i="23"/>
  <c r="AC506" i="23" s="1"/>
  <c r="Y506" i="23"/>
  <c r="Z506" i="23" s="1"/>
  <c r="AR505" i="23"/>
  <c r="AM622" i="23" s="1"/>
  <c r="AP505" i="23"/>
  <c r="AO505" i="23"/>
  <c r="AN505" i="23"/>
  <c r="AM505" i="23"/>
  <c r="AG505" i="23"/>
  <c r="AE505" i="23"/>
  <c r="AF505" i="23" s="1"/>
  <c r="AB505" i="23"/>
  <c r="AC505" i="23" s="1"/>
  <c r="Y505" i="23"/>
  <c r="Z505" i="23" s="1"/>
  <c r="AP504" i="23"/>
  <c r="AO504" i="23"/>
  <c r="AN504" i="23"/>
  <c r="AR503" i="23"/>
  <c r="AP502" i="23"/>
  <c r="AO502" i="23"/>
  <c r="AN502" i="23"/>
  <c r="L502" i="23"/>
  <c r="AP501" i="23"/>
  <c r="AO501" i="23"/>
  <c r="AN501" i="23"/>
  <c r="L501" i="23"/>
  <c r="AR500" i="23"/>
  <c r="AM617" i="23" s="1"/>
  <c r="AP500" i="23"/>
  <c r="AO500" i="23"/>
  <c r="AN500" i="23"/>
  <c r="AM500" i="23"/>
  <c r="AG500" i="23"/>
  <c r="AE500" i="23"/>
  <c r="AF500" i="23" s="1"/>
  <c r="AB500" i="23"/>
  <c r="AC500" i="23" s="1"/>
  <c r="Y500" i="23"/>
  <c r="Z500" i="23" s="1"/>
  <c r="AR499" i="23"/>
  <c r="AM616" i="23" s="1"/>
  <c r="AP499" i="23"/>
  <c r="AO499" i="23"/>
  <c r="AN499" i="23"/>
  <c r="AM499" i="23"/>
  <c r="AG499" i="23"/>
  <c r="AE499" i="23"/>
  <c r="AF499" i="23" s="1"/>
  <c r="AB499" i="23"/>
  <c r="AC499" i="23" s="1"/>
  <c r="Y499" i="23"/>
  <c r="Z499" i="23" s="1"/>
  <c r="AP498" i="23"/>
  <c r="AO498" i="23"/>
  <c r="AN498" i="23"/>
  <c r="AR497" i="23"/>
  <c r="AR496" i="23"/>
  <c r="AP496" i="23"/>
  <c r="AO496" i="23"/>
  <c r="AN496" i="23"/>
  <c r="L496" i="23"/>
  <c r="AR495" i="23"/>
  <c r="AP495" i="23"/>
  <c r="AO495" i="23"/>
  <c r="AN495" i="23"/>
  <c r="L495" i="23"/>
  <c r="AR494" i="23"/>
  <c r="AM611" i="23" s="1"/>
  <c r="AP494" i="23"/>
  <c r="AO494" i="23"/>
  <c r="AN494" i="23"/>
  <c r="AM494" i="23"/>
  <c r="AG494" i="23"/>
  <c r="AE494" i="23"/>
  <c r="AF494" i="23" s="1"/>
  <c r="AB494" i="23"/>
  <c r="AC494" i="23" s="1"/>
  <c r="Y494" i="23"/>
  <c r="Z494" i="23" s="1"/>
  <c r="AR493" i="23"/>
  <c r="AM610" i="23" s="1"/>
  <c r="AP493" i="23"/>
  <c r="AO493" i="23"/>
  <c r="AN493" i="23"/>
  <c r="AM493" i="23"/>
  <c r="AG493" i="23"/>
  <c r="AE493" i="23"/>
  <c r="AF493" i="23" s="1"/>
  <c r="AB493" i="23"/>
  <c r="AC493" i="23" s="1"/>
  <c r="Y493" i="23"/>
  <c r="Z493" i="23" s="1"/>
  <c r="AP492" i="23"/>
  <c r="AO492" i="23"/>
  <c r="AN492" i="23"/>
  <c r="AR491" i="23"/>
  <c r="AP490" i="23"/>
  <c r="AO490" i="23"/>
  <c r="AN490" i="23"/>
  <c r="L490" i="23"/>
  <c r="AP489" i="23"/>
  <c r="AO489" i="23"/>
  <c r="AN489" i="23"/>
  <c r="L489" i="23"/>
  <c r="AR488" i="23"/>
  <c r="AM605" i="23" s="1"/>
  <c r="AP488" i="23"/>
  <c r="AO488" i="23"/>
  <c r="AN488" i="23"/>
  <c r="AM488" i="23"/>
  <c r="AG488" i="23"/>
  <c r="AE488" i="23"/>
  <c r="AF488" i="23" s="1"/>
  <c r="AB488" i="23"/>
  <c r="AC488" i="23" s="1"/>
  <c r="AC490" i="23" s="1"/>
  <c r="Y488" i="23"/>
  <c r="Z488" i="23" s="1"/>
  <c r="AR487" i="23"/>
  <c r="AM604" i="23" s="1"/>
  <c r="AP487" i="23"/>
  <c r="AO487" i="23"/>
  <c r="AN487" i="23"/>
  <c r="AM487" i="23"/>
  <c r="AG487" i="23"/>
  <c r="AE487" i="23"/>
  <c r="AF487" i="23" s="1"/>
  <c r="AB487" i="23"/>
  <c r="AC487" i="23" s="1"/>
  <c r="Y487" i="23"/>
  <c r="Z487" i="23" s="1"/>
  <c r="AR486" i="23"/>
  <c r="AP486" i="23"/>
  <c r="AO486" i="23"/>
  <c r="AN486" i="23"/>
  <c r="AR485" i="23"/>
  <c r="AR484" i="23"/>
  <c r="AP484" i="23"/>
  <c r="AO484" i="23"/>
  <c r="AN484" i="23"/>
  <c r="L484" i="23"/>
  <c r="AR483" i="23"/>
  <c r="AP483" i="23"/>
  <c r="AO483" i="23"/>
  <c r="AN483" i="23"/>
  <c r="L483" i="23"/>
  <c r="AR482" i="23"/>
  <c r="AM599" i="23" s="1"/>
  <c r="AP482" i="23"/>
  <c r="AO482" i="23"/>
  <c r="AN482" i="23"/>
  <c r="AM482" i="23"/>
  <c r="AG482" i="23"/>
  <c r="AE482" i="23"/>
  <c r="AF482" i="23" s="1"/>
  <c r="AB482" i="23"/>
  <c r="AC482" i="23" s="1"/>
  <c r="Y482" i="23"/>
  <c r="Z482" i="23" s="1"/>
  <c r="AR481" i="23"/>
  <c r="AM598" i="23" s="1"/>
  <c r="AP481" i="23"/>
  <c r="AO481" i="23"/>
  <c r="AN481" i="23"/>
  <c r="AM481" i="23"/>
  <c r="AG481" i="23"/>
  <c r="AE481" i="23"/>
  <c r="AF481" i="23" s="1"/>
  <c r="AB481" i="23"/>
  <c r="AC481" i="23" s="1"/>
  <c r="Y481" i="23"/>
  <c r="Z481" i="23" s="1"/>
  <c r="AR480" i="23"/>
  <c r="AP480" i="23"/>
  <c r="AO480" i="23"/>
  <c r="AN480" i="23"/>
  <c r="AR479" i="23"/>
  <c r="AR478" i="23"/>
  <c r="AP478" i="23"/>
  <c r="AO478" i="23"/>
  <c r="AN478" i="23"/>
  <c r="L478" i="23"/>
  <c r="AR477" i="23"/>
  <c r="AP477" i="23"/>
  <c r="AO477" i="23"/>
  <c r="AN477" i="23"/>
  <c r="L477" i="23"/>
  <c r="AR476" i="23"/>
  <c r="AM593" i="23" s="1"/>
  <c r="AP476" i="23"/>
  <c r="AO476" i="23"/>
  <c r="AN476" i="23"/>
  <c r="AM476" i="23"/>
  <c r="AG476" i="23"/>
  <c r="AE476" i="23"/>
  <c r="AF476" i="23" s="1"/>
  <c r="AB476" i="23"/>
  <c r="AC476" i="23" s="1"/>
  <c r="Y476" i="23"/>
  <c r="Z476" i="23" s="1"/>
  <c r="AR475" i="23"/>
  <c r="AM592" i="23" s="1"/>
  <c r="AP475" i="23"/>
  <c r="AO475" i="23"/>
  <c r="AN475" i="23"/>
  <c r="AM475" i="23"/>
  <c r="AG475" i="23"/>
  <c r="AE475" i="23"/>
  <c r="AF475" i="23" s="1"/>
  <c r="AB475" i="23"/>
  <c r="AC475" i="23" s="1"/>
  <c r="Y475" i="23"/>
  <c r="Z475" i="23" s="1"/>
  <c r="AR474" i="23"/>
  <c r="AP474" i="23"/>
  <c r="AO474" i="23"/>
  <c r="AN474" i="23"/>
  <c r="AR473" i="23"/>
  <c r="AP472" i="23"/>
  <c r="AO472" i="23"/>
  <c r="AN472" i="23"/>
  <c r="L472" i="23"/>
  <c r="AP471" i="23"/>
  <c r="AO471" i="23"/>
  <c r="AN471" i="23"/>
  <c r="L471" i="23"/>
  <c r="AR470" i="23"/>
  <c r="AM587" i="23" s="1"/>
  <c r="AP470" i="23"/>
  <c r="AO470" i="23"/>
  <c r="AN470" i="23"/>
  <c r="AM470" i="23"/>
  <c r="AG470" i="23"/>
  <c r="AE470" i="23"/>
  <c r="AF470" i="23" s="1"/>
  <c r="AB470" i="23"/>
  <c r="AC470" i="23" s="1"/>
  <c r="Y470" i="23"/>
  <c r="Z470" i="23" s="1"/>
  <c r="AR469" i="23"/>
  <c r="AM586" i="23" s="1"/>
  <c r="AP469" i="23"/>
  <c r="AO469" i="23"/>
  <c r="AN469" i="23"/>
  <c r="AM469" i="23"/>
  <c r="AG469" i="23"/>
  <c r="AE469" i="23"/>
  <c r="AF469" i="23" s="1"/>
  <c r="AB469" i="23"/>
  <c r="AC469" i="23" s="1"/>
  <c r="Y469" i="23"/>
  <c r="Z469" i="23" s="1"/>
  <c r="AR468" i="23"/>
  <c r="AP468" i="23"/>
  <c r="AO468" i="23"/>
  <c r="AN468" i="23"/>
  <c r="AR467" i="23"/>
  <c r="AR466" i="23"/>
  <c r="AP466" i="23"/>
  <c r="AO466" i="23"/>
  <c r="AN466" i="23"/>
  <c r="L466" i="23"/>
  <c r="AR465" i="23"/>
  <c r="AP465" i="23"/>
  <c r="AO465" i="23"/>
  <c r="AN465" i="23"/>
  <c r="L465" i="23"/>
  <c r="AR464" i="23"/>
  <c r="AM581" i="23" s="1"/>
  <c r="AP464" i="23"/>
  <c r="AO464" i="23"/>
  <c r="AN464" i="23"/>
  <c r="AM464" i="23"/>
  <c r="AG464" i="23"/>
  <c r="AE464" i="23"/>
  <c r="AF464" i="23" s="1"/>
  <c r="AB464" i="23"/>
  <c r="AC464" i="23" s="1"/>
  <c r="Y464" i="23"/>
  <c r="Z464" i="23" s="1"/>
  <c r="AR463" i="23"/>
  <c r="AM580" i="23" s="1"/>
  <c r="AP463" i="23"/>
  <c r="AO463" i="23"/>
  <c r="AN463" i="23"/>
  <c r="AM463" i="23"/>
  <c r="AG463" i="23"/>
  <c r="AE463" i="23"/>
  <c r="AF463" i="23" s="1"/>
  <c r="AB463" i="23"/>
  <c r="AC463" i="23" s="1"/>
  <c r="Y463" i="23"/>
  <c r="Z463" i="23" s="1"/>
  <c r="AR462" i="23"/>
  <c r="AP462" i="23"/>
  <c r="AO462" i="23"/>
  <c r="AN462" i="23"/>
  <c r="AR461" i="23"/>
  <c r="AR460" i="23"/>
  <c r="AP460" i="23"/>
  <c r="AO460" i="23"/>
  <c r="AN460" i="23"/>
  <c r="L460" i="23"/>
  <c r="AR459" i="23"/>
  <c r="AP459" i="23"/>
  <c r="AO459" i="23"/>
  <c r="AN459" i="23"/>
  <c r="L459" i="23"/>
  <c r="AR458" i="23"/>
  <c r="AM575" i="23" s="1"/>
  <c r="AP458" i="23"/>
  <c r="AO458" i="23"/>
  <c r="AN458" i="23"/>
  <c r="AM458" i="23"/>
  <c r="AG458" i="23"/>
  <c r="AE458" i="23"/>
  <c r="AF458" i="23" s="1"/>
  <c r="AB458" i="23"/>
  <c r="AC458" i="23" s="1"/>
  <c r="Y458" i="23"/>
  <c r="Z458" i="23" s="1"/>
  <c r="AR457" i="23"/>
  <c r="AM574" i="23" s="1"/>
  <c r="AP457" i="23"/>
  <c r="AO457" i="23"/>
  <c r="AN457" i="23"/>
  <c r="AM457" i="23"/>
  <c r="AG457" i="23"/>
  <c r="AE457" i="23"/>
  <c r="AF457" i="23" s="1"/>
  <c r="AB457" i="23"/>
  <c r="AC457" i="23" s="1"/>
  <c r="Y457" i="23"/>
  <c r="Z457" i="23" s="1"/>
  <c r="AR456" i="23"/>
  <c r="AP456" i="23"/>
  <c r="AO456" i="23"/>
  <c r="AN456" i="23"/>
  <c r="AR455" i="23"/>
  <c r="AR454" i="23"/>
  <c r="AP454" i="23"/>
  <c r="AO454" i="23"/>
  <c r="AN454" i="23"/>
  <c r="L454" i="23"/>
  <c r="AR453" i="23"/>
  <c r="AP453" i="23"/>
  <c r="AO453" i="23"/>
  <c r="AN453" i="23"/>
  <c r="L453" i="23"/>
  <c r="AR452" i="23"/>
  <c r="AM569" i="23" s="1"/>
  <c r="AP452" i="23"/>
  <c r="AO452" i="23"/>
  <c r="AN452" i="23"/>
  <c r="AM452" i="23"/>
  <c r="AG452" i="23"/>
  <c r="AE452" i="23"/>
  <c r="AF452" i="23" s="1"/>
  <c r="AB452" i="23"/>
  <c r="AC452" i="23" s="1"/>
  <c r="Y452" i="23"/>
  <c r="Z452" i="23" s="1"/>
  <c r="AR451" i="23"/>
  <c r="AM568" i="23" s="1"/>
  <c r="AP451" i="23"/>
  <c r="AO451" i="23"/>
  <c r="AN451" i="23"/>
  <c r="AG451" i="23"/>
  <c r="AE451" i="23"/>
  <c r="AF451" i="23" s="1"/>
  <c r="AB451" i="23"/>
  <c r="AC451" i="23" s="1"/>
  <c r="AC453" i="23" s="1"/>
  <c r="Y451" i="23"/>
  <c r="Z451" i="23" s="1"/>
  <c r="AR450" i="23"/>
  <c r="AP450" i="23"/>
  <c r="AO450" i="23"/>
  <c r="AN450" i="23"/>
  <c r="AR449" i="23"/>
  <c r="AP448" i="23"/>
  <c r="AO448" i="23"/>
  <c r="AN448" i="23"/>
  <c r="L448" i="23"/>
  <c r="AP447" i="23"/>
  <c r="AO447" i="23"/>
  <c r="AN447" i="23"/>
  <c r="L447" i="23"/>
  <c r="AR446" i="23"/>
  <c r="AM563" i="23" s="1"/>
  <c r="AP446" i="23"/>
  <c r="AO446" i="23"/>
  <c r="AN446" i="23"/>
  <c r="AM446" i="23"/>
  <c r="AG446" i="23"/>
  <c r="AE446" i="23"/>
  <c r="AF446" i="23" s="1"/>
  <c r="AB446" i="23"/>
  <c r="AC446" i="23" s="1"/>
  <c r="Y446" i="23"/>
  <c r="Z446" i="23" s="1"/>
  <c r="AR445" i="23"/>
  <c r="AM562" i="23" s="1"/>
  <c r="AP445" i="23"/>
  <c r="AO445" i="23"/>
  <c r="AN445" i="23"/>
  <c r="AM445" i="23"/>
  <c r="AG445" i="23"/>
  <c r="AE445" i="23"/>
  <c r="AF445" i="23" s="1"/>
  <c r="AB445" i="23"/>
  <c r="AC445" i="23" s="1"/>
  <c r="Y445" i="23"/>
  <c r="Z445" i="23" s="1"/>
  <c r="AR444" i="23"/>
  <c r="AP444" i="23"/>
  <c r="AO444" i="23"/>
  <c r="AN444" i="23"/>
  <c r="AR443" i="23"/>
  <c r="AR442" i="23"/>
  <c r="AP442" i="23"/>
  <c r="AO442" i="23"/>
  <c r="AN442" i="23"/>
  <c r="L442" i="23"/>
  <c r="AR441" i="23"/>
  <c r="AP441" i="23"/>
  <c r="AO441" i="23"/>
  <c r="AN441" i="23"/>
  <c r="L441" i="23"/>
  <c r="AR440" i="23"/>
  <c r="AP440" i="23"/>
  <c r="AO440" i="23"/>
  <c r="AN440" i="23"/>
  <c r="AM440" i="23"/>
  <c r="AG440" i="23"/>
  <c r="AE440" i="23"/>
  <c r="AF440" i="23" s="1"/>
  <c r="AB440" i="23"/>
  <c r="AC440" i="23" s="1"/>
  <c r="Y440" i="23"/>
  <c r="Z440" i="23" s="1"/>
  <c r="AR439" i="23"/>
  <c r="AM556" i="23" s="1"/>
  <c r="AP439" i="23"/>
  <c r="AO439" i="23"/>
  <c r="AN439" i="23"/>
  <c r="AM439" i="23"/>
  <c r="AG439" i="23"/>
  <c r="AE439" i="23"/>
  <c r="AF439" i="23" s="1"/>
  <c r="AB439" i="23"/>
  <c r="AC439" i="23" s="1"/>
  <c r="Y439" i="23"/>
  <c r="Z439" i="23" s="1"/>
  <c r="AR438" i="23"/>
  <c r="AM555" i="23" s="1"/>
  <c r="AP438" i="23"/>
  <c r="AO438" i="23"/>
  <c r="AN438" i="23"/>
  <c r="AR437" i="23"/>
  <c r="AR436" i="23"/>
  <c r="AP436" i="23"/>
  <c r="AO436" i="23"/>
  <c r="AN436" i="23"/>
  <c r="L436" i="23"/>
  <c r="AR435" i="23"/>
  <c r="AP435" i="23"/>
  <c r="AO435" i="23"/>
  <c r="AN435" i="23"/>
  <c r="L435" i="23"/>
  <c r="AP434" i="23"/>
  <c r="AO434" i="23"/>
  <c r="AN434" i="23"/>
  <c r="AM434" i="23"/>
  <c r="AG434" i="23"/>
  <c r="AE434" i="23"/>
  <c r="AF434" i="23" s="1"/>
  <c r="AB434" i="23"/>
  <c r="AC434" i="23" s="1"/>
  <c r="Y434" i="23"/>
  <c r="Z434" i="23" s="1"/>
  <c r="AR433" i="23"/>
  <c r="AP433" i="23"/>
  <c r="AO433" i="23"/>
  <c r="AN433" i="23"/>
  <c r="AM433" i="23"/>
  <c r="AG433" i="23"/>
  <c r="AE433" i="23"/>
  <c r="AF433" i="23" s="1"/>
  <c r="AB433" i="23"/>
  <c r="AC433" i="23" s="1"/>
  <c r="Y433" i="23"/>
  <c r="Z433" i="23" s="1"/>
  <c r="AR432" i="23"/>
  <c r="AM549" i="23" s="1"/>
  <c r="AP432" i="23"/>
  <c r="AO432" i="23"/>
  <c r="AN432" i="23"/>
  <c r="AR431" i="23"/>
  <c r="AM548" i="23" s="1"/>
  <c r="AR430" i="23"/>
  <c r="AM547" i="23" s="1"/>
  <c r="AP430" i="23"/>
  <c r="AO430" i="23"/>
  <c r="AN430" i="23"/>
  <c r="L430" i="23"/>
  <c r="AR429" i="23"/>
  <c r="AP429" i="23"/>
  <c r="AO429" i="23"/>
  <c r="AN429" i="23"/>
  <c r="L429" i="23"/>
  <c r="AR428" i="23"/>
  <c r="AP428" i="23"/>
  <c r="AO428" i="23"/>
  <c r="AN428" i="23"/>
  <c r="AM428" i="23"/>
  <c r="AG428" i="23"/>
  <c r="AE428" i="23"/>
  <c r="AF428" i="23" s="1"/>
  <c r="AB428" i="23"/>
  <c r="AC428" i="23" s="1"/>
  <c r="Y428" i="23"/>
  <c r="Z428" i="23" s="1"/>
  <c r="AR427" i="23"/>
  <c r="AP427" i="23"/>
  <c r="AO427" i="23"/>
  <c r="AN427" i="23"/>
  <c r="AM427" i="23"/>
  <c r="AG427" i="23"/>
  <c r="AE427" i="23"/>
  <c r="AF427" i="23" s="1"/>
  <c r="AB427" i="23"/>
  <c r="AC427" i="23" s="1"/>
  <c r="Y427" i="23"/>
  <c r="Z427" i="23" s="1"/>
  <c r="AP426" i="23"/>
  <c r="AO426" i="23"/>
  <c r="AN426" i="23"/>
  <c r="AR425" i="23"/>
  <c r="AM542" i="23" s="1"/>
  <c r="AR424" i="23"/>
  <c r="AM541" i="23" s="1"/>
  <c r="AP424" i="23"/>
  <c r="AO424" i="23"/>
  <c r="AN424" i="23"/>
  <c r="L424" i="23"/>
  <c r="AR423" i="23"/>
  <c r="AP423" i="23"/>
  <c r="AO423" i="23"/>
  <c r="AN423" i="23"/>
  <c r="L423" i="23"/>
  <c r="AR422" i="23"/>
  <c r="AP422" i="23"/>
  <c r="AO422" i="23"/>
  <c r="AN422" i="23"/>
  <c r="AM422" i="23"/>
  <c r="AG422" i="23"/>
  <c r="AE422" i="23"/>
  <c r="AF422" i="23" s="1"/>
  <c r="AB422" i="23"/>
  <c r="AC422" i="23" s="1"/>
  <c r="Y422" i="23"/>
  <c r="Z422" i="23" s="1"/>
  <c r="AP421" i="23"/>
  <c r="AO421" i="23"/>
  <c r="AN421" i="23"/>
  <c r="AM421" i="23"/>
  <c r="AG421" i="23"/>
  <c r="AE421" i="23"/>
  <c r="AF421" i="23" s="1"/>
  <c r="AB421" i="23"/>
  <c r="AC421" i="23" s="1"/>
  <c r="Y421" i="23"/>
  <c r="Z421" i="23" s="1"/>
  <c r="AR420" i="23"/>
  <c r="AP420" i="23"/>
  <c r="AO420" i="23"/>
  <c r="AN420" i="23"/>
  <c r="AR419" i="23"/>
  <c r="AM536" i="23" s="1"/>
  <c r="AR418" i="23"/>
  <c r="AM535" i="23" s="1"/>
  <c r="AP418" i="23"/>
  <c r="AO418" i="23"/>
  <c r="AN418" i="23"/>
  <c r="L418" i="23"/>
  <c r="AR417" i="23"/>
  <c r="AP417" i="23"/>
  <c r="AO417" i="23"/>
  <c r="AN417" i="23"/>
  <c r="L417" i="23"/>
  <c r="AR416" i="23"/>
  <c r="AP416" i="23"/>
  <c r="AO416" i="23"/>
  <c r="AN416" i="23"/>
  <c r="AM416" i="23"/>
  <c r="AG416" i="23"/>
  <c r="AE416" i="23"/>
  <c r="AF416" i="23" s="1"/>
  <c r="AB416" i="23"/>
  <c r="AC416" i="23" s="1"/>
  <c r="Y416" i="23"/>
  <c r="Z416" i="23" s="1"/>
  <c r="AR415" i="23"/>
  <c r="AP415" i="23"/>
  <c r="AO415" i="23"/>
  <c r="AN415" i="23"/>
  <c r="AM415" i="23"/>
  <c r="AG415" i="23"/>
  <c r="AE415" i="23"/>
  <c r="AF415" i="23" s="1"/>
  <c r="AB415" i="23"/>
  <c r="AC415" i="23" s="1"/>
  <c r="Y415" i="23"/>
  <c r="Z415" i="23" s="1"/>
  <c r="AP414" i="23"/>
  <c r="AO414" i="23"/>
  <c r="AN414" i="23"/>
  <c r="AR413" i="23"/>
  <c r="AM530" i="23" s="1"/>
  <c r="AR412" i="23"/>
  <c r="AM529" i="23" s="1"/>
  <c r="AP412" i="23"/>
  <c r="AO412" i="23"/>
  <c r="AN412" i="23"/>
  <c r="L412" i="23"/>
  <c r="AR411" i="23"/>
  <c r="AP411" i="23"/>
  <c r="AO411" i="23"/>
  <c r="AN411" i="23"/>
  <c r="L411" i="23"/>
  <c r="AR410" i="23"/>
  <c r="AP410" i="23"/>
  <c r="AO410" i="23"/>
  <c r="AN410" i="23"/>
  <c r="AM410" i="23"/>
  <c r="AG410" i="23"/>
  <c r="AE410" i="23"/>
  <c r="AF410" i="23" s="1"/>
  <c r="AB410" i="23"/>
  <c r="AC410" i="23" s="1"/>
  <c r="Y410" i="23"/>
  <c r="Z410" i="23" s="1"/>
  <c r="AP409" i="23"/>
  <c r="AO409" i="23"/>
  <c r="AN409" i="23"/>
  <c r="AM409" i="23"/>
  <c r="AG409" i="23"/>
  <c r="AE409" i="23"/>
  <c r="AF409" i="23" s="1"/>
  <c r="AB409" i="23"/>
  <c r="AC409" i="23" s="1"/>
  <c r="Y409" i="23"/>
  <c r="Z409" i="23" s="1"/>
  <c r="AR408" i="23"/>
  <c r="AR407" i="23"/>
  <c r="AM524" i="23" s="1"/>
  <c r="AR406" i="23"/>
  <c r="AM523" i="23" s="1"/>
  <c r="AP406" i="23"/>
  <c r="AO406" i="23"/>
  <c r="AN406" i="23"/>
  <c r="L406" i="23"/>
  <c r="AR405" i="23"/>
  <c r="AP405" i="23"/>
  <c r="AO405" i="23"/>
  <c r="AN405" i="23"/>
  <c r="L405" i="23"/>
  <c r="AR404" i="23"/>
  <c r="AP404" i="23"/>
  <c r="AO404" i="23"/>
  <c r="AN404" i="23"/>
  <c r="AM404" i="23"/>
  <c r="AG404" i="23"/>
  <c r="AE404" i="23"/>
  <c r="AF404" i="23" s="1"/>
  <c r="AB404" i="23"/>
  <c r="AC404" i="23" s="1"/>
  <c r="Y404" i="23"/>
  <c r="Z404" i="23" s="1"/>
  <c r="AR403" i="23"/>
  <c r="AP403" i="23"/>
  <c r="AO403" i="23"/>
  <c r="AN403" i="23"/>
  <c r="AM403" i="23"/>
  <c r="AG403" i="23"/>
  <c r="AE403" i="23"/>
  <c r="AF403" i="23" s="1"/>
  <c r="AB403" i="23"/>
  <c r="AC403" i="23" s="1"/>
  <c r="Y403" i="23"/>
  <c r="Z403" i="23" s="1"/>
  <c r="L141" i="23"/>
  <c r="L140" i="23"/>
  <c r="AR139" i="23"/>
  <c r="AM451" i="23" s="1"/>
  <c r="AP139" i="23"/>
  <c r="AO139" i="23"/>
  <c r="AN139" i="23"/>
  <c r="AM139" i="23"/>
  <c r="AG139" i="23"/>
  <c r="AE139" i="23"/>
  <c r="AF139" i="23" s="1"/>
  <c r="AB139" i="23"/>
  <c r="AD139" i="23" s="1"/>
  <c r="Y139" i="23"/>
  <c r="AR138" i="23"/>
  <c r="AP138" i="23"/>
  <c r="AO138" i="23"/>
  <c r="AN138" i="23"/>
  <c r="AM138" i="23"/>
  <c r="AG138" i="23"/>
  <c r="AE138" i="23"/>
  <c r="AF138" i="23" s="1"/>
  <c r="AB138" i="23"/>
  <c r="AL138" i="23" s="1"/>
  <c r="Y138" i="23"/>
  <c r="L129" i="23"/>
  <c r="L128" i="23"/>
  <c r="AR127" i="23"/>
  <c r="AP127" i="23"/>
  <c r="AO127" i="23"/>
  <c r="AN127" i="23"/>
  <c r="AM127" i="23"/>
  <c r="AG127" i="23"/>
  <c r="AE127" i="23"/>
  <c r="AF127" i="23" s="1"/>
  <c r="AB127" i="23"/>
  <c r="AC127" i="23" s="1"/>
  <c r="Y127" i="23"/>
  <c r="Z127" i="23" s="1"/>
  <c r="AR126" i="23"/>
  <c r="AP126" i="23"/>
  <c r="AO126" i="23"/>
  <c r="AN126" i="23"/>
  <c r="AM126" i="23"/>
  <c r="AG126" i="23"/>
  <c r="AE126" i="23"/>
  <c r="AF126" i="23" s="1"/>
  <c r="AB126" i="23"/>
  <c r="AD126" i="23" s="1"/>
  <c r="Y126" i="23"/>
  <c r="L231" i="23"/>
  <c r="L230" i="23"/>
  <c r="AR229" i="23"/>
  <c r="AP229" i="23"/>
  <c r="AO229" i="23"/>
  <c r="AN229" i="23"/>
  <c r="AM229" i="23"/>
  <c r="AG229" i="23"/>
  <c r="AE229" i="23"/>
  <c r="AF229" i="23" s="1"/>
  <c r="AB229" i="23"/>
  <c r="Y229" i="23"/>
  <c r="AR228" i="23"/>
  <c r="AP228" i="23"/>
  <c r="AO228" i="23"/>
  <c r="AN228" i="23"/>
  <c r="AM228" i="23"/>
  <c r="AG228" i="23"/>
  <c r="AE228" i="23"/>
  <c r="AF228" i="23" s="1"/>
  <c r="AB228" i="23"/>
  <c r="Y228" i="23"/>
  <c r="L207" i="23"/>
  <c r="L206" i="23"/>
  <c r="AR205" i="23"/>
  <c r="AP205" i="23"/>
  <c r="AO205" i="23"/>
  <c r="AN205" i="23"/>
  <c r="AM205" i="23"/>
  <c r="AG205" i="23"/>
  <c r="AE205" i="23"/>
  <c r="AF205" i="23" s="1"/>
  <c r="AB205" i="23"/>
  <c r="AC205" i="23" s="1"/>
  <c r="Y205" i="23"/>
  <c r="Z205" i="23" s="1"/>
  <c r="AR204" i="23"/>
  <c r="AM204" i="23" s="1"/>
  <c r="AP204" i="23"/>
  <c r="AO204" i="23"/>
  <c r="AN204" i="23"/>
  <c r="AG204" i="23"/>
  <c r="AE204" i="23"/>
  <c r="AF204" i="23" s="1"/>
  <c r="AB204" i="23"/>
  <c r="Y204" i="23"/>
  <c r="L21" i="23"/>
  <c r="L20" i="23"/>
  <c r="AR19" i="23"/>
  <c r="AM19" i="23" s="1"/>
  <c r="AP19" i="23"/>
  <c r="AO19" i="23"/>
  <c r="AN19" i="23"/>
  <c r="AG19" i="23"/>
  <c r="AE19" i="23"/>
  <c r="AF19" i="23" s="1"/>
  <c r="AB19" i="23"/>
  <c r="AD19" i="23" s="1"/>
  <c r="Y19" i="23"/>
  <c r="AR18" i="23"/>
  <c r="AM18" i="23" s="1"/>
  <c r="AP18" i="23"/>
  <c r="AO18" i="23"/>
  <c r="AN18" i="23"/>
  <c r="AG18" i="23"/>
  <c r="AE18" i="23"/>
  <c r="AF18" i="23" s="1"/>
  <c r="AB18" i="23"/>
  <c r="AC18" i="23" s="1"/>
  <c r="Y18" i="23"/>
  <c r="Z18" i="23" s="1"/>
  <c r="L45" i="23"/>
  <c r="L44" i="23"/>
  <c r="AR43" i="23"/>
  <c r="AP43" i="23"/>
  <c r="AO43" i="23"/>
  <c r="AN43" i="23"/>
  <c r="AM43" i="23"/>
  <c r="AG43" i="23"/>
  <c r="AE43" i="23"/>
  <c r="AF43" i="23" s="1"/>
  <c r="AB43" i="23"/>
  <c r="AC43" i="23" s="1"/>
  <c r="Y43" i="23"/>
  <c r="Z43" i="23" s="1"/>
  <c r="AR42" i="23"/>
  <c r="AM42" i="23" s="1"/>
  <c r="AP42" i="23"/>
  <c r="AO42" i="23"/>
  <c r="AN42" i="23"/>
  <c r="AG42" i="23"/>
  <c r="AE42" i="23"/>
  <c r="AF42" i="23" s="1"/>
  <c r="AB42" i="23"/>
  <c r="AC42" i="23" s="1"/>
  <c r="AD42" i="23" s="1"/>
  <c r="Y42" i="23"/>
  <c r="Z42" i="23" s="1"/>
  <c r="L327" i="23"/>
  <c r="L326" i="23"/>
  <c r="AR325" i="23"/>
  <c r="AM325" i="23" s="1"/>
  <c r="AP325" i="23"/>
  <c r="AO325" i="23"/>
  <c r="AN325" i="23"/>
  <c r="AG325" i="23"/>
  <c r="AE325" i="23"/>
  <c r="AF325" i="23" s="1"/>
  <c r="AB325" i="23"/>
  <c r="AC325" i="23" s="1"/>
  <c r="Y325" i="23"/>
  <c r="Z325" i="23" s="1"/>
  <c r="AR324" i="23"/>
  <c r="AP324" i="23"/>
  <c r="AO324" i="23"/>
  <c r="AN324" i="23"/>
  <c r="AN328" i="23" s="1"/>
  <c r="AM324" i="23"/>
  <c r="AG324" i="23"/>
  <c r="AE324" i="23"/>
  <c r="AF324" i="23" s="1"/>
  <c r="AB324" i="23"/>
  <c r="Y324" i="23"/>
  <c r="L219" i="23"/>
  <c r="L218" i="23"/>
  <c r="AR217" i="23"/>
  <c r="AP217" i="23"/>
  <c r="AO217" i="23"/>
  <c r="AN217" i="23"/>
  <c r="AM217" i="23"/>
  <c r="AG217" i="23"/>
  <c r="AE217" i="23"/>
  <c r="AF217" i="23" s="1"/>
  <c r="AB217" i="23"/>
  <c r="AD217" i="23" s="1"/>
  <c r="Y217" i="23"/>
  <c r="AR216" i="23"/>
  <c r="AP216" i="23"/>
  <c r="AO216" i="23"/>
  <c r="AN216" i="23"/>
  <c r="AM216" i="23"/>
  <c r="AG216" i="23"/>
  <c r="AE216" i="23"/>
  <c r="AF216" i="23" s="1"/>
  <c r="AB216" i="23"/>
  <c r="Y216" i="23"/>
  <c r="L15" i="23"/>
  <c r="L14" i="23"/>
  <c r="AR13" i="23"/>
  <c r="AM13" i="23" s="1"/>
  <c r="AP13" i="23"/>
  <c r="AO13" i="23"/>
  <c r="AN13" i="23"/>
  <c r="AG13" i="23"/>
  <c r="AE13" i="23"/>
  <c r="AF13" i="23" s="1"/>
  <c r="AB13" i="23"/>
  <c r="AC13" i="23" s="1"/>
  <c r="Y13" i="23"/>
  <c r="Z13" i="23" s="1"/>
  <c r="AR12" i="23"/>
  <c r="AP12" i="23"/>
  <c r="AO12" i="23"/>
  <c r="AN12" i="23"/>
  <c r="AM12" i="23"/>
  <c r="AG12" i="23"/>
  <c r="AE12" i="23"/>
  <c r="AF12" i="23" s="1"/>
  <c r="AB12" i="23"/>
  <c r="AC12" i="23" s="1"/>
  <c r="Y12" i="23"/>
  <c r="Z12" i="23" s="1"/>
  <c r="L147" i="23"/>
  <c r="L146" i="23"/>
  <c r="AR145" i="23"/>
  <c r="AM145" i="23" s="1"/>
  <c r="AP145" i="23"/>
  <c r="AO145" i="23"/>
  <c r="AN145" i="23"/>
  <c r="AG145" i="23"/>
  <c r="AE145" i="23"/>
  <c r="AF145" i="23" s="1"/>
  <c r="AB145" i="23"/>
  <c r="AC145" i="23" s="1"/>
  <c r="Y145" i="23"/>
  <c r="Z145" i="23" s="1"/>
  <c r="AR144" i="23"/>
  <c r="AP144" i="23"/>
  <c r="AO144" i="23"/>
  <c r="AN144" i="23"/>
  <c r="AM144" i="23"/>
  <c r="AG144" i="23"/>
  <c r="AE144" i="23"/>
  <c r="AF144" i="23" s="1"/>
  <c r="AB144" i="23"/>
  <c r="Y144" i="23"/>
  <c r="L255" i="23"/>
  <c r="L254" i="23"/>
  <c r="AR253" i="23"/>
  <c r="AM253" i="23" s="1"/>
  <c r="AP253" i="23"/>
  <c r="AO253" i="23"/>
  <c r="AN253" i="23"/>
  <c r="AG253" i="23"/>
  <c r="AE253" i="23"/>
  <c r="AF253" i="23" s="1"/>
  <c r="AB253" i="23"/>
  <c r="AC253" i="23" s="1"/>
  <c r="Y253" i="23"/>
  <c r="Z253" i="23" s="1"/>
  <c r="AR252" i="23"/>
  <c r="AP252" i="23"/>
  <c r="AO252" i="23"/>
  <c r="AN252" i="23"/>
  <c r="AM252" i="23"/>
  <c r="AG252" i="23"/>
  <c r="AE252" i="23"/>
  <c r="AF252" i="23" s="1"/>
  <c r="AB252" i="23"/>
  <c r="AL252" i="23" s="1"/>
  <c r="Y252" i="23"/>
  <c r="L57" i="23"/>
  <c r="L56" i="23"/>
  <c r="AR55" i="23"/>
  <c r="AM55" i="23" s="1"/>
  <c r="AP55" i="23"/>
  <c r="AO55" i="23"/>
  <c r="AN55" i="23"/>
  <c r="AG55" i="23"/>
  <c r="AE55" i="23"/>
  <c r="AF55" i="23" s="1"/>
  <c r="AB55" i="23"/>
  <c r="AC55" i="23" s="1"/>
  <c r="AD55" i="23" s="1"/>
  <c r="Y55" i="23"/>
  <c r="Z55" i="23" s="1"/>
  <c r="AR54" i="23"/>
  <c r="AP54" i="23"/>
  <c r="AO54" i="23"/>
  <c r="AN54" i="23"/>
  <c r="AM54" i="23"/>
  <c r="AG54" i="23"/>
  <c r="AE54" i="23"/>
  <c r="AF54" i="23" s="1"/>
  <c r="AB54" i="23"/>
  <c r="AC54" i="23" s="1"/>
  <c r="Y54" i="23"/>
  <c r="Z54" i="23" s="1"/>
  <c r="L333" i="23"/>
  <c r="L332" i="23"/>
  <c r="AR331" i="23"/>
  <c r="AM331" i="23" s="1"/>
  <c r="AP331" i="23"/>
  <c r="AO331" i="23"/>
  <c r="AN331" i="23"/>
  <c r="AG331" i="23"/>
  <c r="AE331" i="23"/>
  <c r="AF331" i="23" s="1"/>
  <c r="AB331" i="23"/>
  <c r="AC331" i="23" s="1"/>
  <c r="Y331" i="23"/>
  <c r="Z331" i="23" s="1"/>
  <c r="AR330" i="23"/>
  <c r="AP330" i="23"/>
  <c r="AO330" i="23"/>
  <c r="AN330" i="23"/>
  <c r="AM330" i="23"/>
  <c r="AG330" i="23"/>
  <c r="AE330" i="23"/>
  <c r="AF330" i="23" s="1"/>
  <c r="AB330" i="23"/>
  <c r="Y330" i="23"/>
  <c r="L27" i="23"/>
  <c r="L26" i="23"/>
  <c r="AR25" i="23"/>
  <c r="AM25" i="23" s="1"/>
  <c r="AP25" i="23"/>
  <c r="AO25" i="23"/>
  <c r="AN25" i="23"/>
  <c r="AG25" i="23"/>
  <c r="AE25" i="23"/>
  <c r="AF25" i="23" s="1"/>
  <c r="AB25" i="23"/>
  <c r="AC25" i="23" s="1"/>
  <c r="AD25" i="23" s="1"/>
  <c r="Y25" i="23"/>
  <c r="Z25" i="23" s="1"/>
  <c r="AR24" i="23"/>
  <c r="AP24" i="23"/>
  <c r="AO24" i="23"/>
  <c r="AN24" i="23"/>
  <c r="AM24" i="23"/>
  <c r="AG24" i="23"/>
  <c r="AE24" i="23"/>
  <c r="AF24" i="23" s="1"/>
  <c r="AB24" i="23"/>
  <c r="Y24" i="23"/>
  <c r="AA24" i="23" s="1"/>
  <c r="L69" i="23"/>
  <c r="L68" i="23"/>
  <c r="AR67" i="23"/>
  <c r="AM67" i="23" s="1"/>
  <c r="AP67" i="23"/>
  <c r="AO67" i="23"/>
  <c r="AN67" i="23"/>
  <c r="AG67" i="23"/>
  <c r="AE67" i="23"/>
  <c r="AF67" i="23" s="1"/>
  <c r="AB67" i="23"/>
  <c r="Y67" i="23"/>
  <c r="AR66" i="23"/>
  <c r="AP66" i="23"/>
  <c r="AO66" i="23"/>
  <c r="AN66" i="23"/>
  <c r="AM66" i="23"/>
  <c r="AG66" i="23"/>
  <c r="AE66" i="23"/>
  <c r="AF66" i="23" s="1"/>
  <c r="AB66" i="23"/>
  <c r="AC66" i="23" s="1"/>
  <c r="Y66" i="23"/>
  <c r="Z66" i="23" s="1"/>
  <c r="L243" i="23"/>
  <c r="L242" i="23"/>
  <c r="AR241" i="23"/>
  <c r="AM241" i="23" s="1"/>
  <c r="AP241" i="23"/>
  <c r="AO241" i="23"/>
  <c r="AN241" i="23"/>
  <c r="AG241" i="23"/>
  <c r="AE241" i="23"/>
  <c r="AF241" i="23" s="1"/>
  <c r="AB241" i="23"/>
  <c r="AD241" i="23" s="1"/>
  <c r="Y241" i="23"/>
  <c r="AK241" i="23" s="1"/>
  <c r="AR240" i="23"/>
  <c r="AP240" i="23"/>
  <c r="AO240" i="23"/>
  <c r="AN240" i="23"/>
  <c r="AM240" i="23"/>
  <c r="AG240" i="23"/>
  <c r="AE240" i="23"/>
  <c r="AF240" i="23" s="1"/>
  <c r="AB240" i="23"/>
  <c r="AL240" i="23" s="1"/>
  <c r="Y240" i="23"/>
  <c r="L111" i="23"/>
  <c r="L110" i="23"/>
  <c r="AR109" i="23"/>
  <c r="AM109" i="23" s="1"/>
  <c r="AP109" i="23"/>
  <c r="AO109" i="23"/>
  <c r="AN109" i="23"/>
  <c r="AG109" i="23"/>
  <c r="AE109" i="23"/>
  <c r="AF109" i="23" s="1"/>
  <c r="AB109" i="23"/>
  <c r="Y109" i="23"/>
  <c r="AR108" i="23"/>
  <c r="AP108" i="23"/>
  <c r="AO108" i="23"/>
  <c r="AN108" i="23"/>
  <c r="AM108" i="23"/>
  <c r="AG108" i="23"/>
  <c r="AE108" i="23"/>
  <c r="AF108" i="23" s="1"/>
  <c r="AB108" i="23"/>
  <c r="AC108" i="23" s="1"/>
  <c r="Y108" i="23"/>
  <c r="Z108" i="23" s="1"/>
  <c r="AA108" i="23" s="1"/>
  <c r="L105" i="23"/>
  <c r="L104" i="23"/>
  <c r="AR103" i="23"/>
  <c r="AP103" i="23"/>
  <c r="AO103" i="23"/>
  <c r="AN103" i="23"/>
  <c r="AM103" i="23"/>
  <c r="AG103" i="23"/>
  <c r="AE103" i="23"/>
  <c r="AF103" i="23" s="1"/>
  <c r="AB103" i="23"/>
  <c r="AC103" i="23" s="1"/>
  <c r="Y103" i="23"/>
  <c r="Z103" i="23" s="1"/>
  <c r="AR102" i="23"/>
  <c r="AM102" i="23" s="1"/>
  <c r="AP102" i="23"/>
  <c r="AO102" i="23"/>
  <c r="AN102" i="23"/>
  <c r="AG102" i="23"/>
  <c r="AE102" i="23"/>
  <c r="AF102" i="23" s="1"/>
  <c r="AB102" i="23"/>
  <c r="AC102" i="23" s="1"/>
  <c r="Y102" i="23"/>
  <c r="Z102" i="23" s="1"/>
  <c r="L267" i="23"/>
  <c r="L266" i="23"/>
  <c r="AR265" i="23"/>
  <c r="AP265" i="23"/>
  <c r="AO265" i="23"/>
  <c r="AN265" i="23"/>
  <c r="AM265" i="23"/>
  <c r="AG265" i="23"/>
  <c r="AE265" i="23"/>
  <c r="AF265" i="23" s="1"/>
  <c r="AB265" i="23"/>
  <c r="Y265" i="23"/>
  <c r="AR264" i="23"/>
  <c r="AM264" i="23" s="1"/>
  <c r="AP264" i="23"/>
  <c r="AO264" i="23"/>
  <c r="AN264" i="23"/>
  <c r="AG264" i="23"/>
  <c r="AE264" i="23"/>
  <c r="AF264" i="23" s="1"/>
  <c r="AB264" i="23"/>
  <c r="Y264" i="23"/>
  <c r="AK264" i="23" s="1"/>
  <c r="L75" i="23"/>
  <c r="L74" i="23"/>
  <c r="AR73" i="23"/>
  <c r="AP73" i="23"/>
  <c r="AO73" i="23"/>
  <c r="AN73" i="23"/>
  <c r="AM73" i="23"/>
  <c r="AG73" i="23"/>
  <c r="AE73" i="23"/>
  <c r="AF73" i="23" s="1"/>
  <c r="AB73" i="23"/>
  <c r="AC73" i="23" s="1"/>
  <c r="Y73" i="23"/>
  <c r="Z73" i="23" s="1"/>
  <c r="AR72" i="23"/>
  <c r="AM72" i="23" s="1"/>
  <c r="AP72" i="23"/>
  <c r="AO72" i="23"/>
  <c r="AN72" i="23"/>
  <c r="AG72" i="23"/>
  <c r="AE72" i="23"/>
  <c r="AF72" i="23" s="1"/>
  <c r="AB72" i="23"/>
  <c r="Y72" i="23"/>
  <c r="L99" i="23"/>
  <c r="L98" i="23"/>
  <c r="AR97" i="23"/>
  <c r="AP97" i="23"/>
  <c r="AO97" i="23"/>
  <c r="AN97" i="23"/>
  <c r="AM97" i="23"/>
  <c r="AG97" i="23"/>
  <c r="AE97" i="23"/>
  <c r="AF97" i="23" s="1"/>
  <c r="AB97" i="23"/>
  <c r="AD97" i="23" s="1"/>
  <c r="Y97" i="23"/>
  <c r="AR96" i="23"/>
  <c r="AM96" i="23" s="1"/>
  <c r="AP96" i="23"/>
  <c r="AO96" i="23"/>
  <c r="AN96" i="23"/>
  <c r="AG96" i="23"/>
  <c r="AE96" i="23"/>
  <c r="AF96" i="23" s="1"/>
  <c r="AB96" i="23"/>
  <c r="Y96" i="23"/>
  <c r="L354" i="23"/>
  <c r="L353" i="23"/>
  <c r="L352" i="23"/>
  <c r="AR351" i="23"/>
  <c r="AM351" i="23" s="1"/>
  <c r="AP351" i="23"/>
  <c r="AO351" i="23"/>
  <c r="AN351" i="23"/>
  <c r="AG351" i="23"/>
  <c r="AE351" i="23"/>
  <c r="AF351" i="23" s="1"/>
  <c r="AB351" i="23"/>
  <c r="AC351" i="23" s="1"/>
  <c r="AL351" i="23" s="1"/>
  <c r="Y351" i="23"/>
  <c r="Z351" i="23" s="1"/>
  <c r="AA351" i="23" s="1"/>
  <c r="AR350" i="23"/>
  <c r="AP350" i="23"/>
  <c r="AO350" i="23"/>
  <c r="AN350" i="23"/>
  <c r="AM350" i="23"/>
  <c r="AG350" i="23"/>
  <c r="AE350" i="23"/>
  <c r="AF350" i="23" s="1"/>
  <c r="AB350" i="23"/>
  <c r="AC350" i="23" s="1"/>
  <c r="AL350" i="23" s="1"/>
  <c r="Y350" i="23"/>
  <c r="Z350" i="23" s="1"/>
  <c r="AR349" i="23"/>
  <c r="AP349" i="23"/>
  <c r="AO349" i="23"/>
  <c r="AN349" i="23"/>
  <c r="AM349" i="23"/>
  <c r="AG349" i="23"/>
  <c r="AE349" i="23"/>
  <c r="AF349" i="23" s="1"/>
  <c r="AB349" i="23"/>
  <c r="AC349" i="23" s="1"/>
  <c r="Y349" i="23"/>
  <c r="Z349" i="23" s="1"/>
  <c r="L291" i="23"/>
  <c r="L290" i="23"/>
  <c r="AR289" i="23"/>
  <c r="AP289" i="23"/>
  <c r="AO289" i="23"/>
  <c r="AN289" i="23"/>
  <c r="AM289" i="23"/>
  <c r="AG289" i="23"/>
  <c r="AE289" i="23"/>
  <c r="AF289" i="23" s="1"/>
  <c r="AB289" i="23"/>
  <c r="AD289" i="23" s="1"/>
  <c r="Y289" i="23"/>
  <c r="AR288" i="23"/>
  <c r="AP288" i="23"/>
  <c r="AO288" i="23"/>
  <c r="AN288" i="23"/>
  <c r="AM288" i="23"/>
  <c r="AG288" i="23"/>
  <c r="AE288" i="23"/>
  <c r="AF288" i="23" s="1"/>
  <c r="AB288" i="23"/>
  <c r="AC288" i="23" s="1"/>
  <c r="Y288" i="23"/>
  <c r="Z288" i="23" s="1"/>
  <c r="L189" i="23"/>
  <c r="L188" i="23"/>
  <c r="AR187" i="23"/>
  <c r="AP187" i="23"/>
  <c r="AO187" i="23"/>
  <c r="AN187" i="23"/>
  <c r="AM187" i="23"/>
  <c r="AG187" i="23"/>
  <c r="AE187" i="23"/>
  <c r="AF187" i="23" s="1"/>
  <c r="AB187" i="23"/>
  <c r="Y187" i="23"/>
  <c r="AR186" i="23"/>
  <c r="AP186" i="23"/>
  <c r="AO186" i="23"/>
  <c r="AN186" i="23"/>
  <c r="AM186" i="23"/>
  <c r="AG186" i="23"/>
  <c r="AE186" i="23"/>
  <c r="AF186" i="23" s="1"/>
  <c r="AB186" i="23"/>
  <c r="AD186" i="23" s="1"/>
  <c r="Y186" i="23"/>
  <c r="L9" i="23"/>
  <c r="L8" i="23"/>
  <c r="AR7" i="23"/>
  <c r="AM7" i="23" s="1"/>
  <c r="AP7" i="23"/>
  <c r="AO7" i="23"/>
  <c r="AN7" i="23"/>
  <c r="AG7" i="23"/>
  <c r="AE7" i="23"/>
  <c r="AF7" i="23" s="1"/>
  <c r="AB7" i="23"/>
  <c r="AD7" i="23" s="1"/>
  <c r="Y7" i="23"/>
  <c r="AR6" i="23"/>
  <c r="AP6" i="23"/>
  <c r="AO6" i="23"/>
  <c r="AN6" i="23"/>
  <c r="AN10" i="23" s="1"/>
  <c r="AM6" i="23"/>
  <c r="AG6" i="23"/>
  <c r="AE6" i="23"/>
  <c r="AF6" i="23" s="1"/>
  <c r="AB6" i="23"/>
  <c r="AC8" i="23" s="1"/>
  <c r="Y6" i="23"/>
  <c r="L279" i="23"/>
  <c r="L278" i="23"/>
  <c r="AR277" i="23"/>
  <c r="AP277" i="23"/>
  <c r="AO277" i="23"/>
  <c r="AN277" i="23"/>
  <c r="AM277" i="23"/>
  <c r="AG277" i="23"/>
  <c r="AE277" i="23"/>
  <c r="AF277" i="23" s="1"/>
  <c r="AB277" i="23"/>
  <c r="Y277" i="23"/>
  <c r="AA277" i="23" s="1"/>
  <c r="AR276" i="23"/>
  <c r="AP276" i="23"/>
  <c r="AO276" i="23"/>
  <c r="AN276" i="23"/>
  <c r="AM276" i="23"/>
  <c r="AG276" i="23"/>
  <c r="AE276" i="23"/>
  <c r="AF276" i="23" s="1"/>
  <c r="AB276" i="23"/>
  <c r="AC276" i="23" s="1"/>
  <c r="Y276" i="23"/>
  <c r="Z276" i="23" s="1"/>
  <c r="L153" i="23"/>
  <c r="L152" i="23"/>
  <c r="AR151" i="23"/>
  <c r="AP151" i="23"/>
  <c r="AO151" i="23"/>
  <c r="AN151" i="23"/>
  <c r="AM151" i="23"/>
  <c r="AG151" i="23"/>
  <c r="AE151" i="23"/>
  <c r="AF151" i="23" s="1"/>
  <c r="AB151" i="23"/>
  <c r="Y151" i="23"/>
  <c r="AR150" i="23"/>
  <c r="AP150" i="23"/>
  <c r="AO150" i="23"/>
  <c r="AN150" i="23"/>
  <c r="AM150" i="23"/>
  <c r="AG150" i="23"/>
  <c r="AE150" i="23"/>
  <c r="AF150" i="23" s="1"/>
  <c r="AB150" i="23"/>
  <c r="Y150" i="23"/>
  <c r="L81" i="23"/>
  <c r="L80" i="23"/>
  <c r="AR79" i="23"/>
  <c r="AP79" i="23"/>
  <c r="AO79" i="23"/>
  <c r="AN79" i="23"/>
  <c r="AM79" i="23"/>
  <c r="AG79" i="23"/>
  <c r="AE79" i="23"/>
  <c r="AF79" i="23" s="1"/>
  <c r="AB79" i="23"/>
  <c r="AD79" i="23" s="1"/>
  <c r="Y79" i="23"/>
  <c r="AR78" i="23"/>
  <c r="AM78" i="23" s="1"/>
  <c r="AP78" i="23"/>
  <c r="AO78" i="23"/>
  <c r="AN78" i="23"/>
  <c r="AG78" i="23"/>
  <c r="AE78" i="23"/>
  <c r="AF78" i="23" s="1"/>
  <c r="AB78" i="23"/>
  <c r="AL78" i="23" s="1"/>
  <c r="Y78" i="23"/>
  <c r="L39" i="23"/>
  <c r="L38" i="23"/>
  <c r="AR37" i="23"/>
  <c r="AP37" i="23"/>
  <c r="AO37" i="23"/>
  <c r="AN37" i="23"/>
  <c r="AM37" i="23"/>
  <c r="AG37" i="23"/>
  <c r="AE37" i="23"/>
  <c r="AF37" i="23" s="1"/>
  <c r="AB37" i="23"/>
  <c r="Y37" i="23"/>
  <c r="AR36" i="23"/>
  <c r="AP36" i="23"/>
  <c r="AO36" i="23"/>
  <c r="AN36" i="23"/>
  <c r="AM36" i="23"/>
  <c r="AG36" i="23"/>
  <c r="AE36" i="23"/>
  <c r="AF36" i="23" s="1"/>
  <c r="AB36" i="23"/>
  <c r="Y36" i="23"/>
  <c r="L51" i="23"/>
  <c r="L50" i="23"/>
  <c r="AR49" i="23"/>
  <c r="AP49" i="23"/>
  <c r="AO49" i="23"/>
  <c r="AN49" i="23"/>
  <c r="AM49" i="23"/>
  <c r="AG49" i="23"/>
  <c r="AE49" i="23"/>
  <c r="AF49" i="23" s="1"/>
  <c r="AB49" i="23"/>
  <c r="Y49" i="23"/>
  <c r="AR48" i="23"/>
  <c r="AP48" i="23"/>
  <c r="AO48" i="23"/>
  <c r="AN48" i="23"/>
  <c r="AM48" i="23"/>
  <c r="AG48" i="23"/>
  <c r="AE48" i="23"/>
  <c r="AF48" i="23" s="1"/>
  <c r="AB48" i="23"/>
  <c r="AC48" i="23" s="1"/>
  <c r="Y48" i="23"/>
  <c r="Z48" i="23" s="1"/>
  <c r="L315" i="23"/>
  <c r="L314" i="23"/>
  <c r="AR313" i="23"/>
  <c r="AP313" i="23"/>
  <c r="AO313" i="23"/>
  <c r="AN313" i="23"/>
  <c r="AM313" i="23"/>
  <c r="AG313" i="23"/>
  <c r="AE313" i="23"/>
  <c r="AF313" i="23" s="1"/>
  <c r="AB313" i="23"/>
  <c r="AC313" i="23" s="1"/>
  <c r="Y313" i="23"/>
  <c r="Z313" i="23" s="1"/>
  <c r="AK313" i="23" s="1"/>
  <c r="AR312" i="23"/>
  <c r="AM312" i="23" s="1"/>
  <c r="AP312" i="23"/>
  <c r="AO312" i="23"/>
  <c r="AN312" i="23"/>
  <c r="AG312" i="23"/>
  <c r="AE312" i="23"/>
  <c r="AF312" i="23" s="1"/>
  <c r="AB312" i="23"/>
  <c r="Y312" i="23"/>
  <c r="L273" i="23"/>
  <c r="L272" i="23"/>
  <c r="AR271" i="23"/>
  <c r="AM271" i="23" s="1"/>
  <c r="AP271" i="23"/>
  <c r="AO271" i="23"/>
  <c r="AN271" i="23"/>
  <c r="AG271" i="23"/>
  <c r="AE271" i="23"/>
  <c r="AF271" i="23" s="1"/>
  <c r="AB271" i="23"/>
  <c r="AC271" i="23" s="1"/>
  <c r="Y271" i="23"/>
  <c r="Z271" i="23" s="1"/>
  <c r="AA271" i="23" s="1"/>
  <c r="AR270" i="23"/>
  <c r="AM270" i="23" s="1"/>
  <c r="AM274" i="23" s="1"/>
  <c r="AP270" i="23"/>
  <c r="AP274" i="23" s="1"/>
  <c r="AO270" i="23"/>
  <c r="AO274" i="23" s="1"/>
  <c r="AN270" i="23"/>
  <c r="AN274" i="23" s="1"/>
  <c r="AG270" i="23"/>
  <c r="AE270" i="23"/>
  <c r="AF270" i="23" s="1"/>
  <c r="AB270" i="23"/>
  <c r="AD270" i="23" s="1"/>
  <c r="Y270" i="23"/>
  <c r="AA270" i="23" s="1"/>
  <c r="L303" i="23"/>
  <c r="L302" i="23"/>
  <c r="AR301" i="23"/>
  <c r="AP301" i="23"/>
  <c r="AO301" i="23"/>
  <c r="AN301" i="23"/>
  <c r="AM301" i="23"/>
  <c r="AG301" i="23"/>
  <c r="AE301" i="23"/>
  <c r="AF301" i="23" s="1"/>
  <c r="AB301" i="23"/>
  <c r="Y301" i="23"/>
  <c r="AR300" i="23"/>
  <c r="AM300" i="23" s="1"/>
  <c r="AP300" i="23"/>
  <c r="AO300" i="23"/>
  <c r="AN300" i="23"/>
  <c r="AG300" i="23"/>
  <c r="AE300" i="23"/>
  <c r="AF300" i="23" s="1"/>
  <c r="AB300" i="23"/>
  <c r="AC300" i="23" s="1"/>
  <c r="Y300" i="23"/>
  <c r="Z300" i="23" s="1"/>
  <c r="AK300" i="23" s="1"/>
  <c r="L321" i="23"/>
  <c r="L320" i="23"/>
  <c r="AR319" i="23"/>
  <c r="AP319" i="23"/>
  <c r="AO319" i="23"/>
  <c r="AN319" i="23"/>
  <c r="AM319" i="23"/>
  <c r="AG319" i="23"/>
  <c r="AE319" i="23"/>
  <c r="AF319" i="23" s="1"/>
  <c r="AB319" i="23"/>
  <c r="AC319" i="23" s="1"/>
  <c r="AL319" i="23" s="1"/>
  <c r="Y319" i="23"/>
  <c r="Z319" i="23" s="1"/>
  <c r="AR318" i="23"/>
  <c r="AP318" i="23"/>
  <c r="AO318" i="23"/>
  <c r="AO322" i="23" s="1"/>
  <c r="AN318" i="23"/>
  <c r="AM318" i="23"/>
  <c r="AM322" i="23" s="1"/>
  <c r="AG318" i="23"/>
  <c r="AE318" i="23"/>
  <c r="AF318" i="23" s="1"/>
  <c r="AB318" i="23"/>
  <c r="AC318" i="23" s="1"/>
  <c r="AL318" i="23" s="1"/>
  <c r="Y318" i="23"/>
  <c r="Z318" i="23" s="1"/>
  <c r="L261" i="23"/>
  <c r="L260" i="23"/>
  <c r="AR259" i="23"/>
  <c r="AP259" i="23"/>
  <c r="AO259" i="23"/>
  <c r="AN259" i="23"/>
  <c r="AM259" i="23"/>
  <c r="AG259" i="23"/>
  <c r="AE259" i="23"/>
  <c r="AF259" i="23" s="1"/>
  <c r="AB259" i="23"/>
  <c r="AC259" i="23" s="1"/>
  <c r="Y259" i="23"/>
  <c r="Z259" i="23" s="1"/>
  <c r="AR258" i="23"/>
  <c r="AM258" i="23" s="1"/>
  <c r="AP258" i="23"/>
  <c r="AO258" i="23"/>
  <c r="AN258" i="23"/>
  <c r="AG258" i="23"/>
  <c r="AE258" i="23"/>
  <c r="AF258" i="23" s="1"/>
  <c r="AB258" i="23"/>
  <c r="Y258" i="23"/>
  <c r="L165" i="23"/>
  <c r="L164" i="23"/>
  <c r="AR163" i="23"/>
  <c r="AP163" i="23"/>
  <c r="AO163" i="23"/>
  <c r="AN163" i="23"/>
  <c r="AM163" i="23"/>
  <c r="AG163" i="23"/>
  <c r="AE163" i="23"/>
  <c r="AF163" i="23" s="1"/>
  <c r="AB163" i="23"/>
  <c r="AC163" i="23" s="1"/>
  <c r="Y163" i="23"/>
  <c r="Z163" i="23" s="1"/>
  <c r="AR162" i="23"/>
  <c r="AM162" i="23" s="1"/>
  <c r="AP162" i="23"/>
  <c r="AO162" i="23"/>
  <c r="AN162" i="23"/>
  <c r="AG162" i="23"/>
  <c r="AE162" i="23"/>
  <c r="AF162" i="23" s="1"/>
  <c r="AB162" i="23"/>
  <c r="AC162" i="23" s="1"/>
  <c r="Y162" i="23"/>
  <c r="Z162" i="23" s="1"/>
  <c r="L33" i="23"/>
  <c r="L32" i="23"/>
  <c r="AR31" i="23"/>
  <c r="AM31" i="23" s="1"/>
  <c r="AP31" i="23"/>
  <c r="AO31" i="23"/>
  <c r="AN31" i="23"/>
  <c r="AG31" i="23"/>
  <c r="AE31" i="23"/>
  <c r="AF31" i="23" s="1"/>
  <c r="AB31" i="23"/>
  <c r="AC31" i="23" s="1"/>
  <c r="Y31" i="23"/>
  <c r="Z31" i="23" s="1"/>
  <c r="AP30" i="23"/>
  <c r="AO30" i="23"/>
  <c r="AN30" i="23"/>
  <c r="AM30" i="23"/>
  <c r="AG30" i="23"/>
  <c r="AE30" i="23"/>
  <c r="AF30" i="23" s="1"/>
  <c r="AB30" i="23"/>
  <c r="Y30" i="23"/>
  <c r="L285" i="23"/>
  <c r="L284" i="23"/>
  <c r="AR283" i="23"/>
  <c r="AM283" i="23" s="1"/>
  <c r="AP283" i="23"/>
  <c r="AO283" i="23"/>
  <c r="AN283" i="23"/>
  <c r="AG283" i="23"/>
  <c r="AE283" i="23"/>
  <c r="AF283" i="23" s="1"/>
  <c r="AB283" i="23"/>
  <c r="Y283" i="23"/>
  <c r="AR282" i="23"/>
  <c r="AM282" i="23" s="1"/>
  <c r="AP282" i="23"/>
  <c r="AO282" i="23"/>
  <c r="AN282" i="23"/>
  <c r="AG282" i="23"/>
  <c r="AE282" i="23"/>
  <c r="AF282" i="23" s="1"/>
  <c r="AB282" i="23"/>
  <c r="AC282" i="23" s="1"/>
  <c r="Y282" i="23"/>
  <c r="Z282" i="23" s="1"/>
  <c r="L195" i="23"/>
  <c r="L194" i="23"/>
  <c r="AR193" i="23"/>
  <c r="AP193" i="23"/>
  <c r="AO193" i="23"/>
  <c r="AN193" i="23"/>
  <c r="AM193" i="23"/>
  <c r="AG193" i="23"/>
  <c r="AE193" i="23"/>
  <c r="AF193" i="23" s="1"/>
  <c r="AB193" i="23"/>
  <c r="Y193" i="23"/>
  <c r="AR192" i="23"/>
  <c r="AM192" i="23" s="1"/>
  <c r="AP192" i="23"/>
  <c r="AO192" i="23"/>
  <c r="AN192" i="23"/>
  <c r="AG192" i="23"/>
  <c r="AE192" i="23"/>
  <c r="AF192" i="23" s="1"/>
  <c r="AB192" i="23"/>
  <c r="Y192" i="23"/>
  <c r="L93" i="23"/>
  <c r="L92" i="23"/>
  <c r="AR91" i="23"/>
  <c r="AM91" i="23" s="1"/>
  <c r="AP91" i="23"/>
  <c r="AO91" i="23"/>
  <c r="AN91" i="23"/>
  <c r="AG91" i="23"/>
  <c r="AE91" i="23"/>
  <c r="AF91" i="23" s="1"/>
  <c r="AB91" i="23"/>
  <c r="Y91" i="23"/>
  <c r="AR90" i="23"/>
  <c r="AM90" i="23" s="1"/>
  <c r="AP90" i="23"/>
  <c r="AO90" i="23"/>
  <c r="AN90" i="23"/>
  <c r="AG90" i="23"/>
  <c r="AE90" i="23"/>
  <c r="AF90" i="23" s="1"/>
  <c r="AB90" i="23"/>
  <c r="AC90" i="23" s="1"/>
  <c r="AD90" i="23" s="1"/>
  <c r="Y90" i="23"/>
  <c r="Z90" i="23" s="1"/>
  <c r="L135" i="23"/>
  <c r="L134" i="23"/>
  <c r="AR133" i="23"/>
  <c r="AM133" i="23" s="1"/>
  <c r="AP133" i="23"/>
  <c r="AO133" i="23"/>
  <c r="AN133" i="23"/>
  <c r="AG133" i="23"/>
  <c r="AE133" i="23"/>
  <c r="AF133" i="23" s="1"/>
  <c r="AB133" i="23"/>
  <c r="AC133" i="23" s="1"/>
  <c r="Y133" i="23"/>
  <c r="Z133" i="23" s="1"/>
  <c r="AR132" i="23"/>
  <c r="AM132" i="23" s="1"/>
  <c r="AP132" i="23"/>
  <c r="AP136" i="23" s="1"/>
  <c r="AO132" i="23"/>
  <c r="AN132" i="23"/>
  <c r="AG132" i="23"/>
  <c r="AE132" i="23"/>
  <c r="AF132" i="23" s="1"/>
  <c r="AB132" i="23"/>
  <c r="AC132" i="23" s="1"/>
  <c r="L345" i="23"/>
  <c r="L344" i="23"/>
  <c r="AR343" i="23"/>
  <c r="AM343" i="23" s="1"/>
  <c r="AP343" i="23"/>
  <c r="AO343" i="23"/>
  <c r="AN343" i="23"/>
  <c r="AG343" i="23"/>
  <c r="AE343" i="23"/>
  <c r="AF343" i="23" s="1"/>
  <c r="AB343" i="23"/>
  <c r="Y343" i="23"/>
  <c r="AR342" i="23"/>
  <c r="AM342" i="23" s="1"/>
  <c r="AP342" i="23"/>
  <c r="AO342" i="23"/>
  <c r="AN342" i="23"/>
  <c r="AG342" i="23"/>
  <c r="AE342" i="23"/>
  <c r="AF342" i="23" s="1"/>
  <c r="AB342" i="23"/>
  <c r="Y342" i="23"/>
  <c r="AA342" i="23" s="1"/>
  <c r="L117" i="23"/>
  <c r="L116" i="23"/>
  <c r="AR115" i="23"/>
  <c r="AM115" i="23" s="1"/>
  <c r="AP115" i="23"/>
  <c r="AO115" i="23"/>
  <c r="AN115" i="23"/>
  <c r="AG115" i="23"/>
  <c r="AE115" i="23"/>
  <c r="AF115" i="23" s="1"/>
  <c r="AB115" i="23"/>
  <c r="Y115" i="23"/>
  <c r="AR114" i="23"/>
  <c r="AM114" i="23" s="1"/>
  <c r="AP114" i="23"/>
  <c r="AO114" i="23"/>
  <c r="AO118" i="23" s="1"/>
  <c r="AN114" i="23"/>
  <c r="AG114" i="23"/>
  <c r="AE114" i="23"/>
  <c r="AF114" i="23" s="1"/>
  <c r="AB114" i="23"/>
  <c r="AD114" i="23" s="1"/>
  <c r="Y114" i="23"/>
  <c r="L171" i="23"/>
  <c r="L170" i="23"/>
  <c r="AR169" i="23"/>
  <c r="AM169" i="23" s="1"/>
  <c r="AP169" i="23"/>
  <c r="AO169" i="23"/>
  <c r="AN169" i="23"/>
  <c r="AG169" i="23"/>
  <c r="AE169" i="23"/>
  <c r="AF169" i="23" s="1"/>
  <c r="AB169" i="23"/>
  <c r="AD169" i="23" s="1"/>
  <c r="Y169" i="23"/>
  <c r="AR168" i="23"/>
  <c r="AP168" i="23"/>
  <c r="AO168" i="23"/>
  <c r="AN168" i="23"/>
  <c r="AN172" i="23" s="1"/>
  <c r="AM168" i="23"/>
  <c r="AG168" i="23"/>
  <c r="AE168" i="23"/>
  <c r="AF168" i="23" s="1"/>
  <c r="AB168" i="23"/>
  <c r="AC168" i="23" s="1"/>
  <c r="Y168" i="23"/>
  <c r="Z168" i="23" s="1"/>
  <c r="L63" i="23"/>
  <c r="L62" i="23"/>
  <c r="AR61" i="23"/>
  <c r="AM61" i="23" s="1"/>
  <c r="AP61" i="23"/>
  <c r="AO61" i="23"/>
  <c r="AN61" i="23"/>
  <c r="AG61" i="23"/>
  <c r="AE61" i="23"/>
  <c r="AF61" i="23" s="1"/>
  <c r="AB61" i="23"/>
  <c r="AC61" i="23" s="1"/>
  <c r="Y61" i="23"/>
  <c r="Z61" i="23" s="1"/>
  <c r="AR60" i="23"/>
  <c r="AM60" i="23" s="1"/>
  <c r="AM64" i="23" s="1"/>
  <c r="AP60" i="23"/>
  <c r="AP64" i="23" s="1"/>
  <c r="AO60" i="23"/>
  <c r="AO64" i="23" s="1"/>
  <c r="AN60" i="23"/>
  <c r="AN64" i="23" s="1"/>
  <c r="AG60" i="23"/>
  <c r="AE60" i="23"/>
  <c r="AF60" i="23" s="1"/>
  <c r="AB60" i="23"/>
  <c r="Y60" i="23"/>
  <c r="L183" i="23"/>
  <c r="L182" i="23"/>
  <c r="AR181" i="23"/>
  <c r="AM181" i="23" s="1"/>
  <c r="AP181" i="23"/>
  <c r="AO181" i="23"/>
  <c r="AN181" i="23"/>
  <c r="AG181" i="23"/>
  <c r="AE181" i="23"/>
  <c r="AF181" i="23" s="1"/>
  <c r="AB181" i="23"/>
  <c r="AD181" i="23" s="1"/>
  <c r="Y181" i="23"/>
  <c r="AR180" i="23"/>
  <c r="AM180" i="23" s="1"/>
  <c r="AP180" i="23"/>
  <c r="AO180" i="23"/>
  <c r="AO184" i="23" s="1"/>
  <c r="AN180" i="23"/>
  <c r="AG180" i="23"/>
  <c r="AE180" i="23"/>
  <c r="AF180" i="23" s="1"/>
  <c r="AB180" i="23"/>
  <c r="Y180" i="23"/>
  <c r="L309" i="23"/>
  <c r="L308" i="23"/>
  <c r="AR307" i="23"/>
  <c r="AM307" i="23" s="1"/>
  <c r="AP307" i="23"/>
  <c r="AO307" i="23"/>
  <c r="AN307" i="23"/>
  <c r="AG307" i="23"/>
  <c r="AE307" i="23"/>
  <c r="AF307" i="23" s="1"/>
  <c r="AB307" i="23"/>
  <c r="AC307" i="23" s="1"/>
  <c r="Y307" i="23"/>
  <c r="Z307" i="23" s="1"/>
  <c r="AR306" i="23"/>
  <c r="AM306" i="23" s="1"/>
  <c r="AP306" i="23"/>
  <c r="AO306" i="23"/>
  <c r="AN306" i="23"/>
  <c r="AG306" i="23"/>
  <c r="AE306" i="23"/>
  <c r="AF306" i="23" s="1"/>
  <c r="AB306" i="23"/>
  <c r="AL306" i="23" s="1"/>
  <c r="Y306" i="23"/>
  <c r="L177" i="23"/>
  <c r="L176" i="23"/>
  <c r="AR175" i="23"/>
  <c r="AP175" i="23"/>
  <c r="AO175" i="23"/>
  <c r="AN175" i="23"/>
  <c r="AM175" i="23"/>
  <c r="AG175" i="23"/>
  <c r="AE175" i="23"/>
  <c r="AF175" i="23" s="1"/>
  <c r="AB175" i="23"/>
  <c r="AC175" i="23" s="1"/>
  <c r="AD175" i="23" s="1"/>
  <c r="Y175" i="23"/>
  <c r="Z175" i="23" s="1"/>
  <c r="AR174" i="23"/>
  <c r="AM174" i="23" s="1"/>
  <c r="AP174" i="23"/>
  <c r="AO174" i="23"/>
  <c r="AN174" i="23"/>
  <c r="AG174" i="23"/>
  <c r="AE174" i="23"/>
  <c r="AF174" i="23" s="1"/>
  <c r="AB174" i="23"/>
  <c r="AC176" i="23" s="1"/>
  <c r="Y174" i="23"/>
  <c r="L297" i="23"/>
  <c r="L296" i="23"/>
  <c r="AR295" i="23"/>
  <c r="AM295" i="23" s="1"/>
  <c r="AP295" i="23"/>
  <c r="AO295" i="23"/>
  <c r="AN295" i="23"/>
  <c r="AG295" i="23"/>
  <c r="AE295" i="23"/>
  <c r="AF295" i="23" s="1"/>
  <c r="AB295" i="23"/>
  <c r="Y295" i="23"/>
  <c r="AR294" i="23"/>
  <c r="AM294" i="23" s="1"/>
  <c r="AM298" i="23" s="1"/>
  <c r="AP294" i="23"/>
  <c r="AO294" i="23"/>
  <c r="AN294" i="23"/>
  <c r="AN298" i="23" s="1"/>
  <c r="AG294" i="23"/>
  <c r="AE294" i="23"/>
  <c r="AF294" i="23" s="1"/>
  <c r="AB294" i="23"/>
  <c r="AC294" i="23" s="1"/>
  <c r="Y294" i="23"/>
  <c r="Z294" i="23" s="1"/>
  <c r="L159" i="23"/>
  <c r="L158" i="23"/>
  <c r="AR157" i="23"/>
  <c r="AM157" i="23" s="1"/>
  <c r="AP157" i="23"/>
  <c r="AO157" i="23"/>
  <c r="AN157" i="23"/>
  <c r="AG157" i="23"/>
  <c r="AE157" i="23"/>
  <c r="AF157" i="23" s="1"/>
  <c r="AB157" i="23"/>
  <c r="AD157" i="23" s="1"/>
  <c r="Y157" i="23"/>
  <c r="AR156" i="23"/>
  <c r="AM156" i="23" s="1"/>
  <c r="AP156" i="23"/>
  <c r="AO156" i="23"/>
  <c r="AN156" i="23"/>
  <c r="AG156" i="23"/>
  <c r="AE156" i="23"/>
  <c r="AF156" i="23" s="1"/>
  <c r="AB156" i="23"/>
  <c r="AC156" i="23" s="1"/>
  <c r="Y156" i="23"/>
  <c r="Z156" i="23" s="1"/>
  <c r="AK156" i="23" s="1"/>
  <c r="L213" i="23"/>
  <c r="L212" i="23"/>
  <c r="AR211" i="23"/>
  <c r="AM211" i="23" s="1"/>
  <c r="AP211" i="23"/>
  <c r="AO211" i="23"/>
  <c r="AN211" i="23"/>
  <c r="AG211" i="23"/>
  <c r="AE211" i="23"/>
  <c r="AF211" i="23" s="1"/>
  <c r="AB211" i="23"/>
  <c r="AC211" i="23" s="1"/>
  <c r="Y211" i="23"/>
  <c r="Z211" i="23" s="1"/>
  <c r="AR210" i="23"/>
  <c r="AM210" i="23" s="1"/>
  <c r="AP210" i="23"/>
  <c r="AO210" i="23"/>
  <c r="AO214" i="23" s="1"/>
  <c r="AN210" i="23"/>
  <c r="AN214" i="23" s="1"/>
  <c r="AG210" i="23"/>
  <c r="AE210" i="23"/>
  <c r="AF210" i="23" s="1"/>
  <c r="AB210" i="23"/>
  <c r="AC210" i="23" s="1"/>
  <c r="Y210" i="23"/>
  <c r="Z210" i="23" s="1"/>
  <c r="AA210" i="23" s="1"/>
  <c r="L225" i="23"/>
  <c r="L224" i="23"/>
  <c r="AR223" i="23"/>
  <c r="AM223" i="23" s="1"/>
  <c r="AP223" i="23"/>
  <c r="AO223" i="23"/>
  <c r="AN223" i="23"/>
  <c r="AG223" i="23"/>
  <c r="AE223" i="23"/>
  <c r="AF223" i="23" s="1"/>
  <c r="AB223" i="23"/>
  <c r="Y223" i="23"/>
  <c r="AR222" i="23"/>
  <c r="AM222" i="23" s="1"/>
  <c r="AM226" i="23" s="1"/>
  <c r="AP222" i="23"/>
  <c r="AO222" i="23"/>
  <c r="AN222" i="23"/>
  <c r="AN226" i="23" s="1"/>
  <c r="AG222" i="23"/>
  <c r="AE222" i="23"/>
  <c r="AF222" i="23" s="1"/>
  <c r="AB222" i="23"/>
  <c r="Y222" i="23"/>
  <c r="L201" i="23"/>
  <c r="L200" i="23"/>
  <c r="AR199" i="23"/>
  <c r="AM199" i="23" s="1"/>
  <c r="AP199" i="23"/>
  <c r="AO199" i="23"/>
  <c r="AN199" i="23"/>
  <c r="AG199" i="23"/>
  <c r="AE199" i="23"/>
  <c r="AF199" i="23" s="1"/>
  <c r="AB199" i="23"/>
  <c r="AC199" i="23" s="1"/>
  <c r="Y199" i="23"/>
  <c r="Z199" i="23" s="1"/>
  <c r="AR198" i="23"/>
  <c r="AM198" i="23" s="1"/>
  <c r="AP198" i="23"/>
  <c r="AO198" i="23"/>
  <c r="AN198" i="23"/>
  <c r="AN202" i="23" s="1"/>
  <c r="AG198" i="23"/>
  <c r="AE198" i="23"/>
  <c r="AF198" i="23" s="1"/>
  <c r="AB198" i="23"/>
  <c r="AC198" i="23" s="1"/>
  <c r="Y198" i="23"/>
  <c r="Z198" i="23" s="1"/>
  <c r="AK198" i="23" s="1"/>
  <c r="L237" i="23"/>
  <c r="L236" i="23"/>
  <c r="AR235" i="23"/>
  <c r="AM235" i="23" s="1"/>
  <c r="AP235" i="23"/>
  <c r="AO235" i="23"/>
  <c r="AN235" i="23"/>
  <c r="AG235" i="23"/>
  <c r="AE235" i="23"/>
  <c r="AF235" i="23" s="1"/>
  <c r="AB235" i="23"/>
  <c r="Y235" i="23"/>
  <c r="AR234" i="23"/>
  <c r="AM234" i="23" s="1"/>
  <c r="AM238" i="23" s="1"/>
  <c r="AP234" i="23"/>
  <c r="AP238" i="23" s="1"/>
  <c r="AO234" i="23"/>
  <c r="AO238" i="23" s="1"/>
  <c r="AN234" i="23"/>
  <c r="AN238" i="23" s="1"/>
  <c r="AG234" i="23"/>
  <c r="AE234" i="23"/>
  <c r="AF234" i="23" s="1"/>
  <c r="AB234" i="23"/>
  <c r="AC234" i="23" s="1"/>
  <c r="Y234" i="23"/>
  <c r="Z234" i="23" s="1"/>
  <c r="Z236" i="23" s="1"/>
  <c r="L253" i="11"/>
  <c r="L254" i="11"/>
  <c r="L255" i="11"/>
  <c r="L256" i="11"/>
  <c r="L257" i="11"/>
  <c r="L258" i="11"/>
  <c r="L259" i="11"/>
  <c r="L260" i="11"/>
  <c r="L261" i="11"/>
  <c r="L262" i="11"/>
  <c r="L263" i="11"/>
  <c r="L264" i="11"/>
  <c r="L265" i="11"/>
  <c r="L266" i="11"/>
  <c r="L252" i="11"/>
  <c r="AK237" i="11"/>
  <c r="L235" i="11"/>
  <c r="L236" i="11"/>
  <c r="L237" i="11"/>
  <c r="L238" i="11"/>
  <c r="L239" i="11"/>
  <c r="L240" i="11"/>
  <c r="L241" i="11"/>
  <c r="L242" i="11"/>
  <c r="L243" i="11"/>
  <c r="L244" i="11"/>
  <c r="L245" i="11"/>
  <c r="L246" i="11"/>
  <c r="L247" i="11"/>
  <c r="L248" i="11"/>
  <c r="L234" i="11"/>
  <c r="L217" i="11"/>
  <c r="L218" i="11"/>
  <c r="L219" i="11"/>
  <c r="L220" i="11"/>
  <c r="L221" i="11"/>
  <c r="L222" i="11"/>
  <c r="L223" i="11"/>
  <c r="L224" i="11"/>
  <c r="L225" i="11"/>
  <c r="L226" i="11"/>
  <c r="L227" i="11"/>
  <c r="L228" i="11"/>
  <c r="L229" i="11"/>
  <c r="L230" i="11"/>
  <c r="L216" i="11"/>
  <c r="L199" i="11"/>
  <c r="L200" i="11"/>
  <c r="L201" i="11"/>
  <c r="L202" i="11"/>
  <c r="L203" i="11"/>
  <c r="L204" i="11"/>
  <c r="L205" i="11"/>
  <c r="L206" i="11"/>
  <c r="L207" i="11"/>
  <c r="L208" i="11"/>
  <c r="L209" i="11"/>
  <c r="L210" i="11"/>
  <c r="L211" i="11"/>
  <c r="L212" i="11"/>
  <c r="L198" i="11"/>
  <c r="AL188" i="11"/>
  <c r="L181" i="11"/>
  <c r="L182" i="11"/>
  <c r="L183" i="11"/>
  <c r="L184" i="11"/>
  <c r="L185" i="11"/>
  <c r="L186" i="11"/>
  <c r="L187" i="11"/>
  <c r="L188" i="11"/>
  <c r="L189" i="11"/>
  <c r="L190" i="11"/>
  <c r="L191" i="11"/>
  <c r="L192" i="11"/>
  <c r="L193" i="11"/>
  <c r="L194" i="11"/>
  <c r="L180" i="11"/>
  <c r="L163" i="11"/>
  <c r="L164" i="11"/>
  <c r="L165" i="11"/>
  <c r="L166" i="11"/>
  <c r="L167" i="11"/>
  <c r="L168" i="11"/>
  <c r="L169" i="11"/>
  <c r="L170" i="11"/>
  <c r="L171" i="11"/>
  <c r="L172" i="11"/>
  <c r="L173" i="11"/>
  <c r="L174" i="11"/>
  <c r="L175" i="11"/>
  <c r="L176" i="11"/>
  <c r="L162" i="11"/>
  <c r="L145" i="11"/>
  <c r="L146" i="11"/>
  <c r="L147" i="11"/>
  <c r="L148" i="11"/>
  <c r="L149" i="11"/>
  <c r="L150" i="11"/>
  <c r="L151" i="11"/>
  <c r="L152" i="11"/>
  <c r="L153" i="11"/>
  <c r="L154" i="11"/>
  <c r="L155" i="11"/>
  <c r="L156" i="11"/>
  <c r="L157" i="11"/>
  <c r="L158" i="11"/>
  <c r="L144" i="11"/>
  <c r="AL130" i="11"/>
  <c r="AD130" i="11"/>
  <c r="L127" i="11"/>
  <c r="L128" i="11"/>
  <c r="L129" i="11"/>
  <c r="L130" i="11"/>
  <c r="L131" i="11"/>
  <c r="L132" i="11"/>
  <c r="L133" i="11"/>
  <c r="L134" i="11"/>
  <c r="L135" i="11"/>
  <c r="L136" i="11"/>
  <c r="L137" i="11"/>
  <c r="L138" i="11"/>
  <c r="L139" i="11"/>
  <c r="L140" i="11"/>
  <c r="L126" i="11"/>
  <c r="AA108" i="11"/>
  <c r="L109" i="11"/>
  <c r="L110" i="11"/>
  <c r="L111" i="11"/>
  <c r="L112" i="11"/>
  <c r="L113" i="11"/>
  <c r="L114" i="11"/>
  <c r="L115" i="11"/>
  <c r="L116" i="11"/>
  <c r="L117" i="11"/>
  <c r="L118" i="11"/>
  <c r="L119" i="11"/>
  <c r="L120" i="11"/>
  <c r="L121" i="11"/>
  <c r="L122" i="11"/>
  <c r="L108" i="11"/>
  <c r="L92" i="11"/>
  <c r="L93" i="11"/>
  <c r="L94" i="11"/>
  <c r="L95" i="11"/>
  <c r="L96" i="11"/>
  <c r="L97" i="11"/>
  <c r="L98" i="11"/>
  <c r="L99" i="11"/>
  <c r="L100" i="11"/>
  <c r="L101" i="11"/>
  <c r="L102" i="11"/>
  <c r="L103" i="11"/>
  <c r="L104" i="11"/>
  <c r="L91" i="11"/>
  <c r="L74" i="11"/>
  <c r="L75" i="11"/>
  <c r="L76" i="11"/>
  <c r="L77" i="11"/>
  <c r="L78" i="11"/>
  <c r="L79" i="11"/>
  <c r="L80" i="11"/>
  <c r="L81" i="11"/>
  <c r="L82" i="11"/>
  <c r="L83" i="11"/>
  <c r="L84" i="11"/>
  <c r="L85" i="11"/>
  <c r="L86" i="11"/>
  <c r="L87" i="11"/>
  <c r="L73" i="11"/>
  <c r="L57" i="11"/>
  <c r="L58" i="11"/>
  <c r="L59" i="11"/>
  <c r="L60" i="11"/>
  <c r="L61" i="11"/>
  <c r="L62" i="11"/>
  <c r="L63" i="11"/>
  <c r="L64" i="11"/>
  <c r="L65" i="11"/>
  <c r="L66" i="11"/>
  <c r="L67" i="11"/>
  <c r="L68" i="11"/>
  <c r="L69" i="11"/>
  <c r="L56" i="11"/>
  <c r="L40" i="11"/>
  <c r="L41" i="11"/>
  <c r="L42" i="11"/>
  <c r="L43" i="11"/>
  <c r="L44" i="11"/>
  <c r="L45" i="11"/>
  <c r="L46" i="11"/>
  <c r="L47" i="11"/>
  <c r="L48" i="11"/>
  <c r="L49" i="11"/>
  <c r="L50" i="11"/>
  <c r="L51" i="11"/>
  <c r="L52" i="11"/>
  <c r="L39" i="11"/>
  <c r="L22" i="11"/>
  <c r="L23" i="11"/>
  <c r="L24" i="11"/>
  <c r="L25" i="11"/>
  <c r="L26" i="11"/>
  <c r="L27" i="11"/>
  <c r="L28" i="11"/>
  <c r="L29" i="11"/>
  <c r="L30" i="11"/>
  <c r="L31" i="11"/>
  <c r="L32" i="11"/>
  <c r="L33" i="11"/>
  <c r="L34" i="11"/>
  <c r="L35" i="11"/>
  <c r="L21" i="11"/>
  <c r="Y4" i="11"/>
  <c r="Y5" i="11"/>
  <c r="Y6" i="11"/>
  <c r="Y7" i="11"/>
  <c r="Y8" i="11"/>
  <c r="Y9" i="11"/>
  <c r="Y10" i="11"/>
  <c r="Y11" i="11"/>
  <c r="Y12" i="11"/>
  <c r="Y13" i="11"/>
  <c r="Y14" i="11"/>
  <c r="Y15" i="11"/>
  <c r="Y16" i="11"/>
  <c r="Y17" i="11"/>
  <c r="Y3" i="11"/>
  <c r="L17" i="11"/>
  <c r="L16" i="11"/>
  <c r="L15" i="11"/>
  <c r="L14" i="11"/>
  <c r="L13" i="11"/>
  <c r="L12" i="11"/>
  <c r="L11" i="11"/>
  <c r="L10" i="11"/>
  <c r="L9" i="11"/>
  <c r="L8" i="11"/>
  <c r="L7" i="11"/>
  <c r="L6" i="11"/>
  <c r="L5" i="11"/>
  <c r="L4" i="11"/>
  <c r="L3" i="11"/>
  <c r="AN322" i="23" l="1"/>
  <c r="AP322" i="23"/>
  <c r="AK325" i="23"/>
  <c r="AA325" i="23"/>
  <c r="AC248" i="23"/>
  <c r="AC250" i="23" s="1"/>
  <c r="AL250" i="23" s="1"/>
  <c r="AK307" i="23"/>
  <c r="AA307" i="23"/>
  <c r="AC86" i="23"/>
  <c r="AC88" i="23" s="1"/>
  <c r="AL88" i="23" s="1"/>
  <c r="Z88" i="23"/>
  <c r="AK88" i="23" s="1"/>
  <c r="AH586" i="23"/>
  <c r="AH588" i="23" s="1"/>
  <c r="AC594" i="23"/>
  <c r="AC624" i="23"/>
  <c r="Z624" i="23"/>
  <c r="AP184" i="23"/>
  <c r="AM656" i="23"/>
  <c r="Z411" i="23"/>
  <c r="AH403" i="23"/>
  <c r="AH405" i="23" s="1"/>
  <c r="AC496" i="23"/>
  <c r="Z544" i="23"/>
  <c r="AC583" i="23"/>
  <c r="AC507" i="23"/>
  <c r="AH549" i="23"/>
  <c r="AH552" i="23" s="1"/>
  <c r="Z558" i="23"/>
  <c r="AH568" i="23"/>
  <c r="AH570" i="23" s="1"/>
  <c r="AH569" i="23"/>
  <c r="Z601" i="23"/>
  <c r="AN614" i="23"/>
  <c r="AP34" i="23"/>
  <c r="Z600" i="23"/>
  <c r="AC601" i="23"/>
  <c r="Z496" i="23"/>
  <c r="AC576" i="23"/>
  <c r="Z507" i="23"/>
  <c r="AN118" i="23"/>
  <c r="Z63" i="23"/>
  <c r="AM455" i="23"/>
  <c r="AH580" i="23"/>
  <c r="AH582" i="23" s="1"/>
  <c r="Z20" i="23"/>
  <c r="AO142" i="23"/>
  <c r="AC459" i="23"/>
  <c r="Z490" i="23"/>
  <c r="AP142" i="23"/>
  <c r="AO407" i="23"/>
  <c r="AC406" i="23"/>
  <c r="AM413" i="23"/>
  <c r="AC424" i="23"/>
  <c r="AC435" i="23"/>
  <c r="AH458" i="23"/>
  <c r="AH460" i="23" s="1"/>
  <c r="AC466" i="23"/>
  <c r="AC471" i="23"/>
  <c r="AH599" i="23"/>
  <c r="AH601" i="23" s="1"/>
  <c r="Z75" i="23"/>
  <c r="AH575" i="23"/>
  <c r="AH577" i="23" s="1"/>
  <c r="AC550" i="23"/>
  <c r="AP590" i="23"/>
  <c r="AO596" i="23"/>
  <c r="AC429" i="23"/>
  <c r="Z430" i="23"/>
  <c r="Z435" i="23"/>
  <c r="AM559" i="23"/>
  <c r="AH440" i="23"/>
  <c r="AH442" i="23" s="1"/>
  <c r="Z471" i="23"/>
  <c r="AC525" i="23"/>
  <c r="AC527" i="23" s="1"/>
  <c r="AH541" i="23"/>
  <c r="AH543" i="23" s="1"/>
  <c r="AH542" i="23"/>
  <c r="AH544" i="23" s="1"/>
  <c r="Z577" i="23"/>
  <c r="AC582" i="23"/>
  <c r="AC501" i="23"/>
  <c r="AH593" i="23"/>
  <c r="AH595" i="23" s="1"/>
  <c r="Z308" i="23"/>
  <c r="Z583" i="23"/>
  <c r="AC625" i="23"/>
  <c r="AH623" i="23"/>
  <c r="AH625" i="23" s="1"/>
  <c r="AH634" i="23"/>
  <c r="AH636" i="23" s="1"/>
  <c r="AH641" i="23"/>
  <c r="AH644" i="23" s="1"/>
  <c r="AC224" i="23"/>
  <c r="Z345" i="23"/>
  <c r="AH665" i="23"/>
  <c r="AH667" i="23" s="1"/>
  <c r="AC673" i="23"/>
  <c r="AH672" i="23"/>
  <c r="AH674" i="23" s="1"/>
  <c r="AO346" i="23"/>
  <c r="AC200" i="23"/>
  <c r="AP154" i="23"/>
  <c r="AN244" i="23"/>
  <c r="Z502" i="23"/>
  <c r="AH518" i="23"/>
  <c r="AH520" i="23" s="1"/>
  <c r="AH556" i="23"/>
  <c r="AH558" i="23" s="1"/>
  <c r="AC564" i="23"/>
  <c r="AH701" i="23"/>
  <c r="AH703" i="23" s="1"/>
  <c r="AH702" i="23"/>
  <c r="AH704" i="23" s="1"/>
  <c r="Z250" i="23"/>
  <c r="AK250" i="23" s="1"/>
  <c r="AH659" i="23"/>
  <c r="AH661" i="23" s="1"/>
  <c r="Z673" i="23"/>
  <c r="AC674" i="23"/>
  <c r="AM94" i="23"/>
  <c r="Z194" i="23"/>
  <c r="Z242" i="23"/>
  <c r="AC531" i="23"/>
  <c r="AN503" i="23"/>
  <c r="AM503" i="23"/>
  <c r="Z607" i="23"/>
  <c r="Z619" i="23"/>
  <c r="Z631" i="23"/>
  <c r="Z680" i="23"/>
  <c r="Z39" i="23"/>
  <c r="Z423" i="23"/>
  <c r="Z447" i="23"/>
  <c r="AP461" i="23"/>
  <c r="Z477" i="23"/>
  <c r="Z519" i="23"/>
  <c r="AC537" i="23"/>
  <c r="Z595" i="23"/>
  <c r="AO602" i="23"/>
  <c r="Z606" i="23"/>
  <c r="AC607" i="23"/>
  <c r="AA156" i="23"/>
  <c r="AO52" i="23"/>
  <c r="AC423" i="23"/>
  <c r="Z429" i="23"/>
  <c r="AC447" i="23"/>
  <c r="Z453" i="23"/>
  <c r="Z459" i="23"/>
  <c r="AH464" i="23"/>
  <c r="AH466" i="23" s="1"/>
  <c r="AH469" i="23"/>
  <c r="AH471" i="23" s="1"/>
  <c r="AC477" i="23"/>
  <c r="AH488" i="23"/>
  <c r="AH490" i="23" s="1"/>
  <c r="AH494" i="23"/>
  <c r="AH496" i="23" s="1"/>
  <c r="AH500" i="23"/>
  <c r="AH502" i="23" s="1"/>
  <c r="AC519" i="23"/>
  <c r="AN521" i="23"/>
  <c r="Z520" i="23"/>
  <c r="AC618" i="23"/>
  <c r="AH617" i="23"/>
  <c r="AH619" i="23" s="1"/>
  <c r="Z625" i="23"/>
  <c r="AC630" i="23"/>
  <c r="AO632" i="23"/>
  <c r="AO656" i="23"/>
  <c r="AC679" i="23"/>
  <c r="AH678" i="23"/>
  <c r="AH680" i="23" s="1"/>
  <c r="AP304" i="23"/>
  <c r="AM112" i="23"/>
  <c r="Z207" i="23"/>
  <c r="Z98" i="23"/>
  <c r="AN28" i="23"/>
  <c r="AO208" i="23"/>
  <c r="AC207" i="23"/>
  <c r="AP172" i="23"/>
  <c r="AM196" i="23"/>
  <c r="AM286" i="23"/>
  <c r="AN316" i="23"/>
  <c r="AP52" i="23"/>
  <c r="Z38" i="23"/>
  <c r="AN100" i="23"/>
  <c r="AC56" i="23"/>
  <c r="Z418" i="23"/>
  <c r="AH457" i="23"/>
  <c r="AH459" i="23" s="1"/>
  <c r="Z466" i="23"/>
  <c r="Z508" i="23"/>
  <c r="Z513" i="23"/>
  <c r="AH605" i="23"/>
  <c r="AH607" i="23" s="1"/>
  <c r="AA313" i="23"/>
  <c r="AA37" i="23"/>
  <c r="AK37" i="23"/>
  <c r="AO148" i="23"/>
  <c r="Z327" i="23"/>
  <c r="AH610" i="23"/>
  <c r="AH612" i="23" s="1"/>
  <c r="Z662" i="23"/>
  <c r="Z692" i="23"/>
  <c r="AC171" i="23"/>
  <c r="AM334" i="23"/>
  <c r="AO220" i="23"/>
  <c r="AH512" i="23"/>
  <c r="AH514" i="23" s="1"/>
  <c r="Z661" i="23"/>
  <c r="AC662" i="23"/>
  <c r="Z691" i="23"/>
  <c r="AC692" i="23"/>
  <c r="AN346" i="23"/>
  <c r="AC661" i="23"/>
  <c r="AC663" i="23" s="1"/>
  <c r="AH690" i="23"/>
  <c r="AH692" i="23" s="1"/>
  <c r="AM280" i="23"/>
  <c r="AH410" i="23"/>
  <c r="AH412" i="23" s="1"/>
  <c r="AH463" i="23"/>
  <c r="AH465" i="23" s="1"/>
  <c r="AH482" i="23"/>
  <c r="AH484" i="23" s="1"/>
  <c r="AH487" i="23"/>
  <c r="AH489" i="23" s="1"/>
  <c r="AH499" i="23"/>
  <c r="AH501" i="23" s="1"/>
  <c r="AC502" i="23"/>
  <c r="AH505" i="23"/>
  <c r="AH507" i="23" s="1"/>
  <c r="AC508" i="23"/>
  <c r="AC513" i="23"/>
  <c r="AP533" i="23"/>
  <c r="AC417" i="23"/>
  <c r="AN419" i="23"/>
  <c r="AH428" i="23"/>
  <c r="AH430" i="23" s="1"/>
  <c r="AC436" i="23"/>
  <c r="AC441" i="23"/>
  <c r="AC465" i="23"/>
  <c r="AN467" i="23"/>
  <c r="AP479" i="23"/>
  <c r="AH476" i="23"/>
  <c r="AH478" i="23" s="1"/>
  <c r="AC484" i="23"/>
  <c r="AC489" i="23"/>
  <c r="AC491" i="23" s="1"/>
  <c r="AN491" i="23"/>
  <c r="AC495" i="23"/>
  <c r="AC497" i="23" s="1"/>
  <c r="AP638" i="23"/>
  <c r="Z655" i="23"/>
  <c r="Z656" i="23"/>
  <c r="AH660" i="23"/>
  <c r="AH662" i="23" s="1"/>
  <c r="Z667" i="23"/>
  <c r="AH671" i="23"/>
  <c r="AH673" i="23" s="1"/>
  <c r="AO226" i="23"/>
  <c r="AP160" i="23"/>
  <c r="AP178" i="23"/>
  <c r="AC177" i="23"/>
  <c r="AC178" i="23" s="1"/>
  <c r="AL178" i="23" s="1"/>
  <c r="AO136" i="23"/>
  <c r="AP94" i="23"/>
  <c r="AP316" i="23"/>
  <c r="AM316" i="23"/>
  <c r="Z50" i="23"/>
  <c r="AP40" i="23"/>
  <c r="AM40" i="23"/>
  <c r="Z80" i="23"/>
  <c r="Z152" i="23"/>
  <c r="Z278" i="23"/>
  <c r="AM190" i="23"/>
  <c r="AH351" i="23"/>
  <c r="AH354" i="23" s="1"/>
  <c r="AO76" i="23"/>
  <c r="AM268" i="23"/>
  <c r="AO268" i="23"/>
  <c r="AC111" i="23"/>
  <c r="Z146" i="23"/>
  <c r="AN22" i="23"/>
  <c r="Z206" i="23"/>
  <c r="AO232" i="23"/>
  <c r="AN130" i="23"/>
  <c r="Z140" i="23"/>
  <c r="AH517" i="23"/>
  <c r="AH519" i="23" s="1"/>
  <c r="AC520" i="23"/>
  <c r="Z526" i="23"/>
  <c r="Z527" i="23" s="1"/>
  <c r="AC557" i="23"/>
  <c r="AO590" i="23"/>
  <c r="Z594" i="23"/>
  <c r="AC595" i="23"/>
  <c r="AC596" i="23" s="1"/>
  <c r="AC606" i="23"/>
  <c r="AC608" i="23" s="1"/>
  <c r="Z618" i="23"/>
  <c r="AC619" i="23"/>
  <c r="Z630" i="23"/>
  <c r="AC631" i="23"/>
  <c r="AC655" i="23"/>
  <c r="AC656" i="23"/>
  <c r="AP674" i="23"/>
  <c r="AH689" i="23"/>
  <c r="AH691" i="23" s="1"/>
  <c r="AN178" i="23"/>
  <c r="AN196" i="23"/>
  <c r="AC260" i="23"/>
  <c r="AN262" i="23"/>
  <c r="AO190" i="23"/>
  <c r="AC290" i="23"/>
  <c r="AM355" i="23"/>
  <c r="AO355" i="23"/>
  <c r="AC354" i="23"/>
  <c r="AO100" i="23"/>
  <c r="AN76" i="23"/>
  <c r="AN268" i="23"/>
  <c r="AM28" i="23"/>
  <c r="AC333" i="23"/>
  <c r="AO58" i="23"/>
  <c r="AM16" i="23"/>
  <c r="AN208" i="23"/>
  <c r="AP208" i="23"/>
  <c r="AN431" i="23"/>
  <c r="AP443" i="23"/>
  <c r="AH445" i="23"/>
  <c r="AH447" i="23" s="1"/>
  <c r="Z483" i="23"/>
  <c r="AH629" i="23"/>
  <c r="AH631" i="23" s="1"/>
  <c r="AH653" i="23"/>
  <c r="AH655" i="23" s="1"/>
  <c r="AH654" i="23"/>
  <c r="AH656" i="23" s="1"/>
  <c r="AO298" i="23"/>
  <c r="AO178" i="23"/>
  <c r="Z134" i="23"/>
  <c r="AO94" i="23"/>
  <c r="AC273" i="23"/>
  <c r="AN280" i="23"/>
  <c r="AO292" i="23"/>
  <c r="Z243" i="23"/>
  <c r="AO70" i="23"/>
  <c r="AN16" i="23"/>
  <c r="AP46" i="23"/>
  <c r="Z412" i="23"/>
  <c r="Z417" i="23"/>
  <c r="AP425" i="23"/>
  <c r="AH422" i="23"/>
  <c r="AH424" i="23" s="1"/>
  <c r="Z436" i="23"/>
  <c r="Z441" i="23"/>
  <c r="AP449" i="23"/>
  <c r="AH446" i="23"/>
  <c r="AH448" i="23" s="1"/>
  <c r="AC454" i="23"/>
  <c r="Z465" i="23"/>
  <c r="AH475" i="23"/>
  <c r="AH477" i="23" s="1"/>
  <c r="AC483" i="23"/>
  <c r="Z484" i="23"/>
  <c r="Z489" i="23"/>
  <c r="Z501" i="23"/>
  <c r="AC514" i="23"/>
  <c r="AC543" i="23"/>
  <c r="AC545" i="23" s="1"/>
  <c r="AH562" i="23"/>
  <c r="AH564" i="23" s="1"/>
  <c r="AH563" i="23"/>
  <c r="AH565" i="23" s="1"/>
  <c r="AH592" i="23"/>
  <c r="AH594" i="23" s="1"/>
  <c r="AP596" i="23"/>
  <c r="AO614" i="23"/>
  <c r="AL234" i="23"/>
  <c r="AD234" i="23"/>
  <c r="AA198" i="23"/>
  <c r="AM202" i="23"/>
  <c r="AP214" i="23"/>
  <c r="Z297" i="23"/>
  <c r="AM214" i="23"/>
  <c r="AN310" i="23"/>
  <c r="Z309" i="23"/>
  <c r="Z182" i="23"/>
  <c r="Z62" i="23"/>
  <c r="Z64" i="23" s="1"/>
  <c r="AK64" i="23" s="1"/>
  <c r="AP346" i="23"/>
  <c r="AN94" i="23"/>
  <c r="AN286" i="23"/>
  <c r="AM34" i="23"/>
  <c r="AC320" i="23"/>
  <c r="AM160" i="23"/>
  <c r="AP226" i="23"/>
  <c r="AM136" i="23"/>
  <c r="AO310" i="23"/>
  <c r="AA61" i="23"/>
  <c r="AK61" i="23"/>
  <c r="AO172" i="23"/>
  <c r="AP196" i="23"/>
  <c r="AO286" i="23"/>
  <c r="AM166" i="23"/>
  <c r="AM262" i="23"/>
  <c r="AO304" i="23"/>
  <c r="Z315" i="23"/>
  <c r="AN40" i="23"/>
  <c r="AD78" i="23"/>
  <c r="AM82" i="23"/>
  <c r="AN154" i="23"/>
  <c r="AC278" i="23"/>
  <c r="AO280" i="23"/>
  <c r="Z290" i="23"/>
  <c r="AP292" i="23"/>
  <c r="AM76" i="23"/>
  <c r="AM106" i="23"/>
  <c r="AM70" i="23"/>
  <c r="AP28" i="23"/>
  <c r="AN334" i="23"/>
  <c r="AP58" i="23"/>
  <c r="AM148" i="23"/>
  <c r="AO16" i="23"/>
  <c r="AP328" i="23"/>
  <c r="AM46" i="23"/>
  <c r="AO46" i="23"/>
  <c r="AP22" i="23"/>
  <c r="AM208" i="23"/>
  <c r="AM232" i="23"/>
  <c r="AO130" i="23"/>
  <c r="AH409" i="23"/>
  <c r="AH411" i="23" s="1"/>
  <c r="AH413" i="23" s="1"/>
  <c r="AO413" i="23"/>
  <c r="AH493" i="23"/>
  <c r="AH495" i="23" s="1"/>
  <c r="AM509" i="23"/>
  <c r="AM626" i="23"/>
  <c r="AH506" i="23"/>
  <c r="AH508" i="23" s="1"/>
  <c r="AH535" i="23"/>
  <c r="AH537" i="23" s="1"/>
  <c r="AH536" i="23"/>
  <c r="AH538" i="23" s="1"/>
  <c r="Z551" i="23"/>
  <c r="Z552" i="23"/>
  <c r="AC558" i="23"/>
  <c r="Z582" i="23"/>
  <c r="AH581" i="23"/>
  <c r="AH583" i="23" s="1"/>
  <c r="AH584" i="23" s="1"/>
  <c r="Z589" i="23"/>
  <c r="AH598" i="23"/>
  <c r="AH600" i="23" s="1"/>
  <c r="AP602" i="23"/>
  <c r="AO608" i="23"/>
  <c r="AN620" i="23"/>
  <c r="AH622" i="23"/>
  <c r="AH624" i="23" s="1"/>
  <c r="AH626" i="23" s="1"/>
  <c r="Z637" i="23"/>
  <c r="AH640" i="23"/>
  <c r="AH643" i="23" s="1"/>
  <c r="AP646" i="23"/>
  <c r="AP650" i="23" s="1"/>
  <c r="Z645" i="23"/>
  <c r="AP662" i="23"/>
  <c r="Z668" i="23"/>
  <c r="AO82" i="23"/>
  <c r="AN190" i="23"/>
  <c r="AM292" i="23"/>
  <c r="AC74" i="23"/>
  <c r="AP76" i="23"/>
  <c r="AC104" i="23"/>
  <c r="AN106" i="23"/>
  <c r="Z105" i="23"/>
  <c r="AN112" i="23"/>
  <c r="AO256" i="23"/>
  <c r="AP16" i="23"/>
  <c r="AN220" i="23"/>
  <c r="AM328" i="23"/>
  <c r="AN46" i="23"/>
  <c r="AN232" i="23"/>
  <c r="AM142" i="23"/>
  <c r="Z406" i="23"/>
  <c r="AC412" i="23"/>
  <c r="AN413" i="23"/>
  <c r="AO425" i="23"/>
  <c r="AM437" i="23"/>
  <c r="AO437" i="23"/>
  <c r="AH511" i="23"/>
  <c r="AH513" i="23" s="1"/>
  <c r="AN545" i="23"/>
  <c r="AH555" i="23"/>
  <c r="AH557" i="23" s="1"/>
  <c r="Z565" i="23"/>
  <c r="AO578" i="23"/>
  <c r="AN578" i="23"/>
  <c r="Z588" i="23"/>
  <c r="AC589" i="23"/>
  <c r="Z612" i="23"/>
  <c r="AC613" i="23"/>
  <c r="Z636" i="23"/>
  <c r="AC637" i="23"/>
  <c r="Z644" i="23"/>
  <c r="AC645" i="23"/>
  <c r="AC667" i="23"/>
  <c r="AC668" i="23"/>
  <c r="AC680" i="23"/>
  <c r="AC681" i="23" s="1"/>
  <c r="AM443" i="23"/>
  <c r="AH523" i="23"/>
  <c r="AH525" i="23" s="1"/>
  <c r="AH524" i="23"/>
  <c r="AH526" i="23" s="1"/>
  <c r="AO527" i="23"/>
  <c r="AH529" i="23"/>
  <c r="AH531" i="23" s="1"/>
  <c r="AH530" i="23"/>
  <c r="AH532" i="23" s="1"/>
  <c r="AO545" i="23"/>
  <c r="AH547" i="23"/>
  <c r="AH550" i="23" s="1"/>
  <c r="AH548" i="23"/>
  <c r="AH551" i="23" s="1"/>
  <c r="AC565" i="23"/>
  <c r="AC566" i="23" s="1"/>
  <c r="AO572" i="23"/>
  <c r="AM698" i="23"/>
  <c r="AH574" i="23"/>
  <c r="AH576" i="23" s="1"/>
  <c r="AO584" i="23"/>
  <c r="AC588" i="23"/>
  <c r="AH587" i="23"/>
  <c r="AH589" i="23" s="1"/>
  <c r="AH590" i="23" s="1"/>
  <c r="AH611" i="23"/>
  <c r="AH613" i="23" s="1"/>
  <c r="AH616" i="23"/>
  <c r="AH618" i="23" s="1"/>
  <c r="AH628" i="23"/>
  <c r="AH630" i="23" s="1"/>
  <c r="AP632" i="23"/>
  <c r="AC636" i="23"/>
  <c r="AO638" i="23"/>
  <c r="AH635" i="23"/>
  <c r="AH637" i="23" s="1"/>
  <c r="Z643" i="23"/>
  <c r="AN646" i="23"/>
  <c r="AN650" i="23" s="1"/>
  <c r="AC644" i="23"/>
  <c r="AH642" i="23"/>
  <c r="AH645" i="23" s="1"/>
  <c r="AH666" i="23"/>
  <c r="AH668" i="23" s="1"/>
  <c r="Z674" i="23"/>
  <c r="AH677" i="23"/>
  <c r="AH679" i="23" s="1"/>
  <c r="AK270" i="23"/>
  <c r="Z272" i="23"/>
  <c r="AP280" i="23"/>
  <c r="Z9" i="23"/>
  <c r="AN355" i="23"/>
  <c r="AO28" i="23"/>
  <c r="Z332" i="23"/>
  <c r="AN58" i="23"/>
  <c r="AP148" i="23"/>
  <c r="AO22" i="23"/>
  <c r="Z405" i="23"/>
  <c r="AH416" i="23"/>
  <c r="AH418" i="23" s="1"/>
  <c r="AM539" i="23"/>
  <c r="AN425" i="23"/>
  <c r="Z424" i="23"/>
  <c r="AO431" i="23"/>
  <c r="AM431" i="23"/>
  <c r="AH434" i="23"/>
  <c r="AH436" i="23" s="1"/>
  <c r="AH439" i="23"/>
  <c r="AH441" i="23" s="1"/>
  <c r="AH443" i="23" s="1"/>
  <c r="AM449" i="23"/>
  <c r="AO479" i="23"/>
  <c r="AH481" i="23"/>
  <c r="AH483" i="23" s="1"/>
  <c r="AM491" i="23"/>
  <c r="AM521" i="23"/>
  <c r="AC236" i="23"/>
  <c r="AD198" i="23"/>
  <c r="AL198" i="23"/>
  <c r="AP202" i="23"/>
  <c r="AO202" i="23"/>
  <c r="Z200" i="23"/>
  <c r="Z296" i="23"/>
  <c r="AP298" i="23"/>
  <c r="AM184" i="23"/>
  <c r="AN184" i="23"/>
  <c r="AM346" i="23"/>
  <c r="AN136" i="23"/>
  <c r="AP286" i="23"/>
  <c r="AC32" i="23"/>
  <c r="AN34" i="23"/>
  <c r="Z33" i="23"/>
  <c r="AP166" i="23"/>
  <c r="AO166" i="23"/>
  <c r="AO316" i="23"/>
  <c r="AO40" i="23"/>
  <c r="AK150" i="23"/>
  <c r="AC153" i="23"/>
  <c r="AL66" i="23"/>
  <c r="AD66" i="23"/>
  <c r="AA331" i="23"/>
  <c r="Z333" i="23"/>
  <c r="AK331" i="23"/>
  <c r="AA295" i="23"/>
  <c r="AN160" i="23"/>
  <c r="AM178" i="23"/>
  <c r="AP310" i="23"/>
  <c r="AM172" i="23"/>
  <c r="AP118" i="23"/>
  <c r="Z195" i="23"/>
  <c r="Z196" i="23" s="1"/>
  <c r="AK196" i="23" s="1"/>
  <c r="AO34" i="23"/>
  <c r="AM304" i="23"/>
  <c r="AD271" i="23"/>
  <c r="AH271" i="23" s="1"/>
  <c r="AH273" i="23" s="1"/>
  <c r="AL271" i="23"/>
  <c r="AL48" i="23"/>
  <c r="AD48" i="23"/>
  <c r="AL108" i="23"/>
  <c r="AC110" i="23"/>
  <c r="AD108" i="23"/>
  <c r="AH108" i="23" s="1"/>
  <c r="AH110" i="23" s="1"/>
  <c r="AL276" i="23"/>
  <c r="AC26" i="23"/>
  <c r="AD24" i="23"/>
  <c r="AH24" i="23" s="1"/>
  <c r="AH26" i="23" s="1"/>
  <c r="AL324" i="23"/>
  <c r="AD324" i="23"/>
  <c r="AL18" i="23"/>
  <c r="AD18" i="23"/>
  <c r="AO160" i="23"/>
  <c r="AK295" i="23"/>
  <c r="AM118" i="23"/>
  <c r="AL151" i="23"/>
  <c r="AD151" i="23"/>
  <c r="Z15" i="23"/>
  <c r="AK13" i="23"/>
  <c r="AA13" i="23"/>
  <c r="AO196" i="23"/>
  <c r="AN166" i="23"/>
  <c r="AO262" i="23"/>
  <c r="AC302" i="23"/>
  <c r="AN52" i="23"/>
  <c r="AP82" i="23"/>
  <c r="AM154" i="23"/>
  <c r="AM10" i="23"/>
  <c r="AP190" i="23"/>
  <c r="AM100" i="23"/>
  <c r="AO106" i="23"/>
  <c r="AM244" i="23"/>
  <c r="AP70" i="23"/>
  <c r="AK24" i="23"/>
  <c r="AD331" i="23"/>
  <c r="AM58" i="23"/>
  <c r="AD252" i="23"/>
  <c r="AN256" i="23"/>
  <c r="AA144" i="23"/>
  <c r="AK144" i="23"/>
  <c r="AO328" i="23"/>
  <c r="AM22" i="23"/>
  <c r="AP232" i="23"/>
  <c r="AP130" i="23"/>
  <c r="AD138" i="23"/>
  <c r="AN142" i="23"/>
  <c r="AP407" i="23"/>
  <c r="AH404" i="23"/>
  <c r="AH406" i="23" s="1"/>
  <c r="AH407" i="23" s="1"/>
  <c r="AM527" i="23"/>
  <c r="AC411" i="23"/>
  <c r="AM533" i="23"/>
  <c r="AH415" i="23"/>
  <c r="AH417" i="23" s="1"/>
  <c r="AO419" i="23"/>
  <c r="AC418" i="23"/>
  <c r="AM425" i="23"/>
  <c r="AH427" i="23"/>
  <c r="AH429" i="23" s="1"/>
  <c r="AP431" i="23"/>
  <c r="AC430" i="23"/>
  <c r="AC431" i="23" s="1"/>
  <c r="AO443" i="23"/>
  <c r="AO449" i="23"/>
  <c r="AN455" i="23"/>
  <c r="Z454" i="23"/>
  <c r="AN292" i="23"/>
  <c r="Z352" i="23"/>
  <c r="AP355" i="23"/>
  <c r="AC353" i="23"/>
  <c r="AP100" i="23"/>
  <c r="AP268" i="23"/>
  <c r="AC267" i="23"/>
  <c r="AP112" i="23"/>
  <c r="AC242" i="23"/>
  <c r="AP334" i="23"/>
  <c r="AC147" i="23"/>
  <c r="AM220" i="23"/>
  <c r="AC327" i="23"/>
  <c r="AM130" i="23"/>
  <c r="AC405" i="23"/>
  <c r="AP419" i="23"/>
  <c r="AN437" i="23"/>
  <c r="AN443" i="23"/>
  <c r="Z442" i="23"/>
  <c r="AN449" i="23"/>
  <c r="Z448" i="23"/>
  <c r="AN461" i="23"/>
  <c r="Z460" i="23"/>
  <c r="Z461" i="23" s="1"/>
  <c r="Z302" i="23"/>
  <c r="AC50" i="23"/>
  <c r="AO154" i="23"/>
  <c r="AK277" i="23"/>
  <c r="Z279" i="23"/>
  <c r="AO10" i="23"/>
  <c r="AP10" i="23"/>
  <c r="Z266" i="23"/>
  <c r="AH240" i="23"/>
  <c r="AH242" i="23" s="1"/>
  <c r="AO244" i="23"/>
  <c r="AA241" i="23"/>
  <c r="AH241" i="23" s="1"/>
  <c r="AH243" i="23" s="1"/>
  <c r="AL241" i="23"/>
  <c r="AN70" i="23"/>
  <c r="AC57" i="23"/>
  <c r="AC58" i="23" s="1"/>
  <c r="AL58" i="23" s="1"/>
  <c r="AP256" i="23"/>
  <c r="AD145" i="23"/>
  <c r="AD325" i="23"/>
  <c r="AA204" i="23"/>
  <c r="AK204" i="23"/>
  <c r="AN407" i="23"/>
  <c r="AM407" i="23"/>
  <c r="AP413" i="23"/>
  <c r="AM419" i="23"/>
  <c r="AH421" i="23"/>
  <c r="AH423" i="23" s="1"/>
  <c r="AH433" i="23"/>
  <c r="AH435" i="23" s="1"/>
  <c r="AC442" i="23"/>
  <c r="AC448" i="23"/>
  <c r="AH451" i="23"/>
  <c r="AH453" i="23" s="1"/>
  <c r="AP455" i="23"/>
  <c r="AH452" i="23"/>
  <c r="AH454" i="23" s="1"/>
  <c r="AO455" i="23"/>
  <c r="AC460" i="23"/>
  <c r="AC626" i="23"/>
  <c r="AP467" i="23"/>
  <c r="AO467" i="23"/>
  <c r="AC472" i="23"/>
  <c r="AN479" i="23"/>
  <c r="Z478" i="23"/>
  <c r="AM479" i="23"/>
  <c r="AP491" i="23"/>
  <c r="AO491" i="23"/>
  <c r="AP503" i="23"/>
  <c r="AO503" i="23"/>
  <c r="AO509" i="23"/>
  <c r="AP521" i="23"/>
  <c r="AN539" i="23"/>
  <c r="Z538" i="23"/>
  <c r="Z539" i="23" s="1"/>
  <c r="AP539" i="23"/>
  <c r="AP545" i="23"/>
  <c r="AP553" i="23"/>
  <c r="AC552" i="23"/>
  <c r="AN553" i="23"/>
  <c r="AP559" i="23"/>
  <c r="AN559" i="23"/>
  <c r="AP566" i="23"/>
  <c r="AN566" i="23"/>
  <c r="AH571" i="23"/>
  <c r="AP572" i="23"/>
  <c r="AN584" i="23"/>
  <c r="AN602" i="23"/>
  <c r="AN608" i="23"/>
  <c r="AO626" i="23"/>
  <c r="AN632" i="23"/>
  <c r="AN638" i="23"/>
  <c r="AN656" i="23"/>
  <c r="AP668" i="23"/>
  <c r="AN668" i="23"/>
  <c r="AN686" i="23"/>
  <c r="AP686" i="23"/>
  <c r="AC691" i="23"/>
  <c r="AP698" i="23"/>
  <c r="AN698" i="23"/>
  <c r="AO698" i="23"/>
  <c r="AC703" i="23"/>
  <c r="AM461" i="23"/>
  <c r="AP473" i="23"/>
  <c r="AH470" i="23"/>
  <c r="AH472" i="23" s="1"/>
  <c r="AO473" i="23"/>
  <c r="AC478" i="23"/>
  <c r="AN485" i="23"/>
  <c r="AM485" i="23"/>
  <c r="Z495" i="23"/>
  <c r="Z497" i="23" s="1"/>
  <c r="AM497" i="23"/>
  <c r="AM614" i="23"/>
  <c r="AP497" i="23"/>
  <c r="AP509" i="23"/>
  <c r="AN515" i="23"/>
  <c r="Z514" i="23"/>
  <c r="AM515" i="23"/>
  <c r="AP527" i="23"/>
  <c r="Z531" i="23"/>
  <c r="Z533" i="23" s="1"/>
  <c r="AN533" i="23"/>
  <c r="AC538" i="23"/>
  <c r="AC539" i="23" s="1"/>
  <c r="AO539" i="23"/>
  <c r="Z550" i="23"/>
  <c r="Z564" i="23"/>
  <c r="AC570" i="23"/>
  <c r="AC572" i="23" s="1"/>
  <c r="AN572" i="23"/>
  <c r="Z571" i="23"/>
  <c r="Z572" i="23" s="1"/>
  <c r="Z576" i="23"/>
  <c r="AN596" i="23"/>
  <c r="AC600" i="23"/>
  <c r="AH604" i="23"/>
  <c r="AH606" i="23" s="1"/>
  <c r="AP608" i="23"/>
  <c r="AC612" i="23"/>
  <c r="AN626" i="23"/>
  <c r="AO646" i="23"/>
  <c r="AO650" i="23" s="1"/>
  <c r="AO662" i="23"/>
  <c r="AO674" i="23"/>
  <c r="Z679" i="23"/>
  <c r="Z681" i="23" s="1"/>
  <c r="AO686" i="23"/>
  <c r="Z704" i="23"/>
  <c r="Z705" i="23" s="1"/>
  <c r="AH336" i="23"/>
  <c r="AH338" i="23" s="1"/>
  <c r="AN590" i="23"/>
  <c r="AC620" i="23"/>
  <c r="AN662" i="23"/>
  <c r="AN674" i="23"/>
  <c r="AO461" i="23"/>
  <c r="AN473" i="23"/>
  <c r="Z472" i="23"/>
  <c r="AM473" i="23"/>
  <c r="AP485" i="23"/>
  <c r="AO485" i="23"/>
  <c r="AO497" i="23"/>
  <c r="AN497" i="23"/>
  <c r="AN509" i="23"/>
  <c r="AP515" i="23"/>
  <c r="AO515" i="23"/>
  <c r="AO521" i="23"/>
  <c r="AN527" i="23"/>
  <c r="AO533" i="23"/>
  <c r="AO553" i="23"/>
  <c r="AO559" i="23"/>
  <c r="AO566" i="23"/>
  <c r="AP578" i="23"/>
  <c r="AP584" i="23"/>
  <c r="AP614" i="23"/>
  <c r="AP620" i="23"/>
  <c r="AP626" i="23"/>
  <c r="AP656" i="23"/>
  <c r="AO668" i="23"/>
  <c r="AH246" i="23"/>
  <c r="AH248" i="23" s="1"/>
  <c r="AH247" i="23"/>
  <c r="AH249" i="23" s="1"/>
  <c r="AM467" i="23"/>
  <c r="AH337" i="23"/>
  <c r="AH339" i="23" s="1"/>
  <c r="AC340" i="23"/>
  <c r="AL340" i="23" s="1"/>
  <c r="Z340" i="23"/>
  <c r="AK340" i="23" s="1"/>
  <c r="AH84" i="23"/>
  <c r="AH86" i="23" s="1"/>
  <c r="AH85" i="23"/>
  <c r="AH87" i="23" s="1"/>
  <c r="Z237" i="23"/>
  <c r="Z238" i="23" s="1"/>
  <c r="AK238" i="23" s="1"/>
  <c r="AK235" i="23"/>
  <c r="AA235" i="23"/>
  <c r="AA199" i="23"/>
  <c r="Z201" i="23"/>
  <c r="Z202" i="23" s="1"/>
  <c r="AK202" i="23" s="1"/>
  <c r="AK199" i="23"/>
  <c r="AD235" i="23"/>
  <c r="AC237" i="23"/>
  <c r="AL235" i="23"/>
  <c r="AD223" i="23"/>
  <c r="AL223" i="23"/>
  <c r="AC225" i="23"/>
  <c r="AC226" i="23" s="1"/>
  <c r="AL226" i="23" s="1"/>
  <c r="AC201" i="23"/>
  <c r="AL199" i="23"/>
  <c r="AK211" i="23"/>
  <c r="AA211" i="23"/>
  <c r="Z213" i="23"/>
  <c r="Z159" i="23"/>
  <c r="AK157" i="23"/>
  <c r="AA157" i="23"/>
  <c r="AH157" i="23" s="1"/>
  <c r="AH159" i="23" s="1"/>
  <c r="AD199" i="23"/>
  <c r="Z225" i="23"/>
  <c r="AK223" i="23"/>
  <c r="AA223" i="23"/>
  <c r="Z158" i="23"/>
  <c r="AL157" i="23"/>
  <c r="AC159" i="23"/>
  <c r="AD294" i="23"/>
  <c r="AC296" i="23"/>
  <c r="AL294" i="23"/>
  <c r="AC297" i="23"/>
  <c r="AL295" i="23"/>
  <c r="AD295" i="23"/>
  <c r="AC308" i="23"/>
  <c r="AD306" i="23"/>
  <c r="AH306" i="23" s="1"/>
  <c r="AH308" i="23" s="1"/>
  <c r="AM310" i="23"/>
  <c r="AL169" i="23"/>
  <c r="Z117" i="23"/>
  <c r="AK115" i="23"/>
  <c r="AA115" i="23"/>
  <c r="AK342" i="23"/>
  <c r="Z344" i="23"/>
  <c r="AC345" i="23"/>
  <c r="AL343" i="23"/>
  <c r="AD343" i="23"/>
  <c r="AH343" i="23" s="1"/>
  <c r="AH345" i="23" s="1"/>
  <c r="AD91" i="23"/>
  <c r="AC93" i="23"/>
  <c r="AL91" i="23"/>
  <c r="AC285" i="23"/>
  <c r="AL283" i="23"/>
  <c r="AD283" i="23"/>
  <c r="Z165" i="23"/>
  <c r="AK163" i="23"/>
  <c r="AA163" i="23"/>
  <c r="AK258" i="23"/>
  <c r="AA258" i="23"/>
  <c r="Z260" i="23"/>
  <c r="Z321" i="23"/>
  <c r="AK319" i="23"/>
  <c r="AA319" i="23"/>
  <c r="AK301" i="23"/>
  <c r="Z303" i="23"/>
  <c r="AA301" i="23"/>
  <c r="Z51" i="23"/>
  <c r="AK49" i="23"/>
  <c r="AA49" i="23"/>
  <c r="AD36" i="23"/>
  <c r="AH36" i="23" s="1"/>
  <c r="AH38" i="23" s="1"/>
  <c r="AL36" i="23"/>
  <c r="AC38" i="23"/>
  <c r="AD150" i="23"/>
  <c r="AL150" i="23"/>
  <c r="AC152" i="23"/>
  <c r="Z224" i="23"/>
  <c r="AK222" i="23"/>
  <c r="AC212" i="23"/>
  <c r="AL210" i="23"/>
  <c r="Z177" i="23"/>
  <c r="AK175" i="23"/>
  <c r="AA175" i="23"/>
  <c r="AH175" i="23" s="1"/>
  <c r="AH177" i="23" s="1"/>
  <c r="AK60" i="23"/>
  <c r="AA60" i="23"/>
  <c r="Z116" i="23"/>
  <c r="Z118" i="23" s="1"/>
  <c r="AK118" i="23" s="1"/>
  <c r="AK114" i="23"/>
  <c r="AA114" i="23"/>
  <c r="AH114" i="23" s="1"/>
  <c r="AH116" i="23" s="1"/>
  <c r="AC134" i="23"/>
  <c r="AL132" i="23"/>
  <c r="AD132" i="23"/>
  <c r="AH132" i="23" s="1"/>
  <c r="AH134" i="23" s="1"/>
  <c r="Z135" i="23"/>
  <c r="Z136" i="23" s="1"/>
  <c r="AK136" i="23" s="1"/>
  <c r="AK133" i="23"/>
  <c r="AA133" i="23"/>
  <c r="AK90" i="23"/>
  <c r="AA90" i="23"/>
  <c r="AH90" i="23" s="1"/>
  <c r="AH92" i="23" s="1"/>
  <c r="Z92" i="23"/>
  <c r="AC195" i="23"/>
  <c r="AL193" i="23"/>
  <c r="AD193" i="23"/>
  <c r="Z284" i="23"/>
  <c r="AK282" i="23"/>
  <c r="AA282" i="23"/>
  <c r="AC165" i="23"/>
  <c r="AL163" i="23"/>
  <c r="AD163" i="23"/>
  <c r="AD49" i="23"/>
  <c r="AC51" i="23"/>
  <c r="AL49" i="23"/>
  <c r="AD211" i="23"/>
  <c r="AC213" i="23"/>
  <c r="AL211" i="23"/>
  <c r="AD174" i="23"/>
  <c r="AL174" i="23"/>
  <c r="Z183" i="23"/>
  <c r="AK181" i="23"/>
  <c r="AA181" i="23"/>
  <c r="AH181" i="23" s="1"/>
  <c r="AH183" i="23" s="1"/>
  <c r="AK168" i="23"/>
  <c r="AA168" i="23"/>
  <c r="Z170" i="23"/>
  <c r="AA234" i="23"/>
  <c r="AA222" i="23"/>
  <c r="AH222" i="23" s="1"/>
  <c r="AH224" i="23" s="1"/>
  <c r="AD210" i="23"/>
  <c r="AH210" i="23" s="1"/>
  <c r="AH212" i="23" s="1"/>
  <c r="AC158" i="23"/>
  <c r="AL156" i="23"/>
  <c r="AD156" i="23"/>
  <c r="AL175" i="23"/>
  <c r="AD307" i="23"/>
  <c r="AH307" i="23" s="1"/>
  <c r="AH309" i="23" s="1"/>
  <c r="AC309" i="23"/>
  <c r="AL307" i="23"/>
  <c r="AA180" i="23"/>
  <c r="AK180" i="23"/>
  <c r="AC183" i="23"/>
  <c r="AL181" i="23"/>
  <c r="AD60" i="23"/>
  <c r="AC62" i="23"/>
  <c r="AL60" i="23"/>
  <c r="AC63" i="23"/>
  <c r="AL61" i="23"/>
  <c r="AD61" i="23"/>
  <c r="AH61" i="23" s="1"/>
  <c r="AH63" i="23" s="1"/>
  <c r="AL114" i="23"/>
  <c r="AC116" i="23"/>
  <c r="AD115" i="23"/>
  <c r="AC117" i="23"/>
  <c r="AL115" i="23"/>
  <c r="AL342" i="23"/>
  <c r="AC344" i="23"/>
  <c r="AD342" i="23"/>
  <c r="AH342" i="23" s="1"/>
  <c r="AH344" i="23" s="1"/>
  <c r="AC135" i="23"/>
  <c r="AL133" i="23"/>
  <c r="AD133" i="23"/>
  <c r="AD282" i="23"/>
  <c r="AC284" i="23"/>
  <c r="AL282" i="23"/>
  <c r="AC33" i="23"/>
  <c r="AL31" i="23"/>
  <c r="AD31" i="23"/>
  <c r="Z164" i="23"/>
  <c r="AK162" i="23"/>
  <c r="AA162" i="23"/>
  <c r="Z261" i="23"/>
  <c r="AK259" i="23"/>
  <c r="AA259" i="23"/>
  <c r="Z320" i="23"/>
  <c r="AA318" i="23"/>
  <c r="AK318" i="23"/>
  <c r="AH270" i="23"/>
  <c r="AH272" i="23" s="1"/>
  <c r="AK312" i="23"/>
  <c r="AA312" i="23"/>
  <c r="Z314" i="23"/>
  <c r="Z316" i="23" s="1"/>
  <c r="AK316" i="23" s="1"/>
  <c r="AD313" i="23"/>
  <c r="AH313" i="23" s="1"/>
  <c r="AH315" i="23" s="1"/>
  <c r="AC315" i="23"/>
  <c r="AL313" i="23"/>
  <c r="AD37" i="23"/>
  <c r="AH37" i="23" s="1"/>
  <c r="AH39" i="23" s="1"/>
  <c r="AC39" i="23"/>
  <c r="AL37" i="23"/>
  <c r="Z81" i="23"/>
  <c r="Z82" i="23" s="1"/>
  <c r="AK82" i="23" s="1"/>
  <c r="AA79" i="23"/>
  <c r="AH79" i="23" s="1"/>
  <c r="AH81" i="23" s="1"/>
  <c r="AK79" i="23"/>
  <c r="AK234" i="23"/>
  <c r="Z212" i="23"/>
  <c r="Z214" i="23" s="1"/>
  <c r="AK214" i="23" s="1"/>
  <c r="AK210" i="23"/>
  <c r="AK294" i="23"/>
  <c r="AA294" i="23"/>
  <c r="AK174" i="23"/>
  <c r="AA174" i="23"/>
  <c r="Z176" i="23"/>
  <c r="AC182" i="23"/>
  <c r="AL180" i="23"/>
  <c r="AD180" i="23"/>
  <c r="AD168" i="23"/>
  <c r="AL168" i="23"/>
  <c r="Z171" i="23"/>
  <c r="AK169" i="23"/>
  <c r="AA169" i="23"/>
  <c r="AH169" i="23" s="1"/>
  <c r="AH171" i="23" s="1"/>
  <c r="AC170" i="23"/>
  <c r="Z93" i="23"/>
  <c r="AK91" i="23"/>
  <c r="AA91" i="23"/>
  <c r="AC194" i="23"/>
  <c r="AL192" i="23"/>
  <c r="AD192" i="23"/>
  <c r="Z285" i="23"/>
  <c r="AK283" i="23"/>
  <c r="AA283" i="23"/>
  <c r="AA30" i="23"/>
  <c r="Z32" i="23"/>
  <c r="AD162" i="23"/>
  <c r="AC164" i="23"/>
  <c r="AL162" i="23"/>
  <c r="AD259" i="23"/>
  <c r="AC261" i="23"/>
  <c r="AC262" i="23" s="1"/>
  <c r="AL262" i="23" s="1"/>
  <c r="AL259" i="23"/>
  <c r="AL312" i="23"/>
  <c r="AD312" i="23"/>
  <c r="AC314" i="23"/>
  <c r="AL90" i="23"/>
  <c r="AL258" i="23"/>
  <c r="AP262" i="23"/>
  <c r="AD318" i="23"/>
  <c r="AA300" i="23"/>
  <c r="AL300" i="23"/>
  <c r="Z273" i="23"/>
  <c r="AC80" i="23"/>
  <c r="AA150" i="23"/>
  <c r="AD276" i="23"/>
  <c r="AD187" i="23"/>
  <c r="AC189" i="23"/>
  <c r="AL187" i="23"/>
  <c r="AK288" i="23"/>
  <c r="AC291" i="23"/>
  <c r="AC292" i="23" s="1"/>
  <c r="AL292" i="23" s="1"/>
  <c r="AL289" i="23"/>
  <c r="Z74" i="23"/>
  <c r="Z76" i="23" s="1"/>
  <c r="AK76" i="23" s="1"/>
  <c r="AC75" i="23"/>
  <c r="AC76" i="23" s="1"/>
  <c r="AL76" i="23" s="1"/>
  <c r="AL73" i="23"/>
  <c r="AD73" i="23"/>
  <c r="AC92" i="23"/>
  <c r="AC321" i="23"/>
  <c r="AC322" i="23" s="1"/>
  <c r="AL322" i="23" s="1"/>
  <c r="AK271" i="23"/>
  <c r="AK48" i="23"/>
  <c r="AK6" i="23"/>
  <c r="Z8" i="23"/>
  <c r="AL7" i="23"/>
  <c r="Z104" i="23"/>
  <c r="AD103" i="23"/>
  <c r="AL103" i="23"/>
  <c r="AC105" i="23"/>
  <c r="AA192" i="23"/>
  <c r="AA193" i="23"/>
  <c r="AK193" i="23"/>
  <c r="AD30" i="23"/>
  <c r="AA31" i="23"/>
  <c r="AK31" i="23"/>
  <c r="AD258" i="23"/>
  <c r="AD319" i="23"/>
  <c r="AD300" i="23"/>
  <c r="AN304" i="23"/>
  <c r="AC303" i="23"/>
  <c r="AC304" i="23" s="1"/>
  <c r="AL304" i="23" s="1"/>
  <c r="AL301" i="23"/>
  <c r="AL270" i="23"/>
  <c r="AC272" i="23"/>
  <c r="AA48" i="23"/>
  <c r="AH48" i="23" s="1"/>
  <c r="AH50" i="23" s="1"/>
  <c r="AM52" i="23"/>
  <c r="AA78" i="23"/>
  <c r="Z153" i="23"/>
  <c r="AK151" i="23"/>
  <c r="AK276" i="23"/>
  <c r="AC279" i="23"/>
  <c r="AC280" i="23" s="1"/>
  <c r="AL280" i="23" s="1"/>
  <c r="AL277" i="23"/>
  <c r="AD277" i="23"/>
  <c r="AH277" i="23" s="1"/>
  <c r="AH279" i="23" s="1"/>
  <c r="AC9" i="23"/>
  <c r="AC10" i="23" s="1"/>
  <c r="AL10" i="23" s="1"/>
  <c r="Z188" i="23"/>
  <c r="AK186" i="23"/>
  <c r="AA186" i="23"/>
  <c r="AH186" i="23" s="1"/>
  <c r="AH188" i="23" s="1"/>
  <c r="Z189" i="23"/>
  <c r="AK187" i="23"/>
  <c r="AA187" i="23"/>
  <c r="AD349" i="23"/>
  <c r="AC352" i="23"/>
  <c r="AL349" i="23"/>
  <c r="AL96" i="23"/>
  <c r="AD96" i="23"/>
  <c r="AC98" i="23"/>
  <c r="AD264" i="23"/>
  <c r="AC266" i="23"/>
  <c r="AC268" i="23" s="1"/>
  <c r="AL268" i="23" s="1"/>
  <c r="AL264" i="23"/>
  <c r="AL30" i="23"/>
  <c r="AD301" i="23"/>
  <c r="AN82" i="23"/>
  <c r="AC81" i="23"/>
  <c r="AL79" i="23"/>
  <c r="AA151" i="23"/>
  <c r="AH151" i="23" s="1"/>
  <c r="AH153" i="23" s="1"/>
  <c r="AD6" i="23"/>
  <c r="AL6" i="23"/>
  <c r="AL186" i="23"/>
  <c r="AC188" i="23"/>
  <c r="AA288" i="23"/>
  <c r="Z291" i="23"/>
  <c r="Z292" i="23" s="1"/>
  <c r="AK292" i="23" s="1"/>
  <c r="AK289" i="23"/>
  <c r="AA289" i="23"/>
  <c r="AH289" i="23" s="1"/>
  <c r="AH291" i="23" s="1"/>
  <c r="AK350" i="23"/>
  <c r="AA350" i="23"/>
  <c r="Z353" i="23"/>
  <c r="Z99" i="23"/>
  <c r="AK97" i="23"/>
  <c r="AA97" i="23"/>
  <c r="AH97" i="23" s="1"/>
  <c r="AH99" i="23" s="1"/>
  <c r="Z267" i="23"/>
  <c r="AK265" i="23"/>
  <c r="AA265" i="23"/>
  <c r="AA109" i="23"/>
  <c r="AH109" i="23" s="1"/>
  <c r="AH111" i="23" s="1"/>
  <c r="AK109" i="23"/>
  <c r="Z111" i="23"/>
  <c r="AA7" i="23"/>
  <c r="AH7" i="23" s="1"/>
  <c r="AH9" i="23" s="1"/>
  <c r="AK7" i="23"/>
  <c r="AD288" i="23"/>
  <c r="AA349" i="23"/>
  <c r="AK349" i="23"/>
  <c r="AD350" i="23"/>
  <c r="Z354" i="23"/>
  <c r="AL97" i="23"/>
  <c r="AC99" i="23"/>
  <c r="AA264" i="23"/>
  <c r="AD265" i="23"/>
  <c r="AL102" i="23"/>
  <c r="AP106" i="23"/>
  <c r="AA103" i="23"/>
  <c r="AO112" i="23"/>
  <c r="AP244" i="23"/>
  <c r="AC243" i="23"/>
  <c r="AC244" i="23" s="1"/>
  <c r="AL244" i="23" s="1"/>
  <c r="AD67" i="23"/>
  <c r="AC69" i="23"/>
  <c r="AL67" i="23"/>
  <c r="Z26" i="23"/>
  <c r="AC27" i="23"/>
  <c r="AD330" i="23"/>
  <c r="AC332" i="23"/>
  <c r="AL330" i="23"/>
  <c r="AD54" i="23"/>
  <c r="AL54" i="23"/>
  <c r="AN148" i="23"/>
  <c r="AC15" i="23"/>
  <c r="AL13" i="23"/>
  <c r="AD13" i="23"/>
  <c r="AP220" i="23"/>
  <c r="AC219" i="23"/>
  <c r="AK324" i="23"/>
  <c r="AA324" i="23"/>
  <c r="AH324" i="23" s="1"/>
  <c r="AH326" i="23" s="1"/>
  <c r="Z326" i="23"/>
  <c r="Z45" i="23"/>
  <c r="AK43" i="23"/>
  <c r="AA43" i="23"/>
  <c r="Z230" i="23"/>
  <c r="AK228" i="23"/>
  <c r="AA228" i="23"/>
  <c r="Z141" i="23"/>
  <c r="Z142" i="23" s="1"/>
  <c r="AK142" i="23" s="1"/>
  <c r="AK139" i="23"/>
  <c r="AA139" i="23"/>
  <c r="AH139" i="23" s="1"/>
  <c r="AH141" i="23" s="1"/>
  <c r="Z407" i="23"/>
  <c r="AH431" i="23"/>
  <c r="AK351" i="23"/>
  <c r="AK108" i="23"/>
  <c r="Z110" i="23"/>
  <c r="Z68" i="23"/>
  <c r="AK66" i="23"/>
  <c r="AA66" i="23"/>
  <c r="Z57" i="23"/>
  <c r="AK55" i="23"/>
  <c r="AA55" i="23"/>
  <c r="AH55" i="23" s="1"/>
  <c r="AH57" i="23" s="1"/>
  <c r="AD253" i="23"/>
  <c r="AC255" i="23"/>
  <c r="AL253" i="23"/>
  <c r="Z147" i="23"/>
  <c r="AK145" i="23"/>
  <c r="AA145" i="23"/>
  <c r="AD216" i="23"/>
  <c r="AL216" i="23"/>
  <c r="AK42" i="23"/>
  <c r="AA42" i="23"/>
  <c r="AH42" i="23" s="1"/>
  <c r="AH44" i="23" s="1"/>
  <c r="Z44" i="23"/>
  <c r="AD43" i="23"/>
  <c r="AC45" i="23"/>
  <c r="AL43" i="23"/>
  <c r="Z21" i="23"/>
  <c r="Z22" i="23" s="1"/>
  <c r="AK22" i="23" s="1"/>
  <c r="AK19" i="23"/>
  <c r="AA19" i="23"/>
  <c r="AH19" i="23" s="1"/>
  <c r="AH21" i="23" s="1"/>
  <c r="AD228" i="23"/>
  <c r="AC230" i="23"/>
  <c r="AL228" i="23"/>
  <c r="AL288" i="23"/>
  <c r="AA96" i="23"/>
  <c r="AK96" i="23"/>
  <c r="AA73" i="23"/>
  <c r="AK73" i="23"/>
  <c r="AL265" i="23"/>
  <c r="AD102" i="23"/>
  <c r="AK103" i="23"/>
  <c r="Z69" i="23"/>
  <c r="AK67" i="23"/>
  <c r="AA67" i="23"/>
  <c r="Z27" i="23"/>
  <c r="AK25" i="23"/>
  <c r="AA25" i="23"/>
  <c r="AH25" i="23" s="1"/>
  <c r="AH27" i="23" s="1"/>
  <c r="AK54" i="23"/>
  <c r="AA54" i="23"/>
  <c r="Z56" i="23"/>
  <c r="AL55" i="23"/>
  <c r="AM256" i="23"/>
  <c r="AK12" i="23"/>
  <c r="AA12" i="23"/>
  <c r="Z14" i="23"/>
  <c r="Z219" i="23"/>
  <c r="AK217" i="23"/>
  <c r="AA217" i="23"/>
  <c r="AH217" i="23" s="1"/>
  <c r="AH219" i="23" s="1"/>
  <c r="AC218" i="23"/>
  <c r="AH325" i="23"/>
  <c r="AH327" i="23" s="1"/>
  <c r="Z231" i="23"/>
  <c r="AK229" i="23"/>
  <c r="AA229" i="23"/>
  <c r="Z129" i="23"/>
  <c r="AK127" i="23"/>
  <c r="AA127" i="23"/>
  <c r="AH437" i="23"/>
  <c r="Z449" i="23"/>
  <c r="AK330" i="23"/>
  <c r="AA330" i="23"/>
  <c r="AO334" i="23"/>
  <c r="Z254" i="23"/>
  <c r="AK252" i="23"/>
  <c r="AA252" i="23"/>
  <c r="Z255" i="23"/>
  <c r="AK253" i="23"/>
  <c r="AA253" i="23"/>
  <c r="AC146" i="23"/>
  <c r="AL144" i="23"/>
  <c r="AD144" i="23"/>
  <c r="AD12" i="23"/>
  <c r="AC14" i="23"/>
  <c r="AL12" i="23"/>
  <c r="AK216" i="23"/>
  <c r="AA216" i="23"/>
  <c r="Z218" i="23"/>
  <c r="AL217" i="23"/>
  <c r="AC206" i="23"/>
  <c r="AC208" i="23" s="1"/>
  <c r="AL208" i="23" s="1"/>
  <c r="AL204" i="23"/>
  <c r="AD204" i="23"/>
  <c r="AC231" i="23"/>
  <c r="AL229" i="23"/>
  <c r="AD229" i="23"/>
  <c r="AK126" i="23"/>
  <c r="AA126" i="23"/>
  <c r="AH126" i="23" s="1"/>
  <c r="AH128" i="23" s="1"/>
  <c r="Z128" i="23"/>
  <c r="AD127" i="23"/>
  <c r="AC129" i="23"/>
  <c r="AL127" i="23"/>
  <c r="Z413" i="23"/>
  <c r="Z437" i="23"/>
  <c r="AC68" i="23"/>
  <c r="AC254" i="23"/>
  <c r="AL42" i="23"/>
  <c r="AL19" i="23"/>
  <c r="AC20" i="23"/>
  <c r="AC21" i="23"/>
  <c r="AL126" i="23"/>
  <c r="AL139" i="23"/>
  <c r="AC140" i="23"/>
  <c r="AC141" i="23"/>
  <c r="AM545" i="23"/>
  <c r="AM553" i="23"/>
  <c r="Z503" i="23"/>
  <c r="AC44" i="23"/>
  <c r="AC128" i="23"/>
  <c r="AL24" i="23"/>
  <c r="AL331" i="23"/>
  <c r="AL325" i="23"/>
  <c r="AC326" i="23"/>
  <c r="AC328" i="23" s="1"/>
  <c r="AL328" i="23" s="1"/>
  <c r="AA18" i="23"/>
  <c r="AH18" i="23" s="1"/>
  <c r="AH20" i="23" s="1"/>
  <c r="AK18" i="23"/>
  <c r="AK205" i="23"/>
  <c r="AA138" i="23"/>
  <c r="AK138" i="23"/>
  <c r="AP437" i="23"/>
  <c r="AL25" i="23"/>
  <c r="AL145" i="23"/>
  <c r="AL205" i="23"/>
  <c r="AC455" i="23"/>
  <c r="AC467" i="23"/>
  <c r="Z485" i="23"/>
  <c r="AC509" i="23"/>
  <c r="AM572" i="23"/>
  <c r="AM584" i="23"/>
  <c r="AM596" i="23"/>
  <c r="AM608" i="23"/>
  <c r="AM632" i="23"/>
  <c r="Z545" i="23"/>
  <c r="AH566" i="23"/>
  <c r="AM566" i="23"/>
  <c r="AM578" i="23"/>
  <c r="AM590" i="23"/>
  <c r="AM602" i="23"/>
  <c r="AM620" i="23"/>
  <c r="AM638" i="23"/>
  <c r="AM646" i="23"/>
  <c r="AM650" i="23" s="1"/>
  <c r="Z559" i="23"/>
  <c r="AC578" i="23"/>
  <c r="AC532" i="23"/>
  <c r="AM668" i="23"/>
  <c r="AM686" i="23"/>
  <c r="Z613" i="23"/>
  <c r="AO620" i="23"/>
  <c r="AC632" i="23"/>
  <c r="AC638" i="23"/>
  <c r="AC693" i="23"/>
  <c r="AC705" i="23"/>
  <c r="L262" i="12"/>
  <c r="L263" i="12"/>
  <c r="L264" i="12"/>
  <c r="L265" i="12"/>
  <c r="L266" i="12"/>
  <c r="L267" i="12"/>
  <c r="L268" i="12"/>
  <c r="L269" i="12"/>
  <c r="L270" i="12"/>
  <c r="L271" i="12"/>
  <c r="L272" i="12"/>
  <c r="L273" i="12"/>
  <c r="L274" i="12"/>
  <c r="L275" i="12"/>
  <c r="L261" i="12"/>
  <c r="L225" i="12"/>
  <c r="L226" i="12"/>
  <c r="L227" i="12"/>
  <c r="L228" i="12"/>
  <c r="L229" i="12"/>
  <c r="L230" i="12"/>
  <c r="L231" i="12"/>
  <c r="L232" i="12"/>
  <c r="L233" i="12"/>
  <c r="L234" i="12"/>
  <c r="L235" i="12"/>
  <c r="L236" i="12"/>
  <c r="L237" i="12"/>
  <c r="L238" i="12"/>
  <c r="AR238" i="12" s="1"/>
  <c r="AM238" i="12" s="1"/>
  <c r="L239" i="12"/>
  <c r="L224" i="12"/>
  <c r="AP238" i="12"/>
  <c r="AO238" i="12"/>
  <c r="AN238" i="12"/>
  <c r="AE238" i="12"/>
  <c r="AF238" i="12" s="1"/>
  <c r="AB238" i="12"/>
  <c r="AC238" i="12" s="1"/>
  <c r="AL238" i="12" s="1"/>
  <c r="Y238" i="12"/>
  <c r="Z238" i="12" s="1"/>
  <c r="L206" i="12"/>
  <c r="L207" i="12"/>
  <c r="L208" i="12"/>
  <c r="L209" i="12"/>
  <c r="L210" i="12"/>
  <c r="L211" i="12"/>
  <c r="L212" i="12"/>
  <c r="L213" i="12"/>
  <c r="L214" i="12"/>
  <c r="L215" i="12"/>
  <c r="L216" i="12"/>
  <c r="L217" i="12"/>
  <c r="L218" i="12"/>
  <c r="L219" i="12"/>
  <c r="AR219" i="12" s="1"/>
  <c r="AM219" i="12" s="1"/>
  <c r="L220" i="12"/>
  <c r="L205" i="12"/>
  <c r="AP219" i="12"/>
  <c r="AO219" i="12"/>
  <c r="AN219" i="12"/>
  <c r="AE219" i="12"/>
  <c r="AF219" i="12" s="1"/>
  <c r="AB219" i="12"/>
  <c r="AC219" i="12" s="1"/>
  <c r="Y219" i="12"/>
  <c r="Z219" i="12" s="1"/>
  <c r="Z693" i="23" l="1"/>
  <c r="Z626" i="23"/>
  <c r="AG238" i="12"/>
  <c r="AG219" i="12"/>
  <c r="Z346" i="23"/>
  <c r="AK346" i="23" s="1"/>
  <c r="AC334" i="23"/>
  <c r="AL334" i="23" s="1"/>
  <c r="Z328" i="23"/>
  <c r="AK328" i="23" s="1"/>
  <c r="Z274" i="23"/>
  <c r="AK274" i="23" s="1"/>
  <c r="Z268" i="23"/>
  <c r="AK268" i="23" s="1"/>
  <c r="AH252" i="23"/>
  <c r="AH254" i="23" s="1"/>
  <c r="AC238" i="23"/>
  <c r="AL238" i="23" s="1"/>
  <c r="AC172" i="23"/>
  <c r="AL172" i="23" s="1"/>
  <c r="AH156" i="23"/>
  <c r="AH158" i="23" s="1"/>
  <c r="AC154" i="23"/>
  <c r="AL154" i="23" s="1"/>
  <c r="AH145" i="23"/>
  <c r="AH147" i="23" s="1"/>
  <c r="Z106" i="23"/>
  <c r="AK106" i="23" s="1"/>
  <c r="AH91" i="23"/>
  <c r="AH93" i="23" s="1"/>
  <c r="AC34" i="23"/>
  <c r="AL34" i="23" s="1"/>
  <c r="AC28" i="23"/>
  <c r="AL28" i="23" s="1"/>
  <c r="Z16" i="23"/>
  <c r="AK16" i="23" s="1"/>
  <c r="AH294" i="23"/>
  <c r="AH296" i="23" s="1"/>
  <c r="Z304" i="23"/>
  <c r="AK304" i="23" s="1"/>
  <c r="Z491" i="23"/>
  <c r="AC437" i="23"/>
  <c r="AH160" i="23"/>
  <c r="AH497" i="23"/>
  <c r="AH276" i="23"/>
  <c r="AH278" i="23" s="1"/>
  <c r="AH280" i="23" s="1"/>
  <c r="AH192" i="23"/>
  <c r="AH194" i="23" s="1"/>
  <c r="AH244" i="23"/>
  <c r="AC669" i="23"/>
  <c r="AC515" i="23"/>
  <c r="Z632" i="23"/>
  <c r="AH663" i="23"/>
  <c r="AC479" i="23"/>
  <c r="AH521" i="23"/>
  <c r="AH669" i="23"/>
  <c r="Z431" i="23"/>
  <c r="AH66" i="23"/>
  <c r="AH68" i="23" s="1"/>
  <c r="AH31" i="23"/>
  <c r="AH33" i="23" s="1"/>
  <c r="AH150" i="23"/>
  <c r="AH152" i="23" s="1"/>
  <c r="AH154" i="23" s="1"/>
  <c r="Z148" i="23"/>
  <c r="AK148" i="23" s="1"/>
  <c r="Z184" i="23"/>
  <c r="AK184" i="23" s="1"/>
  <c r="AC112" i="23"/>
  <c r="AL112" i="23" s="1"/>
  <c r="AH419" i="23"/>
  <c r="AH509" i="23"/>
  <c r="AH620" i="23"/>
  <c r="AH138" i="23"/>
  <c r="AH140" i="23" s="1"/>
  <c r="Z154" i="23"/>
  <c r="AK154" i="23" s="1"/>
  <c r="AC94" i="23"/>
  <c r="AL94" i="23" s="1"/>
  <c r="AH78" i="23"/>
  <c r="AH80" i="23" s="1"/>
  <c r="Z10" i="23"/>
  <c r="AK10" i="23" s="1"/>
  <c r="AH234" i="23"/>
  <c r="AH236" i="23" s="1"/>
  <c r="AH608" i="23"/>
  <c r="AC553" i="23"/>
  <c r="AC473" i="23"/>
  <c r="AH204" i="23"/>
  <c r="AH206" i="23" s="1"/>
  <c r="AC148" i="23"/>
  <c r="AL148" i="23" s="1"/>
  <c r="AC106" i="23"/>
  <c r="AL106" i="23" s="1"/>
  <c r="AC602" i="23"/>
  <c r="AH73" i="23"/>
  <c r="AH75" i="23" s="1"/>
  <c r="Z467" i="23"/>
  <c r="AC646" i="23"/>
  <c r="AH693" i="23"/>
  <c r="Z310" i="23"/>
  <c r="AK310" i="23" s="1"/>
  <c r="AC425" i="23"/>
  <c r="Z160" i="23"/>
  <c r="AK160" i="23" s="1"/>
  <c r="Z419" i="23"/>
  <c r="Z509" i="23"/>
  <c r="AC521" i="23"/>
  <c r="Z473" i="23"/>
  <c r="AH425" i="23"/>
  <c r="AH485" i="23"/>
  <c r="Z620" i="23"/>
  <c r="AH22" i="23"/>
  <c r="AH187" i="23"/>
  <c r="AH189" i="23" s="1"/>
  <c r="AH190" i="23" s="1"/>
  <c r="AC346" i="23"/>
  <c r="AL346" i="23" s="1"/>
  <c r="Z52" i="23"/>
  <c r="AK52" i="23" s="1"/>
  <c r="AC202" i="23"/>
  <c r="AL202" i="23" s="1"/>
  <c r="Z578" i="23"/>
  <c r="Z566" i="23"/>
  <c r="AC443" i="23"/>
  <c r="Z455" i="23"/>
  <c r="AC419" i="23"/>
  <c r="AC413" i="23"/>
  <c r="AH638" i="23"/>
  <c r="AH596" i="23"/>
  <c r="Z244" i="23"/>
  <c r="AK244" i="23" s="1"/>
  <c r="AH681" i="23"/>
  <c r="AC584" i="23"/>
  <c r="AH705" i="23"/>
  <c r="AH675" i="23"/>
  <c r="AC503" i="23"/>
  <c r="AC256" i="23"/>
  <c r="AL256" i="23" s="1"/>
  <c r="AH559" i="23"/>
  <c r="Z425" i="23"/>
  <c r="AH553" i="23"/>
  <c r="Z602" i="23"/>
  <c r="AH330" i="23"/>
  <c r="AH332" i="23" s="1"/>
  <c r="AH283" i="23"/>
  <c r="AH285" i="23" s="1"/>
  <c r="AH295" i="23"/>
  <c r="AH297" i="23" s="1"/>
  <c r="AC614" i="23"/>
  <c r="Z280" i="23"/>
  <c r="AK280" i="23" s="1"/>
  <c r="Z443" i="23"/>
  <c r="Z515" i="23"/>
  <c r="AC675" i="23"/>
  <c r="Z669" i="23"/>
  <c r="AH614" i="23"/>
  <c r="AC52" i="23"/>
  <c r="AL52" i="23" s="1"/>
  <c r="Z553" i="23"/>
  <c r="AC449" i="23"/>
  <c r="AC407" i="23"/>
  <c r="Z584" i="23"/>
  <c r="AH503" i="23"/>
  <c r="AC533" i="23"/>
  <c r="AC46" i="23"/>
  <c r="AL46" i="23" s="1"/>
  <c r="AH13" i="23"/>
  <c r="AH15" i="23" s="1"/>
  <c r="Z100" i="23"/>
  <c r="AK100" i="23" s="1"/>
  <c r="AC274" i="23"/>
  <c r="AL274" i="23" s="1"/>
  <c r="AH193" i="23"/>
  <c r="AH195" i="23" s="1"/>
  <c r="Z34" i="23"/>
  <c r="AK34" i="23" s="1"/>
  <c r="Z178" i="23"/>
  <c r="AK178" i="23" s="1"/>
  <c r="Z675" i="23"/>
  <c r="AH602" i="23"/>
  <c r="AC559" i="23"/>
  <c r="AH205" i="23"/>
  <c r="AH207" i="23" s="1"/>
  <c r="AH144" i="23"/>
  <c r="AH146" i="23" s="1"/>
  <c r="Z614" i="23"/>
  <c r="AC355" i="23"/>
  <c r="AL355" i="23" s="1"/>
  <c r="AH473" i="23"/>
  <c r="AH572" i="23"/>
  <c r="Z479" i="23"/>
  <c r="AC461" i="23"/>
  <c r="Z596" i="23"/>
  <c r="AH461" i="23"/>
  <c r="AH349" i="23"/>
  <c r="AH352" i="23" s="1"/>
  <c r="AH578" i="23"/>
  <c r="AC190" i="23"/>
  <c r="AL190" i="23" s="1"/>
  <c r="Z298" i="23"/>
  <c r="AK298" i="23" s="1"/>
  <c r="Z40" i="23"/>
  <c r="AK40" i="23" s="1"/>
  <c r="Z608" i="23"/>
  <c r="AH479" i="23"/>
  <c r="AH491" i="23"/>
  <c r="AH515" i="23"/>
  <c r="AH96" i="23"/>
  <c r="AH98" i="23" s="1"/>
  <c r="AH100" i="23" s="1"/>
  <c r="AC286" i="23"/>
  <c r="AL286" i="23" s="1"/>
  <c r="AH467" i="23"/>
  <c r="Z521" i="23"/>
  <c r="AH632" i="23"/>
  <c r="AC485" i="23"/>
  <c r="Z208" i="23"/>
  <c r="AK208" i="23" s="1"/>
  <c r="AH545" i="23"/>
  <c r="Z663" i="23"/>
  <c r="Z130" i="23"/>
  <c r="AK130" i="23" s="1"/>
  <c r="Z334" i="23"/>
  <c r="AK334" i="23" s="1"/>
  <c r="Z112" i="23"/>
  <c r="AK112" i="23" s="1"/>
  <c r="AH253" i="23"/>
  <c r="AH255" i="23" s="1"/>
  <c r="AH67" i="23"/>
  <c r="AH69" i="23" s="1"/>
  <c r="AH82" i="23"/>
  <c r="AH174" i="23"/>
  <c r="AH176" i="23" s="1"/>
  <c r="AH178" i="23" s="1"/>
  <c r="Z226" i="23"/>
  <c r="AK226" i="23" s="1"/>
  <c r="AH198" i="23"/>
  <c r="AH200" i="23" s="1"/>
  <c r="AC214" i="23"/>
  <c r="AL214" i="23" s="1"/>
  <c r="AC118" i="23"/>
  <c r="AL118" i="23" s="1"/>
  <c r="Z646" i="23"/>
  <c r="AH533" i="23"/>
  <c r="Z638" i="23"/>
  <c r="Z590" i="23"/>
  <c r="AH657" i="23"/>
  <c r="AH449" i="23"/>
  <c r="AC657" i="23"/>
  <c r="Z657" i="23"/>
  <c r="Z220" i="23"/>
  <c r="AK220" i="23" s="1"/>
  <c r="AH216" i="23"/>
  <c r="AH218" i="23" s="1"/>
  <c r="AH220" i="23" s="1"/>
  <c r="AH54" i="23"/>
  <c r="AH56" i="23" s="1"/>
  <c r="AH58" i="23" s="1"/>
  <c r="AC316" i="23"/>
  <c r="AL316" i="23" s="1"/>
  <c r="AC196" i="23"/>
  <c r="AL196" i="23" s="1"/>
  <c r="Z322" i="23"/>
  <c r="AK322" i="23" s="1"/>
  <c r="AH346" i="23"/>
  <c r="AC160" i="23"/>
  <c r="AL160" i="23" s="1"/>
  <c r="AH455" i="23"/>
  <c r="AC590" i="23"/>
  <c r="AH340" i="23"/>
  <c r="AH646" i="23"/>
  <c r="AH527" i="23"/>
  <c r="AH539" i="23"/>
  <c r="AH127" i="23"/>
  <c r="AH129" i="23" s="1"/>
  <c r="AH130" i="23" s="1"/>
  <c r="Z28" i="23"/>
  <c r="AK28" i="23" s="1"/>
  <c r="AH112" i="23"/>
  <c r="Z355" i="23"/>
  <c r="AK355" i="23" s="1"/>
  <c r="Z94" i="23"/>
  <c r="AK94" i="23" s="1"/>
  <c r="AC100" i="23"/>
  <c r="AL100" i="23" s="1"/>
  <c r="AC82" i="23"/>
  <c r="AL82" i="23" s="1"/>
  <c r="AH180" i="23"/>
  <c r="AH182" i="23" s="1"/>
  <c r="AH184" i="23" s="1"/>
  <c r="AH319" i="23"/>
  <c r="AH321" i="23" s="1"/>
  <c r="AH258" i="23"/>
  <c r="AH260" i="23" s="1"/>
  <c r="AC298" i="23"/>
  <c r="AL298" i="23" s="1"/>
  <c r="AH235" i="23"/>
  <c r="AH237" i="23" s="1"/>
  <c r="AH331" i="23"/>
  <c r="AH333" i="23" s="1"/>
  <c r="AH28" i="23"/>
  <c r="Z70" i="23"/>
  <c r="AK70" i="23" s="1"/>
  <c r="AH282" i="23"/>
  <c r="AH284" i="23" s="1"/>
  <c r="AH40" i="23"/>
  <c r="AH274" i="23"/>
  <c r="AH250" i="23"/>
  <c r="AH88" i="23"/>
  <c r="Z286" i="23"/>
  <c r="AK286" i="23" s="1"/>
  <c r="AH301" i="23"/>
  <c r="AH303" i="23" s="1"/>
  <c r="AC142" i="23"/>
  <c r="AL142" i="23" s="1"/>
  <c r="AC22" i="23"/>
  <c r="AL22" i="23" s="1"/>
  <c r="AC70" i="23"/>
  <c r="AL70" i="23" s="1"/>
  <c r="Z256" i="23"/>
  <c r="AK256" i="23" s="1"/>
  <c r="AH229" i="23"/>
  <c r="AH231" i="23" s="1"/>
  <c r="Z58" i="23"/>
  <c r="AK58" i="23" s="1"/>
  <c r="AC232" i="23"/>
  <c r="AL232" i="23" s="1"/>
  <c r="Z46" i="23"/>
  <c r="AK46" i="23" s="1"/>
  <c r="Z232" i="23"/>
  <c r="AK232" i="23" s="1"/>
  <c r="AH6" i="23"/>
  <c r="AH8" i="23" s="1"/>
  <c r="AH10" i="23" s="1"/>
  <c r="AH72" i="23"/>
  <c r="AH74" i="23" s="1"/>
  <c r="AH30" i="23"/>
  <c r="AH32" i="23" s="1"/>
  <c r="AH312" i="23"/>
  <c r="AH314" i="23" s="1"/>
  <c r="AH316" i="23" s="1"/>
  <c r="AH259" i="23"/>
  <c r="AH261" i="23" s="1"/>
  <c r="AH162" i="23"/>
  <c r="AH164" i="23" s="1"/>
  <c r="AC64" i="23"/>
  <c r="AL64" i="23" s="1"/>
  <c r="AH94" i="23"/>
  <c r="AH60" i="23"/>
  <c r="AH62" i="23" s="1"/>
  <c r="AH64" i="23" s="1"/>
  <c r="AH49" i="23"/>
  <c r="AH51" i="23" s="1"/>
  <c r="AH52" i="23" s="1"/>
  <c r="AH115" i="23"/>
  <c r="AH117" i="23" s="1"/>
  <c r="AH118" i="23" s="1"/>
  <c r="AH223" i="23"/>
  <c r="AH225" i="23" s="1"/>
  <c r="AH226" i="23" s="1"/>
  <c r="AH168" i="23"/>
  <c r="AH170" i="23" s="1"/>
  <c r="AH172" i="23" s="1"/>
  <c r="AH142" i="23"/>
  <c r="AH43" i="23"/>
  <c r="AH45" i="23" s="1"/>
  <c r="AH46" i="23" s="1"/>
  <c r="AH328" i="23"/>
  <c r="AH350" i="23"/>
  <c r="AH353" i="23" s="1"/>
  <c r="AH102" i="23"/>
  <c r="AH104" i="23" s="1"/>
  <c r="AC166" i="23"/>
  <c r="AL166" i="23" s="1"/>
  <c r="AC40" i="23"/>
  <c r="AL40" i="23" s="1"/>
  <c r="AH163" i="23"/>
  <c r="AH165" i="23" s="1"/>
  <c r="AH310" i="23"/>
  <c r="AH12" i="23"/>
  <c r="AH14" i="23" s="1"/>
  <c r="AC136" i="23"/>
  <c r="AL136" i="23" s="1"/>
  <c r="AC130" i="23"/>
  <c r="AL130" i="23" s="1"/>
  <c r="AC16" i="23"/>
  <c r="AL16" i="23" s="1"/>
  <c r="AC220" i="23"/>
  <c r="AL220" i="23" s="1"/>
  <c r="AH228" i="23"/>
  <c r="AH230" i="23" s="1"/>
  <c r="AH103" i="23"/>
  <c r="AH105" i="23" s="1"/>
  <c r="AH264" i="23"/>
  <c r="AH266" i="23" s="1"/>
  <c r="AH265" i="23"/>
  <c r="AH267" i="23" s="1"/>
  <c r="AH288" i="23"/>
  <c r="AH290" i="23" s="1"/>
  <c r="AH292" i="23" s="1"/>
  <c r="Z190" i="23"/>
  <c r="AK190" i="23" s="1"/>
  <c r="AH300" i="23"/>
  <c r="AH302" i="23" s="1"/>
  <c r="AC184" i="23"/>
  <c r="AL184" i="23" s="1"/>
  <c r="AH318" i="23"/>
  <c r="AH320" i="23" s="1"/>
  <c r="Z166" i="23"/>
  <c r="AK166" i="23" s="1"/>
  <c r="Z172" i="23"/>
  <c r="AK172" i="23" s="1"/>
  <c r="AH133" i="23"/>
  <c r="AH135" i="23" s="1"/>
  <c r="AH136" i="23" s="1"/>
  <c r="Z262" i="23"/>
  <c r="AK262" i="23" s="1"/>
  <c r="AC310" i="23"/>
  <c r="AL310" i="23" s="1"/>
  <c r="AH211" i="23"/>
  <c r="AH213" i="23" s="1"/>
  <c r="AH214" i="23" s="1"/>
  <c r="AH199" i="23"/>
  <c r="AH201" i="23" s="1"/>
  <c r="AK238" i="12"/>
  <c r="AA238" i="12"/>
  <c r="AD238" i="12"/>
  <c r="AK219" i="12"/>
  <c r="AA219" i="12"/>
  <c r="AD219" i="12"/>
  <c r="AL219" i="12"/>
  <c r="L244" i="12"/>
  <c r="L245" i="12"/>
  <c r="L246" i="12"/>
  <c r="L247" i="12"/>
  <c r="L248" i="12"/>
  <c r="L249" i="12"/>
  <c r="L250" i="12"/>
  <c r="L251" i="12"/>
  <c r="L252" i="12"/>
  <c r="L253" i="12"/>
  <c r="L254" i="12"/>
  <c r="L255" i="12"/>
  <c r="L256" i="12"/>
  <c r="L257" i="12"/>
  <c r="L243" i="12"/>
  <c r="L188" i="12"/>
  <c r="L189" i="12"/>
  <c r="L190" i="12"/>
  <c r="L191" i="12"/>
  <c r="L192" i="12"/>
  <c r="L193" i="12"/>
  <c r="L194" i="12"/>
  <c r="L195" i="12"/>
  <c r="L196" i="12"/>
  <c r="L197" i="12"/>
  <c r="L198" i="12"/>
  <c r="L199" i="12"/>
  <c r="L200" i="12"/>
  <c r="L201" i="12"/>
  <c r="L187" i="12"/>
  <c r="L170" i="12"/>
  <c r="L171" i="12"/>
  <c r="L172" i="12"/>
  <c r="L173" i="12"/>
  <c r="L174" i="12"/>
  <c r="L175" i="12"/>
  <c r="L176" i="12"/>
  <c r="L177" i="12"/>
  <c r="L178" i="12"/>
  <c r="L179" i="12"/>
  <c r="L180" i="12"/>
  <c r="L181" i="12"/>
  <c r="L182" i="12"/>
  <c r="L183" i="12"/>
  <c r="L169" i="12"/>
  <c r="L152" i="12"/>
  <c r="L153" i="12"/>
  <c r="L154" i="12"/>
  <c r="L155" i="12"/>
  <c r="L156" i="12"/>
  <c r="L157" i="12"/>
  <c r="L158" i="12"/>
  <c r="L159" i="12"/>
  <c r="L160" i="12"/>
  <c r="L161" i="12"/>
  <c r="L162" i="12"/>
  <c r="L163" i="12"/>
  <c r="L164" i="12"/>
  <c r="L165" i="12"/>
  <c r="L151" i="12"/>
  <c r="AH256" i="23" l="1"/>
  <c r="AH148" i="23"/>
  <c r="AH70" i="23"/>
  <c r="AH34" i="23"/>
  <c r="AH298" i="23"/>
  <c r="AH76" i="23"/>
  <c r="AH286" i="23"/>
  <c r="AH196" i="23"/>
  <c r="AH208" i="23"/>
  <c r="AH238" i="23"/>
  <c r="AH322" i="23"/>
  <c r="AH16" i="23"/>
  <c r="AH355" i="23"/>
  <c r="AH334" i="23"/>
  <c r="AH202" i="23"/>
  <c r="AH268" i="23"/>
  <c r="AH166" i="23"/>
  <c r="AH232" i="23"/>
  <c r="AH262" i="23"/>
  <c r="AH106" i="23"/>
  <c r="AH304" i="23"/>
  <c r="AH238" i="12"/>
  <c r="AH219" i="12"/>
  <c r="L133" i="12"/>
  <c r="L134" i="12"/>
  <c r="L135" i="12"/>
  <c r="L136" i="12"/>
  <c r="L137" i="12"/>
  <c r="L138" i="12"/>
  <c r="L139" i="12"/>
  <c r="L140" i="12"/>
  <c r="L141" i="12"/>
  <c r="L142" i="12"/>
  <c r="L143" i="12"/>
  <c r="L144" i="12"/>
  <c r="L145" i="12"/>
  <c r="L146" i="12"/>
  <c r="AR146" i="12" s="1"/>
  <c r="AM146" i="12" s="1"/>
  <c r="L147" i="12"/>
  <c r="L132" i="12"/>
  <c r="AP146" i="12"/>
  <c r="AO146" i="12"/>
  <c r="AN146" i="12"/>
  <c r="AE146" i="12"/>
  <c r="AF146" i="12" s="1"/>
  <c r="AB146" i="12"/>
  <c r="AC146" i="12" s="1"/>
  <c r="AL146" i="12" s="1"/>
  <c r="Y146" i="12"/>
  <c r="Z146" i="12" s="1"/>
  <c r="AR145" i="12"/>
  <c r="AM145" i="12" s="1"/>
  <c r="AP145" i="12"/>
  <c r="AO145" i="12"/>
  <c r="AN145" i="12"/>
  <c r="AG145" i="12"/>
  <c r="AE145" i="12"/>
  <c r="AF145" i="12" s="1"/>
  <c r="AB145" i="12"/>
  <c r="AC145" i="12" s="1"/>
  <c r="AD145" i="12" s="1"/>
  <c r="Y145" i="12"/>
  <c r="Z145" i="12" s="1"/>
  <c r="L114" i="12"/>
  <c r="L115" i="12"/>
  <c r="L116" i="12"/>
  <c r="L117" i="12"/>
  <c r="L118" i="12"/>
  <c r="L119" i="12"/>
  <c r="L120" i="12"/>
  <c r="L121" i="12"/>
  <c r="L122" i="12"/>
  <c r="L123" i="12"/>
  <c r="L124" i="12"/>
  <c r="L125" i="12"/>
  <c r="AG125" i="12" s="1"/>
  <c r="L126" i="12"/>
  <c r="AG126" i="12" s="1"/>
  <c r="L127" i="12"/>
  <c r="L128" i="12"/>
  <c r="L113" i="12"/>
  <c r="AR126" i="12"/>
  <c r="AP126" i="12"/>
  <c r="AO126" i="12"/>
  <c r="AN126" i="12"/>
  <c r="AM126" i="12"/>
  <c r="AE126" i="12"/>
  <c r="AF126" i="12" s="1"/>
  <c r="AB126" i="12"/>
  <c r="AC126" i="12" s="1"/>
  <c r="Y126" i="12"/>
  <c r="Z126" i="12" s="1"/>
  <c r="AP125" i="12"/>
  <c r="AO125" i="12"/>
  <c r="AN125" i="12"/>
  <c r="AE125" i="12"/>
  <c r="AF125" i="12" s="1"/>
  <c r="AB125" i="12"/>
  <c r="AC125" i="12" s="1"/>
  <c r="Y125" i="12"/>
  <c r="Z125" i="12" s="1"/>
  <c r="L95" i="12"/>
  <c r="L96" i="12"/>
  <c r="L97" i="12"/>
  <c r="L98" i="12"/>
  <c r="L99" i="12"/>
  <c r="L100" i="12"/>
  <c r="L101" i="12"/>
  <c r="L102" i="12"/>
  <c r="L103" i="12"/>
  <c r="L104" i="12"/>
  <c r="L105" i="12"/>
  <c r="L106" i="12"/>
  <c r="L107" i="12"/>
  <c r="L108" i="12"/>
  <c r="AR108" i="12" s="1"/>
  <c r="AM108" i="12" s="1"/>
  <c r="L109" i="12"/>
  <c r="L94" i="12"/>
  <c r="L76" i="12"/>
  <c r="L77" i="12"/>
  <c r="L78" i="12"/>
  <c r="L79" i="12"/>
  <c r="L80" i="12"/>
  <c r="L81" i="12"/>
  <c r="L82" i="12"/>
  <c r="L83" i="12"/>
  <c r="L84" i="12"/>
  <c r="L85" i="12"/>
  <c r="L86" i="12"/>
  <c r="L87" i="12"/>
  <c r="L88" i="12"/>
  <c r="AR88" i="12" s="1"/>
  <c r="AM88" i="12" s="1"/>
  <c r="L89" i="12"/>
  <c r="AR89" i="12" s="1"/>
  <c r="AM89" i="12" s="1"/>
  <c r="L90" i="12"/>
  <c r="AR90" i="12" s="1"/>
  <c r="AM90" i="12" s="1"/>
  <c r="L75" i="12"/>
  <c r="AP108" i="12"/>
  <c r="AO108" i="12"/>
  <c r="AN108" i="12"/>
  <c r="AE108" i="12"/>
  <c r="AF108" i="12" s="1"/>
  <c r="AB108" i="12"/>
  <c r="AC108" i="12" s="1"/>
  <c r="Y108" i="12"/>
  <c r="Z108" i="12" s="1"/>
  <c r="AN90" i="12"/>
  <c r="AO90" i="12"/>
  <c r="AP90" i="12"/>
  <c r="AN88" i="12"/>
  <c r="AO88" i="12"/>
  <c r="AP88" i="12"/>
  <c r="AN89" i="12"/>
  <c r="AO89" i="12"/>
  <c r="AP89" i="12"/>
  <c r="Y88" i="12"/>
  <c r="Z88" i="12" s="1"/>
  <c r="AA88" i="12" s="1"/>
  <c r="AB88" i="12"/>
  <c r="AC88" i="12" s="1"/>
  <c r="AD88" i="12" s="1"/>
  <c r="AE88" i="12"/>
  <c r="AF88" i="12" s="1"/>
  <c r="Y89" i="12"/>
  <c r="Z89" i="12" s="1"/>
  <c r="AA89" i="12" s="1"/>
  <c r="AB89" i="12"/>
  <c r="AC89" i="12" s="1"/>
  <c r="AD89" i="12" s="1"/>
  <c r="AE89" i="12"/>
  <c r="AF89" i="12" s="1"/>
  <c r="Y90" i="12"/>
  <c r="Z90" i="12" s="1"/>
  <c r="AK90" i="12" s="1"/>
  <c r="AB90" i="12"/>
  <c r="AC90" i="12" s="1"/>
  <c r="AL90" i="12" s="1"/>
  <c r="AE90" i="12"/>
  <c r="AF90" i="12" s="1"/>
  <c r="AG146" i="12" l="1"/>
  <c r="AG89" i="12"/>
  <c r="AH89" i="12" s="1"/>
  <c r="AA90" i="12"/>
  <c r="AK145" i="12"/>
  <c r="AA145" i="12"/>
  <c r="AH145" i="12" s="1"/>
  <c r="AK146" i="12"/>
  <c r="AA146" i="12"/>
  <c r="AD146" i="12"/>
  <c r="AL145" i="12"/>
  <c r="AR125" i="12"/>
  <c r="AM125" i="12" s="1"/>
  <c r="AD125" i="12"/>
  <c r="AL125" i="12"/>
  <c r="AK126" i="12"/>
  <c r="AA126" i="12"/>
  <c r="AL126" i="12"/>
  <c r="AD126" i="12"/>
  <c r="AK125" i="12"/>
  <c r="AA125" i="12"/>
  <c r="AG88" i="12"/>
  <c r="AH88" i="12" s="1"/>
  <c r="AG108" i="12"/>
  <c r="AG90" i="12"/>
  <c r="AK108" i="12"/>
  <c r="AA108" i="12"/>
  <c r="AL108" i="12"/>
  <c r="AD108" i="12"/>
  <c r="AD90" i="12"/>
  <c r="L58" i="12"/>
  <c r="L59" i="12"/>
  <c r="L60" i="12"/>
  <c r="L61" i="12"/>
  <c r="L62" i="12"/>
  <c r="L63" i="12"/>
  <c r="L64" i="12"/>
  <c r="L65" i="12"/>
  <c r="L66" i="12"/>
  <c r="L67" i="12"/>
  <c r="L68" i="12"/>
  <c r="L69" i="12"/>
  <c r="L70" i="12"/>
  <c r="L71" i="12"/>
  <c r="L57" i="12"/>
  <c r="AH146" i="12" l="1"/>
  <c r="AH90" i="12"/>
  <c r="AH125" i="12"/>
  <c r="AH126" i="12"/>
  <c r="AH108" i="12"/>
  <c r="L40" i="12"/>
  <c r="L41" i="12"/>
  <c r="L42" i="12"/>
  <c r="L43" i="12"/>
  <c r="L44" i="12"/>
  <c r="L45" i="12"/>
  <c r="L46" i="12"/>
  <c r="L47" i="12"/>
  <c r="L48" i="12"/>
  <c r="L49" i="12"/>
  <c r="L50" i="12"/>
  <c r="L51" i="12"/>
  <c r="L52" i="12"/>
  <c r="L53" i="12"/>
  <c r="L39" i="12"/>
  <c r="L21" i="12"/>
  <c r="L22" i="12"/>
  <c r="L23" i="12"/>
  <c r="L24" i="12"/>
  <c r="L25" i="12"/>
  <c r="L26" i="12"/>
  <c r="L27" i="12"/>
  <c r="L29" i="12"/>
  <c r="L30" i="12"/>
  <c r="L31" i="12"/>
  <c r="L32" i="12"/>
  <c r="L33" i="12"/>
  <c r="L34" i="12"/>
  <c r="L35" i="12"/>
  <c r="L20" i="12"/>
  <c r="AP4" i="12"/>
  <c r="AP5" i="12"/>
  <c r="AP6" i="12"/>
  <c r="AP7" i="12"/>
  <c r="AP8" i="12"/>
  <c r="AP9" i="12"/>
  <c r="AP10" i="12"/>
  <c r="AP11" i="12"/>
  <c r="AP12" i="12"/>
  <c r="AP13" i="12"/>
  <c r="AP14" i="12"/>
  <c r="AP15" i="12"/>
  <c r="AP16" i="12"/>
  <c r="AP3" i="12"/>
  <c r="AM29" i="12" l="1"/>
  <c r="AB4" i="12"/>
  <c r="AB5" i="12"/>
  <c r="AB6" i="12"/>
  <c r="AB7" i="12"/>
  <c r="AB8" i="12"/>
  <c r="AB9" i="12"/>
  <c r="AB10" i="12"/>
  <c r="AB11" i="12"/>
  <c r="AB12" i="12"/>
  <c r="AB13" i="12"/>
  <c r="AB14" i="12"/>
  <c r="AB15" i="12"/>
  <c r="AB16" i="12"/>
  <c r="AB3" i="12"/>
  <c r="Y4" i="12"/>
  <c r="Y5" i="12"/>
  <c r="Y6" i="12"/>
  <c r="Y7" i="12"/>
  <c r="Y8" i="12"/>
  <c r="Y9" i="12"/>
  <c r="Y10" i="12"/>
  <c r="Y11" i="12"/>
  <c r="Y12" i="12"/>
  <c r="Y13" i="12"/>
  <c r="Y14" i="12"/>
  <c r="Y15" i="12"/>
  <c r="Y16" i="12"/>
  <c r="Y3" i="12"/>
  <c r="L16" i="12"/>
  <c r="L15" i="12"/>
  <c r="L14" i="12"/>
  <c r="L13" i="12"/>
  <c r="L12" i="12"/>
  <c r="L11" i="12"/>
  <c r="L10" i="12"/>
  <c r="L9" i="12"/>
  <c r="L8" i="12"/>
  <c r="L7" i="12"/>
  <c r="L6" i="12"/>
  <c r="L5" i="12"/>
  <c r="L4" i="12"/>
  <c r="L3" i="12"/>
  <c r="M23" i="2" l="1"/>
  <c r="M7" i="2"/>
  <c r="M31" i="2"/>
  <c r="M8" i="2"/>
  <c r="M3" i="2"/>
  <c r="M14" i="2"/>
  <c r="M10" i="2"/>
  <c r="M19" i="2"/>
  <c r="M15" i="2"/>
  <c r="M16" i="2"/>
  <c r="M11" i="2"/>
  <c r="M28" i="2"/>
  <c r="M20" i="2"/>
  <c r="M5" i="2"/>
  <c r="M12" i="2"/>
  <c r="M22" i="2"/>
  <c r="M29" i="2"/>
  <c r="M6" i="2"/>
  <c r="M27" i="2"/>
  <c r="M24" i="2"/>
  <c r="M18" i="2"/>
  <c r="M9" i="2"/>
  <c r="M13" i="2"/>
  <c r="M17" i="2"/>
  <c r="M4" i="2"/>
  <c r="M26" i="2"/>
  <c r="M21" i="2"/>
  <c r="M25" i="2"/>
  <c r="M30" i="2"/>
  <c r="L2" i="12"/>
  <c r="L2" i="11"/>
  <c r="M1" i="1"/>
  <c r="M15" i="1"/>
  <c r="M6" i="1"/>
  <c r="M4" i="1"/>
  <c r="M16" i="1"/>
  <c r="M14" i="1"/>
  <c r="M28" i="1"/>
  <c r="M13" i="1"/>
  <c r="M24" i="1"/>
  <c r="M25" i="1"/>
  <c r="M22" i="1"/>
  <c r="M9" i="1"/>
  <c r="M7" i="1"/>
  <c r="M10" i="1"/>
  <c r="M27" i="1"/>
  <c r="M12" i="1"/>
  <c r="M17" i="1"/>
  <c r="M8" i="1"/>
  <c r="M26" i="1"/>
  <c r="M29" i="1"/>
  <c r="M20" i="1"/>
  <c r="M19" i="1"/>
  <c r="M23" i="1"/>
  <c r="M18" i="1"/>
  <c r="M5" i="1"/>
  <c r="M21" i="1"/>
  <c r="M11" i="1"/>
  <c r="M3" i="1"/>
  <c r="O13" i="4"/>
  <c r="O16" i="4" s="1"/>
  <c r="O19" i="4" s="1"/>
  <c r="O22" i="4" s="1"/>
  <c r="O25" i="4" s="1"/>
  <c r="O28" i="4" s="1"/>
  <c r="O31" i="4" s="1"/>
  <c r="O34" i="4" s="1"/>
  <c r="O37" i="4" s="1"/>
  <c r="O40" i="4" s="1"/>
  <c r="O43" i="4" s="1"/>
  <c r="O46" i="4" s="1"/>
  <c r="O49" i="4" s="1"/>
  <c r="O52" i="4" s="1"/>
  <c r="O55" i="4" s="1"/>
  <c r="O58" i="4" s="1"/>
  <c r="O61" i="4" s="1"/>
  <c r="O64" i="4" s="1"/>
  <c r="O67" i="4" s="1"/>
  <c r="O70" i="4" s="1"/>
  <c r="O73" i="4" s="1"/>
  <c r="O76" i="4" s="1"/>
  <c r="O79" i="4" s="1"/>
  <c r="O82" i="4" s="1"/>
  <c r="O85" i="4" s="1"/>
  <c r="O88" i="4" s="1"/>
  <c r="O91" i="4" s="1"/>
  <c r="O94" i="4" s="1"/>
  <c r="O97" i="4" s="1"/>
  <c r="O100" i="4" s="1"/>
  <c r="O103" i="4" s="1"/>
  <c r="O106" i="4" s="1"/>
  <c r="O109" i="4" s="1"/>
  <c r="O112" i="4" s="1"/>
  <c r="O115" i="4" s="1"/>
  <c r="O118" i="4" s="1"/>
  <c r="O121" i="4" s="1"/>
  <c r="O124" i="4" s="1"/>
  <c r="O127" i="4" s="1"/>
  <c r="O130" i="4" s="1"/>
  <c r="O133" i="4" s="1"/>
  <c r="O136" i="4" s="1"/>
  <c r="O139" i="4" s="1"/>
  <c r="O142" i="4" s="1"/>
  <c r="O145" i="4" s="1"/>
  <c r="O148" i="4" s="1"/>
  <c r="O151" i="4" s="1"/>
  <c r="O154" i="4" s="1"/>
  <c r="O157" i="4" s="1"/>
  <c r="O160" i="4" s="1"/>
  <c r="O163" i="4" s="1"/>
  <c r="O166" i="4" s="1"/>
  <c r="O169" i="4" s="1"/>
  <c r="O172" i="4" s="1"/>
  <c r="O175" i="4" s="1"/>
  <c r="O178" i="4" s="1"/>
  <c r="O181" i="4" s="1"/>
  <c r="O184" i="4" s="1"/>
  <c r="O187" i="4" s="1"/>
  <c r="O190" i="4" s="1"/>
  <c r="O193" i="4" s="1"/>
  <c r="O196" i="4" s="1"/>
  <c r="O199" i="4" s="1"/>
  <c r="O202" i="4" s="1"/>
  <c r="O205" i="4" s="1"/>
  <c r="O208" i="4" s="1"/>
  <c r="O211" i="4" s="1"/>
  <c r="O214" i="4" s="1"/>
  <c r="O217" i="4" s="1"/>
  <c r="O220" i="4" s="1"/>
  <c r="O223" i="4" s="1"/>
  <c r="O226" i="4" s="1"/>
  <c r="O229" i="4" s="1"/>
  <c r="O232" i="4" s="1"/>
  <c r="O235" i="4" s="1"/>
  <c r="O238" i="4" s="1"/>
  <c r="O241" i="4" s="1"/>
  <c r="O244" i="4" s="1"/>
  <c r="O247" i="4" s="1"/>
  <c r="O250" i="4" s="1"/>
  <c r="O253" i="4" s="1"/>
  <c r="P13" i="4"/>
  <c r="P16" i="4" s="1"/>
  <c r="P19" i="4" s="1"/>
  <c r="P22" i="4" s="1"/>
  <c r="O14" i="4"/>
  <c r="O17" i="4" s="1"/>
  <c r="P14" i="4"/>
  <c r="O15" i="4"/>
  <c r="P15" i="4"/>
  <c r="P18" i="4" s="1"/>
  <c r="P17" i="4"/>
  <c r="P20" i="4" s="1"/>
  <c r="O18" i="4"/>
  <c r="O21" i="4" s="1"/>
  <c r="O24" i="4" s="1"/>
  <c r="O27" i="4" s="1"/>
  <c r="O30" i="4" s="1"/>
  <c r="O33" i="4" s="1"/>
  <c r="O36" i="4" s="1"/>
  <c r="O39" i="4" s="1"/>
  <c r="O42" i="4" s="1"/>
  <c r="O45" i="4" s="1"/>
  <c r="O48" i="4" s="1"/>
  <c r="O51" i="4" s="1"/>
  <c r="O54" i="4" s="1"/>
  <c r="O57" i="4" s="1"/>
  <c r="O60" i="4" s="1"/>
  <c r="O63" i="4" s="1"/>
  <c r="O66" i="4" s="1"/>
  <c r="O69" i="4" s="1"/>
  <c r="O72" i="4" s="1"/>
  <c r="O75" i="4" s="1"/>
  <c r="O78" i="4" s="1"/>
  <c r="O81" i="4" s="1"/>
  <c r="O84" i="4" s="1"/>
  <c r="O87" i="4" s="1"/>
  <c r="O90" i="4" s="1"/>
  <c r="O93" i="4" s="1"/>
  <c r="O96" i="4" s="1"/>
  <c r="O99" i="4" s="1"/>
  <c r="O102" i="4" s="1"/>
  <c r="O105" i="4" s="1"/>
  <c r="O108" i="4" s="1"/>
  <c r="O111" i="4" s="1"/>
  <c r="O114" i="4" s="1"/>
  <c r="O117" i="4" s="1"/>
  <c r="O120" i="4" s="1"/>
  <c r="O123" i="4" s="1"/>
  <c r="O126" i="4" s="1"/>
  <c r="O129" i="4" s="1"/>
  <c r="O132" i="4" s="1"/>
  <c r="O135" i="4" s="1"/>
  <c r="O138" i="4" s="1"/>
  <c r="O141" i="4" s="1"/>
  <c r="O144" i="4" s="1"/>
  <c r="O147" i="4" s="1"/>
  <c r="O150" i="4" s="1"/>
  <c r="O153" i="4" s="1"/>
  <c r="O156" i="4" s="1"/>
  <c r="O159" i="4" s="1"/>
  <c r="O162" i="4" s="1"/>
  <c r="O165" i="4" s="1"/>
  <c r="O168" i="4" s="1"/>
  <c r="O171" i="4" s="1"/>
  <c r="O174" i="4" s="1"/>
  <c r="O177" i="4" s="1"/>
  <c r="O180" i="4" s="1"/>
  <c r="O183" i="4" s="1"/>
  <c r="O186" i="4" s="1"/>
  <c r="O189" i="4" s="1"/>
  <c r="O192" i="4" s="1"/>
  <c r="O195" i="4" s="1"/>
  <c r="O198" i="4" s="1"/>
  <c r="O201" i="4" s="1"/>
  <c r="O204" i="4" s="1"/>
  <c r="O207" i="4" s="1"/>
  <c r="O210" i="4" s="1"/>
  <c r="O213" i="4" s="1"/>
  <c r="O216" i="4" s="1"/>
  <c r="O219" i="4" s="1"/>
  <c r="O222" i="4" s="1"/>
  <c r="O225" i="4" s="1"/>
  <c r="O228" i="4" s="1"/>
  <c r="O231" i="4" s="1"/>
  <c r="O234" i="4" s="1"/>
  <c r="O237" i="4" s="1"/>
  <c r="O240" i="4" s="1"/>
  <c r="O243" i="4" s="1"/>
  <c r="O246" i="4" s="1"/>
  <c r="O249" i="4" s="1"/>
  <c r="O252" i="4" s="1"/>
  <c r="O255" i="4" s="1"/>
  <c r="O258" i="4" s="1"/>
  <c r="O261" i="4" s="1"/>
  <c r="O20" i="4"/>
  <c r="P21" i="4"/>
  <c r="P24" i="4" s="1"/>
  <c r="P27" i="4" s="1"/>
  <c r="P30" i="4" s="1"/>
  <c r="O23" i="4"/>
  <c r="P23" i="4"/>
  <c r="P26" i="4" s="1"/>
  <c r="P25" i="4"/>
  <c r="P28" i="4" s="1"/>
  <c r="P31" i="4" s="1"/>
  <c r="P34" i="4" s="1"/>
  <c r="P37" i="4" s="1"/>
  <c r="P40" i="4" s="1"/>
  <c r="P43" i="4" s="1"/>
  <c r="P46" i="4" s="1"/>
  <c r="P49" i="4" s="1"/>
  <c r="P52" i="4" s="1"/>
  <c r="P55" i="4" s="1"/>
  <c r="P58" i="4" s="1"/>
  <c r="P61" i="4" s="1"/>
  <c r="P64" i="4" s="1"/>
  <c r="P67" i="4" s="1"/>
  <c r="P70" i="4" s="1"/>
  <c r="P73" i="4" s="1"/>
  <c r="P76" i="4" s="1"/>
  <c r="P79" i="4" s="1"/>
  <c r="P82" i="4" s="1"/>
  <c r="P85" i="4" s="1"/>
  <c r="P88" i="4" s="1"/>
  <c r="P91" i="4" s="1"/>
  <c r="P94" i="4" s="1"/>
  <c r="P97" i="4" s="1"/>
  <c r="P100" i="4" s="1"/>
  <c r="P103" i="4" s="1"/>
  <c r="P106" i="4" s="1"/>
  <c r="P109" i="4" s="1"/>
  <c r="P112" i="4" s="1"/>
  <c r="P115" i="4" s="1"/>
  <c r="P118" i="4" s="1"/>
  <c r="P121" i="4" s="1"/>
  <c r="P124" i="4" s="1"/>
  <c r="P127" i="4" s="1"/>
  <c r="P130" i="4" s="1"/>
  <c r="P133" i="4" s="1"/>
  <c r="P136" i="4" s="1"/>
  <c r="P139" i="4" s="1"/>
  <c r="P142" i="4" s="1"/>
  <c r="P145" i="4" s="1"/>
  <c r="P148" i="4" s="1"/>
  <c r="P151" i="4" s="1"/>
  <c r="P154" i="4" s="1"/>
  <c r="P157" i="4" s="1"/>
  <c r="P160" i="4" s="1"/>
  <c r="P163" i="4" s="1"/>
  <c r="P166" i="4" s="1"/>
  <c r="P169" i="4" s="1"/>
  <c r="P172" i="4" s="1"/>
  <c r="P175" i="4" s="1"/>
  <c r="P178" i="4" s="1"/>
  <c r="P181" i="4" s="1"/>
  <c r="P184" i="4" s="1"/>
  <c r="P187" i="4" s="1"/>
  <c r="P190" i="4" s="1"/>
  <c r="P193" i="4" s="1"/>
  <c r="P196" i="4" s="1"/>
  <c r="P199" i="4" s="1"/>
  <c r="P202" i="4" s="1"/>
  <c r="P205" i="4" s="1"/>
  <c r="P208" i="4" s="1"/>
  <c r="P211" i="4" s="1"/>
  <c r="P214" i="4" s="1"/>
  <c r="P217" i="4" s="1"/>
  <c r="P220" i="4" s="1"/>
  <c r="P223" i="4" s="1"/>
  <c r="P226" i="4" s="1"/>
  <c r="P229" i="4" s="1"/>
  <c r="P232" i="4" s="1"/>
  <c r="P235" i="4" s="1"/>
  <c r="P238" i="4" s="1"/>
  <c r="P241" i="4" s="1"/>
  <c r="P244" i="4" s="1"/>
  <c r="P247" i="4" s="1"/>
  <c r="P250" i="4" s="1"/>
  <c r="P253" i="4" s="1"/>
  <c r="P256" i="4" s="1"/>
  <c r="P259" i="4" s="1"/>
  <c r="P262" i="4" s="1"/>
  <c r="P265" i="4" s="1"/>
  <c r="P268" i="4" s="1"/>
  <c r="P271" i="4" s="1"/>
  <c r="P274" i="4" s="1"/>
  <c r="O26" i="4"/>
  <c r="O29" i="4"/>
  <c r="P29" i="4"/>
  <c r="P32" i="4" s="1"/>
  <c r="P35" i="4" s="1"/>
  <c r="P38" i="4" s="1"/>
  <c r="P41" i="4" s="1"/>
  <c r="P44" i="4" s="1"/>
  <c r="P47" i="4" s="1"/>
  <c r="P50" i="4" s="1"/>
  <c r="P53" i="4" s="1"/>
  <c r="P56" i="4" s="1"/>
  <c r="P59" i="4" s="1"/>
  <c r="P62" i="4" s="1"/>
  <c r="P65" i="4" s="1"/>
  <c r="P68" i="4" s="1"/>
  <c r="P71" i="4" s="1"/>
  <c r="P74" i="4" s="1"/>
  <c r="P77" i="4" s="1"/>
  <c r="P80" i="4" s="1"/>
  <c r="P83" i="4" s="1"/>
  <c r="P86" i="4" s="1"/>
  <c r="P89" i="4" s="1"/>
  <c r="P92" i="4" s="1"/>
  <c r="P95" i="4" s="1"/>
  <c r="P98" i="4" s="1"/>
  <c r="P101" i="4" s="1"/>
  <c r="P104" i="4" s="1"/>
  <c r="P107" i="4" s="1"/>
  <c r="P110" i="4" s="1"/>
  <c r="P113" i="4" s="1"/>
  <c r="P116" i="4" s="1"/>
  <c r="P119" i="4" s="1"/>
  <c r="P122" i="4" s="1"/>
  <c r="P125" i="4" s="1"/>
  <c r="P128" i="4" s="1"/>
  <c r="P131" i="4" s="1"/>
  <c r="P134" i="4" s="1"/>
  <c r="P137" i="4" s="1"/>
  <c r="P140" i="4" s="1"/>
  <c r="P143" i="4" s="1"/>
  <c r="P146" i="4" s="1"/>
  <c r="P149" i="4" s="1"/>
  <c r="P152" i="4" s="1"/>
  <c r="P155" i="4" s="1"/>
  <c r="P158" i="4" s="1"/>
  <c r="P161" i="4" s="1"/>
  <c r="P164" i="4" s="1"/>
  <c r="P167" i="4" s="1"/>
  <c r="P170" i="4" s="1"/>
  <c r="P173" i="4" s="1"/>
  <c r="P176" i="4" s="1"/>
  <c r="P179" i="4" s="1"/>
  <c r="P182" i="4" s="1"/>
  <c r="P185" i="4" s="1"/>
  <c r="P188" i="4" s="1"/>
  <c r="P191" i="4" s="1"/>
  <c r="P194" i="4" s="1"/>
  <c r="P197" i="4" s="1"/>
  <c r="P200" i="4" s="1"/>
  <c r="P203" i="4" s="1"/>
  <c r="P206" i="4" s="1"/>
  <c r="P209" i="4" s="1"/>
  <c r="P212" i="4" s="1"/>
  <c r="P215" i="4" s="1"/>
  <c r="P218" i="4" s="1"/>
  <c r="P221" i="4" s="1"/>
  <c r="P224" i="4" s="1"/>
  <c r="P227" i="4" s="1"/>
  <c r="P230" i="4" s="1"/>
  <c r="P233" i="4" s="1"/>
  <c r="P236" i="4" s="1"/>
  <c r="P239" i="4" s="1"/>
  <c r="P242" i="4" s="1"/>
  <c r="P245" i="4" s="1"/>
  <c r="P248" i="4" s="1"/>
  <c r="P251" i="4" s="1"/>
  <c r="P254" i="4" s="1"/>
  <c r="P257" i="4" s="1"/>
  <c r="P260" i="4" s="1"/>
  <c r="P263" i="4" s="1"/>
  <c r="O32" i="4"/>
  <c r="O35" i="4" s="1"/>
  <c r="O38" i="4" s="1"/>
  <c r="O41" i="4" s="1"/>
  <c r="O44" i="4" s="1"/>
  <c r="O47" i="4" s="1"/>
  <c r="O50" i="4" s="1"/>
  <c r="O53" i="4" s="1"/>
  <c r="O56" i="4" s="1"/>
  <c r="O59" i="4" s="1"/>
  <c r="O62" i="4" s="1"/>
  <c r="O65" i="4" s="1"/>
  <c r="O68" i="4" s="1"/>
  <c r="O71" i="4" s="1"/>
  <c r="O74" i="4" s="1"/>
  <c r="O77" i="4" s="1"/>
  <c r="O80" i="4" s="1"/>
  <c r="O83" i="4" s="1"/>
  <c r="O86" i="4" s="1"/>
  <c r="O89" i="4" s="1"/>
  <c r="O92" i="4" s="1"/>
  <c r="O95" i="4" s="1"/>
  <c r="O98" i="4" s="1"/>
  <c r="O101" i="4" s="1"/>
  <c r="O104" i="4" s="1"/>
  <c r="O107" i="4" s="1"/>
  <c r="O110" i="4" s="1"/>
  <c r="O113" i="4" s="1"/>
  <c r="O116" i="4" s="1"/>
  <c r="O119" i="4" s="1"/>
  <c r="O122" i="4" s="1"/>
  <c r="O125" i="4" s="1"/>
  <c r="O128" i="4" s="1"/>
  <c r="O131" i="4" s="1"/>
  <c r="O134" i="4" s="1"/>
  <c r="O137" i="4" s="1"/>
  <c r="O140" i="4" s="1"/>
  <c r="O143" i="4" s="1"/>
  <c r="O146" i="4" s="1"/>
  <c r="O149" i="4" s="1"/>
  <c r="O152" i="4" s="1"/>
  <c r="O155" i="4" s="1"/>
  <c r="O158" i="4" s="1"/>
  <c r="O161" i="4" s="1"/>
  <c r="O164" i="4" s="1"/>
  <c r="O167" i="4" s="1"/>
  <c r="O170" i="4" s="1"/>
  <c r="O173" i="4" s="1"/>
  <c r="O176" i="4" s="1"/>
  <c r="O179" i="4" s="1"/>
  <c r="O182" i="4" s="1"/>
  <c r="O185" i="4" s="1"/>
  <c r="O188" i="4" s="1"/>
  <c r="O191" i="4" s="1"/>
  <c r="O194" i="4" s="1"/>
  <c r="O197" i="4" s="1"/>
  <c r="O200" i="4" s="1"/>
  <c r="O203" i="4" s="1"/>
  <c r="O206" i="4" s="1"/>
  <c r="O209" i="4" s="1"/>
  <c r="O212" i="4" s="1"/>
  <c r="O215" i="4" s="1"/>
  <c r="O218" i="4" s="1"/>
  <c r="O221" i="4" s="1"/>
  <c r="O224" i="4" s="1"/>
  <c r="O227" i="4" s="1"/>
  <c r="O230" i="4" s="1"/>
  <c r="O233" i="4" s="1"/>
  <c r="O236" i="4" s="1"/>
  <c r="O239" i="4" s="1"/>
  <c r="O242" i="4" s="1"/>
  <c r="O245" i="4" s="1"/>
  <c r="O248" i="4" s="1"/>
  <c r="O251" i="4" s="1"/>
  <c r="O254" i="4" s="1"/>
  <c r="O257" i="4" s="1"/>
  <c r="O260" i="4" s="1"/>
  <c r="O263" i="4" s="1"/>
  <c r="O266" i="4" s="1"/>
  <c r="O269" i="4" s="1"/>
  <c r="O272" i="4" s="1"/>
  <c r="O275" i="4" s="1"/>
  <c r="O278" i="4" s="1"/>
  <c r="O281" i="4" s="1"/>
  <c r="O284" i="4" s="1"/>
  <c r="O287" i="4" s="1"/>
  <c r="O290" i="4" s="1"/>
  <c r="O293" i="4" s="1"/>
  <c r="O296" i="4" s="1"/>
  <c r="O299" i="4" s="1"/>
  <c r="O302" i="4" s="1"/>
  <c r="O305" i="4" s="1"/>
  <c r="O308" i="4" s="1"/>
  <c r="O311" i="4" s="1"/>
  <c r="O314" i="4" s="1"/>
  <c r="O317" i="4" s="1"/>
  <c r="O320" i="4" s="1"/>
  <c r="O323" i="4" s="1"/>
  <c r="O326" i="4" s="1"/>
  <c r="O329" i="4" s="1"/>
  <c r="O332" i="4" s="1"/>
  <c r="O335" i="4" s="1"/>
  <c r="O338" i="4" s="1"/>
  <c r="O341" i="4" s="1"/>
  <c r="O344" i="4" s="1"/>
  <c r="O347" i="4" s="1"/>
  <c r="O350" i="4" s="1"/>
  <c r="O353" i="4" s="1"/>
  <c r="O356" i="4" s="1"/>
  <c r="O359" i="4" s="1"/>
  <c r="O362" i="4" s="1"/>
  <c r="O365" i="4" s="1"/>
  <c r="O368" i="4" s="1"/>
  <c r="O371" i="4" s="1"/>
  <c r="O374" i="4" s="1"/>
  <c r="O377" i="4" s="1"/>
  <c r="O380" i="4" s="1"/>
  <c r="O383" i="4" s="1"/>
  <c r="O386" i="4" s="1"/>
  <c r="O389" i="4" s="1"/>
  <c r="O392" i="4" s="1"/>
  <c r="O395" i="4" s="1"/>
  <c r="O398" i="4" s="1"/>
  <c r="O401" i="4" s="1"/>
  <c r="O404" i="4" s="1"/>
  <c r="O407" i="4" s="1"/>
  <c r="O410" i="4" s="1"/>
  <c r="O413" i="4" s="1"/>
  <c r="O416" i="4" s="1"/>
  <c r="O419" i="4" s="1"/>
  <c r="O422" i="4" s="1"/>
  <c r="O425" i="4" s="1"/>
  <c r="O428" i="4" s="1"/>
  <c r="O431" i="4" s="1"/>
  <c r="O434" i="4" s="1"/>
  <c r="O437" i="4" s="1"/>
  <c r="O440" i="4" s="1"/>
  <c r="O443" i="4" s="1"/>
  <c r="O446" i="4" s="1"/>
  <c r="O449" i="4" s="1"/>
  <c r="O452" i="4" s="1"/>
  <c r="O455" i="4" s="1"/>
  <c r="O458" i="4" s="1"/>
  <c r="O461" i="4" s="1"/>
  <c r="O464" i="4" s="1"/>
  <c r="O467" i="4" s="1"/>
  <c r="O470" i="4" s="1"/>
  <c r="O473" i="4" s="1"/>
  <c r="O476" i="4" s="1"/>
  <c r="O479" i="4" s="1"/>
  <c r="O482" i="4" s="1"/>
  <c r="O485" i="4" s="1"/>
  <c r="O488" i="4" s="1"/>
  <c r="O491" i="4" s="1"/>
  <c r="O494" i="4" s="1"/>
  <c r="O497" i="4" s="1"/>
  <c r="O500" i="4" s="1"/>
  <c r="O503" i="4" s="1"/>
  <c r="O506" i="4" s="1"/>
  <c r="O509" i="4" s="1"/>
  <c r="O512" i="4" s="1"/>
  <c r="O515" i="4" s="1"/>
  <c r="O518" i="4" s="1"/>
  <c r="P33" i="4"/>
  <c r="P36" i="4" s="1"/>
  <c r="P39" i="4"/>
  <c r="P42" i="4" s="1"/>
  <c r="P45" i="4" s="1"/>
  <c r="P48" i="4" s="1"/>
  <c r="P51" i="4" s="1"/>
  <c r="P54" i="4" s="1"/>
  <c r="P57" i="4" s="1"/>
  <c r="P60" i="4" s="1"/>
  <c r="P63" i="4" s="1"/>
  <c r="P66" i="4" s="1"/>
  <c r="P69" i="4" s="1"/>
  <c r="P72" i="4" s="1"/>
  <c r="P75" i="4" s="1"/>
  <c r="P78" i="4" s="1"/>
  <c r="P81" i="4" s="1"/>
  <c r="P84" i="4" s="1"/>
  <c r="P87" i="4" s="1"/>
  <c r="P90" i="4" s="1"/>
  <c r="P93" i="4" s="1"/>
  <c r="P96" i="4" s="1"/>
  <c r="P99" i="4" s="1"/>
  <c r="P102" i="4" s="1"/>
  <c r="P105" i="4" s="1"/>
  <c r="P108" i="4" s="1"/>
  <c r="P111" i="4" s="1"/>
  <c r="P114" i="4" s="1"/>
  <c r="P117" i="4" s="1"/>
  <c r="P120" i="4" s="1"/>
  <c r="P123" i="4" s="1"/>
  <c r="P126" i="4" s="1"/>
  <c r="P129" i="4" s="1"/>
  <c r="P132" i="4" s="1"/>
  <c r="P135" i="4" s="1"/>
  <c r="P138" i="4" s="1"/>
  <c r="P141" i="4" s="1"/>
  <c r="P144" i="4" s="1"/>
  <c r="P147" i="4" s="1"/>
  <c r="P150" i="4" s="1"/>
  <c r="P153" i="4" s="1"/>
  <c r="P156" i="4" s="1"/>
  <c r="P159" i="4" s="1"/>
  <c r="P162" i="4" s="1"/>
  <c r="P165" i="4" s="1"/>
  <c r="P168" i="4" s="1"/>
  <c r="P171" i="4" s="1"/>
  <c r="P174" i="4" s="1"/>
  <c r="P177" i="4" s="1"/>
  <c r="P180" i="4" s="1"/>
  <c r="P183" i="4" s="1"/>
  <c r="P186" i="4" s="1"/>
  <c r="P189" i="4" s="1"/>
  <c r="P192" i="4" s="1"/>
  <c r="P195" i="4" s="1"/>
  <c r="P198" i="4" s="1"/>
  <c r="P201" i="4" s="1"/>
  <c r="P204" i="4" s="1"/>
  <c r="P207" i="4" s="1"/>
  <c r="P210" i="4" s="1"/>
  <c r="P213" i="4" s="1"/>
  <c r="P216" i="4" s="1"/>
  <c r="P219" i="4" s="1"/>
  <c r="P222" i="4" s="1"/>
  <c r="P225" i="4" s="1"/>
  <c r="P228" i="4" s="1"/>
  <c r="P231" i="4" s="1"/>
  <c r="P234" i="4" s="1"/>
  <c r="P237" i="4" s="1"/>
  <c r="P240" i="4" s="1"/>
  <c r="P243" i="4" s="1"/>
  <c r="P246" i="4" s="1"/>
  <c r="P249" i="4" s="1"/>
  <c r="P252" i="4" s="1"/>
  <c r="P255" i="4" s="1"/>
  <c r="P258" i="4" s="1"/>
  <c r="O256" i="4"/>
  <c r="O259" i="4" s="1"/>
  <c r="O262" i="4" s="1"/>
  <c r="O265" i="4" s="1"/>
  <c r="O268" i="4" s="1"/>
  <c r="O271" i="4" s="1"/>
  <c r="O274" i="4" s="1"/>
  <c r="O277" i="4" s="1"/>
  <c r="O280" i="4" s="1"/>
  <c r="O283" i="4" s="1"/>
  <c r="O286" i="4" s="1"/>
  <c r="O289" i="4" s="1"/>
  <c r="O292" i="4" s="1"/>
  <c r="O295" i="4" s="1"/>
  <c r="P261" i="4"/>
  <c r="P264" i="4" s="1"/>
  <c r="P267" i="4" s="1"/>
  <c r="P270" i="4" s="1"/>
  <c r="P273" i="4" s="1"/>
  <c r="P276" i="4" s="1"/>
  <c r="P279" i="4" s="1"/>
  <c r="P282" i="4" s="1"/>
  <c r="P285" i="4" s="1"/>
  <c r="P288" i="4" s="1"/>
  <c r="P291" i="4" s="1"/>
  <c r="P294" i="4" s="1"/>
  <c r="P297" i="4" s="1"/>
  <c r="P300" i="4" s="1"/>
  <c r="P303" i="4" s="1"/>
  <c r="P306" i="4" s="1"/>
  <c r="P309" i="4" s="1"/>
  <c r="P312" i="4" s="1"/>
  <c r="P315" i="4" s="1"/>
  <c r="P318" i="4" s="1"/>
  <c r="P321" i="4" s="1"/>
  <c r="P324" i="4" s="1"/>
  <c r="P327" i="4" s="1"/>
  <c r="P330" i="4" s="1"/>
  <c r="P333" i="4" s="1"/>
  <c r="P336" i="4" s="1"/>
  <c r="P339" i="4" s="1"/>
  <c r="P342" i="4" s="1"/>
  <c r="P345" i="4" s="1"/>
  <c r="P348" i="4" s="1"/>
  <c r="P351" i="4" s="1"/>
  <c r="P354" i="4" s="1"/>
  <c r="P357" i="4" s="1"/>
  <c r="P360" i="4" s="1"/>
  <c r="P363" i="4" s="1"/>
  <c r="P366" i="4" s="1"/>
  <c r="P369" i="4" s="1"/>
  <c r="P372" i="4" s="1"/>
  <c r="P375" i="4" s="1"/>
  <c r="P378" i="4" s="1"/>
  <c r="P381" i="4" s="1"/>
  <c r="P384" i="4" s="1"/>
  <c r="P387" i="4" s="1"/>
  <c r="P390" i="4" s="1"/>
  <c r="P393" i="4" s="1"/>
  <c r="P396" i="4" s="1"/>
  <c r="P399" i="4" s="1"/>
  <c r="P402" i="4" s="1"/>
  <c r="P405" i="4" s="1"/>
  <c r="P408" i="4" s="1"/>
  <c r="P411" i="4" s="1"/>
  <c r="P414" i="4" s="1"/>
  <c r="P417" i="4" s="1"/>
  <c r="P420" i="4" s="1"/>
  <c r="P423" i="4" s="1"/>
  <c r="P426" i="4" s="1"/>
  <c r="P429" i="4" s="1"/>
  <c r="P432" i="4" s="1"/>
  <c r="P435" i="4" s="1"/>
  <c r="P438" i="4" s="1"/>
  <c r="P441" i="4" s="1"/>
  <c r="P444" i="4" s="1"/>
  <c r="P447" i="4" s="1"/>
  <c r="P450" i="4" s="1"/>
  <c r="P453" i="4" s="1"/>
  <c r="P456" i="4" s="1"/>
  <c r="P459" i="4" s="1"/>
  <c r="P462" i="4" s="1"/>
  <c r="P465" i="4" s="1"/>
  <c r="P468" i="4" s="1"/>
  <c r="P471" i="4" s="1"/>
  <c r="P474" i="4" s="1"/>
  <c r="P477" i="4" s="1"/>
  <c r="P480" i="4" s="1"/>
  <c r="P483" i="4" s="1"/>
  <c r="P486" i="4" s="1"/>
  <c r="P489" i="4" s="1"/>
  <c r="P492" i="4" s="1"/>
  <c r="P495" i="4" s="1"/>
  <c r="P498" i="4" s="1"/>
  <c r="P501" i="4" s="1"/>
  <c r="P504" i="4" s="1"/>
  <c r="P507" i="4" s="1"/>
  <c r="O264" i="4"/>
  <c r="O267" i="4" s="1"/>
  <c r="O270" i="4" s="1"/>
  <c r="O273" i="4" s="1"/>
  <c r="O276" i="4" s="1"/>
  <c r="O279" i="4" s="1"/>
  <c r="O282" i="4" s="1"/>
  <c r="O285" i="4" s="1"/>
  <c r="O288" i="4" s="1"/>
  <c r="O291" i="4" s="1"/>
  <c r="O294" i="4" s="1"/>
  <c r="O297" i="4" s="1"/>
  <c r="O300" i="4" s="1"/>
  <c r="O303" i="4" s="1"/>
  <c r="O306" i="4" s="1"/>
  <c r="O309" i="4" s="1"/>
  <c r="O312" i="4" s="1"/>
  <c r="O315" i="4" s="1"/>
  <c r="O318" i="4" s="1"/>
  <c r="O321" i="4" s="1"/>
  <c r="O324" i="4" s="1"/>
  <c r="O327" i="4" s="1"/>
  <c r="O330" i="4" s="1"/>
  <c r="O333" i="4" s="1"/>
  <c r="O336" i="4" s="1"/>
  <c r="O339" i="4" s="1"/>
  <c r="O342" i="4" s="1"/>
  <c r="O345" i="4" s="1"/>
  <c r="O348" i="4" s="1"/>
  <c r="O351" i="4" s="1"/>
  <c r="O354" i="4" s="1"/>
  <c r="O357" i="4" s="1"/>
  <c r="O360" i="4" s="1"/>
  <c r="O363" i="4" s="1"/>
  <c r="O366" i="4" s="1"/>
  <c r="O369" i="4" s="1"/>
  <c r="O372" i="4" s="1"/>
  <c r="O375" i="4" s="1"/>
  <c r="O378" i="4" s="1"/>
  <c r="O381" i="4" s="1"/>
  <c r="O384" i="4" s="1"/>
  <c r="O387" i="4" s="1"/>
  <c r="O390" i="4" s="1"/>
  <c r="O393" i="4" s="1"/>
  <c r="O396" i="4" s="1"/>
  <c r="O399" i="4" s="1"/>
  <c r="O402" i="4" s="1"/>
  <c r="O405" i="4" s="1"/>
  <c r="O408" i="4" s="1"/>
  <c r="O411" i="4" s="1"/>
  <c r="O414" i="4" s="1"/>
  <c r="O417" i="4" s="1"/>
  <c r="O420" i="4" s="1"/>
  <c r="O423" i="4" s="1"/>
  <c r="O426" i="4" s="1"/>
  <c r="O429" i="4" s="1"/>
  <c r="O432" i="4" s="1"/>
  <c r="O435" i="4" s="1"/>
  <c r="O438" i="4" s="1"/>
  <c r="O441" i="4" s="1"/>
  <c r="O444" i="4" s="1"/>
  <c r="O447" i="4" s="1"/>
  <c r="O450" i="4" s="1"/>
  <c r="O453" i="4" s="1"/>
  <c r="O456" i="4" s="1"/>
  <c r="O459" i="4" s="1"/>
  <c r="O462" i="4" s="1"/>
  <c r="O465" i="4" s="1"/>
  <c r="O468" i="4" s="1"/>
  <c r="O471" i="4" s="1"/>
  <c r="O474" i="4" s="1"/>
  <c r="O477" i="4" s="1"/>
  <c r="O480" i="4" s="1"/>
  <c r="O483" i="4" s="1"/>
  <c r="O486" i="4" s="1"/>
  <c r="O489" i="4" s="1"/>
  <c r="O492" i="4" s="1"/>
  <c r="O495" i="4" s="1"/>
  <c r="O498" i="4" s="1"/>
  <c r="O501" i="4" s="1"/>
  <c r="O504" i="4" s="1"/>
  <c r="O507" i="4" s="1"/>
  <c r="O510" i="4" s="1"/>
  <c r="O513" i="4" s="1"/>
  <c r="O516" i="4" s="1"/>
  <c r="O519" i="4" s="1"/>
  <c r="O522" i="4" s="1"/>
  <c r="P266" i="4"/>
  <c r="P269" i="4" s="1"/>
  <c r="P272" i="4" s="1"/>
  <c r="P275" i="4" s="1"/>
  <c r="P278" i="4" s="1"/>
  <c r="P281" i="4" s="1"/>
  <c r="P284" i="4" s="1"/>
  <c r="P277" i="4"/>
  <c r="P280" i="4" s="1"/>
  <c r="P283" i="4" s="1"/>
  <c r="P286" i="4" s="1"/>
  <c r="P289" i="4" s="1"/>
  <c r="P287" i="4"/>
  <c r="P290" i="4" s="1"/>
  <c r="P293" i="4" s="1"/>
  <c r="P296" i="4" s="1"/>
  <c r="P299" i="4" s="1"/>
  <c r="P292" i="4"/>
  <c r="P295" i="4" s="1"/>
  <c r="P298" i="4" s="1"/>
  <c r="P301" i="4" s="1"/>
  <c r="P304" i="4" s="1"/>
  <c r="P307" i="4" s="1"/>
  <c r="P310" i="4" s="1"/>
  <c r="P313" i="4" s="1"/>
  <c r="P316" i="4" s="1"/>
  <c r="P319" i="4" s="1"/>
  <c r="P322" i="4" s="1"/>
  <c r="P325" i="4" s="1"/>
  <c r="P328" i="4" s="1"/>
  <c r="P331" i="4" s="1"/>
  <c r="P334" i="4" s="1"/>
  <c r="P337" i="4" s="1"/>
  <c r="P340" i="4" s="1"/>
  <c r="P343" i="4" s="1"/>
  <c r="P346" i="4" s="1"/>
  <c r="P349" i="4" s="1"/>
  <c r="P352" i="4" s="1"/>
  <c r="P355" i="4" s="1"/>
  <c r="P358" i="4" s="1"/>
  <c r="P361" i="4" s="1"/>
  <c r="P364" i="4" s="1"/>
  <c r="P367" i="4" s="1"/>
  <c r="P370" i="4" s="1"/>
  <c r="P373" i="4" s="1"/>
  <c r="P376" i="4" s="1"/>
  <c r="P379" i="4" s="1"/>
  <c r="P382" i="4" s="1"/>
  <c r="P385" i="4" s="1"/>
  <c r="P388" i="4" s="1"/>
  <c r="P391" i="4" s="1"/>
  <c r="P394" i="4" s="1"/>
  <c r="P397" i="4" s="1"/>
  <c r="P400" i="4" s="1"/>
  <c r="P403" i="4" s="1"/>
  <c r="P406" i="4" s="1"/>
  <c r="P409" i="4" s="1"/>
  <c r="P412" i="4" s="1"/>
  <c r="P415" i="4" s="1"/>
  <c r="P418" i="4" s="1"/>
  <c r="P421" i="4" s="1"/>
  <c r="P424" i="4" s="1"/>
  <c r="P427" i="4" s="1"/>
  <c r="P430" i="4" s="1"/>
  <c r="P433" i="4" s="1"/>
  <c r="P436" i="4" s="1"/>
  <c r="P439" i="4" s="1"/>
  <c r="P442" i="4" s="1"/>
  <c r="P445" i="4" s="1"/>
  <c r="P448" i="4" s="1"/>
  <c r="P451" i="4" s="1"/>
  <c r="P454" i="4" s="1"/>
  <c r="P457" i="4" s="1"/>
  <c r="P460" i="4" s="1"/>
  <c r="P463" i="4" s="1"/>
  <c r="P466" i="4" s="1"/>
  <c r="P469" i="4" s="1"/>
  <c r="P472" i="4" s="1"/>
  <c r="P475" i="4" s="1"/>
  <c r="P478" i="4" s="1"/>
  <c r="P481" i="4" s="1"/>
  <c r="P484" i="4" s="1"/>
  <c r="P487" i="4" s="1"/>
  <c r="P490" i="4" s="1"/>
  <c r="P493" i="4" s="1"/>
  <c r="P496" i="4" s="1"/>
  <c r="P499" i="4" s="1"/>
  <c r="P502" i="4" s="1"/>
  <c r="P505" i="4" s="1"/>
  <c r="P508" i="4" s="1"/>
  <c r="P511" i="4" s="1"/>
  <c r="P514" i="4" s="1"/>
  <c r="P517" i="4" s="1"/>
  <c r="P520" i="4" s="1"/>
  <c r="P523" i="4" s="1"/>
  <c r="P526" i="4" s="1"/>
  <c r="P529" i="4" s="1"/>
  <c r="P532" i="4" s="1"/>
  <c r="P535" i="4" s="1"/>
  <c r="P538" i="4" s="1"/>
  <c r="P541" i="4" s="1"/>
  <c r="P544" i="4" s="1"/>
  <c r="P547" i="4" s="1"/>
  <c r="P550" i="4" s="1"/>
  <c r="P553" i="4" s="1"/>
  <c r="P556" i="4" s="1"/>
  <c r="P559" i="4" s="1"/>
  <c r="P562" i="4" s="1"/>
  <c r="P565" i="4" s="1"/>
  <c r="P568" i="4" s="1"/>
  <c r="P571" i="4" s="1"/>
  <c r="P574" i="4" s="1"/>
  <c r="P577" i="4" s="1"/>
  <c r="P580" i="4" s="1"/>
  <c r="P583" i="4" s="1"/>
  <c r="P586" i="4" s="1"/>
  <c r="P589" i="4" s="1"/>
  <c r="P592" i="4" s="1"/>
  <c r="P595" i="4" s="1"/>
  <c r="P598" i="4" s="1"/>
  <c r="P601" i="4" s="1"/>
  <c r="P604" i="4" s="1"/>
  <c r="P607" i="4" s="1"/>
  <c r="P610" i="4" s="1"/>
  <c r="P613" i="4" s="1"/>
  <c r="P616" i="4" s="1"/>
  <c r="P619" i="4" s="1"/>
  <c r="P622" i="4" s="1"/>
  <c r="P625" i="4" s="1"/>
  <c r="P628" i="4" s="1"/>
  <c r="P631" i="4" s="1"/>
  <c r="P634" i="4" s="1"/>
  <c r="P637" i="4" s="1"/>
  <c r="P640" i="4" s="1"/>
  <c r="P643" i="4" s="1"/>
  <c r="P646" i="4" s="1"/>
  <c r="P649" i="4" s="1"/>
  <c r="P652" i="4" s="1"/>
  <c r="P655" i="4" s="1"/>
  <c r="P658" i="4" s="1"/>
  <c r="P661" i="4" s="1"/>
  <c r="P664" i="4" s="1"/>
  <c r="P667" i="4" s="1"/>
  <c r="P670" i="4" s="1"/>
  <c r="P673" i="4" s="1"/>
  <c r="P676" i="4" s="1"/>
  <c r="P679" i="4" s="1"/>
  <c r="P682" i="4" s="1"/>
  <c r="P685" i="4" s="1"/>
  <c r="P688" i="4" s="1"/>
  <c r="P691" i="4" s="1"/>
  <c r="P694" i="4" s="1"/>
  <c r="P697" i="4" s="1"/>
  <c r="P700" i="4" s="1"/>
  <c r="P703" i="4" s="1"/>
  <c r="P706" i="4" s="1"/>
  <c r="P709" i="4" s="1"/>
  <c r="P712" i="4" s="1"/>
  <c r="P715" i="4" s="1"/>
  <c r="P718" i="4" s="1"/>
  <c r="P721" i="4" s="1"/>
  <c r="P724" i="4" s="1"/>
  <c r="P727" i="4" s="1"/>
  <c r="P730" i="4" s="1"/>
  <c r="P733" i="4" s="1"/>
  <c r="P736" i="4" s="1"/>
  <c r="P739" i="4" s="1"/>
  <c r="P742" i="4" s="1"/>
  <c r="P745" i="4" s="1"/>
  <c r="P748" i="4" s="1"/>
  <c r="P751" i="4" s="1"/>
  <c r="P754" i="4" s="1"/>
  <c r="P757" i="4" s="1"/>
  <c r="P760" i="4" s="1"/>
  <c r="P763" i="4" s="1"/>
  <c r="P766" i="4" s="1"/>
  <c r="P769" i="4" s="1"/>
  <c r="P772" i="4" s="1"/>
  <c r="P775" i="4" s="1"/>
  <c r="P778" i="4" s="1"/>
  <c r="P781" i="4" s="1"/>
  <c r="P784" i="4" s="1"/>
  <c r="P787" i="4" s="1"/>
  <c r="P790" i="4" s="1"/>
  <c r="P793" i="4" s="1"/>
  <c r="P796" i="4" s="1"/>
  <c r="P799" i="4" s="1"/>
  <c r="P802" i="4" s="1"/>
  <c r="P805" i="4" s="1"/>
  <c r="P808" i="4" s="1"/>
  <c r="P811" i="4" s="1"/>
  <c r="P814" i="4" s="1"/>
  <c r="P817" i="4" s="1"/>
  <c r="P820" i="4" s="1"/>
  <c r="P823" i="4" s="1"/>
  <c r="P826" i="4" s="1"/>
  <c r="P829" i="4" s="1"/>
  <c r="P832" i="4" s="1"/>
  <c r="P835" i="4" s="1"/>
  <c r="P838" i="4" s="1"/>
  <c r="P841" i="4" s="1"/>
  <c r="P844" i="4" s="1"/>
  <c r="P847" i="4" s="1"/>
  <c r="P850" i="4" s="1"/>
  <c r="P853" i="4" s="1"/>
  <c r="P856" i="4" s="1"/>
  <c r="P859" i="4" s="1"/>
  <c r="P862" i="4" s="1"/>
  <c r="P865" i="4" s="1"/>
  <c r="P868" i="4" s="1"/>
  <c r="P871" i="4" s="1"/>
  <c r="P874" i="4" s="1"/>
  <c r="P877" i="4" s="1"/>
  <c r="P880" i="4" s="1"/>
  <c r="P883" i="4" s="1"/>
  <c r="P886" i="4" s="1"/>
  <c r="P889" i="4" s="1"/>
  <c r="P892" i="4" s="1"/>
  <c r="P895" i="4" s="1"/>
  <c r="P898" i="4" s="1"/>
  <c r="O298" i="4"/>
  <c r="O301" i="4" s="1"/>
  <c r="P302" i="4"/>
  <c r="P305" i="4" s="1"/>
  <c r="P308" i="4" s="1"/>
  <c r="P311" i="4" s="1"/>
  <c r="P314" i="4" s="1"/>
  <c r="P317" i="4" s="1"/>
  <c r="P320" i="4" s="1"/>
  <c r="P323" i="4" s="1"/>
  <c r="P326" i="4" s="1"/>
  <c r="P329" i="4" s="1"/>
  <c r="P332" i="4" s="1"/>
  <c r="P335" i="4" s="1"/>
  <c r="P338" i="4" s="1"/>
  <c r="P341" i="4" s="1"/>
  <c r="P344" i="4" s="1"/>
  <c r="P347" i="4" s="1"/>
  <c r="P350" i="4" s="1"/>
  <c r="P353" i="4" s="1"/>
  <c r="P356" i="4" s="1"/>
  <c r="P359" i="4" s="1"/>
  <c r="P362" i="4" s="1"/>
  <c r="P365" i="4" s="1"/>
  <c r="P368" i="4" s="1"/>
  <c r="P371" i="4" s="1"/>
  <c r="P374" i="4" s="1"/>
  <c r="P377" i="4" s="1"/>
  <c r="P380" i="4" s="1"/>
  <c r="P383" i="4" s="1"/>
  <c r="P386" i="4" s="1"/>
  <c r="P389" i="4" s="1"/>
  <c r="P392" i="4" s="1"/>
  <c r="P395" i="4" s="1"/>
  <c r="P398" i="4" s="1"/>
  <c r="P401" i="4" s="1"/>
  <c r="P404" i="4" s="1"/>
  <c r="P407" i="4" s="1"/>
  <c r="P410" i="4" s="1"/>
  <c r="P413" i="4" s="1"/>
  <c r="P416" i="4" s="1"/>
  <c r="P419" i="4" s="1"/>
  <c r="P422" i="4" s="1"/>
  <c r="P425" i="4" s="1"/>
  <c r="P428" i="4" s="1"/>
  <c r="P431" i="4" s="1"/>
  <c r="P434" i="4" s="1"/>
  <c r="P437" i="4" s="1"/>
  <c r="P440" i="4" s="1"/>
  <c r="P443" i="4" s="1"/>
  <c r="P446" i="4" s="1"/>
  <c r="P449" i="4" s="1"/>
  <c r="P452" i="4" s="1"/>
  <c r="P455" i="4" s="1"/>
  <c r="P458" i="4" s="1"/>
  <c r="P461" i="4" s="1"/>
  <c r="P464" i="4" s="1"/>
  <c r="P467" i="4" s="1"/>
  <c r="P470" i="4" s="1"/>
  <c r="P473" i="4" s="1"/>
  <c r="P476" i="4" s="1"/>
  <c r="P479" i="4" s="1"/>
  <c r="P482" i="4" s="1"/>
  <c r="P485" i="4" s="1"/>
  <c r="P488" i="4" s="1"/>
  <c r="P491" i="4" s="1"/>
  <c r="P494" i="4" s="1"/>
  <c r="P497" i="4" s="1"/>
  <c r="P500" i="4" s="1"/>
  <c r="P503" i="4" s="1"/>
  <c r="P506" i="4" s="1"/>
  <c r="P509" i="4" s="1"/>
  <c r="P512" i="4" s="1"/>
  <c r="P515" i="4" s="1"/>
  <c r="P518" i="4" s="1"/>
  <c r="P521" i="4" s="1"/>
  <c r="P524" i="4" s="1"/>
  <c r="P527" i="4" s="1"/>
  <c r="P530" i="4" s="1"/>
  <c r="P533" i="4" s="1"/>
  <c r="P536" i="4" s="1"/>
  <c r="P539" i="4" s="1"/>
  <c r="P542" i="4" s="1"/>
  <c r="P545" i="4" s="1"/>
  <c r="P548" i="4" s="1"/>
  <c r="O304" i="4"/>
  <c r="O307" i="4" s="1"/>
  <c r="O310" i="4" s="1"/>
  <c r="O313" i="4" s="1"/>
  <c r="O316" i="4" s="1"/>
  <c r="O319" i="4" s="1"/>
  <c r="O322" i="4" s="1"/>
  <c r="O325" i="4" s="1"/>
  <c r="O328" i="4" s="1"/>
  <c r="O331" i="4" s="1"/>
  <c r="O334" i="4" s="1"/>
  <c r="O337" i="4" s="1"/>
  <c r="O340" i="4" s="1"/>
  <c r="O343" i="4" s="1"/>
  <c r="O346" i="4" s="1"/>
  <c r="O349" i="4" s="1"/>
  <c r="O352" i="4" s="1"/>
  <c r="O355" i="4" s="1"/>
  <c r="O358" i="4" s="1"/>
  <c r="O361" i="4" s="1"/>
  <c r="O364" i="4" s="1"/>
  <c r="O367" i="4" s="1"/>
  <c r="O370" i="4" s="1"/>
  <c r="O373" i="4" s="1"/>
  <c r="O376" i="4" s="1"/>
  <c r="O379" i="4" s="1"/>
  <c r="O382" i="4" s="1"/>
  <c r="O385" i="4" s="1"/>
  <c r="O388" i="4" s="1"/>
  <c r="O391" i="4" s="1"/>
  <c r="O394" i="4" s="1"/>
  <c r="O397" i="4" s="1"/>
  <c r="O400" i="4" s="1"/>
  <c r="O403" i="4" s="1"/>
  <c r="O406" i="4" s="1"/>
  <c r="O409" i="4" s="1"/>
  <c r="O412" i="4" s="1"/>
  <c r="O415" i="4" s="1"/>
  <c r="O418" i="4" s="1"/>
  <c r="O421" i="4" s="1"/>
  <c r="O424" i="4" s="1"/>
  <c r="O427" i="4" s="1"/>
  <c r="O430" i="4" s="1"/>
  <c r="O433" i="4" s="1"/>
  <c r="O436" i="4" s="1"/>
  <c r="O439" i="4" s="1"/>
  <c r="O442" i="4" s="1"/>
  <c r="O445" i="4" s="1"/>
  <c r="O448" i="4" s="1"/>
  <c r="O451" i="4" s="1"/>
  <c r="O454" i="4" s="1"/>
  <c r="O457" i="4" s="1"/>
  <c r="O460" i="4" s="1"/>
  <c r="O463" i="4" s="1"/>
  <c r="O466" i="4" s="1"/>
  <c r="O469" i="4" s="1"/>
  <c r="O472" i="4" s="1"/>
  <c r="O475" i="4" s="1"/>
  <c r="O478" i="4" s="1"/>
  <c r="O481" i="4" s="1"/>
  <c r="O484" i="4" s="1"/>
  <c r="O487" i="4" s="1"/>
  <c r="O490" i="4" s="1"/>
  <c r="O493" i="4" s="1"/>
  <c r="O496" i="4" s="1"/>
  <c r="O499" i="4" s="1"/>
  <c r="O502" i="4" s="1"/>
  <c r="O505" i="4" s="1"/>
  <c r="O508" i="4" s="1"/>
  <c r="O511" i="4" s="1"/>
  <c r="O514" i="4" s="1"/>
  <c r="O517" i="4" s="1"/>
  <c r="O520" i="4" s="1"/>
  <c r="O523" i="4" s="1"/>
  <c r="O526" i="4" s="1"/>
  <c r="O529" i="4" s="1"/>
  <c r="O532" i="4" s="1"/>
  <c r="O535" i="4" s="1"/>
  <c r="O538" i="4" s="1"/>
  <c r="O541" i="4" s="1"/>
  <c r="O544" i="4" s="1"/>
  <c r="O547" i="4" s="1"/>
  <c r="O550" i="4" s="1"/>
  <c r="O553" i="4" s="1"/>
  <c r="O556" i="4" s="1"/>
  <c r="O559" i="4" s="1"/>
  <c r="O562" i="4" s="1"/>
  <c r="O565" i="4" s="1"/>
  <c r="O568" i="4" s="1"/>
  <c r="O571" i="4" s="1"/>
  <c r="O574" i="4" s="1"/>
  <c r="O577" i="4" s="1"/>
  <c r="O580" i="4" s="1"/>
  <c r="O583" i="4" s="1"/>
  <c r="O586" i="4" s="1"/>
  <c r="O589" i="4" s="1"/>
  <c r="O592" i="4" s="1"/>
  <c r="O595" i="4" s="1"/>
  <c r="O598" i="4" s="1"/>
  <c r="O601" i="4" s="1"/>
  <c r="O604" i="4" s="1"/>
  <c r="O607" i="4" s="1"/>
  <c r="O610" i="4" s="1"/>
  <c r="O613" i="4" s="1"/>
  <c r="O616" i="4" s="1"/>
  <c r="O619" i="4" s="1"/>
  <c r="O622" i="4" s="1"/>
  <c r="O625" i="4" s="1"/>
  <c r="O628" i="4" s="1"/>
  <c r="O631" i="4" s="1"/>
  <c r="O634" i="4" s="1"/>
  <c r="O637" i="4" s="1"/>
  <c r="O640" i="4" s="1"/>
  <c r="O643" i="4" s="1"/>
  <c r="O646" i="4" s="1"/>
  <c r="O649" i="4" s="1"/>
  <c r="O652" i="4" s="1"/>
  <c r="O655" i="4" s="1"/>
  <c r="O658" i="4" s="1"/>
  <c r="O661" i="4" s="1"/>
  <c r="O664" i="4" s="1"/>
  <c r="O667" i="4" s="1"/>
  <c r="O670" i="4" s="1"/>
  <c r="O673" i="4" s="1"/>
  <c r="O676" i="4" s="1"/>
  <c r="O679" i="4" s="1"/>
  <c r="O682" i="4" s="1"/>
  <c r="O685" i="4" s="1"/>
  <c r="O688" i="4" s="1"/>
  <c r="O691" i="4" s="1"/>
  <c r="O694" i="4" s="1"/>
  <c r="O697" i="4" s="1"/>
  <c r="O700" i="4" s="1"/>
  <c r="O703" i="4" s="1"/>
  <c r="O706" i="4" s="1"/>
  <c r="O709" i="4" s="1"/>
  <c r="O712" i="4" s="1"/>
  <c r="O715" i="4" s="1"/>
  <c r="O718" i="4" s="1"/>
  <c r="O721" i="4" s="1"/>
  <c r="O724" i="4" s="1"/>
  <c r="O727" i="4" s="1"/>
  <c r="O730" i="4" s="1"/>
  <c r="O733" i="4" s="1"/>
  <c r="O736" i="4" s="1"/>
  <c r="O739" i="4" s="1"/>
  <c r="O742" i="4" s="1"/>
  <c r="O745" i="4" s="1"/>
  <c r="O748" i="4" s="1"/>
  <c r="O751" i="4" s="1"/>
  <c r="O754" i="4" s="1"/>
  <c r="O757" i="4" s="1"/>
  <c r="O760" i="4" s="1"/>
  <c r="O763" i="4" s="1"/>
  <c r="O766" i="4" s="1"/>
  <c r="O769" i="4" s="1"/>
  <c r="O772" i="4" s="1"/>
  <c r="O775" i="4" s="1"/>
  <c r="O778" i="4" s="1"/>
  <c r="O781" i="4" s="1"/>
  <c r="O784" i="4" s="1"/>
  <c r="O787" i="4" s="1"/>
  <c r="O790" i="4" s="1"/>
  <c r="O793" i="4" s="1"/>
  <c r="O796" i="4" s="1"/>
  <c r="O799" i="4" s="1"/>
  <c r="O802" i="4" s="1"/>
  <c r="O805" i="4" s="1"/>
  <c r="O808" i="4" s="1"/>
  <c r="O811" i="4" s="1"/>
  <c r="O814" i="4" s="1"/>
  <c r="O817" i="4" s="1"/>
  <c r="O820" i="4" s="1"/>
  <c r="O823" i="4" s="1"/>
  <c r="O826" i="4" s="1"/>
  <c r="O829" i="4" s="1"/>
  <c r="O832" i="4" s="1"/>
  <c r="O835" i="4" s="1"/>
  <c r="O838" i="4" s="1"/>
  <c r="O841" i="4" s="1"/>
  <c r="O844" i="4" s="1"/>
  <c r="O847" i="4" s="1"/>
  <c r="O850" i="4" s="1"/>
  <c r="O853" i="4" s="1"/>
  <c r="O856" i="4" s="1"/>
  <c r="O859" i="4" s="1"/>
  <c r="O862" i="4" s="1"/>
  <c r="O865" i="4" s="1"/>
  <c r="O868" i="4" s="1"/>
  <c r="O871" i="4" s="1"/>
  <c r="O874" i="4" s="1"/>
  <c r="O877" i="4" s="1"/>
  <c r="O880" i="4" s="1"/>
  <c r="O883" i="4" s="1"/>
  <c r="O886" i="4" s="1"/>
  <c r="O889" i="4" s="1"/>
  <c r="O892" i="4" s="1"/>
  <c r="O895" i="4" s="1"/>
  <c r="O898" i="4" s="1"/>
  <c r="P510" i="4"/>
  <c r="P513" i="4" s="1"/>
  <c r="P516" i="4" s="1"/>
  <c r="P519" i="4" s="1"/>
  <c r="P522" i="4" s="1"/>
  <c r="P525" i="4" s="1"/>
  <c r="P528" i="4" s="1"/>
  <c r="P531" i="4" s="1"/>
  <c r="P534" i="4" s="1"/>
  <c r="P537" i="4" s="1"/>
  <c r="P540" i="4" s="1"/>
  <c r="P543" i="4" s="1"/>
  <c r="P546" i="4" s="1"/>
  <c r="P549" i="4" s="1"/>
  <c r="P552" i="4" s="1"/>
  <c r="P555" i="4" s="1"/>
  <c r="P558" i="4" s="1"/>
  <c r="P561" i="4" s="1"/>
  <c r="P564" i="4" s="1"/>
  <c r="P567" i="4" s="1"/>
  <c r="P570" i="4" s="1"/>
  <c r="P573" i="4" s="1"/>
  <c r="P576" i="4" s="1"/>
  <c r="P579" i="4" s="1"/>
  <c r="P582" i="4" s="1"/>
  <c r="P585" i="4" s="1"/>
  <c r="P588" i="4" s="1"/>
  <c r="P591" i="4" s="1"/>
  <c r="P594" i="4" s="1"/>
  <c r="P597" i="4" s="1"/>
  <c r="P600" i="4" s="1"/>
  <c r="P603" i="4" s="1"/>
  <c r="P606" i="4" s="1"/>
  <c r="P609" i="4" s="1"/>
  <c r="P612" i="4" s="1"/>
  <c r="P615" i="4" s="1"/>
  <c r="P618" i="4" s="1"/>
  <c r="P621" i="4" s="1"/>
  <c r="P624" i="4" s="1"/>
  <c r="P627" i="4" s="1"/>
  <c r="P630" i="4" s="1"/>
  <c r="P633" i="4" s="1"/>
  <c r="P636" i="4" s="1"/>
  <c r="P639" i="4" s="1"/>
  <c r="P642" i="4" s="1"/>
  <c r="P645" i="4" s="1"/>
  <c r="P648" i="4" s="1"/>
  <c r="P651" i="4" s="1"/>
  <c r="P654" i="4" s="1"/>
  <c r="P657" i="4" s="1"/>
  <c r="P660" i="4" s="1"/>
  <c r="P663" i="4" s="1"/>
  <c r="P666" i="4" s="1"/>
  <c r="P669" i="4" s="1"/>
  <c r="P672" i="4" s="1"/>
  <c r="P675" i="4" s="1"/>
  <c r="P678" i="4" s="1"/>
  <c r="P681" i="4" s="1"/>
  <c r="P684" i="4" s="1"/>
  <c r="P687" i="4" s="1"/>
  <c r="P690" i="4" s="1"/>
  <c r="P693" i="4" s="1"/>
  <c r="P696" i="4" s="1"/>
  <c r="P699" i="4" s="1"/>
  <c r="P702" i="4" s="1"/>
  <c r="P705" i="4" s="1"/>
  <c r="P708" i="4" s="1"/>
  <c r="P711" i="4" s="1"/>
  <c r="P714" i="4" s="1"/>
  <c r="P717" i="4" s="1"/>
  <c r="P720" i="4" s="1"/>
  <c r="P723" i="4" s="1"/>
  <c r="P726" i="4" s="1"/>
  <c r="P729" i="4" s="1"/>
  <c r="P732" i="4" s="1"/>
  <c r="P735" i="4" s="1"/>
  <c r="P738" i="4" s="1"/>
  <c r="P741" i="4" s="1"/>
  <c r="P744" i="4" s="1"/>
  <c r="P747" i="4" s="1"/>
  <c r="P750" i="4" s="1"/>
  <c r="P753" i="4" s="1"/>
  <c r="P756" i="4" s="1"/>
  <c r="P759" i="4" s="1"/>
  <c r="P762" i="4" s="1"/>
  <c r="P765" i="4" s="1"/>
  <c r="P768" i="4" s="1"/>
  <c r="P771" i="4" s="1"/>
  <c r="P774" i="4" s="1"/>
  <c r="P777" i="4" s="1"/>
  <c r="P780" i="4" s="1"/>
  <c r="P783" i="4" s="1"/>
  <c r="P786" i="4" s="1"/>
  <c r="P789" i="4" s="1"/>
  <c r="P792" i="4" s="1"/>
  <c r="P795" i="4" s="1"/>
  <c r="P798" i="4" s="1"/>
  <c r="P801" i="4" s="1"/>
  <c r="P804" i="4" s="1"/>
  <c r="P807" i="4" s="1"/>
  <c r="P810" i="4" s="1"/>
  <c r="P813" i="4" s="1"/>
  <c r="P816" i="4" s="1"/>
  <c r="P819" i="4" s="1"/>
  <c r="P822" i="4" s="1"/>
  <c r="P825" i="4" s="1"/>
  <c r="P828" i="4" s="1"/>
  <c r="P831" i="4" s="1"/>
  <c r="P834" i="4" s="1"/>
  <c r="P837" i="4" s="1"/>
  <c r="P840" i="4" s="1"/>
  <c r="P843" i="4" s="1"/>
  <c r="P846" i="4" s="1"/>
  <c r="P849" i="4" s="1"/>
  <c r="P852" i="4" s="1"/>
  <c r="P855" i="4" s="1"/>
  <c r="P858" i="4" s="1"/>
  <c r="P861" i="4" s="1"/>
  <c r="P864" i="4" s="1"/>
  <c r="P867" i="4" s="1"/>
  <c r="P870" i="4" s="1"/>
  <c r="P873" i="4" s="1"/>
  <c r="P876" i="4" s="1"/>
  <c r="P879" i="4" s="1"/>
  <c r="P882" i="4" s="1"/>
  <c r="P885" i="4" s="1"/>
  <c r="P888" i="4" s="1"/>
  <c r="P891" i="4" s="1"/>
  <c r="P894" i="4" s="1"/>
  <c r="P897" i="4" s="1"/>
  <c r="P900" i="4" s="1"/>
  <c r="O521" i="4"/>
  <c r="O524" i="4" s="1"/>
  <c r="O527" i="4" s="1"/>
  <c r="O530" i="4" s="1"/>
  <c r="O533" i="4" s="1"/>
  <c r="O536" i="4" s="1"/>
  <c r="O539" i="4" s="1"/>
  <c r="O542" i="4" s="1"/>
  <c r="O545" i="4" s="1"/>
  <c r="O548" i="4" s="1"/>
  <c r="O551" i="4" s="1"/>
  <c r="O554" i="4" s="1"/>
  <c r="O525" i="4"/>
  <c r="O528" i="4" s="1"/>
  <c r="O531" i="4" s="1"/>
  <c r="O534" i="4" s="1"/>
  <c r="O537" i="4" s="1"/>
  <c r="O540" i="4" s="1"/>
  <c r="O543" i="4" s="1"/>
  <c r="O546" i="4" s="1"/>
  <c r="O549" i="4" s="1"/>
  <c r="O552" i="4" s="1"/>
  <c r="O555" i="4" s="1"/>
  <c r="O558" i="4" s="1"/>
  <c r="O561" i="4" s="1"/>
  <c r="O564" i="4" s="1"/>
  <c r="O567" i="4" s="1"/>
  <c r="O570" i="4" s="1"/>
  <c r="O573" i="4" s="1"/>
  <c r="O576" i="4" s="1"/>
  <c r="O579" i="4" s="1"/>
  <c r="O582" i="4" s="1"/>
  <c r="O585" i="4" s="1"/>
  <c r="O588" i="4" s="1"/>
  <c r="O591" i="4" s="1"/>
  <c r="O594" i="4" s="1"/>
  <c r="O597" i="4" s="1"/>
  <c r="O600" i="4" s="1"/>
  <c r="O603" i="4" s="1"/>
  <c r="O606" i="4" s="1"/>
  <c r="O609" i="4" s="1"/>
  <c r="O612" i="4" s="1"/>
  <c r="O615" i="4" s="1"/>
  <c r="O618" i="4" s="1"/>
  <c r="O621" i="4" s="1"/>
  <c r="O624" i="4" s="1"/>
  <c r="O627" i="4" s="1"/>
  <c r="O630" i="4" s="1"/>
  <c r="O633" i="4" s="1"/>
  <c r="O636" i="4" s="1"/>
  <c r="O639" i="4" s="1"/>
  <c r="O642" i="4" s="1"/>
  <c r="O645" i="4" s="1"/>
  <c r="O648" i="4" s="1"/>
  <c r="O651" i="4" s="1"/>
  <c r="O654" i="4" s="1"/>
  <c r="O657" i="4" s="1"/>
  <c r="O660" i="4" s="1"/>
  <c r="O663" i="4" s="1"/>
  <c r="O666" i="4" s="1"/>
  <c r="O669" i="4" s="1"/>
  <c r="O672" i="4" s="1"/>
  <c r="O675" i="4" s="1"/>
  <c r="O678" i="4" s="1"/>
  <c r="O681" i="4" s="1"/>
  <c r="O684" i="4" s="1"/>
  <c r="O687" i="4" s="1"/>
  <c r="O690" i="4" s="1"/>
  <c r="O693" i="4" s="1"/>
  <c r="O696" i="4" s="1"/>
  <c r="O699" i="4" s="1"/>
  <c r="O702" i="4" s="1"/>
  <c r="O705" i="4" s="1"/>
  <c r="O708" i="4" s="1"/>
  <c r="O711" i="4" s="1"/>
  <c r="O714" i="4" s="1"/>
  <c r="O717" i="4" s="1"/>
  <c r="O720" i="4" s="1"/>
  <c r="O723" i="4" s="1"/>
  <c r="O726" i="4" s="1"/>
  <c r="O729" i="4" s="1"/>
  <c r="O732" i="4" s="1"/>
  <c r="O735" i="4" s="1"/>
  <c r="O738" i="4" s="1"/>
  <c r="O741" i="4" s="1"/>
  <c r="O744" i="4" s="1"/>
  <c r="O747" i="4" s="1"/>
  <c r="O750" i="4" s="1"/>
  <c r="O753" i="4" s="1"/>
  <c r="O756" i="4" s="1"/>
  <c r="O759" i="4" s="1"/>
  <c r="O762" i="4" s="1"/>
  <c r="O765" i="4" s="1"/>
  <c r="O768" i="4" s="1"/>
  <c r="O771" i="4" s="1"/>
  <c r="O774" i="4" s="1"/>
  <c r="O777" i="4" s="1"/>
  <c r="O780" i="4" s="1"/>
  <c r="O783" i="4" s="1"/>
  <c r="O786" i="4" s="1"/>
  <c r="O789" i="4" s="1"/>
  <c r="O792" i="4" s="1"/>
  <c r="O795" i="4" s="1"/>
  <c r="O798" i="4" s="1"/>
  <c r="O801" i="4" s="1"/>
  <c r="O804" i="4" s="1"/>
  <c r="O807" i="4" s="1"/>
  <c r="O810" i="4" s="1"/>
  <c r="O813" i="4" s="1"/>
  <c r="O816" i="4" s="1"/>
  <c r="O819" i="4" s="1"/>
  <c r="O822" i="4" s="1"/>
  <c r="O825" i="4" s="1"/>
  <c r="O828" i="4" s="1"/>
  <c r="O831" i="4" s="1"/>
  <c r="O834" i="4" s="1"/>
  <c r="O837" i="4" s="1"/>
  <c r="O840" i="4" s="1"/>
  <c r="O843" i="4" s="1"/>
  <c r="O846" i="4" s="1"/>
  <c r="O849" i="4" s="1"/>
  <c r="O852" i="4" s="1"/>
  <c r="O855" i="4" s="1"/>
  <c r="O858" i="4" s="1"/>
  <c r="O861" i="4" s="1"/>
  <c r="O864" i="4" s="1"/>
  <c r="O867" i="4" s="1"/>
  <c r="O870" i="4" s="1"/>
  <c r="O873" i="4" s="1"/>
  <c r="O876" i="4" s="1"/>
  <c r="O879" i="4" s="1"/>
  <c r="O882" i="4" s="1"/>
  <c r="O885" i="4" s="1"/>
  <c r="O888" i="4" s="1"/>
  <c r="O891" i="4" s="1"/>
  <c r="O894" i="4" s="1"/>
  <c r="O897" i="4" s="1"/>
  <c r="O900" i="4" s="1"/>
  <c r="P551" i="4"/>
  <c r="P554" i="4" s="1"/>
  <c r="P557" i="4" s="1"/>
  <c r="P560" i="4" s="1"/>
  <c r="P563" i="4" s="1"/>
  <c r="P566" i="4" s="1"/>
  <c r="P569" i="4" s="1"/>
  <c r="P572" i="4" s="1"/>
  <c r="P575" i="4" s="1"/>
  <c r="P578" i="4" s="1"/>
  <c r="P581" i="4" s="1"/>
  <c r="P584" i="4" s="1"/>
  <c r="P587" i="4" s="1"/>
  <c r="P590" i="4" s="1"/>
  <c r="P593" i="4" s="1"/>
  <c r="P596" i="4" s="1"/>
  <c r="P599" i="4" s="1"/>
  <c r="P602" i="4" s="1"/>
  <c r="P605" i="4" s="1"/>
  <c r="P608" i="4" s="1"/>
  <c r="P611" i="4" s="1"/>
  <c r="P614" i="4" s="1"/>
  <c r="P617" i="4" s="1"/>
  <c r="P620" i="4" s="1"/>
  <c r="P623" i="4" s="1"/>
  <c r="P626" i="4" s="1"/>
  <c r="P629" i="4" s="1"/>
  <c r="P632" i="4" s="1"/>
  <c r="P635" i="4" s="1"/>
  <c r="P638" i="4" s="1"/>
  <c r="P641" i="4" s="1"/>
  <c r="P644" i="4" s="1"/>
  <c r="P647" i="4" s="1"/>
  <c r="P650" i="4" s="1"/>
  <c r="P653" i="4" s="1"/>
  <c r="P656" i="4" s="1"/>
  <c r="P659" i="4" s="1"/>
  <c r="P662" i="4" s="1"/>
  <c r="P665" i="4" s="1"/>
  <c r="P668" i="4" s="1"/>
  <c r="P671" i="4" s="1"/>
  <c r="P674" i="4" s="1"/>
  <c r="P677" i="4" s="1"/>
  <c r="P680" i="4" s="1"/>
  <c r="P683" i="4" s="1"/>
  <c r="P686" i="4" s="1"/>
  <c r="P689" i="4" s="1"/>
  <c r="P692" i="4" s="1"/>
  <c r="P695" i="4" s="1"/>
  <c r="P698" i="4" s="1"/>
  <c r="P701" i="4" s="1"/>
  <c r="P704" i="4" s="1"/>
  <c r="P707" i="4" s="1"/>
  <c r="P710" i="4" s="1"/>
  <c r="P713" i="4" s="1"/>
  <c r="P716" i="4" s="1"/>
  <c r="P719" i="4" s="1"/>
  <c r="P722" i="4" s="1"/>
  <c r="P725" i="4" s="1"/>
  <c r="P728" i="4" s="1"/>
  <c r="P731" i="4" s="1"/>
  <c r="P734" i="4" s="1"/>
  <c r="P737" i="4" s="1"/>
  <c r="P740" i="4" s="1"/>
  <c r="P743" i="4" s="1"/>
  <c r="P746" i="4" s="1"/>
  <c r="P749" i="4" s="1"/>
  <c r="P752" i="4" s="1"/>
  <c r="P755" i="4" s="1"/>
  <c r="P758" i="4" s="1"/>
  <c r="P761" i="4" s="1"/>
  <c r="P764" i="4" s="1"/>
  <c r="P767" i="4" s="1"/>
  <c r="P770" i="4" s="1"/>
  <c r="P773" i="4" s="1"/>
  <c r="P776" i="4" s="1"/>
  <c r="P779" i="4" s="1"/>
  <c r="P782" i="4" s="1"/>
  <c r="P785" i="4" s="1"/>
  <c r="P788" i="4" s="1"/>
  <c r="P791" i="4" s="1"/>
  <c r="P794" i="4" s="1"/>
  <c r="P797" i="4" s="1"/>
  <c r="P800" i="4" s="1"/>
  <c r="P803" i="4" s="1"/>
  <c r="P806" i="4" s="1"/>
  <c r="P809" i="4" s="1"/>
  <c r="P812" i="4" s="1"/>
  <c r="P815" i="4" s="1"/>
  <c r="P818" i="4" s="1"/>
  <c r="P821" i="4" s="1"/>
  <c r="P824" i="4" s="1"/>
  <c r="P827" i="4" s="1"/>
  <c r="P830" i="4" s="1"/>
  <c r="P833" i="4" s="1"/>
  <c r="P836" i="4" s="1"/>
  <c r="P839" i="4" s="1"/>
  <c r="P842" i="4" s="1"/>
  <c r="P845" i="4" s="1"/>
  <c r="P848" i="4" s="1"/>
  <c r="P851" i="4" s="1"/>
  <c r="P854" i="4" s="1"/>
  <c r="P857" i="4" s="1"/>
  <c r="P860" i="4" s="1"/>
  <c r="P863" i="4" s="1"/>
  <c r="P866" i="4" s="1"/>
  <c r="P869" i="4" s="1"/>
  <c r="P872" i="4" s="1"/>
  <c r="P875" i="4" s="1"/>
  <c r="P878" i="4" s="1"/>
  <c r="P881" i="4" s="1"/>
  <c r="P884" i="4" s="1"/>
  <c r="P887" i="4" s="1"/>
  <c r="P890" i="4" s="1"/>
  <c r="P893" i="4" s="1"/>
  <c r="P896" i="4" s="1"/>
  <c r="P899" i="4" s="1"/>
  <c r="O557" i="4"/>
  <c r="O560" i="4" s="1"/>
  <c r="O563" i="4" s="1"/>
  <c r="O566" i="4" s="1"/>
  <c r="O569" i="4" s="1"/>
  <c r="O572" i="4" s="1"/>
  <c r="O575" i="4" s="1"/>
  <c r="O578" i="4" s="1"/>
  <c r="O581" i="4" s="1"/>
  <c r="O584" i="4" s="1"/>
  <c r="O587" i="4" s="1"/>
  <c r="O590" i="4" s="1"/>
  <c r="O593" i="4" s="1"/>
  <c r="O596" i="4" s="1"/>
  <c r="O599" i="4" s="1"/>
  <c r="O602" i="4" s="1"/>
  <c r="O605" i="4" s="1"/>
  <c r="O608" i="4" s="1"/>
  <c r="O611" i="4" s="1"/>
  <c r="O614" i="4" s="1"/>
  <c r="O617" i="4" s="1"/>
  <c r="O620" i="4" s="1"/>
  <c r="O623" i="4" s="1"/>
  <c r="O626" i="4" s="1"/>
  <c r="O629" i="4" s="1"/>
  <c r="O632" i="4" s="1"/>
  <c r="O635" i="4" s="1"/>
  <c r="O638" i="4" s="1"/>
  <c r="O641" i="4"/>
  <c r="O644" i="4" s="1"/>
  <c r="O647" i="4"/>
  <c r="O650" i="4" s="1"/>
  <c r="O653" i="4" s="1"/>
  <c r="O656" i="4" s="1"/>
  <c r="O659" i="4" s="1"/>
  <c r="O662" i="4" s="1"/>
  <c r="O665" i="4" s="1"/>
  <c r="O668" i="4" s="1"/>
  <c r="O671" i="4" s="1"/>
  <c r="O674" i="4" s="1"/>
  <c r="O677" i="4" s="1"/>
  <c r="O680" i="4" s="1"/>
  <c r="O683" i="4" s="1"/>
  <c r="O686" i="4" s="1"/>
  <c r="O689" i="4" s="1"/>
  <c r="O692" i="4" s="1"/>
  <c r="O695" i="4" s="1"/>
  <c r="O698" i="4" s="1"/>
  <c r="O701" i="4" s="1"/>
  <c r="O704" i="4" s="1"/>
  <c r="O707" i="4" s="1"/>
  <c r="O710" i="4" s="1"/>
  <c r="O713" i="4" s="1"/>
  <c r="O716" i="4" s="1"/>
  <c r="O719" i="4" s="1"/>
  <c r="O722" i="4" s="1"/>
  <c r="O725" i="4" s="1"/>
  <c r="O728" i="4" s="1"/>
  <c r="O731" i="4" s="1"/>
  <c r="O734" i="4" s="1"/>
  <c r="O737" i="4" s="1"/>
  <c r="O740" i="4" s="1"/>
  <c r="O743" i="4" s="1"/>
  <c r="O746" i="4" s="1"/>
  <c r="O749" i="4" s="1"/>
  <c r="O752" i="4" s="1"/>
  <c r="O755" i="4" s="1"/>
  <c r="O758" i="4" s="1"/>
  <c r="O761" i="4" s="1"/>
  <c r="O764" i="4" s="1"/>
  <c r="O767" i="4" s="1"/>
  <c r="O770" i="4" s="1"/>
  <c r="O773" i="4" s="1"/>
  <c r="O776" i="4" s="1"/>
  <c r="O779" i="4" s="1"/>
  <c r="O782" i="4" s="1"/>
  <c r="O785" i="4" s="1"/>
  <c r="O788" i="4" s="1"/>
  <c r="O791" i="4" s="1"/>
  <c r="O794" i="4" s="1"/>
  <c r="O797" i="4" s="1"/>
  <c r="O800" i="4" s="1"/>
  <c r="O803" i="4" s="1"/>
  <c r="O806" i="4" s="1"/>
  <c r="O809" i="4" s="1"/>
  <c r="O812" i="4" s="1"/>
  <c r="O815" i="4" s="1"/>
  <c r="O818" i="4" s="1"/>
  <c r="O821" i="4" s="1"/>
  <c r="O824" i="4" s="1"/>
  <c r="O827" i="4" s="1"/>
  <c r="O830" i="4" s="1"/>
  <c r="O833" i="4" s="1"/>
  <c r="O836" i="4" s="1"/>
  <c r="O839" i="4" s="1"/>
  <c r="O842" i="4" s="1"/>
  <c r="O845" i="4" s="1"/>
  <c r="O848" i="4" s="1"/>
  <c r="O851" i="4" s="1"/>
  <c r="O854" i="4" s="1"/>
  <c r="O857" i="4" s="1"/>
  <c r="O860" i="4" s="1"/>
  <c r="O863" i="4" s="1"/>
  <c r="O866" i="4" s="1"/>
  <c r="O869" i="4" s="1"/>
  <c r="O872" i="4" s="1"/>
  <c r="O875" i="4" s="1"/>
  <c r="O878" i="4" s="1"/>
  <c r="O881" i="4" s="1"/>
  <c r="O884" i="4" s="1"/>
  <c r="O887" i="4" s="1"/>
  <c r="O890" i="4" s="1"/>
  <c r="O893" i="4" s="1"/>
  <c r="O896" i="4" s="1"/>
  <c r="O899" i="4" s="1"/>
  <c r="O10" i="4"/>
  <c r="P10" i="4"/>
  <c r="O11" i="4"/>
  <c r="P11" i="4"/>
  <c r="O12" i="4"/>
  <c r="P12" i="4"/>
  <c r="O8" i="4"/>
  <c r="P8" i="4"/>
  <c r="O9" i="4"/>
  <c r="P9" i="4"/>
  <c r="P7" i="4"/>
  <c r="O7" i="4"/>
  <c r="K25" i="10" l="1"/>
  <c r="K27" i="10"/>
  <c r="L328" i="17" l="1"/>
  <c r="L329" i="17"/>
  <c r="AO327" i="17"/>
  <c r="AM327" i="17"/>
  <c r="AL327" i="17"/>
  <c r="AK327" i="17"/>
  <c r="AJ327" i="17"/>
  <c r="Y327" i="17"/>
  <c r="V327" i="17"/>
  <c r="AD327" i="17"/>
  <c r="AO326" i="17"/>
  <c r="AM326" i="17"/>
  <c r="AM330" i="17" s="1"/>
  <c r="AL326" i="17"/>
  <c r="AL330" i="17" s="1"/>
  <c r="AK326" i="17"/>
  <c r="AK330" i="17" s="1"/>
  <c r="AJ326" i="17"/>
  <c r="AJ330" i="17" s="1"/>
  <c r="Y326" i="17"/>
  <c r="V326" i="17"/>
  <c r="AD326" i="17"/>
  <c r="AK324" i="17"/>
  <c r="AJ324" i="17"/>
  <c r="L322" i="17"/>
  <c r="L323" i="17"/>
  <c r="AO321" i="17"/>
  <c r="AM321" i="17"/>
  <c r="AL321" i="17"/>
  <c r="AK321" i="17"/>
  <c r="AJ321" i="17"/>
  <c r="Y321" i="17"/>
  <c r="V321" i="17"/>
  <c r="AD321" i="17"/>
  <c r="AO320" i="17"/>
  <c r="AM320" i="17"/>
  <c r="AM324" i="17" s="1"/>
  <c r="AL320" i="17"/>
  <c r="AL324" i="17" s="1"/>
  <c r="AK320" i="17"/>
  <c r="AJ320" i="17"/>
  <c r="Y320" i="17"/>
  <c r="AD320" i="17"/>
  <c r="V320" i="17"/>
  <c r="L316" i="17"/>
  <c r="L317" i="17"/>
  <c r="AO315" i="17"/>
  <c r="AM315" i="17"/>
  <c r="AL315" i="17"/>
  <c r="AK315" i="17"/>
  <c r="AJ315" i="17"/>
  <c r="Y315" i="17"/>
  <c r="V315" i="17"/>
  <c r="AD315" i="17"/>
  <c r="AO314" i="17"/>
  <c r="AM314" i="17"/>
  <c r="AM318" i="17" s="1"/>
  <c r="AL314" i="17"/>
  <c r="AL318" i="17" s="1"/>
  <c r="AK314" i="17"/>
  <c r="AK318" i="17" s="1"/>
  <c r="AJ314" i="17"/>
  <c r="AJ318" i="17" s="1"/>
  <c r="Y314" i="17"/>
  <c r="AD314" i="17"/>
  <c r="V314" i="17"/>
  <c r="L310" i="17"/>
  <c r="L311" i="17"/>
  <c r="AO309" i="17"/>
  <c r="AM309" i="17"/>
  <c r="AL309" i="17"/>
  <c r="AK309" i="17"/>
  <c r="AJ309" i="17"/>
  <c r="Y309" i="17"/>
  <c r="V309" i="17"/>
  <c r="AD309" i="17"/>
  <c r="AO308" i="17"/>
  <c r="AM308" i="17"/>
  <c r="AM312" i="17" s="1"/>
  <c r="AL308" i="17"/>
  <c r="AL312" i="17" s="1"/>
  <c r="AK308" i="17"/>
  <c r="AK312" i="17" s="1"/>
  <c r="AJ308" i="17"/>
  <c r="AJ312" i="17" s="1"/>
  <c r="Y308" i="17"/>
  <c r="AD308" i="17"/>
  <c r="V308" i="17"/>
  <c r="L304" i="17"/>
  <c r="L305" i="17"/>
  <c r="AO303" i="17"/>
  <c r="AM303" i="17"/>
  <c r="AL303" i="17"/>
  <c r="AK303" i="17"/>
  <c r="AJ303" i="17"/>
  <c r="Y303" i="17"/>
  <c r="V303" i="17"/>
  <c r="AD303" i="17"/>
  <c r="AO302" i="17"/>
  <c r="AM302" i="17"/>
  <c r="AM306" i="17" s="1"/>
  <c r="AL302" i="17"/>
  <c r="AL306" i="17" s="1"/>
  <c r="AK302" i="17"/>
  <c r="AK306" i="17" s="1"/>
  <c r="AJ302" i="17"/>
  <c r="AJ306" i="17" s="1"/>
  <c r="Y302" i="17"/>
  <c r="V302" i="17"/>
  <c r="AD302" i="17"/>
  <c r="L298" i="17"/>
  <c r="L299" i="17"/>
  <c r="AO297" i="17"/>
  <c r="AM297" i="17"/>
  <c r="AL297" i="17"/>
  <c r="AK297" i="17"/>
  <c r="AJ297" i="17"/>
  <c r="Y297" i="17"/>
  <c r="V297" i="17"/>
  <c r="AD297" i="17"/>
  <c r="AO296" i="17"/>
  <c r="AM296" i="17"/>
  <c r="AM300" i="17" s="1"/>
  <c r="AL296" i="17"/>
  <c r="AL300" i="17" s="1"/>
  <c r="AK296" i="17"/>
  <c r="AK300" i="17" s="1"/>
  <c r="AJ296" i="17"/>
  <c r="AJ300" i="17" s="1"/>
  <c r="Y296" i="17"/>
  <c r="V296" i="17"/>
  <c r="AD296" i="17"/>
  <c r="L292" i="17"/>
  <c r="L293" i="17"/>
  <c r="AO290" i="17"/>
  <c r="AM290" i="17"/>
  <c r="AM294" i="17" s="1"/>
  <c r="AL290" i="17"/>
  <c r="AL294" i="17" s="1"/>
  <c r="AK290" i="17"/>
  <c r="AK294" i="17" s="1"/>
  <c r="AJ290" i="17"/>
  <c r="AJ294" i="17" s="1"/>
  <c r="Y290" i="17"/>
  <c r="V290" i="17"/>
  <c r="AD290" i="17"/>
  <c r="AO291" i="17"/>
  <c r="AM291" i="17"/>
  <c r="AL291" i="17"/>
  <c r="AK291" i="17"/>
  <c r="AJ291" i="17"/>
  <c r="Y291" i="17"/>
  <c r="AD291" i="17"/>
  <c r="V291" i="17"/>
  <c r="L286" i="17"/>
  <c r="L287" i="17"/>
  <c r="AO284" i="17"/>
  <c r="AM284" i="17"/>
  <c r="AM288" i="17" s="1"/>
  <c r="AL284" i="17"/>
  <c r="AL288" i="17" s="1"/>
  <c r="AK284" i="17"/>
  <c r="AK288" i="17" s="1"/>
  <c r="AJ284" i="17"/>
  <c r="AJ288" i="17" s="1"/>
  <c r="Y284" i="17"/>
  <c r="V284" i="17"/>
  <c r="AD284" i="17"/>
  <c r="AO285" i="17"/>
  <c r="AM285" i="17"/>
  <c r="AL285" i="17"/>
  <c r="AK285" i="17"/>
  <c r="AJ285" i="17"/>
  <c r="Y285" i="17"/>
  <c r="V285" i="17"/>
  <c r="AD285" i="17"/>
  <c r="L280" i="17"/>
  <c r="L281" i="17"/>
  <c r="AO279" i="17"/>
  <c r="AM279" i="17"/>
  <c r="AL279" i="17"/>
  <c r="AK279" i="17"/>
  <c r="AJ279" i="17"/>
  <c r="Y279" i="17"/>
  <c r="V279" i="17"/>
  <c r="AD279" i="17"/>
  <c r="AO278" i="17"/>
  <c r="AM278" i="17"/>
  <c r="AM282" i="17" s="1"/>
  <c r="AL278" i="17"/>
  <c r="AL282" i="17" s="1"/>
  <c r="AK278" i="17"/>
  <c r="AK282" i="17" s="1"/>
  <c r="AJ278" i="17"/>
  <c r="AJ282" i="17" s="1"/>
  <c r="Y278" i="17"/>
  <c r="V278" i="17"/>
  <c r="AD278" i="17"/>
  <c r="V272" i="17"/>
  <c r="Y272" i="17"/>
  <c r="AD272" i="17"/>
  <c r="AO272" i="17"/>
  <c r="AJ272" i="17"/>
  <c r="AK272" i="17"/>
  <c r="AL272" i="17"/>
  <c r="AL276" i="17" s="1"/>
  <c r="AM272" i="17"/>
  <c r="AM276" i="17" s="1"/>
  <c r="L274" i="17"/>
  <c r="L275" i="17"/>
  <c r="AO273" i="17"/>
  <c r="AM273" i="17"/>
  <c r="AL273" i="17"/>
  <c r="AK273" i="17"/>
  <c r="AK276" i="17" s="1"/>
  <c r="AJ273" i="17"/>
  <c r="AJ276" i="17" s="1"/>
  <c r="Y273" i="17"/>
  <c r="V273" i="17"/>
  <c r="AD273" i="17"/>
  <c r="L268" i="17"/>
  <c r="L269" i="17"/>
  <c r="AO267" i="17"/>
  <c r="AM267" i="17"/>
  <c r="AL267" i="17"/>
  <c r="AK267" i="17"/>
  <c r="AJ267" i="17"/>
  <c r="Y267" i="17"/>
  <c r="V267" i="17"/>
  <c r="AD267" i="17"/>
  <c r="AO266" i="17"/>
  <c r="AM266" i="17"/>
  <c r="AM270" i="17" s="1"/>
  <c r="AL266" i="17"/>
  <c r="AL270" i="17" s="1"/>
  <c r="AK266" i="17"/>
  <c r="AK270" i="17" s="1"/>
  <c r="AJ266" i="17"/>
  <c r="AJ270" i="17" s="1"/>
  <c r="Y266" i="17"/>
  <c r="V266" i="17"/>
  <c r="AD266" i="17"/>
  <c r="L262" i="17"/>
  <c r="L263" i="17"/>
  <c r="AO260" i="17"/>
  <c r="AM260" i="17"/>
  <c r="AM264" i="17" s="1"/>
  <c r="AL260" i="17"/>
  <c r="AL264" i="17" s="1"/>
  <c r="AK260" i="17"/>
  <c r="AK264" i="17" s="1"/>
  <c r="AJ260" i="17"/>
  <c r="AJ264" i="17" s="1"/>
  <c r="Y260" i="17"/>
  <c r="V260" i="17"/>
  <c r="AD260" i="17"/>
  <c r="AO261" i="17"/>
  <c r="AM261" i="17"/>
  <c r="AL261" i="17"/>
  <c r="AK261" i="17"/>
  <c r="AJ261" i="17"/>
  <c r="Y261" i="17"/>
  <c r="V261" i="17"/>
  <c r="AD261" i="17"/>
  <c r="AO254" i="17"/>
  <c r="AM254" i="17"/>
  <c r="AM258" i="17" s="1"/>
  <c r="AL254" i="17"/>
  <c r="AL258" i="17" s="1"/>
  <c r="AK254" i="17"/>
  <c r="AJ254" i="17"/>
  <c r="Y254" i="17"/>
  <c r="V254" i="17"/>
  <c r="AD254" i="17"/>
  <c r="L256" i="17"/>
  <c r="L257" i="17"/>
  <c r="AO255" i="17"/>
  <c r="AM255" i="17"/>
  <c r="AL255" i="17"/>
  <c r="AK255" i="17"/>
  <c r="AK258" i="17" s="1"/>
  <c r="AJ255" i="17"/>
  <c r="AJ258" i="17" s="1"/>
  <c r="Y255" i="17"/>
  <c r="V255" i="17"/>
  <c r="AD255" i="17"/>
  <c r="AO248" i="17"/>
  <c r="AJ248" i="17"/>
  <c r="AJ252" i="17" s="1"/>
  <c r="L250" i="17"/>
  <c r="L251" i="17"/>
  <c r="AD248" i="17"/>
  <c r="AO249" i="17"/>
  <c r="AM249" i="17"/>
  <c r="AL249" i="17"/>
  <c r="AK249" i="17"/>
  <c r="AJ249" i="17"/>
  <c r="Y249" i="17"/>
  <c r="V249" i="17"/>
  <c r="AD249" i="17"/>
  <c r="AM248" i="17"/>
  <c r="AM252" i="17" s="1"/>
  <c r="AL248" i="17"/>
  <c r="AL252" i="17" s="1"/>
  <c r="AK248" i="17"/>
  <c r="AK252" i="17" s="1"/>
  <c r="Y248" i="17"/>
  <c r="V248" i="17"/>
  <c r="L244" i="17"/>
  <c r="L245" i="17"/>
  <c r="AO242" i="17"/>
  <c r="AJ242" i="17"/>
  <c r="AJ246" i="17" s="1"/>
  <c r="AK242" i="17"/>
  <c r="AK246" i="17" s="1"/>
  <c r="AL242" i="17"/>
  <c r="AL246" i="17" s="1"/>
  <c r="AM242" i="17"/>
  <c r="AM246" i="17" s="1"/>
  <c r="V242" i="17"/>
  <c r="Y242" i="17"/>
  <c r="AD242" i="17"/>
  <c r="AO243" i="17"/>
  <c r="AM243" i="17"/>
  <c r="AL243" i="17"/>
  <c r="AK243" i="17"/>
  <c r="AJ243" i="17"/>
  <c r="Y243" i="17"/>
  <c r="V243" i="17"/>
  <c r="AD243" i="17"/>
  <c r="L238" i="17"/>
  <c r="L239" i="17"/>
  <c r="AO236" i="17"/>
  <c r="AM236" i="17"/>
  <c r="AM240" i="17" s="1"/>
  <c r="AL236" i="17"/>
  <c r="AL240" i="17" s="1"/>
  <c r="AK236" i="17"/>
  <c r="AK240" i="17" s="1"/>
  <c r="AJ236" i="17"/>
  <c r="AJ240" i="17" s="1"/>
  <c r="Y236" i="17"/>
  <c r="V236" i="17"/>
  <c r="AD236" i="17"/>
  <c r="AO237" i="17"/>
  <c r="AM237" i="17"/>
  <c r="AL237" i="17"/>
  <c r="AK237" i="17"/>
  <c r="AJ237" i="17"/>
  <c r="Y237" i="17"/>
  <c r="V237" i="17"/>
  <c r="AD237" i="17"/>
  <c r="L232" i="17"/>
  <c r="L233" i="17"/>
  <c r="AO230" i="17"/>
  <c r="AM230" i="17"/>
  <c r="AM234" i="17" s="1"/>
  <c r="AL230" i="17"/>
  <c r="AL234" i="17" s="1"/>
  <c r="AK230" i="17"/>
  <c r="AK234" i="17" s="1"/>
  <c r="AJ230" i="17"/>
  <c r="AJ234" i="17" s="1"/>
  <c r="Y230" i="17"/>
  <c r="V230" i="17"/>
  <c r="AD230" i="17"/>
  <c r="AO231" i="17"/>
  <c r="AM231" i="17"/>
  <c r="AL231" i="17"/>
  <c r="AK231" i="17"/>
  <c r="AJ231" i="17"/>
  <c r="Y231" i="17"/>
  <c r="V231" i="17"/>
  <c r="AD231" i="17"/>
  <c r="L226" i="17"/>
  <c r="L227" i="17"/>
  <c r="AO224" i="17"/>
  <c r="AM224" i="17"/>
  <c r="AM228" i="17" s="1"/>
  <c r="AL224" i="17"/>
  <c r="AL228" i="17" s="1"/>
  <c r="AK224" i="17"/>
  <c r="AK228" i="17" s="1"/>
  <c r="AJ224" i="17"/>
  <c r="AJ228" i="17" s="1"/>
  <c r="Y224" i="17"/>
  <c r="V224" i="17"/>
  <c r="AD224" i="17"/>
  <c r="AO225" i="17"/>
  <c r="AM225" i="17"/>
  <c r="AL225" i="17"/>
  <c r="AK225" i="17"/>
  <c r="AJ225" i="17"/>
  <c r="Y225" i="17"/>
  <c r="V225" i="17"/>
  <c r="AD225" i="17"/>
  <c r="L220" i="17"/>
  <c r="L221" i="17"/>
  <c r="AO218" i="17"/>
  <c r="AJ218" i="17"/>
  <c r="AJ222" i="17" s="1"/>
  <c r="AK218" i="17"/>
  <c r="AK222" i="17" s="1"/>
  <c r="AL218" i="17"/>
  <c r="AL222" i="17" s="1"/>
  <c r="AM218" i="17"/>
  <c r="AM222" i="17" s="1"/>
  <c r="V218" i="17"/>
  <c r="Y218" i="17"/>
  <c r="AD218" i="17"/>
  <c r="AO219" i="17"/>
  <c r="AM219" i="17"/>
  <c r="AL219" i="17"/>
  <c r="AK219" i="17"/>
  <c r="AJ219" i="17"/>
  <c r="Y219" i="17"/>
  <c r="V219" i="17"/>
  <c r="AD219" i="17"/>
  <c r="AO212" i="17"/>
  <c r="AJ212" i="17"/>
  <c r="AJ216" i="17" s="1"/>
  <c r="L214" i="17"/>
  <c r="L215" i="17"/>
  <c r="AD212" i="17"/>
  <c r="AO213" i="17"/>
  <c r="AM213" i="17"/>
  <c r="AL213" i="17"/>
  <c r="AK213" i="17"/>
  <c r="AJ213" i="17"/>
  <c r="Y213" i="17"/>
  <c r="V213" i="17"/>
  <c r="AD213" i="17"/>
  <c r="AM212" i="17"/>
  <c r="AM216" i="17" s="1"/>
  <c r="AL212" i="17"/>
  <c r="AL216" i="17" s="1"/>
  <c r="AK212" i="17"/>
  <c r="AK216" i="17" s="1"/>
  <c r="Y212" i="17"/>
  <c r="V212" i="17"/>
  <c r="AK210" i="17"/>
  <c r="L208" i="17"/>
  <c r="L209" i="17"/>
  <c r="AO206" i="17"/>
  <c r="AJ206" i="17"/>
  <c r="AJ210" i="17" s="1"/>
  <c r="AK206" i="17"/>
  <c r="AL206" i="17"/>
  <c r="AL210" i="17" s="1"/>
  <c r="AM206" i="17"/>
  <c r="AM210" i="17" s="1"/>
  <c r="V206" i="17"/>
  <c r="Y206" i="17"/>
  <c r="AD206" i="17"/>
  <c r="AO207" i="17"/>
  <c r="AM207" i="17"/>
  <c r="AL207" i="17"/>
  <c r="AK207" i="17"/>
  <c r="AJ207" i="17"/>
  <c r="Y207" i="17"/>
  <c r="V207" i="17"/>
  <c r="AD207" i="17"/>
  <c r="AM198" i="17"/>
  <c r="AM199" i="17"/>
  <c r="AM200" i="17"/>
  <c r="AM204" i="17"/>
  <c r="AL198" i="17"/>
  <c r="AL199" i="17"/>
  <c r="AL200" i="17"/>
  <c r="AL204" i="17"/>
  <c r="AK198" i="17"/>
  <c r="AK199" i="17"/>
  <c r="AK200" i="17"/>
  <c r="AK204" i="17"/>
  <c r="AO198" i="17"/>
  <c r="AJ198" i="17"/>
  <c r="AJ204" i="17" s="1"/>
  <c r="AO199" i="17"/>
  <c r="AJ199" i="17"/>
  <c r="AO200" i="17"/>
  <c r="AJ200" i="17"/>
  <c r="L201" i="17"/>
  <c r="V198" i="17"/>
  <c r="Y198" i="17"/>
  <c r="AD198" i="17"/>
  <c r="L202" i="17"/>
  <c r="V199" i="17"/>
  <c r="Y199" i="17"/>
  <c r="AD199" i="17"/>
  <c r="L203" i="17"/>
  <c r="V200" i="17"/>
  <c r="AD200" i="17"/>
  <c r="Y200" i="17"/>
  <c r="AM192" i="17"/>
  <c r="AM196" i="17" s="1"/>
  <c r="AM193" i="17"/>
  <c r="AL192" i="17"/>
  <c r="AL196" i="17" s="1"/>
  <c r="AL193" i="17"/>
  <c r="AK192" i="17"/>
  <c r="AK193" i="17"/>
  <c r="AK196" i="17" s="1"/>
  <c r="AO192" i="17"/>
  <c r="AJ192" i="17"/>
  <c r="AO193" i="17"/>
  <c r="AJ193" i="17"/>
  <c r="AJ196" i="17" s="1"/>
  <c r="L194" i="17"/>
  <c r="Y192" i="17"/>
  <c r="L195" i="17"/>
  <c r="Y193" i="17"/>
  <c r="V192" i="17"/>
  <c r="V193" i="17"/>
  <c r="AD192" i="17"/>
  <c r="AD193" i="17"/>
  <c r="AM186" i="17"/>
  <c r="AM190" i="17" s="1"/>
  <c r="AM187" i="17"/>
  <c r="AL186" i="17"/>
  <c r="AL187" i="17"/>
  <c r="AL190" i="17" s="1"/>
  <c r="AK186" i="17"/>
  <c r="AK187" i="17"/>
  <c r="AK190" i="17"/>
  <c r="AO186" i="17"/>
  <c r="AJ186" i="17"/>
  <c r="AO187" i="17"/>
  <c r="AJ187" i="17"/>
  <c r="AJ190" i="17" s="1"/>
  <c r="L188" i="17"/>
  <c r="Y186" i="17"/>
  <c r="L189" i="17"/>
  <c r="Y187" i="17"/>
  <c r="V186" i="17"/>
  <c r="V187" i="17"/>
  <c r="AD186" i="17"/>
  <c r="AD187" i="17"/>
  <c r="AM180" i="17"/>
  <c r="AM181" i="17"/>
  <c r="AM184" i="17" s="1"/>
  <c r="AL180" i="17"/>
  <c r="AL181" i="17"/>
  <c r="AL184" i="17"/>
  <c r="AK180" i="17"/>
  <c r="AK181" i="17"/>
  <c r="AK184" i="17"/>
  <c r="AO180" i="17"/>
  <c r="AJ180" i="17"/>
  <c r="AO181" i="17"/>
  <c r="AJ181" i="17"/>
  <c r="AJ184" i="17"/>
  <c r="L182" i="17"/>
  <c r="Y180" i="17"/>
  <c r="L183" i="17"/>
  <c r="Y181" i="17"/>
  <c r="V180" i="17"/>
  <c r="V181" i="17"/>
  <c r="AD180" i="17"/>
  <c r="AD181" i="17"/>
  <c r="AM174" i="17"/>
  <c r="AM175" i="17"/>
  <c r="AM178" i="17"/>
  <c r="AL174" i="17"/>
  <c r="AL175" i="17"/>
  <c r="AL178" i="17"/>
  <c r="AK174" i="17"/>
  <c r="AK178" i="17" s="1"/>
  <c r="AK175" i="17"/>
  <c r="AO174" i="17"/>
  <c r="AJ174" i="17"/>
  <c r="AJ178" i="17" s="1"/>
  <c r="AO175" i="17"/>
  <c r="AJ175" i="17"/>
  <c r="L176" i="17"/>
  <c r="Y174" i="17"/>
  <c r="L177" i="17"/>
  <c r="Y175" i="17"/>
  <c r="V174" i="17"/>
  <c r="V175" i="17"/>
  <c r="AD174" i="17"/>
  <c r="AD175" i="17"/>
  <c r="AM168" i="17"/>
  <c r="AM169" i="17"/>
  <c r="AM172" i="17"/>
  <c r="AL168" i="17"/>
  <c r="AL172" i="17" s="1"/>
  <c r="AL169" i="17"/>
  <c r="AK168" i="17"/>
  <c r="AK172" i="17" s="1"/>
  <c r="AK169" i="17"/>
  <c r="AO168" i="17"/>
  <c r="AJ168" i="17"/>
  <c r="AJ172" i="17" s="1"/>
  <c r="AO169" i="17"/>
  <c r="AJ169" i="17"/>
  <c r="L170" i="17"/>
  <c r="Y168" i="17"/>
  <c r="L171" i="17"/>
  <c r="Y169" i="17"/>
  <c r="V168" i="17"/>
  <c r="V169" i="17"/>
  <c r="AD168" i="17"/>
  <c r="AD169" i="17"/>
  <c r="AM162" i="17"/>
  <c r="AM166" i="17" s="1"/>
  <c r="AM163" i="17"/>
  <c r="AL162" i="17"/>
  <c r="AL163" i="17"/>
  <c r="AL166" i="17" s="1"/>
  <c r="AK162" i="17"/>
  <c r="AK163" i="17"/>
  <c r="AK166" i="17"/>
  <c r="AO162" i="17"/>
  <c r="AJ162" i="17"/>
  <c r="AO163" i="17"/>
  <c r="AJ163" i="17"/>
  <c r="AJ166" i="17" s="1"/>
  <c r="L164" i="17"/>
  <c r="Y162" i="17"/>
  <c r="L165" i="17"/>
  <c r="Y163" i="17"/>
  <c r="V162" i="17"/>
  <c r="V163" i="17"/>
  <c r="AD162" i="17"/>
  <c r="AD163" i="17"/>
  <c r="AM156" i="17"/>
  <c r="AM160" i="17" s="1"/>
  <c r="AM157" i="17"/>
  <c r="AL156" i="17"/>
  <c r="AL160" i="17" s="1"/>
  <c r="AL157" i="17"/>
  <c r="AK156" i="17"/>
  <c r="AK157" i="17"/>
  <c r="AK160" i="17" s="1"/>
  <c r="AO156" i="17"/>
  <c r="AJ156" i="17"/>
  <c r="AO157" i="17"/>
  <c r="AJ157" i="17"/>
  <c r="AJ160" i="17" s="1"/>
  <c r="L158" i="17"/>
  <c r="Y156" i="17"/>
  <c r="L159" i="17"/>
  <c r="Y157" i="17"/>
  <c r="V156" i="17"/>
  <c r="V157" i="17"/>
  <c r="AD156" i="17"/>
  <c r="AD157" i="17"/>
  <c r="AM150" i="17"/>
  <c r="AM151" i="17"/>
  <c r="AM154" i="17"/>
  <c r="AL150" i="17"/>
  <c r="AL154" i="17" s="1"/>
  <c r="AL151" i="17"/>
  <c r="AK150" i="17"/>
  <c r="AK154" i="17" s="1"/>
  <c r="AK151" i="17"/>
  <c r="AO150" i="17"/>
  <c r="AJ150" i="17"/>
  <c r="AJ154" i="17" s="1"/>
  <c r="AO151" i="17"/>
  <c r="AJ151" i="17"/>
  <c r="L152" i="17"/>
  <c r="Y150" i="17"/>
  <c r="L153" i="17"/>
  <c r="Y151" i="17"/>
  <c r="V150" i="17"/>
  <c r="V151" i="17"/>
  <c r="AD150" i="17"/>
  <c r="AD151" i="17"/>
  <c r="AM144" i="17"/>
  <c r="AM145" i="17"/>
  <c r="AM148" i="17" s="1"/>
  <c r="AL144" i="17"/>
  <c r="AL145" i="17"/>
  <c r="AL148" i="17"/>
  <c r="AK144" i="17"/>
  <c r="AK148" i="17" s="1"/>
  <c r="AK145" i="17"/>
  <c r="AO144" i="17"/>
  <c r="AJ144" i="17"/>
  <c r="AO145" i="17"/>
  <c r="AJ145" i="17"/>
  <c r="AJ148" i="17"/>
  <c r="L146" i="17"/>
  <c r="Y144" i="17"/>
  <c r="L147" i="17"/>
  <c r="Y145" i="17"/>
  <c r="V144" i="17"/>
  <c r="V145" i="17"/>
  <c r="AD144" i="17"/>
  <c r="AD145" i="17"/>
  <c r="AM138" i="17"/>
  <c r="AM139" i="17"/>
  <c r="AM142" i="17"/>
  <c r="AL138" i="17"/>
  <c r="AL139" i="17"/>
  <c r="AL142" i="17"/>
  <c r="AK138" i="17"/>
  <c r="AK142" i="17" s="1"/>
  <c r="AK139" i="17"/>
  <c r="AO138" i="17"/>
  <c r="AJ138" i="17"/>
  <c r="AJ142" i="17" s="1"/>
  <c r="AO139" i="17"/>
  <c r="AJ139" i="17"/>
  <c r="L140" i="17"/>
  <c r="Y138" i="17"/>
  <c r="L141" i="17"/>
  <c r="Y139" i="17"/>
  <c r="V138" i="17"/>
  <c r="V139" i="17"/>
  <c r="AD138" i="17"/>
  <c r="AD139" i="17"/>
  <c r="AM132" i="17"/>
  <c r="AM133" i="17"/>
  <c r="AM136" i="17" s="1"/>
  <c r="AL132" i="17"/>
  <c r="AL133" i="17"/>
  <c r="AL136" i="17"/>
  <c r="AK132" i="17"/>
  <c r="AK136" i="17" s="1"/>
  <c r="AK133" i="17"/>
  <c r="AO132" i="17"/>
  <c r="AJ132" i="17"/>
  <c r="AO133" i="17"/>
  <c r="AJ133" i="17"/>
  <c r="AJ136" i="17"/>
  <c r="L134" i="17"/>
  <c r="Y132" i="17"/>
  <c r="L135" i="17"/>
  <c r="Y133" i="17"/>
  <c r="V132" i="17"/>
  <c r="V133" i="17"/>
  <c r="AD132" i="17"/>
  <c r="AD133" i="17"/>
  <c r="AM126" i="17"/>
  <c r="AM127" i="17"/>
  <c r="AM130" i="17"/>
  <c r="AL126" i="17"/>
  <c r="AL127" i="17"/>
  <c r="AL130" i="17"/>
  <c r="AK126" i="17"/>
  <c r="AK130" i="17" s="1"/>
  <c r="AK127" i="17"/>
  <c r="AO126" i="17"/>
  <c r="AJ126" i="17"/>
  <c r="AJ130" i="17" s="1"/>
  <c r="AO127" i="17"/>
  <c r="AJ127" i="17"/>
  <c r="L128" i="17"/>
  <c r="Y126" i="17"/>
  <c r="L129" i="17"/>
  <c r="Y127" i="17"/>
  <c r="V126" i="17"/>
  <c r="V127" i="17"/>
  <c r="AD126" i="17"/>
  <c r="AD127" i="17"/>
  <c r="AM120" i="17"/>
  <c r="AM124" i="17" s="1"/>
  <c r="AM121" i="17"/>
  <c r="AL120" i="17"/>
  <c r="AL124" i="17" s="1"/>
  <c r="AL121" i="17"/>
  <c r="AK120" i="17"/>
  <c r="AK124" i="17" s="1"/>
  <c r="AK121" i="17"/>
  <c r="AO120" i="17"/>
  <c r="AJ120" i="17"/>
  <c r="AJ124" i="17" s="1"/>
  <c r="AO121" i="17"/>
  <c r="AJ121" i="17"/>
  <c r="L122" i="17"/>
  <c r="Y120" i="17"/>
  <c r="L123" i="17"/>
  <c r="Y121" i="17"/>
  <c r="V120" i="17"/>
  <c r="V121" i="17"/>
  <c r="AD120" i="17"/>
  <c r="AD121" i="17"/>
  <c r="AM114" i="17"/>
  <c r="AM118" i="17" s="1"/>
  <c r="AM115" i="17"/>
  <c r="AL114" i="17"/>
  <c r="AL118" i="17" s="1"/>
  <c r="AL115" i="17"/>
  <c r="AK114" i="17"/>
  <c r="AK115" i="17"/>
  <c r="AK118" i="17"/>
  <c r="AO114" i="17"/>
  <c r="AJ114" i="17"/>
  <c r="AJ118" i="17" s="1"/>
  <c r="AO115" i="17"/>
  <c r="AJ115" i="17"/>
  <c r="L116" i="17"/>
  <c r="Y114" i="17"/>
  <c r="L117" i="17"/>
  <c r="Y115" i="17"/>
  <c r="V114" i="17"/>
  <c r="V115" i="17"/>
  <c r="AD114" i="17"/>
  <c r="AD115" i="17"/>
  <c r="AM108" i="17"/>
  <c r="AM112" i="17" s="1"/>
  <c r="AM109" i="17"/>
  <c r="AL108" i="17"/>
  <c r="AL109" i="17"/>
  <c r="AL112" i="17"/>
  <c r="AK108" i="17"/>
  <c r="AK109" i="17"/>
  <c r="AK112" i="17"/>
  <c r="AJ108" i="17"/>
  <c r="AJ112" i="17" s="1"/>
  <c r="AO109" i="17"/>
  <c r="AJ109" i="17"/>
  <c r="L110" i="17"/>
  <c r="Y108" i="17"/>
  <c r="L111" i="17"/>
  <c r="Y109" i="17"/>
  <c r="V108" i="17"/>
  <c r="V109" i="17"/>
  <c r="AD108" i="17"/>
  <c r="AD109" i="17"/>
  <c r="AM102" i="17"/>
  <c r="AM106" i="17" s="1"/>
  <c r="AM103" i="17"/>
  <c r="AL102" i="17"/>
  <c r="AL103" i="17"/>
  <c r="AL106" i="17"/>
  <c r="AK102" i="17"/>
  <c r="AK103" i="17"/>
  <c r="AK106" i="17"/>
  <c r="AO102" i="17"/>
  <c r="AJ102" i="17"/>
  <c r="AO103" i="17"/>
  <c r="AJ103" i="17"/>
  <c r="AJ106" i="17"/>
  <c r="L104" i="17"/>
  <c r="Y102" i="17"/>
  <c r="L105" i="17"/>
  <c r="Y103" i="17"/>
  <c r="V102" i="17"/>
  <c r="V103" i="17"/>
  <c r="AD102" i="17"/>
  <c r="AD103" i="17"/>
  <c r="AM96" i="17"/>
  <c r="AM97" i="17"/>
  <c r="AM100" i="17"/>
  <c r="AL96" i="17"/>
  <c r="AL97" i="17"/>
  <c r="AL100" i="17"/>
  <c r="AK96" i="17"/>
  <c r="AK100" i="17" s="1"/>
  <c r="AK97" i="17"/>
  <c r="AO96" i="17"/>
  <c r="AJ96" i="17"/>
  <c r="AJ100" i="17" s="1"/>
  <c r="AO97" i="17"/>
  <c r="AJ97" i="17"/>
  <c r="L98" i="17"/>
  <c r="Y96" i="17"/>
  <c r="L99" i="17"/>
  <c r="Y97" i="17"/>
  <c r="V96" i="17"/>
  <c r="V97" i="17"/>
  <c r="AD96" i="17"/>
  <c r="AD97" i="17"/>
  <c r="AM90" i="17"/>
  <c r="AM94" i="17" s="1"/>
  <c r="AM91" i="17"/>
  <c r="AL90" i="17"/>
  <c r="AL91" i="17"/>
  <c r="AL94" i="17"/>
  <c r="AK90" i="17"/>
  <c r="AK91" i="17"/>
  <c r="AK94" i="17"/>
  <c r="AO90" i="17"/>
  <c r="AJ90" i="17"/>
  <c r="AO91" i="17"/>
  <c r="AJ91" i="17"/>
  <c r="AJ94" i="17"/>
  <c r="L92" i="17"/>
  <c r="Y90" i="17"/>
  <c r="L93" i="17"/>
  <c r="Y91" i="17"/>
  <c r="V90" i="17"/>
  <c r="V91" i="17"/>
  <c r="AD90" i="17"/>
  <c r="AD91" i="17"/>
  <c r="AM84" i="17"/>
  <c r="AM85" i="17"/>
  <c r="AM88" i="17"/>
  <c r="AL84" i="17"/>
  <c r="AL85" i="17"/>
  <c r="AL88" i="17"/>
  <c r="AK84" i="17"/>
  <c r="AK88" i="17" s="1"/>
  <c r="AK85" i="17"/>
  <c r="AO84" i="17"/>
  <c r="AJ84" i="17"/>
  <c r="AJ88" i="17" s="1"/>
  <c r="AO85" i="17"/>
  <c r="AJ85" i="17"/>
  <c r="L86" i="17"/>
  <c r="Y84" i="17"/>
  <c r="L87" i="17"/>
  <c r="Y85" i="17"/>
  <c r="V84" i="17"/>
  <c r="V85" i="17"/>
  <c r="AD84" i="17"/>
  <c r="AD85" i="17"/>
  <c r="AM78" i="17"/>
  <c r="AM82" i="17" s="1"/>
  <c r="AM79" i="17"/>
  <c r="AL78" i="17"/>
  <c r="AL79" i="17"/>
  <c r="AL82" i="17"/>
  <c r="AK78" i="17"/>
  <c r="AK79" i="17"/>
  <c r="AK82" i="17" s="1"/>
  <c r="AO78" i="17"/>
  <c r="AJ78" i="17"/>
  <c r="AO79" i="17"/>
  <c r="AJ79" i="17"/>
  <c r="AJ82" i="17"/>
  <c r="L80" i="17"/>
  <c r="Y78" i="17"/>
  <c r="L81" i="17"/>
  <c r="Y79" i="17"/>
  <c r="V78" i="17"/>
  <c r="V79" i="17"/>
  <c r="AD78" i="17"/>
  <c r="AD79" i="17"/>
  <c r="AM72" i="17"/>
  <c r="AM76" i="17" s="1"/>
  <c r="AM73" i="17"/>
  <c r="AL72" i="17"/>
  <c r="AL76" i="17" s="1"/>
  <c r="AL73" i="17"/>
  <c r="AK72" i="17"/>
  <c r="AK76" i="17" s="1"/>
  <c r="AK73" i="17"/>
  <c r="AO72" i="17"/>
  <c r="AJ72" i="17"/>
  <c r="AJ76" i="17" s="1"/>
  <c r="AO73" i="17"/>
  <c r="AJ73" i="17"/>
  <c r="L74" i="17"/>
  <c r="Y72" i="17"/>
  <c r="L75" i="17"/>
  <c r="Y73" i="17"/>
  <c r="V72" i="17"/>
  <c r="V73" i="17"/>
  <c r="AD72" i="17"/>
  <c r="AD73" i="17"/>
  <c r="AM66" i="17"/>
  <c r="AM70" i="17" s="1"/>
  <c r="AM67" i="17"/>
  <c r="AL66" i="17"/>
  <c r="AL67" i="17"/>
  <c r="AL70" i="17" s="1"/>
  <c r="AK66" i="17"/>
  <c r="AK67" i="17"/>
  <c r="AK70" i="17"/>
  <c r="AO66" i="17"/>
  <c r="AJ66" i="17"/>
  <c r="AO67" i="17"/>
  <c r="AJ67" i="17"/>
  <c r="AJ70" i="17" s="1"/>
  <c r="L68" i="17"/>
  <c r="Y66" i="17"/>
  <c r="L69" i="17"/>
  <c r="Y67" i="17"/>
  <c r="V66" i="17"/>
  <c r="V67" i="17"/>
  <c r="AD66" i="17"/>
  <c r="AD67" i="17"/>
  <c r="AO60" i="17"/>
  <c r="AM60" i="17"/>
  <c r="AM64" i="17" s="1"/>
  <c r="AM61" i="17"/>
  <c r="AL60" i="17"/>
  <c r="AL61" i="17"/>
  <c r="AL64" i="17" s="1"/>
  <c r="AK60" i="17"/>
  <c r="AK61" i="17"/>
  <c r="AK64" i="17"/>
  <c r="AJ60" i="17"/>
  <c r="AO61" i="17"/>
  <c r="AJ61" i="17"/>
  <c r="AJ64" i="17"/>
  <c r="L62" i="17"/>
  <c r="Y60" i="17"/>
  <c r="L63" i="17"/>
  <c r="Y61" i="17"/>
  <c r="V60" i="17"/>
  <c r="V61" i="17"/>
  <c r="AD60" i="17"/>
  <c r="AD61" i="17"/>
  <c r="AM54" i="17"/>
  <c r="AM55" i="17"/>
  <c r="AM58" i="17"/>
  <c r="AL54" i="17"/>
  <c r="AL55" i="17"/>
  <c r="AL58" i="17"/>
  <c r="AK54" i="17"/>
  <c r="AK58" i="17" s="1"/>
  <c r="AK55" i="17"/>
  <c r="AO54" i="17"/>
  <c r="AJ54" i="17"/>
  <c r="AJ58" i="17" s="1"/>
  <c r="AO55" i="17"/>
  <c r="AJ55" i="17"/>
  <c r="L56" i="17"/>
  <c r="Y54" i="17"/>
  <c r="L57" i="17"/>
  <c r="Y55" i="17"/>
  <c r="V54" i="17"/>
  <c r="V55" i="17"/>
  <c r="AD54" i="17"/>
  <c r="AD55" i="17"/>
  <c r="AM48" i="17"/>
  <c r="AM49" i="17"/>
  <c r="AM52" i="17"/>
  <c r="AL48" i="17"/>
  <c r="AL52" i="17" s="1"/>
  <c r="AL49" i="17"/>
  <c r="AK48" i="17"/>
  <c r="AK52" i="17" s="1"/>
  <c r="AK49" i="17"/>
  <c r="AO48" i="17"/>
  <c r="AJ48" i="17"/>
  <c r="AJ52" i="17" s="1"/>
  <c r="AO49" i="17"/>
  <c r="AJ49" i="17"/>
  <c r="L50" i="17"/>
  <c r="Y48" i="17"/>
  <c r="L51" i="17"/>
  <c r="Y49" i="17"/>
  <c r="V48" i="17"/>
  <c r="V49" i="17"/>
  <c r="AD48" i="17"/>
  <c r="AD49" i="17"/>
  <c r="AM42" i="17"/>
  <c r="AM46" i="17" s="1"/>
  <c r="AM43" i="17"/>
  <c r="AL42" i="17"/>
  <c r="AL46" i="17" s="1"/>
  <c r="AL43" i="17"/>
  <c r="AK42" i="17"/>
  <c r="AK43" i="17"/>
  <c r="AK46" i="17"/>
  <c r="AO43" i="17"/>
  <c r="AJ43" i="17"/>
  <c r="AO42" i="17"/>
  <c r="AJ42" i="17"/>
  <c r="AJ46" i="17" s="1"/>
  <c r="L44" i="17"/>
  <c r="Y42" i="17"/>
  <c r="L45" i="17"/>
  <c r="Y43" i="17"/>
  <c r="V42" i="17"/>
  <c r="V43" i="17"/>
  <c r="AD42" i="17"/>
  <c r="AD43" i="17"/>
  <c r="AM36" i="17"/>
  <c r="AM40" i="17" s="1"/>
  <c r="AM37" i="17"/>
  <c r="AL36" i="17"/>
  <c r="AL37" i="17"/>
  <c r="AL40" i="17"/>
  <c r="AK36" i="17"/>
  <c r="AK37" i="17"/>
  <c r="AK40" i="17"/>
  <c r="AO36" i="17"/>
  <c r="AJ36" i="17"/>
  <c r="AO37" i="17"/>
  <c r="AJ37" i="17"/>
  <c r="AJ40" i="17"/>
  <c r="L38" i="17"/>
  <c r="Y36" i="17"/>
  <c r="L39" i="17"/>
  <c r="Y37" i="17"/>
  <c r="V36" i="17"/>
  <c r="V37" i="17"/>
  <c r="AD36" i="17"/>
  <c r="AD37" i="17"/>
  <c r="V12" i="17"/>
  <c r="Y12" i="17"/>
  <c r="AM30" i="17"/>
  <c r="AM31" i="17"/>
  <c r="AM34" i="17"/>
  <c r="AL30" i="17"/>
  <c r="AL31" i="17"/>
  <c r="AL34" i="17"/>
  <c r="AK30" i="17"/>
  <c r="AK34" i="17" s="1"/>
  <c r="AK31" i="17"/>
  <c r="AO30" i="17"/>
  <c r="AJ30" i="17"/>
  <c r="AJ34" i="17" s="1"/>
  <c r="AO31" i="17"/>
  <c r="AJ31" i="17"/>
  <c r="L32" i="17"/>
  <c r="Y30" i="17"/>
  <c r="L33" i="17"/>
  <c r="Y31" i="17"/>
  <c r="V30" i="17"/>
  <c r="V31" i="17"/>
  <c r="AD30" i="17"/>
  <c r="AD31" i="17"/>
  <c r="AM24" i="17"/>
  <c r="AM28" i="17" s="1"/>
  <c r="AM25" i="17"/>
  <c r="AL24" i="17"/>
  <c r="AL28" i="17" s="1"/>
  <c r="AL25" i="17"/>
  <c r="AK24" i="17"/>
  <c r="AK28" i="17" s="1"/>
  <c r="AK25" i="17"/>
  <c r="AO24" i="17"/>
  <c r="AJ24" i="17"/>
  <c r="AJ28" i="17" s="1"/>
  <c r="AO25" i="17"/>
  <c r="AJ25" i="17"/>
  <c r="L26" i="17"/>
  <c r="Y24" i="17"/>
  <c r="L27" i="17"/>
  <c r="Y25" i="17"/>
  <c r="V24" i="17"/>
  <c r="V25" i="17"/>
  <c r="AD24" i="17"/>
  <c r="AD25" i="17"/>
  <c r="AM18" i="17"/>
  <c r="AM22" i="17" s="1"/>
  <c r="AM19" i="17"/>
  <c r="AL18" i="17"/>
  <c r="AL22" i="17" s="1"/>
  <c r="AL19" i="17"/>
  <c r="AK18" i="17"/>
  <c r="AK19" i="17"/>
  <c r="AK22" i="17"/>
  <c r="AO18" i="17"/>
  <c r="AJ18" i="17"/>
  <c r="AJ22" i="17" s="1"/>
  <c r="AO19" i="17"/>
  <c r="AJ19" i="17"/>
  <c r="L20" i="17"/>
  <c r="Y18" i="17"/>
  <c r="L21" i="17"/>
  <c r="Y19" i="17"/>
  <c r="V18" i="17"/>
  <c r="V19" i="17"/>
  <c r="AD18" i="17"/>
  <c r="AD19" i="17"/>
  <c r="AM12" i="17"/>
  <c r="AM13" i="17"/>
  <c r="AM16" i="17"/>
  <c r="AL12" i="17"/>
  <c r="AL16" i="17" s="1"/>
  <c r="AL13" i="17"/>
  <c r="AK12" i="17"/>
  <c r="AK16" i="17" s="1"/>
  <c r="AK13" i="17"/>
  <c r="AO12" i="17"/>
  <c r="AJ12" i="17"/>
  <c r="AJ16" i="17" s="1"/>
  <c r="AO13" i="17"/>
  <c r="AJ13" i="17"/>
  <c r="L14" i="17"/>
  <c r="L15" i="17"/>
  <c r="Y13" i="17"/>
  <c r="V13" i="17"/>
  <c r="AD12" i="17"/>
  <c r="AD13" i="17"/>
  <c r="L9" i="17"/>
  <c r="AO6" i="17"/>
  <c r="AJ6" i="17"/>
  <c r="AO7" i="17"/>
  <c r="AJ7" i="17"/>
  <c r="AJ10" i="17" s="1"/>
  <c r="Y7" i="17"/>
  <c r="Y6" i="17"/>
  <c r="L8" i="17"/>
  <c r="V7" i="17"/>
  <c r="V6" i="17"/>
  <c r="AM6" i="17"/>
  <c r="AM10" i="17" s="1"/>
  <c r="AM7" i="17"/>
  <c r="AL6" i="17"/>
  <c r="AL10" i="17" s="1"/>
  <c r="AL7" i="17"/>
  <c r="AK6" i="17"/>
  <c r="AK7" i="17"/>
  <c r="AK10" i="17" s="1"/>
  <c r="AD6" i="17"/>
  <c r="AD7" i="17"/>
  <c r="C75" i="4"/>
  <c r="B75" i="4" s="1"/>
  <c r="G75" i="4"/>
  <c r="F75" i="4" s="1"/>
  <c r="G70" i="4"/>
  <c r="F70" i="4" s="1"/>
  <c r="F21" i="4"/>
  <c r="G62" i="4"/>
  <c r="F62" i="4" s="1"/>
  <c r="F39" i="4"/>
  <c r="F18" i="4"/>
  <c r="F12" i="4"/>
  <c r="F17" i="4"/>
  <c r="F76" i="4"/>
  <c r="G55" i="4"/>
  <c r="F55" i="4" s="1"/>
  <c r="F28" i="4"/>
  <c r="G69" i="4"/>
  <c r="F69" i="4" s="1"/>
  <c r="F11" i="4"/>
  <c r="G63" i="4"/>
  <c r="F63" i="4" s="1"/>
  <c r="F6" i="4"/>
  <c r="G50" i="4"/>
  <c r="F50" i="4" s="1"/>
  <c r="F10" i="4"/>
  <c r="G66" i="4"/>
  <c r="F66" i="4" s="1"/>
  <c r="F23" i="4"/>
  <c r="F5" i="4"/>
  <c r="F8" i="4"/>
  <c r="G67" i="4"/>
  <c r="F67" i="4" s="1"/>
  <c r="G74" i="4"/>
  <c r="F74" i="4" s="1"/>
  <c r="G68" i="4"/>
  <c r="F68" i="4" s="1"/>
  <c r="F22" i="4"/>
  <c r="G73" i="4"/>
  <c r="F73" i="4" s="1"/>
  <c r="F19" i="4"/>
  <c r="G54" i="4"/>
  <c r="F54" i="4" s="1"/>
  <c r="F13" i="4"/>
  <c r="G65" i="4"/>
  <c r="F65" i="4" s="1"/>
  <c r="G72" i="4"/>
  <c r="F72" i="4" s="1"/>
  <c r="F9" i="4"/>
  <c r="F15" i="4"/>
  <c r="F4" i="4"/>
  <c r="F16" i="4"/>
  <c r="G71" i="4"/>
  <c r="F71" i="4" s="1"/>
  <c r="F33" i="4"/>
  <c r="F25" i="4"/>
  <c r="F7" i="4"/>
  <c r="F14" i="4"/>
  <c r="G61" i="4"/>
  <c r="F61" i="4" s="1"/>
  <c r="G59" i="4"/>
  <c r="F59" i="4" s="1"/>
  <c r="F26" i="4"/>
  <c r="F20" i="4"/>
  <c r="F29" i="4"/>
  <c r="G64" i="4"/>
  <c r="F64" i="4" s="1"/>
  <c r="G58" i="4"/>
  <c r="F58" i="4" s="1"/>
  <c r="G56" i="4"/>
  <c r="F56" i="4" s="1"/>
  <c r="F24" i="4"/>
  <c r="F27" i="4"/>
  <c r="C44" i="4"/>
  <c r="B44" i="4" s="1"/>
  <c r="C48" i="4"/>
  <c r="B48" i="4" s="1"/>
  <c r="B76" i="4"/>
  <c r="B19" i="4"/>
  <c r="B18" i="4"/>
  <c r="B6" i="4"/>
  <c r="C63" i="4"/>
  <c r="B63" i="4" s="1"/>
  <c r="B11" i="4"/>
  <c r="B5" i="4"/>
  <c r="B15" i="4"/>
  <c r="B39" i="4"/>
  <c r="C74" i="4"/>
  <c r="B74" i="4" s="1"/>
  <c r="C64" i="4"/>
  <c r="B64" i="4" s="1"/>
  <c r="C42" i="4"/>
  <c r="B42" i="4" s="1"/>
  <c r="B7" i="4"/>
  <c r="C60" i="4"/>
  <c r="B60" i="4" s="1"/>
  <c r="B10" i="4"/>
  <c r="C67" i="4"/>
  <c r="B67" i="4" s="1"/>
  <c r="C43" i="4"/>
  <c r="B43" i="4" s="1"/>
  <c r="C49" i="4"/>
  <c r="B49" i="4" s="1"/>
  <c r="B16" i="4"/>
  <c r="B17" i="4"/>
  <c r="B14" i="4"/>
  <c r="B25" i="4"/>
  <c r="C57" i="4"/>
  <c r="B57" i="4" s="1"/>
  <c r="C72" i="4"/>
  <c r="B72" i="4" s="1"/>
  <c r="C54" i="4"/>
  <c r="B54" i="4" s="1"/>
  <c r="B12" i="4"/>
  <c r="C55" i="4"/>
  <c r="B55" i="4" s="1"/>
  <c r="C73" i="4"/>
  <c r="B73" i="4" s="1"/>
  <c r="B21" i="4"/>
  <c r="C61" i="4"/>
  <c r="B61" i="4" s="1"/>
  <c r="C58" i="4"/>
  <c r="B58" i="4" s="1"/>
  <c r="C65" i="4"/>
  <c r="B65" i="4" s="1"/>
  <c r="B8" i="4"/>
  <c r="C70" i="4"/>
  <c r="B70" i="4" s="1"/>
  <c r="B9" i="4"/>
  <c r="B20" i="4"/>
  <c r="C62" i="4"/>
  <c r="B62" i="4" s="1"/>
  <c r="C51" i="4"/>
  <c r="B51" i="4" s="1"/>
  <c r="C59" i="4"/>
  <c r="B59" i="4" s="1"/>
  <c r="C68" i="4"/>
  <c r="B68" i="4" s="1"/>
  <c r="C69" i="4"/>
  <c r="B69" i="4" s="1"/>
  <c r="B28" i="4"/>
  <c r="B13" i="4"/>
  <c r="B4" i="4"/>
  <c r="B22" i="4"/>
  <c r="C71" i="4"/>
  <c r="B71" i="4" s="1"/>
  <c r="B24" i="4"/>
  <c r="B23" i="4"/>
  <c r="C52" i="4"/>
  <c r="B52" i="4" s="1"/>
  <c r="AB20" i="12"/>
  <c r="AB3" i="11"/>
  <c r="C53" i="4"/>
  <c r="B53" i="4" s="1"/>
  <c r="B27" i="4"/>
  <c r="B32" i="4"/>
  <c r="B30" i="4"/>
  <c r="B31" i="4"/>
  <c r="C56" i="4"/>
  <c r="B56" i="4" s="1"/>
  <c r="C50" i="4"/>
  <c r="B50" i="4" s="1"/>
  <c r="G40" i="4"/>
  <c r="F40" i="4" s="1"/>
  <c r="G41" i="4"/>
  <c r="F41" i="4" s="1"/>
  <c r="F38" i="4"/>
  <c r="G42" i="4"/>
  <c r="F42" i="4" s="1"/>
  <c r="F37" i="4"/>
  <c r="G43" i="4"/>
  <c r="F43" i="4" s="1"/>
  <c r="F36" i="4"/>
  <c r="G44" i="4"/>
  <c r="F44" i="4" s="1"/>
  <c r="F35" i="4"/>
  <c r="G45" i="4"/>
  <c r="F45" i="4" s="1"/>
  <c r="F34" i="4"/>
  <c r="G46" i="4"/>
  <c r="F46" i="4" s="1"/>
  <c r="G47" i="4"/>
  <c r="F47" i="4" s="1"/>
  <c r="F32" i="4"/>
  <c r="G48" i="4"/>
  <c r="F48" i="4" s="1"/>
  <c r="F31" i="4"/>
  <c r="G49" i="4"/>
  <c r="F49" i="4" s="1"/>
  <c r="F30" i="4"/>
  <c r="G51" i="4"/>
  <c r="F51" i="4" s="1"/>
  <c r="G52" i="4"/>
  <c r="F52" i="4" s="1"/>
  <c r="G53" i="4"/>
  <c r="F53" i="4" s="1"/>
  <c r="G57" i="4"/>
  <c r="F57" i="4" s="1"/>
  <c r="G60" i="4"/>
  <c r="F60" i="4" s="1"/>
  <c r="AR265" i="11"/>
  <c r="AP265" i="11"/>
  <c r="AO265" i="11"/>
  <c r="AN265" i="11"/>
  <c r="AM265" i="11"/>
  <c r="AG265" i="11"/>
  <c r="AB265" i="11"/>
  <c r="Y265" i="11"/>
  <c r="AR247" i="11"/>
  <c r="AP247" i="11"/>
  <c r="AO247" i="11"/>
  <c r="AN247" i="11"/>
  <c r="AM247" i="11"/>
  <c r="AG247" i="11"/>
  <c r="AB247" i="11"/>
  <c r="Y247" i="11"/>
  <c r="AR211" i="11"/>
  <c r="AM211" i="11" s="1"/>
  <c r="AP211" i="11"/>
  <c r="AO211" i="11"/>
  <c r="AN211" i="11"/>
  <c r="AG211" i="11"/>
  <c r="AB211" i="11"/>
  <c r="Y211" i="11"/>
  <c r="AR193" i="11"/>
  <c r="AP193" i="11"/>
  <c r="AO193" i="11"/>
  <c r="AN193" i="11"/>
  <c r="AM193" i="11"/>
  <c r="AG193" i="11"/>
  <c r="AB193" i="11"/>
  <c r="Y193" i="11"/>
  <c r="AR104" i="11"/>
  <c r="AM104" i="11" s="1"/>
  <c r="AP104" i="11"/>
  <c r="AO104" i="11"/>
  <c r="AN104" i="11"/>
  <c r="AG104" i="11"/>
  <c r="AB104" i="11"/>
  <c r="Y104" i="11"/>
  <c r="AR69" i="11"/>
  <c r="AP69" i="11"/>
  <c r="AO69" i="11"/>
  <c r="AN69" i="11"/>
  <c r="AM69" i="11"/>
  <c r="AG69" i="11"/>
  <c r="AB69" i="11"/>
  <c r="Y69" i="11"/>
  <c r="AR68" i="11"/>
  <c r="AM68" i="11" s="1"/>
  <c r="AP68" i="11"/>
  <c r="AO68" i="11"/>
  <c r="AN68" i="11"/>
  <c r="AG68" i="11"/>
  <c r="AB68" i="11"/>
  <c r="Y68" i="11"/>
  <c r="AR33" i="11"/>
  <c r="AM33" i="11" s="1"/>
  <c r="AP33" i="11"/>
  <c r="AO33" i="11"/>
  <c r="AN33" i="11"/>
  <c r="AG33" i="11"/>
  <c r="AB33" i="11"/>
  <c r="Y33" i="11"/>
  <c r="AR32" i="11"/>
  <c r="AM32" i="11" s="1"/>
  <c r="AP32" i="11"/>
  <c r="AO32" i="11"/>
  <c r="AN32" i="11"/>
  <c r="AG32" i="11"/>
  <c r="AB32" i="11"/>
  <c r="Y32" i="11"/>
  <c r="AR16" i="11"/>
  <c r="AM16" i="11" s="1"/>
  <c r="AP16" i="11"/>
  <c r="AO16" i="11"/>
  <c r="AN16" i="11"/>
  <c r="AG16" i="11"/>
  <c r="AB16" i="11"/>
  <c r="AN275" i="12"/>
  <c r="AO275" i="12"/>
  <c r="AP275" i="12"/>
  <c r="AR275" i="12"/>
  <c r="AM275" i="12" s="1"/>
  <c r="Y275" i="12"/>
  <c r="AB275" i="12"/>
  <c r="AG275" i="12"/>
  <c r="AN239" i="12"/>
  <c r="AO239" i="12"/>
  <c r="AP239" i="12"/>
  <c r="AR239" i="12"/>
  <c r="AM239" i="12" s="1"/>
  <c r="Y239" i="12"/>
  <c r="AB239" i="12"/>
  <c r="AG239" i="12"/>
  <c r="AR237" i="12"/>
  <c r="AP237" i="12"/>
  <c r="AO237" i="12"/>
  <c r="AN237" i="12"/>
  <c r="AM237" i="12"/>
  <c r="AG237" i="12"/>
  <c r="AB237" i="12"/>
  <c r="Y237" i="12"/>
  <c r="AR218" i="12"/>
  <c r="AM218" i="12" s="1"/>
  <c r="AP218" i="12"/>
  <c r="AO218" i="12"/>
  <c r="AN218" i="12"/>
  <c r="AG218" i="12"/>
  <c r="AB218" i="12"/>
  <c r="Y218" i="12"/>
  <c r="AR183" i="12"/>
  <c r="AM183" i="12" s="1"/>
  <c r="AP183" i="12"/>
  <c r="AO183" i="12"/>
  <c r="AN183" i="12"/>
  <c r="AG183" i="12"/>
  <c r="AB183" i="12"/>
  <c r="Y183" i="12"/>
  <c r="AR71" i="12"/>
  <c r="AM71" i="12" s="1"/>
  <c r="AP71" i="12"/>
  <c r="AO71" i="12"/>
  <c r="AN71" i="12"/>
  <c r="AG71" i="12"/>
  <c r="AB71" i="12"/>
  <c r="Y71" i="12"/>
  <c r="AR70" i="12"/>
  <c r="AM70" i="12" s="1"/>
  <c r="AP70" i="12"/>
  <c r="AO70" i="12"/>
  <c r="AN70" i="12"/>
  <c r="AG70" i="12"/>
  <c r="AB70" i="12"/>
  <c r="Y70" i="12"/>
  <c r="AR52" i="12"/>
  <c r="AM52" i="12" s="1"/>
  <c r="AP52" i="12"/>
  <c r="AO52" i="12"/>
  <c r="AN52" i="12"/>
  <c r="AG52" i="12"/>
  <c r="AB52" i="12"/>
  <c r="Y52" i="12"/>
  <c r="AR16" i="12"/>
  <c r="AM16" i="12" s="1"/>
  <c r="AO16" i="12"/>
  <c r="AN16" i="12"/>
  <c r="AG16" i="12"/>
  <c r="Y186" i="11"/>
  <c r="H77" i="22"/>
  <c r="C17" i="10" s="1"/>
  <c r="K58" i="22"/>
  <c r="N58" i="22"/>
  <c r="O58" i="22"/>
  <c r="P58" i="22"/>
  <c r="W58" i="22"/>
  <c r="AH58" i="22"/>
  <c r="H38" i="22"/>
  <c r="C6" i="10" s="1"/>
  <c r="AH19" i="22"/>
  <c r="F6" i="10" s="1"/>
  <c r="W19" i="22"/>
  <c r="E6" i="10" s="1"/>
  <c r="P19" i="22"/>
  <c r="D6" i="10" s="1"/>
  <c r="O19" i="22"/>
  <c r="B6" i="10" s="1"/>
  <c r="N19" i="22"/>
  <c r="H6" i="10" s="1"/>
  <c r="K19" i="22"/>
  <c r="G6" i="10" s="1"/>
  <c r="AO422" i="17"/>
  <c r="AM539" i="17"/>
  <c r="AL539" i="17"/>
  <c r="AK539" i="17"/>
  <c r="AO421" i="17"/>
  <c r="AM537" i="17"/>
  <c r="AL537" i="17"/>
  <c r="AK537" i="17"/>
  <c r="L537" i="17"/>
  <c r="AO420" i="17"/>
  <c r="AM536" i="17"/>
  <c r="AL536" i="17"/>
  <c r="AL538" i="17" s="1"/>
  <c r="AK536" i="17"/>
  <c r="L536" i="17"/>
  <c r="AO419" i="17"/>
  <c r="AO418" i="17"/>
  <c r="AJ535" i="17"/>
  <c r="AM535" i="17"/>
  <c r="AL535" i="17"/>
  <c r="AK535" i="17"/>
  <c r="AK534" i="17"/>
  <c r="AK538" i="17" s="1"/>
  <c r="AD535" i="17"/>
  <c r="Y535" i="17"/>
  <c r="V535" i="17"/>
  <c r="AO417" i="17"/>
  <c r="AJ534" i="17"/>
  <c r="AM534" i="17"/>
  <c r="AM538" i="17" s="1"/>
  <c r="AL534" i="17"/>
  <c r="AD534" i="17"/>
  <c r="Y534" i="17"/>
  <c r="V534" i="17"/>
  <c r="AJ538" i="17"/>
  <c r="AG142" i="12"/>
  <c r="AO502" i="17"/>
  <c r="AM618" i="17"/>
  <c r="AL618" i="17"/>
  <c r="AK618" i="17"/>
  <c r="L618" i="17"/>
  <c r="AO501" i="17"/>
  <c r="AM617" i="17"/>
  <c r="AL617" i="17"/>
  <c r="AL619" i="17" s="1"/>
  <c r="AK617" i="17"/>
  <c r="L617" i="17"/>
  <c r="AO500" i="17"/>
  <c r="AO499" i="17"/>
  <c r="AJ616" i="17"/>
  <c r="AM616" i="17"/>
  <c r="AL616" i="17"/>
  <c r="AK616" i="17"/>
  <c r="AD616" i="17"/>
  <c r="Y616" i="17"/>
  <c r="V616" i="17"/>
  <c r="AO498" i="17"/>
  <c r="AJ615" i="17"/>
  <c r="AJ619" i="17" s="1"/>
  <c r="AM615" i="17"/>
  <c r="AL615" i="17"/>
  <c r="AK615" i="17"/>
  <c r="AK619" i="17" s="1"/>
  <c r="AD615" i="17"/>
  <c r="Y615" i="17"/>
  <c r="V615" i="17"/>
  <c r="AM619" i="17"/>
  <c r="AO490" i="17"/>
  <c r="AM606" i="17"/>
  <c r="AL606" i="17"/>
  <c r="AK606" i="17"/>
  <c r="L606" i="17"/>
  <c r="AO489" i="17"/>
  <c r="AM605" i="17"/>
  <c r="AL605" i="17"/>
  <c r="AK605" i="17"/>
  <c r="AK607" i="17" s="1"/>
  <c r="L605" i="17"/>
  <c r="AO488" i="17"/>
  <c r="AO487" i="17"/>
  <c r="AJ604" i="17"/>
  <c r="AM604" i="17"/>
  <c r="AL604" i="17"/>
  <c r="AK604" i="17"/>
  <c r="AD604" i="17"/>
  <c r="Y604" i="17"/>
  <c r="V604" i="17"/>
  <c r="AO486" i="17"/>
  <c r="AJ603" i="17"/>
  <c r="AJ607" i="17" s="1"/>
  <c r="AM603" i="17"/>
  <c r="AL603" i="17"/>
  <c r="AK603" i="17"/>
  <c r="AD603" i="17"/>
  <c r="Y603" i="17"/>
  <c r="V603" i="17"/>
  <c r="AL607" i="17"/>
  <c r="AM607" i="17"/>
  <c r="AK633" i="17"/>
  <c r="AL633" i="17"/>
  <c r="AM633" i="17"/>
  <c r="AK634" i="17"/>
  <c r="AL634" i="17"/>
  <c r="AM634" i="17"/>
  <c r="AK635" i="17"/>
  <c r="AL635" i="17"/>
  <c r="AM635" i="17"/>
  <c r="AK636" i="17"/>
  <c r="AL636" i="17"/>
  <c r="AM636" i="17"/>
  <c r="AK637" i="17"/>
  <c r="AL637" i="17"/>
  <c r="AM637" i="17"/>
  <c r="AK638" i="17"/>
  <c r="AL638" i="17"/>
  <c r="AM638" i="17"/>
  <c r="AJ463" i="17"/>
  <c r="AJ475" i="17"/>
  <c r="AJ487" i="17"/>
  <c r="AJ492" i="17"/>
  <c r="AJ504" i="17"/>
  <c r="AJ505" i="17"/>
  <c r="AO397" i="17"/>
  <c r="AO398" i="17"/>
  <c r="AO399" i="17"/>
  <c r="AJ516" i="17"/>
  <c r="AO400" i="17"/>
  <c r="AJ517" i="17"/>
  <c r="AO403" i="17"/>
  <c r="AO404" i="17"/>
  <c r="AO405" i="17"/>
  <c r="AJ522" i="17"/>
  <c r="AO406" i="17"/>
  <c r="AJ523" i="17"/>
  <c r="AO409" i="17"/>
  <c r="AO410" i="17"/>
  <c r="AO411" i="17"/>
  <c r="AJ528" i="17"/>
  <c r="AO412" i="17"/>
  <c r="AJ529" i="17"/>
  <c r="AO415" i="17"/>
  <c r="AO416" i="17"/>
  <c r="AO423" i="17"/>
  <c r="AO424" i="17"/>
  <c r="AJ541" i="17"/>
  <c r="AO425" i="17"/>
  <c r="AJ542" i="17"/>
  <c r="AO429" i="17"/>
  <c r="AO430" i="17"/>
  <c r="AO431" i="17"/>
  <c r="AJ548" i="17"/>
  <c r="AO432" i="17"/>
  <c r="AJ549" i="17"/>
  <c r="AO435" i="17"/>
  <c r="AO436" i="17"/>
  <c r="AO437" i="17"/>
  <c r="AO438" i="17"/>
  <c r="AJ555" i="17"/>
  <c r="AO439" i="17"/>
  <c r="AJ556" i="17"/>
  <c r="AO442" i="17"/>
  <c r="AO443" i="17"/>
  <c r="AO444" i="17"/>
  <c r="AJ561" i="17"/>
  <c r="AO445" i="17"/>
  <c r="AO448" i="17"/>
  <c r="AO449" i="17"/>
  <c r="AO450" i="17"/>
  <c r="AJ567" i="17"/>
  <c r="AO451" i="17"/>
  <c r="AJ568" i="17"/>
  <c r="AO454" i="17"/>
  <c r="AO455" i="17"/>
  <c r="AO456" i="17"/>
  <c r="AJ573" i="17"/>
  <c r="AO457" i="17"/>
  <c r="AJ574" i="17"/>
  <c r="AO460" i="17"/>
  <c r="AO461" i="17"/>
  <c r="AO462" i="17"/>
  <c r="AO463" i="17"/>
  <c r="AJ580" i="17"/>
  <c r="AO466" i="17"/>
  <c r="AO467" i="17"/>
  <c r="AO468" i="17"/>
  <c r="AJ585" i="17"/>
  <c r="AO469" i="17"/>
  <c r="AO472" i="17"/>
  <c r="AO473" i="17"/>
  <c r="AO474" i="17"/>
  <c r="AJ591" i="17"/>
  <c r="AO475" i="17"/>
  <c r="AJ592" i="17"/>
  <c r="AO478" i="17"/>
  <c r="AO479" i="17"/>
  <c r="AO480" i="17"/>
  <c r="AJ597" i="17"/>
  <c r="AO481" i="17"/>
  <c r="AJ598" i="17"/>
  <c r="AO484" i="17"/>
  <c r="AO492" i="17"/>
  <c r="AJ609" i="17"/>
  <c r="AO493" i="17"/>
  <c r="AO496" i="17"/>
  <c r="AO504" i="17"/>
  <c r="AJ621" i="17"/>
  <c r="AO505" i="17"/>
  <c r="AJ622" i="17"/>
  <c r="AO508" i="17"/>
  <c r="AO509" i="17"/>
  <c r="AO510" i="17"/>
  <c r="AJ627" i="17"/>
  <c r="AO511" i="17"/>
  <c r="AO514" i="17"/>
  <c r="AO515" i="17"/>
  <c r="AO516" i="17"/>
  <c r="AJ633" i="17"/>
  <c r="AO517" i="17"/>
  <c r="AJ634" i="17"/>
  <c r="AO518" i="17"/>
  <c r="AO522" i="17"/>
  <c r="AO524" i="17"/>
  <c r="AO525" i="17"/>
  <c r="AO526" i="17"/>
  <c r="AO527" i="17"/>
  <c r="AO528" i="17"/>
  <c r="AO529" i="17"/>
  <c r="AO530" i="17"/>
  <c r="AO533" i="17"/>
  <c r="AO534" i="17"/>
  <c r="AO535" i="17"/>
  <c r="AO536" i="17"/>
  <c r="AO539" i="17"/>
  <c r="AO540" i="17"/>
  <c r="AO541" i="17"/>
  <c r="AO542" i="17"/>
  <c r="AO545" i="17"/>
  <c r="AO546" i="17"/>
  <c r="AO547" i="17"/>
  <c r="AO548" i="17"/>
  <c r="AO551" i="17"/>
  <c r="AO552" i="17"/>
  <c r="AO553" i="17"/>
  <c r="AO554" i="17"/>
  <c r="AO557" i="17"/>
  <c r="AO558" i="17"/>
  <c r="AO559" i="17"/>
  <c r="AO560" i="17"/>
  <c r="AO561" i="17"/>
  <c r="AO562" i="17"/>
  <c r="AO563" i="17"/>
  <c r="AO564" i="17"/>
  <c r="AO565" i="17"/>
  <c r="AO566" i="17"/>
  <c r="AO569" i="17"/>
  <c r="AO570" i="17"/>
  <c r="AO571" i="17"/>
  <c r="AO572" i="17"/>
  <c r="AO573" i="17"/>
  <c r="AO574" i="17"/>
  <c r="AJ635" i="17"/>
  <c r="AJ628" i="17"/>
  <c r="AJ610" i="17"/>
  <c r="AJ586" i="17"/>
  <c r="AJ579" i="17"/>
  <c r="AJ562" i="17"/>
  <c r="AJ540" i="17"/>
  <c r="AJ511" i="17"/>
  <c r="AJ510" i="17"/>
  <c r="AJ499" i="17"/>
  <c r="AJ498" i="17"/>
  <c r="AJ493" i="17"/>
  <c r="AJ486" i="17"/>
  <c r="AJ481" i="17"/>
  <c r="AJ480" i="17"/>
  <c r="AJ474" i="17"/>
  <c r="AJ469" i="17"/>
  <c r="AJ468" i="17"/>
  <c r="AJ462" i="17"/>
  <c r="AM551" i="17"/>
  <c r="AL551" i="17"/>
  <c r="AK551" i="17"/>
  <c r="AM550" i="17"/>
  <c r="AL550" i="17"/>
  <c r="AK550" i="17"/>
  <c r="AM549" i="17"/>
  <c r="AL549" i="17"/>
  <c r="AK549" i="17"/>
  <c r="AM548" i="17"/>
  <c r="AL548" i="17"/>
  <c r="AK548" i="17"/>
  <c r="AM495" i="17"/>
  <c r="AL495" i="17"/>
  <c r="AK495" i="17"/>
  <c r="AM494" i="17"/>
  <c r="AL494" i="17"/>
  <c r="AK494" i="17"/>
  <c r="AM493" i="17"/>
  <c r="AL493" i="17"/>
  <c r="AK493" i="17"/>
  <c r="AM492" i="17"/>
  <c r="AL492" i="17"/>
  <c r="AK492" i="17"/>
  <c r="AM441" i="17"/>
  <c r="AL441" i="17"/>
  <c r="AK441" i="17"/>
  <c r="AM440" i="17"/>
  <c r="AL440" i="17"/>
  <c r="AL442" i="17" s="1"/>
  <c r="AK440" i="17"/>
  <c r="AM439" i="17"/>
  <c r="AL439" i="17"/>
  <c r="AK439" i="17"/>
  <c r="AJ439" i="17"/>
  <c r="AM438" i="17"/>
  <c r="AL438" i="17"/>
  <c r="AK438" i="17"/>
  <c r="AJ438" i="17"/>
  <c r="AM417" i="17"/>
  <c r="AL417" i="17"/>
  <c r="AK417" i="17"/>
  <c r="AK418" i="17" s="1"/>
  <c r="AM416" i="17"/>
  <c r="AL416" i="17"/>
  <c r="AK416" i="17"/>
  <c r="AM415" i="17"/>
  <c r="AL415" i="17"/>
  <c r="AK415" i="17"/>
  <c r="AM414" i="17"/>
  <c r="AL414" i="17"/>
  <c r="AL418" i="17" s="1"/>
  <c r="AK414" i="17"/>
  <c r="L638" i="17"/>
  <c r="AO521" i="17"/>
  <c r="L637" i="17"/>
  <c r="AO520" i="17"/>
  <c r="L636" i="17"/>
  <c r="AO519" i="17"/>
  <c r="AD635" i="17"/>
  <c r="Y635" i="17"/>
  <c r="V635" i="17"/>
  <c r="AD634" i="17"/>
  <c r="Y634" i="17"/>
  <c r="V634" i="17"/>
  <c r="AD633" i="17"/>
  <c r="Y633" i="17"/>
  <c r="V633" i="17"/>
  <c r="AD568" i="17"/>
  <c r="Y568" i="17"/>
  <c r="V568" i="17"/>
  <c r="AD567" i="17"/>
  <c r="Y567" i="17"/>
  <c r="V567" i="17"/>
  <c r="L570" i="17"/>
  <c r="AO453" i="17"/>
  <c r="L569" i="17"/>
  <c r="AO452" i="17"/>
  <c r="AM596" i="17"/>
  <c r="AL596" i="17"/>
  <c r="AK596" i="17"/>
  <c r="AM594" i="17"/>
  <c r="AL594" i="17"/>
  <c r="AK594" i="17"/>
  <c r="L594" i="17"/>
  <c r="AO477" i="17"/>
  <c r="AM593" i="17"/>
  <c r="AL593" i="17"/>
  <c r="AK593" i="17"/>
  <c r="L593" i="17"/>
  <c r="AO476" i="17"/>
  <c r="AM592" i="17"/>
  <c r="AM595" i="17" s="1"/>
  <c r="AL592" i="17"/>
  <c r="AK592" i="17"/>
  <c r="AD592" i="17"/>
  <c r="Y592" i="17"/>
  <c r="V592" i="17"/>
  <c r="AM591" i="17"/>
  <c r="AL591" i="17"/>
  <c r="AK591" i="17"/>
  <c r="AK595" i="17" s="1"/>
  <c r="AD591" i="17"/>
  <c r="Y591" i="17"/>
  <c r="V591" i="17"/>
  <c r="V597" i="17"/>
  <c r="Y597" i="17"/>
  <c r="AD597" i="17"/>
  <c r="AK597" i="17"/>
  <c r="AL597" i="17"/>
  <c r="AL601" i="17" s="1"/>
  <c r="AM597" i="17"/>
  <c r="V598" i="17"/>
  <c r="Y598" i="17"/>
  <c r="AD598" i="17"/>
  <c r="AK598" i="17"/>
  <c r="AL598" i="17"/>
  <c r="AM598" i="17"/>
  <c r="L599" i="17"/>
  <c r="AO482" i="17"/>
  <c r="AK599" i="17"/>
  <c r="AL599" i="17"/>
  <c r="AM599" i="17"/>
  <c r="AM601" i="17" s="1"/>
  <c r="L600" i="17"/>
  <c r="AO483" i="17"/>
  <c r="AK600" i="17"/>
  <c r="AL600" i="17"/>
  <c r="AM600" i="17"/>
  <c r="AD580" i="17"/>
  <c r="Y580" i="17"/>
  <c r="V580" i="17"/>
  <c r="AD579" i="17"/>
  <c r="Y579" i="17"/>
  <c r="V579" i="17"/>
  <c r="L582" i="17"/>
  <c r="AO465" i="17"/>
  <c r="L581" i="17"/>
  <c r="AO464" i="17"/>
  <c r="AD562" i="17"/>
  <c r="Y562" i="17"/>
  <c r="V562" i="17"/>
  <c r="AD561" i="17"/>
  <c r="Y561" i="17"/>
  <c r="V561" i="17"/>
  <c r="L564" i="17"/>
  <c r="AO447" i="17"/>
  <c r="L563" i="17"/>
  <c r="AO446" i="17"/>
  <c r="L558" i="17"/>
  <c r="AO441" i="17"/>
  <c r="L557" i="17"/>
  <c r="AO440" i="17"/>
  <c r="AD556" i="17"/>
  <c r="Y556" i="17"/>
  <c r="V556" i="17"/>
  <c r="AD555" i="17"/>
  <c r="Y555" i="17"/>
  <c r="V555" i="17"/>
  <c r="AD549" i="17"/>
  <c r="Y549" i="17"/>
  <c r="V549" i="17"/>
  <c r="AD548" i="17"/>
  <c r="Y548" i="17"/>
  <c r="V548" i="17"/>
  <c r="L551" i="17"/>
  <c r="AO434" i="17"/>
  <c r="L550" i="17"/>
  <c r="AO433" i="17"/>
  <c r="L545" i="17"/>
  <c r="AO428" i="17"/>
  <c r="L544" i="17"/>
  <c r="AO427" i="17"/>
  <c r="L543" i="17"/>
  <c r="AO426" i="17"/>
  <c r="AM525" i="17"/>
  <c r="AL525" i="17"/>
  <c r="AK525" i="17"/>
  <c r="L525" i="17"/>
  <c r="AO408" i="17"/>
  <c r="AM524" i="17"/>
  <c r="AL524" i="17"/>
  <c r="AK524" i="17"/>
  <c r="L524" i="17"/>
  <c r="AO407" i="17"/>
  <c r="AM523" i="17"/>
  <c r="AL523" i="17"/>
  <c r="AK523" i="17"/>
  <c r="AD523" i="17"/>
  <c r="Y523" i="17"/>
  <c r="V523" i="17"/>
  <c r="AM522" i="17"/>
  <c r="AM526" i="17" s="1"/>
  <c r="AL522" i="17"/>
  <c r="AK522" i="17"/>
  <c r="AD522" i="17"/>
  <c r="Y522" i="17"/>
  <c r="V522" i="17"/>
  <c r="AM541" i="17"/>
  <c r="AL541" i="17"/>
  <c r="AK541" i="17"/>
  <c r="AD541" i="17"/>
  <c r="Y541" i="17"/>
  <c r="V541" i="17"/>
  <c r="AM467" i="17"/>
  <c r="AL467" i="17"/>
  <c r="AK467" i="17"/>
  <c r="AM465" i="17"/>
  <c r="AL465" i="17"/>
  <c r="AK465" i="17"/>
  <c r="L465" i="17"/>
  <c r="AM464" i="17"/>
  <c r="AL464" i="17"/>
  <c r="AK464" i="17"/>
  <c r="L464" i="17"/>
  <c r="AM463" i="17"/>
  <c r="AL463" i="17"/>
  <c r="AL466" i="17" s="1"/>
  <c r="AK463" i="17"/>
  <c r="AD463" i="17"/>
  <c r="Y463" i="17"/>
  <c r="V463" i="17"/>
  <c r="AM462" i="17"/>
  <c r="AL462" i="17"/>
  <c r="AK462" i="17"/>
  <c r="AD462" i="17"/>
  <c r="Y462" i="17"/>
  <c r="V462" i="17"/>
  <c r="V468" i="17"/>
  <c r="Y468" i="17"/>
  <c r="AD468" i="17"/>
  <c r="AK468" i="17"/>
  <c r="AL468" i="17"/>
  <c r="AM468" i="17"/>
  <c r="V469" i="17"/>
  <c r="Y469" i="17"/>
  <c r="AD469" i="17"/>
  <c r="AK469" i="17"/>
  <c r="AK472" i="17" s="1"/>
  <c r="AL469" i="17"/>
  <c r="AM469" i="17"/>
  <c r="L470" i="17"/>
  <c r="AK470" i="17"/>
  <c r="AL470" i="17"/>
  <c r="AM470" i="17"/>
  <c r="L471" i="17"/>
  <c r="AK471" i="17"/>
  <c r="AL471" i="17"/>
  <c r="AM471" i="17"/>
  <c r="AK473" i="17"/>
  <c r="AL473" i="17"/>
  <c r="AM473" i="17"/>
  <c r="AD493" i="17"/>
  <c r="Y493" i="17"/>
  <c r="V493" i="17"/>
  <c r="AD492" i="17"/>
  <c r="Y492" i="17"/>
  <c r="V492" i="17"/>
  <c r="L495" i="17"/>
  <c r="L494" i="17"/>
  <c r="AD439" i="17"/>
  <c r="Y439" i="17"/>
  <c r="V439" i="17"/>
  <c r="AD438" i="17"/>
  <c r="Y438" i="17"/>
  <c r="V438" i="17"/>
  <c r="L441" i="17"/>
  <c r="L440" i="17"/>
  <c r="L417" i="17"/>
  <c r="L416" i="17"/>
  <c r="AD415" i="17"/>
  <c r="Y415" i="17"/>
  <c r="V415" i="17"/>
  <c r="AD414" i="17"/>
  <c r="Y414" i="17"/>
  <c r="V414" i="17"/>
  <c r="AK601" i="17"/>
  <c r="AM639" i="17"/>
  <c r="AL639" i="17"/>
  <c r="AL595" i="17"/>
  <c r="AK639" i="17"/>
  <c r="AK442" i="17"/>
  <c r="AM496" i="17"/>
  <c r="AM552" i="17"/>
  <c r="AJ565" i="17"/>
  <c r="AJ639" i="17"/>
  <c r="AJ532" i="17"/>
  <c r="AJ546" i="17"/>
  <c r="AL496" i="17"/>
  <c r="AL552" i="17"/>
  <c r="AJ559" i="17"/>
  <c r="AJ571" i="17"/>
  <c r="AK552" i="17"/>
  <c r="AJ583" i="17"/>
  <c r="AJ552" i="17"/>
  <c r="AJ442" i="17"/>
  <c r="AM442" i="17"/>
  <c r="AJ496" i="17"/>
  <c r="AK496" i="17"/>
  <c r="AM418" i="17"/>
  <c r="AL526" i="17"/>
  <c r="AM466" i="17"/>
  <c r="AK526" i="17"/>
  <c r="AK466" i="17"/>
  <c r="AL472" i="17"/>
  <c r="AM472" i="17"/>
  <c r="AN253" i="11"/>
  <c r="AO253" i="11"/>
  <c r="AN254" i="11"/>
  <c r="AO254" i="11"/>
  <c r="AN255" i="11"/>
  <c r="AO255" i="11"/>
  <c r="AN256" i="11"/>
  <c r="AO256" i="11"/>
  <c r="AN257" i="11"/>
  <c r="AO257" i="11"/>
  <c r="AN258" i="11"/>
  <c r="AO258" i="11"/>
  <c r="AN259" i="11"/>
  <c r="AO259" i="11"/>
  <c r="AN260" i="11"/>
  <c r="AO260" i="11"/>
  <c r="AN261" i="11"/>
  <c r="AO261" i="11"/>
  <c r="AN262" i="11"/>
  <c r="AO262" i="11"/>
  <c r="AN263" i="11"/>
  <c r="AO263" i="11"/>
  <c r="AN264" i="11"/>
  <c r="AO264" i="11"/>
  <c r="AN266" i="11"/>
  <c r="AO266" i="11"/>
  <c r="AO252" i="11"/>
  <c r="AN252" i="11"/>
  <c r="AN235" i="11"/>
  <c r="AO235" i="11"/>
  <c r="AN236" i="11"/>
  <c r="AO236" i="11"/>
  <c r="AN237" i="11"/>
  <c r="AO237" i="11"/>
  <c r="AN238" i="11"/>
  <c r="AO238" i="11"/>
  <c r="AN239" i="11"/>
  <c r="AO239" i="11"/>
  <c r="AN240" i="11"/>
  <c r="AO240" i="11"/>
  <c r="AN241" i="11"/>
  <c r="AO241" i="11"/>
  <c r="AN242" i="11"/>
  <c r="AO242" i="11"/>
  <c r="AN243" i="11"/>
  <c r="AO243" i="11"/>
  <c r="AN244" i="11"/>
  <c r="AO244" i="11"/>
  <c r="AN245" i="11"/>
  <c r="AO245" i="11"/>
  <c r="AN246" i="11"/>
  <c r="AO246" i="11"/>
  <c r="AN248" i="11"/>
  <c r="AO248" i="11"/>
  <c r="AO234" i="11"/>
  <c r="AN234" i="11"/>
  <c r="AN217" i="11"/>
  <c r="AO217" i="11"/>
  <c r="AN218" i="11"/>
  <c r="AO218" i="11"/>
  <c r="AN219" i="11"/>
  <c r="AO219" i="11"/>
  <c r="AN220" i="11"/>
  <c r="AO220" i="11"/>
  <c r="AN221" i="11"/>
  <c r="AO221" i="11"/>
  <c r="AN222" i="11"/>
  <c r="AO222" i="11"/>
  <c r="AN223" i="11"/>
  <c r="AO223" i="11"/>
  <c r="AN224" i="11"/>
  <c r="AO224" i="11"/>
  <c r="AN225" i="11"/>
  <c r="AO225" i="11"/>
  <c r="AN226" i="11"/>
  <c r="AO226" i="11"/>
  <c r="AN227" i="11"/>
  <c r="AO227" i="11"/>
  <c r="AN228" i="11"/>
  <c r="AO228" i="11"/>
  <c r="AN229" i="11"/>
  <c r="AO229" i="11"/>
  <c r="AN230" i="11"/>
  <c r="AO230" i="11"/>
  <c r="AO216" i="11"/>
  <c r="AN216" i="11"/>
  <c r="AN199" i="11"/>
  <c r="AO199" i="11"/>
  <c r="AN200" i="11"/>
  <c r="AO200" i="11"/>
  <c r="AN201" i="11"/>
  <c r="AO201" i="11"/>
  <c r="AN202" i="11"/>
  <c r="AO202" i="11"/>
  <c r="AN203" i="11"/>
  <c r="AO203" i="11"/>
  <c r="AN204" i="11"/>
  <c r="AO204" i="11"/>
  <c r="AN205" i="11"/>
  <c r="AO205" i="11"/>
  <c r="AN206" i="11"/>
  <c r="AO206" i="11"/>
  <c r="AN207" i="11"/>
  <c r="AO207" i="11"/>
  <c r="AN208" i="11"/>
  <c r="AO208" i="11"/>
  <c r="AN209" i="11"/>
  <c r="AO209" i="11"/>
  <c r="AN210" i="11"/>
  <c r="AO210" i="11"/>
  <c r="AN212" i="11"/>
  <c r="AO212" i="11"/>
  <c r="AO198" i="11"/>
  <c r="AN198" i="11"/>
  <c r="AN181" i="11"/>
  <c r="AO181" i="11"/>
  <c r="AN182" i="11"/>
  <c r="AO182" i="11"/>
  <c r="AN183" i="11"/>
  <c r="AO183" i="11"/>
  <c r="AN184" i="11"/>
  <c r="AO184" i="11"/>
  <c r="AN185" i="11"/>
  <c r="AO185" i="11"/>
  <c r="AN186" i="11"/>
  <c r="AO186" i="11"/>
  <c r="AN187" i="11"/>
  <c r="AO187" i="11"/>
  <c r="AN188" i="11"/>
  <c r="AO188" i="11"/>
  <c r="AN189" i="11"/>
  <c r="AO189" i="11"/>
  <c r="AN190" i="11"/>
  <c r="AO190" i="11"/>
  <c r="AN191" i="11"/>
  <c r="AO191" i="11"/>
  <c r="AN192" i="11"/>
  <c r="AO192" i="11"/>
  <c r="AN194" i="11"/>
  <c r="AO194" i="11"/>
  <c r="AO180" i="11"/>
  <c r="AN180" i="11"/>
  <c r="AN163" i="11"/>
  <c r="AO163" i="11"/>
  <c r="AN164" i="11"/>
  <c r="AO164" i="11"/>
  <c r="AN165" i="11"/>
  <c r="AO165" i="11"/>
  <c r="AN166" i="11"/>
  <c r="AO166" i="11"/>
  <c r="AN167" i="11"/>
  <c r="AO167" i="11"/>
  <c r="AN168" i="11"/>
  <c r="AO168" i="11"/>
  <c r="AN169" i="11"/>
  <c r="AO169" i="11"/>
  <c r="AN170" i="11"/>
  <c r="AO170" i="11"/>
  <c r="AN171" i="11"/>
  <c r="AO171" i="11"/>
  <c r="AN172" i="11"/>
  <c r="AO172" i="11"/>
  <c r="AN173" i="11"/>
  <c r="AO173" i="11"/>
  <c r="AN174" i="11"/>
  <c r="AO174" i="11"/>
  <c r="AN175" i="11"/>
  <c r="AO175" i="11"/>
  <c r="AN176" i="11"/>
  <c r="AO176" i="11"/>
  <c r="AO162" i="11"/>
  <c r="AN162" i="11"/>
  <c r="AN145" i="11"/>
  <c r="AO145" i="11"/>
  <c r="AN146" i="11"/>
  <c r="AO146" i="11"/>
  <c r="AN147" i="11"/>
  <c r="AO147" i="11"/>
  <c r="AN148" i="11"/>
  <c r="AO148" i="11"/>
  <c r="AN149" i="11"/>
  <c r="AO149" i="11"/>
  <c r="AN150" i="11"/>
  <c r="AO150" i="11"/>
  <c r="AN151" i="11"/>
  <c r="AO151" i="11"/>
  <c r="AN152" i="11"/>
  <c r="AO152" i="11"/>
  <c r="AN153" i="11"/>
  <c r="AO153" i="11"/>
  <c r="AN154" i="11"/>
  <c r="AO154" i="11"/>
  <c r="AN155" i="11"/>
  <c r="AO155" i="11"/>
  <c r="AN156" i="11"/>
  <c r="AO156" i="11"/>
  <c r="AN157" i="11"/>
  <c r="AO157" i="11"/>
  <c r="AN158" i="11"/>
  <c r="AO158" i="11"/>
  <c r="AO144" i="11"/>
  <c r="AN144" i="11"/>
  <c r="AN127" i="11"/>
  <c r="AO127" i="11"/>
  <c r="AN128" i="11"/>
  <c r="AO128" i="11"/>
  <c r="AN129" i="11"/>
  <c r="AO129" i="11"/>
  <c r="AN130" i="11"/>
  <c r="AO130" i="11"/>
  <c r="AN131" i="11"/>
  <c r="AO131" i="11"/>
  <c r="AN132" i="11"/>
  <c r="AO132" i="11"/>
  <c r="AN133" i="11"/>
  <c r="AO133" i="11"/>
  <c r="AN134" i="11"/>
  <c r="AO134" i="11"/>
  <c r="AN135" i="11"/>
  <c r="AO135" i="11"/>
  <c r="AN136" i="11"/>
  <c r="AO136" i="11"/>
  <c r="AN137" i="11"/>
  <c r="AO137" i="11"/>
  <c r="AN138" i="11"/>
  <c r="AO138" i="11"/>
  <c r="AN139" i="11"/>
  <c r="AO139" i="11"/>
  <c r="AN140" i="11"/>
  <c r="AO140" i="11"/>
  <c r="AO126" i="11"/>
  <c r="AN126" i="11"/>
  <c r="AN109" i="11"/>
  <c r="AO109" i="11"/>
  <c r="AN110" i="11"/>
  <c r="AO110" i="11"/>
  <c r="AN111" i="11"/>
  <c r="AO111" i="11"/>
  <c r="AN112" i="11"/>
  <c r="AO112" i="11"/>
  <c r="AN113" i="11"/>
  <c r="AO113" i="11"/>
  <c r="AN114" i="11"/>
  <c r="AO114" i="11"/>
  <c r="AN115" i="11"/>
  <c r="AO115" i="11"/>
  <c r="AN116" i="11"/>
  <c r="AO116" i="11"/>
  <c r="AN117" i="11"/>
  <c r="AO117" i="11"/>
  <c r="AN118" i="11"/>
  <c r="AO118" i="11"/>
  <c r="AN119" i="11"/>
  <c r="AO119" i="11"/>
  <c r="AN120" i="11"/>
  <c r="AO120" i="11"/>
  <c r="AN121" i="11"/>
  <c r="AO121" i="11"/>
  <c r="AN122" i="11"/>
  <c r="AO122" i="11"/>
  <c r="AO108" i="11"/>
  <c r="AN108" i="11"/>
  <c r="AN92" i="11"/>
  <c r="AO92" i="11"/>
  <c r="AN93" i="11"/>
  <c r="AO93" i="11"/>
  <c r="AN94" i="11"/>
  <c r="AO94" i="11"/>
  <c r="AN95" i="11"/>
  <c r="AO95" i="11"/>
  <c r="AN96" i="11"/>
  <c r="AO96" i="11"/>
  <c r="AN97" i="11"/>
  <c r="AO97" i="11"/>
  <c r="AN98" i="11"/>
  <c r="AO98" i="11"/>
  <c r="AN99" i="11"/>
  <c r="AO99" i="11"/>
  <c r="AN100" i="11"/>
  <c r="AO100" i="11"/>
  <c r="AN101" i="11"/>
  <c r="AO101" i="11"/>
  <c r="AN102" i="11"/>
  <c r="AO102" i="11"/>
  <c r="AN103" i="11"/>
  <c r="AO103" i="11"/>
  <c r="AO91" i="11"/>
  <c r="AN91" i="11"/>
  <c r="AN74" i="11"/>
  <c r="AO74" i="11"/>
  <c r="AN75" i="11"/>
  <c r="AO75" i="11"/>
  <c r="AN76" i="11"/>
  <c r="AO76" i="11"/>
  <c r="AN77" i="11"/>
  <c r="AO77" i="11"/>
  <c r="AN78" i="11"/>
  <c r="AO78" i="11"/>
  <c r="AN79" i="11"/>
  <c r="AO79" i="11"/>
  <c r="AN80" i="11"/>
  <c r="AO80" i="11"/>
  <c r="AN81" i="11"/>
  <c r="AO81" i="11"/>
  <c r="AN82" i="11"/>
  <c r="AO82" i="11"/>
  <c r="AN83" i="11"/>
  <c r="AO83" i="11"/>
  <c r="AN84" i="11"/>
  <c r="AO84" i="11"/>
  <c r="AN85" i="11"/>
  <c r="AO85" i="11"/>
  <c r="AN86" i="11"/>
  <c r="AO86" i="11"/>
  <c r="AN87" i="11"/>
  <c r="AO87" i="11"/>
  <c r="AO73" i="11"/>
  <c r="AN73" i="11"/>
  <c r="AN57" i="11"/>
  <c r="AO57" i="11"/>
  <c r="AN58" i="11"/>
  <c r="AO58" i="11"/>
  <c r="AN59" i="11"/>
  <c r="AO59" i="11"/>
  <c r="AN60" i="11"/>
  <c r="AO60" i="11"/>
  <c r="AN61" i="11"/>
  <c r="AO61" i="11"/>
  <c r="AN62" i="11"/>
  <c r="AO62" i="11"/>
  <c r="AN63" i="11"/>
  <c r="AO63" i="11"/>
  <c r="AN64" i="11"/>
  <c r="AO64" i="11"/>
  <c r="AN65" i="11"/>
  <c r="AO65" i="11"/>
  <c r="AN66" i="11"/>
  <c r="AO66" i="11"/>
  <c r="AN67" i="11"/>
  <c r="AO67" i="11"/>
  <c r="AO56" i="11"/>
  <c r="AN56" i="11"/>
  <c r="AN40" i="11"/>
  <c r="AO40" i="11"/>
  <c r="AN41" i="11"/>
  <c r="AO41" i="11"/>
  <c r="AN42" i="11"/>
  <c r="AO42" i="11"/>
  <c r="AN43" i="11"/>
  <c r="AO43" i="11"/>
  <c r="AN44" i="11"/>
  <c r="AO44" i="11"/>
  <c r="AN45" i="11"/>
  <c r="AO45" i="11"/>
  <c r="AN46" i="11"/>
  <c r="AO46" i="11"/>
  <c r="AN47" i="11"/>
  <c r="AO47" i="11"/>
  <c r="AN48" i="11"/>
  <c r="AO48" i="11"/>
  <c r="AN49" i="11"/>
  <c r="AO49" i="11"/>
  <c r="AN50" i="11"/>
  <c r="AO50" i="11"/>
  <c r="AN51" i="11"/>
  <c r="AO51" i="11"/>
  <c r="AN52" i="11"/>
  <c r="AO52" i="11"/>
  <c r="AO39" i="11"/>
  <c r="AN39" i="11"/>
  <c r="AN22" i="11"/>
  <c r="AO22" i="11"/>
  <c r="AN23" i="11"/>
  <c r="AO23" i="11"/>
  <c r="AN24" i="11"/>
  <c r="AO24" i="11"/>
  <c r="AN25" i="11"/>
  <c r="AO25" i="11"/>
  <c r="AN26" i="11"/>
  <c r="AO26" i="11"/>
  <c r="AN27" i="11"/>
  <c r="AO27" i="11"/>
  <c r="AN28" i="11"/>
  <c r="AO28" i="11"/>
  <c r="AN29" i="11"/>
  <c r="AO29" i="11"/>
  <c r="AN30" i="11"/>
  <c r="AO30" i="11"/>
  <c r="AN31" i="11"/>
  <c r="AO31" i="11"/>
  <c r="AN34" i="11"/>
  <c r="AO34" i="11"/>
  <c r="AN35" i="11"/>
  <c r="AO35" i="11"/>
  <c r="AO21" i="11"/>
  <c r="AN21" i="11"/>
  <c r="AN4" i="11"/>
  <c r="AO4" i="11"/>
  <c r="AN5" i="11"/>
  <c r="AO5" i="11"/>
  <c r="AN6" i="11"/>
  <c r="AO6" i="11"/>
  <c r="AN7" i="11"/>
  <c r="AO7" i="11"/>
  <c r="AN8" i="11"/>
  <c r="AO8" i="11"/>
  <c r="AN9" i="11"/>
  <c r="AO9" i="11"/>
  <c r="AN10" i="11"/>
  <c r="AO10" i="11"/>
  <c r="AN11" i="11"/>
  <c r="AO11" i="11"/>
  <c r="AN12" i="11"/>
  <c r="AO12" i="11"/>
  <c r="AN13" i="11"/>
  <c r="AO13" i="11"/>
  <c r="AN14" i="11"/>
  <c r="AO14" i="11"/>
  <c r="AN15" i="11"/>
  <c r="AO15" i="11"/>
  <c r="AN17" i="11"/>
  <c r="AO17" i="11"/>
  <c r="AO3" i="11"/>
  <c r="AN3" i="11"/>
  <c r="AR147" i="12"/>
  <c r="AM147" i="12" s="1"/>
  <c r="AP147" i="12"/>
  <c r="AO147" i="12"/>
  <c r="AN147" i="12"/>
  <c r="AG147" i="12"/>
  <c r="AB147" i="12"/>
  <c r="Y147" i="12"/>
  <c r="AR144" i="12"/>
  <c r="AM144" i="12" s="1"/>
  <c r="AP144" i="12"/>
  <c r="AO144" i="12"/>
  <c r="AN144" i="12"/>
  <c r="AG144" i="12"/>
  <c r="AB144" i="12"/>
  <c r="Y144" i="12"/>
  <c r="AR128" i="12"/>
  <c r="AM128" i="12" s="1"/>
  <c r="AP128" i="12"/>
  <c r="AO128" i="12"/>
  <c r="AN128" i="12"/>
  <c r="AG128" i="12"/>
  <c r="AB128" i="12"/>
  <c r="Y128" i="12"/>
  <c r="AR127" i="12"/>
  <c r="AM127" i="12" s="1"/>
  <c r="AP127" i="12"/>
  <c r="AO127" i="12"/>
  <c r="AN127" i="12"/>
  <c r="AG127" i="12"/>
  <c r="AB127" i="12"/>
  <c r="Y127" i="12"/>
  <c r="AR230" i="11"/>
  <c r="AM230" i="11" s="1"/>
  <c r="AP230" i="11"/>
  <c r="AG230" i="11"/>
  <c r="AB230" i="11"/>
  <c r="Y230" i="11"/>
  <c r="AR229" i="11"/>
  <c r="AM229" i="11" s="1"/>
  <c r="AP229" i="11"/>
  <c r="AG229" i="11"/>
  <c r="AB229" i="11"/>
  <c r="Y229" i="11"/>
  <c r="AR175" i="11"/>
  <c r="AM175" i="11" s="1"/>
  <c r="AP175" i="11"/>
  <c r="AG175" i="11"/>
  <c r="AB175" i="11"/>
  <c r="Y175" i="11"/>
  <c r="AR139" i="11"/>
  <c r="AM139" i="11" s="1"/>
  <c r="AP139" i="11"/>
  <c r="AG139" i="11"/>
  <c r="AB139" i="11"/>
  <c r="Y139" i="11"/>
  <c r="AR122" i="11"/>
  <c r="AM122" i="11" s="1"/>
  <c r="AP122" i="11"/>
  <c r="AG122" i="11"/>
  <c r="AB122" i="11"/>
  <c r="Y122" i="11"/>
  <c r="AR121" i="11"/>
  <c r="AM121" i="11" s="1"/>
  <c r="AP121" i="11"/>
  <c r="AG121" i="11"/>
  <c r="AB121" i="11"/>
  <c r="Y121" i="11"/>
  <c r="AR87" i="11"/>
  <c r="AM87" i="11" s="1"/>
  <c r="AP87" i="11"/>
  <c r="AG87" i="11"/>
  <c r="AB87" i="11"/>
  <c r="Y87" i="11"/>
  <c r="AR52" i="11"/>
  <c r="AM52" i="11" s="1"/>
  <c r="AP52" i="11"/>
  <c r="AG52" i="11"/>
  <c r="AB52" i="11"/>
  <c r="Y52" i="11"/>
  <c r="E460" i="1"/>
  <c r="AK441" i="1"/>
  <c r="H441" i="1"/>
  <c r="T441" i="1"/>
  <c r="R441" i="1"/>
  <c r="Q441" i="1"/>
  <c r="C441" i="1" s="1"/>
  <c r="N441" i="1"/>
  <c r="AD529" i="17"/>
  <c r="Y529" i="17"/>
  <c r="V529" i="17"/>
  <c r="AD528" i="17"/>
  <c r="Y528" i="17"/>
  <c r="V528" i="17"/>
  <c r="L531" i="17"/>
  <c r="AO414" i="17"/>
  <c r="L530" i="17"/>
  <c r="AO413" i="17"/>
  <c r="AJ414" i="17"/>
  <c r="AJ415" i="17"/>
  <c r="AR21" i="11"/>
  <c r="AR22" i="11"/>
  <c r="AM22" i="11" s="1"/>
  <c r="AR23" i="11"/>
  <c r="AR24" i="11"/>
  <c r="AR25" i="11"/>
  <c r="AR26" i="11"/>
  <c r="AM26" i="11" s="1"/>
  <c r="AR27" i="11"/>
  <c r="AR28" i="11"/>
  <c r="AR29" i="11"/>
  <c r="AR30" i="11"/>
  <c r="AR31" i="11"/>
  <c r="AR34" i="11"/>
  <c r="AR35" i="11"/>
  <c r="AR39" i="11"/>
  <c r="AR40" i="11"/>
  <c r="AR41" i="11"/>
  <c r="AR42" i="11"/>
  <c r="AR43" i="11"/>
  <c r="AR44" i="11"/>
  <c r="AR45" i="11"/>
  <c r="AR46" i="11"/>
  <c r="AR47" i="11"/>
  <c r="AR48" i="11"/>
  <c r="AR49" i="11"/>
  <c r="AR50" i="11"/>
  <c r="AR51" i="11"/>
  <c r="AR56" i="11"/>
  <c r="AR57" i="11"/>
  <c r="AR58" i="11"/>
  <c r="AR59" i="11"/>
  <c r="AR60" i="11"/>
  <c r="AR61" i="11"/>
  <c r="AR62" i="11"/>
  <c r="AR63" i="11"/>
  <c r="AR64" i="11"/>
  <c r="AR65" i="11"/>
  <c r="AR66" i="11"/>
  <c r="AR67" i="11"/>
  <c r="AR73" i="11"/>
  <c r="AR74" i="11"/>
  <c r="AR75" i="11"/>
  <c r="AR76" i="11"/>
  <c r="AR77" i="11"/>
  <c r="AR78" i="11"/>
  <c r="AR79" i="11"/>
  <c r="AR80" i="11"/>
  <c r="AR81" i="11"/>
  <c r="AR82" i="11"/>
  <c r="AR83" i="11"/>
  <c r="AR84" i="11"/>
  <c r="AR85" i="11"/>
  <c r="AR86" i="11"/>
  <c r="AR91" i="11"/>
  <c r="AR92" i="11"/>
  <c r="AR93" i="11"/>
  <c r="AR94" i="11"/>
  <c r="AR95" i="11"/>
  <c r="AR96" i="11"/>
  <c r="AR97" i="11"/>
  <c r="AR98" i="11"/>
  <c r="AR99" i="11"/>
  <c r="AR100" i="11"/>
  <c r="AR101" i="11"/>
  <c r="AR102" i="11"/>
  <c r="AR103" i="11"/>
  <c r="AR108" i="11"/>
  <c r="AR109" i="11"/>
  <c r="AM109" i="11" s="1"/>
  <c r="AR110" i="11"/>
  <c r="AR111" i="11"/>
  <c r="AR112" i="11"/>
  <c r="AR113" i="11"/>
  <c r="AR114" i="11"/>
  <c r="AR115" i="11"/>
  <c r="AR116" i="11"/>
  <c r="AR117" i="11"/>
  <c r="AM117" i="11" s="1"/>
  <c r="AR118" i="11"/>
  <c r="AR119" i="11"/>
  <c r="AR120" i="11"/>
  <c r="AR126" i="11"/>
  <c r="AR127" i="11"/>
  <c r="AR128" i="11"/>
  <c r="AR129" i="11"/>
  <c r="AR130" i="11"/>
  <c r="AR131" i="11"/>
  <c r="AR132" i="11"/>
  <c r="AR133" i="11"/>
  <c r="AR134" i="11"/>
  <c r="AR135" i="11"/>
  <c r="AR136" i="11"/>
  <c r="AR137" i="11"/>
  <c r="AR138" i="11"/>
  <c r="AM138" i="11" s="1"/>
  <c r="AR140" i="11"/>
  <c r="AR144" i="11"/>
  <c r="AR145" i="11"/>
  <c r="AM145" i="11" s="1"/>
  <c r="AR146" i="11"/>
  <c r="AR147" i="11"/>
  <c r="AR148" i="11"/>
  <c r="AR149" i="11"/>
  <c r="AR150" i="11"/>
  <c r="AR151" i="11"/>
  <c r="AR152" i="11"/>
  <c r="AR153" i="11"/>
  <c r="AR154" i="11"/>
  <c r="AR155" i="11"/>
  <c r="AR156" i="11"/>
  <c r="AR157" i="11"/>
  <c r="AR158" i="11"/>
  <c r="AR162" i="11"/>
  <c r="AR163" i="11"/>
  <c r="AR164" i="11"/>
  <c r="AR165" i="11"/>
  <c r="AR166" i="11"/>
  <c r="AR167" i="11"/>
  <c r="AR168" i="11"/>
  <c r="AR169" i="11"/>
  <c r="AR170" i="11"/>
  <c r="AR171" i="11"/>
  <c r="AR172" i="11"/>
  <c r="AR173" i="11"/>
  <c r="AR174" i="11"/>
  <c r="AR176" i="11"/>
  <c r="AR180" i="11"/>
  <c r="AR181" i="11"/>
  <c r="AR182" i="11"/>
  <c r="AR183" i="11"/>
  <c r="AR184" i="11"/>
  <c r="AR185" i="11"/>
  <c r="AM185" i="11" s="1"/>
  <c r="AR186" i="11"/>
  <c r="AR187" i="11"/>
  <c r="AR188" i="11"/>
  <c r="AR189" i="11"/>
  <c r="AM189" i="11" s="1"/>
  <c r="AR190" i="11"/>
  <c r="AR191" i="11"/>
  <c r="AR192" i="11"/>
  <c r="AR194" i="11"/>
  <c r="AM194" i="11" s="1"/>
  <c r="AR198" i="11"/>
  <c r="AR199" i="11"/>
  <c r="AR200" i="11"/>
  <c r="AR201" i="11"/>
  <c r="AM201" i="11" s="1"/>
  <c r="AR202" i="11"/>
  <c r="AR203" i="11"/>
  <c r="AR204" i="11"/>
  <c r="AR205" i="11"/>
  <c r="AR206" i="11"/>
  <c r="AR207" i="11"/>
  <c r="AR208" i="11"/>
  <c r="AR209" i="11"/>
  <c r="AR210" i="11"/>
  <c r="AR212" i="11"/>
  <c r="AR216" i="11"/>
  <c r="AR217" i="11"/>
  <c r="AR218" i="11"/>
  <c r="AR219" i="11"/>
  <c r="AR220" i="11"/>
  <c r="AR221" i="11"/>
  <c r="AR222" i="11"/>
  <c r="AR223" i="11"/>
  <c r="AR224" i="11"/>
  <c r="AR225" i="11"/>
  <c r="AR226" i="11"/>
  <c r="AR227" i="11"/>
  <c r="AR228" i="11"/>
  <c r="AR234" i="11"/>
  <c r="AM234" i="11" s="1"/>
  <c r="AR235" i="11"/>
  <c r="AR236" i="11"/>
  <c r="AR237" i="11"/>
  <c r="AR238" i="11"/>
  <c r="AM238" i="11" s="1"/>
  <c r="AR239" i="11"/>
  <c r="AR240" i="11"/>
  <c r="AR241" i="11"/>
  <c r="AR242" i="11"/>
  <c r="AR243" i="11"/>
  <c r="AR244" i="11"/>
  <c r="AR245" i="11"/>
  <c r="AR246" i="11"/>
  <c r="AR248" i="11"/>
  <c r="AM248" i="11" s="1"/>
  <c r="AR252" i="11"/>
  <c r="AR253" i="11"/>
  <c r="AR254" i="11"/>
  <c r="AR255" i="11"/>
  <c r="AR256" i="11"/>
  <c r="AR257" i="11"/>
  <c r="AR258" i="11"/>
  <c r="AR259" i="11"/>
  <c r="AR260" i="11"/>
  <c r="AR261" i="11"/>
  <c r="AR262" i="11"/>
  <c r="AR263" i="11"/>
  <c r="AR264" i="11"/>
  <c r="AR266" i="11"/>
  <c r="AR5" i="11"/>
  <c r="AR6" i="11"/>
  <c r="AM6" i="11" s="1"/>
  <c r="AR7" i="11"/>
  <c r="AR8" i="11"/>
  <c r="AM8" i="11" s="1"/>
  <c r="AR9" i="11"/>
  <c r="AR10" i="11"/>
  <c r="AR11" i="11"/>
  <c r="AR12" i="11"/>
  <c r="AM12" i="11" s="1"/>
  <c r="AR13" i="11"/>
  <c r="AM13" i="11" s="1"/>
  <c r="AR14" i="11"/>
  <c r="AR15" i="11"/>
  <c r="AR17" i="11"/>
  <c r="AM17" i="11" s="1"/>
  <c r="AR4" i="11"/>
  <c r="AR3" i="11"/>
  <c r="AR39" i="12"/>
  <c r="AM39" i="12" s="1"/>
  <c r="AR40" i="12"/>
  <c r="AR41" i="12"/>
  <c r="AR42" i="12"/>
  <c r="AR43" i="12"/>
  <c r="AM43" i="12" s="1"/>
  <c r="AR44" i="12"/>
  <c r="AR45" i="12"/>
  <c r="AR46" i="12"/>
  <c r="AR47" i="12"/>
  <c r="AM47" i="12" s="1"/>
  <c r="AR48" i="12"/>
  <c r="AR49" i="12"/>
  <c r="AR50" i="12"/>
  <c r="AR51" i="12"/>
  <c r="AM51" i="12" s="1"/>
  <c r="AR53" i="12"/>
  <c r="AR57" i="12"/>
  <c r="AR58" i="12"/>
  <c r="AR59" i="12"/>
  <c r="AM59" i="12" s="1"/>
  <c r="AR60" i="12"/>
  <c r="AR61" i="12"/>
  <c r="AR62" i="12"/>
  <c r="AR63" i="12"/>
  <c r="AR64" i="12"/>
  <c r="AR65" i="12"/>
  <c r="AR66" i="12"/>
  <c r="AR67" i="12"/>
  <c r="AM67" i="12" s="1"/>
  <c r="AR68" i="12"/>
  <c r="AR69" i="12"/>
  <c r="AR75" i="12"/>
  <c r="AR76" i="12"/>
  <c r="AR77" i="12"/>
  <c r="AR78" i="12"/>
  <c r="AR79" i="12"/>
  <c r="AM79" i="12" s="1"/>
  <c r="AR80" i="12"/>
  <c r="AM80" i="12" s="1"/>
  <c r="AR81" i="12"/>
  <c r="AR82" i="12"/>
  <c r="AR83" i="12"/>
  <c r="AM83" i="12" s="1"/>
  <c r="AR84" i="12"/>
  <c r="AM84" i="12" s="1"/>
  <c r="AR85" i="12"/>
  <c r="AR86" i="12"/>
  <c r="AR87" i="12"/>
  <c r="AR94" i="12"/>
  <c r="AR95" i="12"/>
  <c r="AR96" i="12"/>
  <c r="AR97" i="12"/>
  <c r="AR98" i="12"/>
  <c r="AR99" i="12"/>
  <c r="AR100" i="12"/>
  <c r="AR101" i="12"/>
  <c r="AM101" i="12" s="1"/>
  <c r="AR102" i="12"/>
  <c r="AR103" i="12"/>
  <c r="AR104" i="12"/>
  <c r="AR105" i="12"/>
  <c r="AM105" i="12" s="1"/>
  <c r="AR106" i="12"/>
  <c r="AR107" i="12"/>
  <c r="AR109" i="12"/>
  <c r="AR113" i="12"/>
  <c r="AM113" i="12" s="1"/>
  <c r="AR114" i="12"/>
  <c r="AM114" i="12" s="1"/>
  <c r="AR115" i="12"/>
  <c r="AR116" i="12"/>
  <c r="AR117" i="12"/>
  <c r="AM117" i="12" s="1"/>
  <c r="AR118" i="12"/>
  <c r="AM118" i="12" s="1"/>
  <c r="AR119" i="12"/>
  <c r="AR120" i="12"/>
  <c r="AR121" i="12"/>
  <c r="AR122" i="12"/>
  <c r="AM122" i="12" s="1"/>
  <c r="AR123" i="12"/>
  <c r="AR124" i="12"/>
  <c r="AR132" i="12"/>
  <c r="AM132" i="12" s="1"/>
  <c r="AR133" i="12"/>
  <c r="AR134" i="12"/>
  <c r="AR135" i="12"/>
  <c r="AR136" i="12"/>
  <c r="AM136" i="12" s="1"/>
  <c r="AR137" i="12"/>
  <c r="AR138" i="12"/>
  <c r="AR139" i="12"/>
  <c r="AR140" i="12"/>
  <c r="AR141" i="12"/>
  <c r="AR142" i="12"/>
  <c r="AR143" i="12"/>
  <c r="AR151" i="12"/>
  <c r="AR152" i="12"/>
  <c r="AM152" i="12" s="1"/>
  <c r="AR153" i="12"/>
  <c r="AR154" i="12"/>
  <c r="AR155" i="12"/>
  <c r="AR156" i="12"/>
  <c r="AR157" i="12"/>
  <c r="AR158" i="12"/>
  <c r="AM158" i="12" s="1"/>
  <c r="AR159" i="12"/>
  <c r="AR160" i="12"/>
  <c r="AR161" i="12"/>
  <c r="AR162" i="12"/>
  <c r="AR163" i="12"/>
  <c r="AR164" i="12"/>
  <c r="AR165" i="12"/>
  <c r="AR169" i="12"/>
  <c r="AR170" i="12"/>
  <c r="AR171" i="12"/>
  <c r="AR172" i="12"/>
  <c r="AR173" i="12"/>
  <c r="AM173" i="12" s="1"/>
  <c r="AR174" i="12"/>
  <c r="AR175" i="12"/>
  <c r="AR176" i="12"/>
  <c r="AR177" i="12"/>
  <c r="AM177" i="12" s="1"/>
  <c r="AR178" i="12"/>
  <c r="AR179" i="12"/>
  <c r="AR180" i="12"/>
  <c r="AR181" i="12"/>
  <c r="AM181" i="12" s="1"/>
  <c r="AR182" i="12"/>
  <c r="AR187" i="12"/>
  <c r="AR188" i="12"/>
  <c r="AM188" i="12" s="1"/>
  <c r="AR189" i="12"/>
  <c r="AR190" i="12"/>
  <c r="AR191" i="12"/>
  <c r="AR192" i="12"/>
  <c r="AM192" i="12" s="1"/>
  <c r="AR193" i="12"/>
  <c r="AR194" i="12"/>
  <c r="AR195" i="12"/>
  <c r="AR196" i="12"/>
  <c r="AM196" i="12" s="1"/>
  <c r="AR197" i="12"/>
  <c r="AR198" i="12"/>
  <c r="AR199" i="12"/>
  <c r="AR200" i="12"/>
  <c r="AM200" i="12" s="1"/>
  <c r="AR201" i="12"/>
  <c r="AR205" i="12"/>
  <c r="AR206" i="12"/>
  <c r="AR207" i="12"/>
  <c r="AM207" i="12" s="1"/>
  <c r="AR208" i="12"/>
  <c r="AR209" i="12"/>
  <c r="AR210" i="12"/>
  <c r="AR211" i="12"/>
  <c r="AR212" i="12"/>
  <c r="AR213" i="12"/>
  <c r="AR214" i="12"/>
  <c r="AM214" i="12" s="1"/>
  <c r="AR215" i="12"/>
  <c r="AM215" i="12" s="1"/>
  <c r="AR216" i="12"/>
  <c r="AR217" i="12"/>
  <c r="AR220" i="12"/>
  <c r="AR224" i="12"/>
  <c r="AM224" i="12" s="1"/>
  <c r="AR225" i="12"/>
  <c r="AR226" i="12"/>
  <c r="AR227" i="12"/>
  <c r="AM227" i="12" s="1"/>
  <c r="AR228" i="12"/>
  <c r="AM228" i="12" s="1"/>
  <c r="AR229" i="12"/>
  <c r="AR230" i="12"/>
  <c r="AR231" i="12"/>
  <c r="AM231" i="12" s="1"/>
  <c r="AR232" i="12"/>
  <c r="AR233" i="12"/>
  <c r="AR234" i="12"/>
  <c r="AR235" i="12"/>
  <c r="AM235" i="12" s="1"/>
  <c r="AR236" i="12"/>
  <c r="AM236" i="12" s="1"/>
  <c r="AR243" i="12"/>
  <c r="AR244" i="12"/>
  <c r="AR245" i="12"/>
  <c r="AR246" i="12"/>
  <c r="AM246" i="12" s="1"/>
  <c r="AR247" i="12"/>
  <c r="AR248" i="12"/>
  <c r="AR249" i="12"/>
  <c r="AM249" i="12" s="1"/>
  <c r="AR250" i="12"/>
  <c r="AM250" i="12" s="1"/>
  <c r="AR251" i="12"/>
  <c r="AR252" i="12"/>
  <c r="AR253" i="12"/>
  <c r="AM253" i="12" s="1"/>
  <c r="AR254" i="12"/>
  <c r="AM254" i="12" s="1"/>
  <c r="AR255" i="12"/>
  <c r="AR256" i="12"/>
  <c r="AM256" i="12" s="1"/>
  <c r="AR257" i="12"/>
  <c r="AR261" i="12"/>
  <c r="AM261" i="12" s="1"/>
  <c r="AR262" i="12"/>
  <c r="AR263" i="12"/>
  <c r="AR264" i="12"/>
  <c r="AR265" i="12"/>
  <c r="AM265" i="12" s="1"/>
  <c r="AR266" i="12"/>
  <c r="AR267" i="12"/>
  <c r="AR268" i="12"/>
  <c r="AM268" i="12" s="1"/>
  <c r="AR269" i="12"/>
  <c r="AM269" i="12" s="1"/>
  <c r="AR270" i="12"/>
  <c r="AR271" i="12"/>
  <c r="AR272" i="12"/>
  <c r="AM272" i="12" s="1"/>
  <c r="AR273" i="12"/>
  <c r="AR274" i="12"/>
  <c r="AR20" i="12"/>
  <c r="AR21" i="12"/>
  <c r="AR22" i="12"/>
  <c r="AR23" i="12"/>
  <c r="AR24" i="12"/>
  <c r="AR25" i="12"/>
  <c r="AM25" i="12" s="1"/>
  <c r="AR26" i="12"/>
  <c r="AR27" i="12"/>
  <c r="AR30" i="12"/>
  <c r="AR31" i="12"/>
  <c r="AM31" i="12" s="1"/>
  <c r="AR32" i="12"/>
  <c r="AR33" i="12"/>
  <c r="AR34" i="12"/>
  <c r="AM34" i="12" s="1"/>
  <c r="AR35" i="12"/>
  <c r="AM35" i="12" s="1"/>
  <c r="AR4" i="12"/>
  <c r="AR5" i="12"/>
  <c r="AR6" i="12"/>
  <c r="AR7" i="12"/>
  <c r="AM7" i="12" s="1"/>
  <c r="AR8" i="12"/>
  <c r="AR9" i="12"/>
  <c r="AM9" i="12" s="1"/>
  <c r="AR10" i="12"/>
  <c r="AM10" i="12" s="1"/>
  <c r="AR11" i="12"/>
  <c r="AM11" i="12" s="1"/>
  <c r="AR12" i="12"/>
  <c r="AR13" i="12"/>
  <c r="AR14" i="12"/>
  <c r="AM14" i="12" s="1"/>
  <c r="AR15" i="12"/>
  <c r="AM15" i="12" s="1"/>
  <c r="AR3" i="12"/>
  <c r="AJ418" i="17"/>
  <c r="AJ472" i="17"/>
  <c r="AJ466" i="17"/>
  <c r="AJ526" i="17"/>
  <c r="AP120" i="11"/>
  <c r="AP131" i="11"/>
  <c r="AP171" i="11"/>
  <c r="AP191" i="11"/>
  <c r="AP210" i="11"/>
  <c r="AP222" i="11"/>
  <c r="AP240" i="11"/>
  <c r="AP242" i="11"/>
  <c r="AP246" i="11"/>
  <c r="AP253" i="11"/>
  <c r="AP257" i="11"/>
  <c r="AP261" i="11"/>
  <c r="AP266" i="11"/>
  <c r="AP3" i="11"/>
  <c r="AK517" i="17"/>
  <c r="AJ601" i="17"/>
  <c r="AJ595" i="17"/>
  <c r="AP113" i="11"/>
  <c r="AP40" i="11"/>
  <c r="AP262" i="11"/>
  <c r="AP258" i="11"/>
  <c r="AP248" i="11"/>
  <c r="AP243" i="11"/>
  <c r="AP236" i="11"/>
  <c r="AP225" i="11"/>
  <c r="AP176" i="11"/>
  <c r="AP102" i="11"/>
  <c r="AP28" i="11"/>
  <c r="AP257" i="12"/>
  <c r="AO233" i="12"/>
  <c r="AP199" i="12"/>
  <c r="AN151" i="12"/>
  <c r="AP57" i="12"/>
  <c r="AM576" i="17"/>
  <c r="AP263" i="11"/>
  <c r="AP259" i="11"/>
  <c r="AP255" i="11"/>
  <c r="AP244" i="11"/>
  <c r="AP241" i="11"/>
  <c r="AP234" i="11"/>
  <c r="AP228" i="11"/>
  <c r="AP221" i="11"/>
  <c r="AP202" i="11"/>
  <c r="AP183" i="11"/>
  <c r="AP163" i="11"/>
  <c r="AP153" i="11"/>
  <c r="AP93" i="11"/>
  <c r="AP83" i="11"/>
  <c r="AP76" i="11"/>
  <c r="AP267" i="12"/>
  <c r="AN255" i="12"/>
  <c r="AO244" i="12"/>
  <c r="AP230" i="12"/>
  <c r="AN216" i="12"/>
  <c r="AO194" i="12"/>
  <c r="AN170" i="12"/>
  <c r="AP139" i="12"/>
  <c r="AP97" i="12"/>
  <c r="AN44" i="12"/>
  <c r="AL683" i="17"/>
  <c r="AM135" i="11"/>
  <c r="AS135" i="11"/>
  <c r="AJ432" i="17"/>
  <c r="AJ675" i="17"/>
  <c r="AJ657" i="17"/>
  <c r="AJ645" i="17"/>
  <c r="AJ457" i="17"/>
  <c r="AJ445" i="17"/>
  <c r="AJ426" i="17"/>
  <c r="AJ408" i="17"/>
  <c r="AM75" i="11"/>
  <c r="AM79" i="11"/>
  <c r="AM83" i="11"/>
  <c r="AM24" i="11"/>
  <c r="AM28" i="11"/>
  <c r="AM34" i="11"/>
  <c r="AM39" i="11"/>
  <c r="AM43" i="11"/>
  <c r="AM47" i="11"/>
  <c r="AM51" i="11"/>
  <c r="AM58" i="11"/>
  <c r="AM62" i="11"/>
  <c r="AM66" i="11"/>
  <c r="AM93" i="11"/>
  <c r="AM97" i="11"/>
  <c r="AM101" i="11"/>
  <c r="AM111" i="11"/>
  <c r="AM115" i="11"/>
  <c r="AM119" i="11"/>
  <c r="AM127" i="11"/>
  <c r="AM131" i="11"/>
  <c r="AM136" i="11"/>
  <c r="AM144" i="11"/>
  <c r="AM148" i="11"/>
  <c r="AM152" i="11"/>
  <c r="AM156" i="11"/>
  <c r="AM163" i="11"/>
  <c r="AM167" i="11"/>
  <c r="AJ688" i="17"/>
  <c r="AJ664" i="17"/>
  <c r="AJ652" i="17"/>
  <c r="AJ456" i="17"/>
  <c r="AJ444" i="17"/>
  <c r="AJ421" i="17"/>
  <c r="AJ397" i="17"/>
  <c r="AJ402" i="17"/>
  <c r="AM76" i="11"/>
  <c r="AM80" i="11"/>
  <c r="AM84" i="11"/>
  <c r="AM21" i="11"/>
  <c r="AM25" i="11"/>
  <c r="AM29" i="11"/>
  <c r="AM35" i="11"/>
  <c r="AM40" i="11"/>
  <c r="AM44" i="11"/>
  <c r="AM48" i="11"/>
  <c r="AM59" i="11"/>
  <c r="AM63" i="11"/>
  <c r="AM67" i="11"/>
  <c r="AM94" i="11"/>
  <c r="AM98" i="11"/>
  <c r="AM102" i="11"/>
  <c r="AM108" i="11"/>
  <c r="AM112" i="11"/>
  <c r="AM116" i="11"/>
  <c r="AM120" i="11"/>
  <c r="AM128" i="11"/>
  <c r="AM132" i="11"/>
  <c r="AM137" i="11"/>
  <c r="AM149" i="11"/>
  <c r="AM153" i="11"/>
  <c r="AM157" i="11"/>
  <c r="AM164" i="11"/>
  <c r="AM168" i="11"/>
  <c r="AM172" i="11"/>
  <c r="AM180" i="11"/>
  <c r="AM184" i="11"/>
  <c r="AM188" i="11"/>
  <c r="AM192" i="11"/>
  <c r="AM199" i="11"/>
  <c r="AM203" i="11"/>
  <c r="AM207" i="11"/>
  <c r="AM212" i="11"/>
  <c r="AM219" i="11"/>
  <c r="AM223" i="11"/>
  <c r="AM227" i="11"/>
  <c r="AM235" i="11"/>
  <c r="AM239" i="11"/>
  <c r="AM243" i="11"/>
  <c r="AM254" i="11"/>
  <c r="AM258" i="11"/>
  <c r="AM262" i="11"/>
  <c r="AM44" i="12"/>
  <c r="AM62" i="12"/>
  <c r="AM86" i="12"/>
  <c r="AM98" i="12"/>
  <c r="AM104" i="12"/>
  <c r="AM115" i="12"/>
  <c r="AM123" i="12"/>
  <c r="AJ687" i="17"/>
  <c r="AJ663" i="17"/>
  <c r="AJ651" i="17"/>
  <c r="AJ451" i="17"/>
  <c r="AJ433" i="17"/>
  <c r="AJ420" i="17"/>
  <c r="AJ396" i="17"/>
  <c r="AM73" i="11"/>
  <c r="AM77" i="11"/>
  <c r="AM81" i="11"/>
  <c r="AM85" i="11"/>
  <c r="AM30" i="11"/>
  <c r="AM41" i="11"/>
  <c r="AM45" i="11"/>
  <c r="AM49" i="11"/>
  <c r="AM56" i="11"/>
  <c r="AM60" i="11"/>
  <c r="AM64" i="11"/>
  <c r="AM91" i="11"/>
  <c r="AM95" i="11"/>
  <c r="AM99" i="11"/>
  <c r="AM103" i="11"/>
  <c r="AM113" i="11"/>
  <c r="AM129" i="11"/>
  <c r="AM133" i="11"/>
  <c r="AM146" i="11"/>
  <c r="AM150" i="11"/>
  <c r="AM154" i="11"/>
  <c r="AM158" i="11"/>
  <c r="AM165" i="11"/>
  <c r="AM169" i="11"/>
  <c r="AM173" i="11"/>
  <c r="AM181" i="11"/>
  <c r="AM200" i="11"/>
  <c r="AM204" i="11"/>
  <c r="AM208" i="11"/>
  <c r="AM216" i="11"/>
  <c r="AM220" i="11"/>
  <c r="AM224" i="11"/>
  <c r="AM228" i="11"/>
  <c r="AM236" i="11"/>
  <c r="AM240" i="11"/>
  <c r="AM244" i="11"/>
  <c r="AM255" i="11"/>
  <c r="AM259" i="11"/>
  <c r="AM263" i="11"/>
  <c r="AM3" i="11"/>
  <c r="AM45" i="12"/>
  <c r="AM53" i="12"/>
  <c r="AM63" i="12"/>
  <c r="AM82" i="12"/>
  <c r="AM87" i="12"/>
  <c r="AM99" i="12"/>
  <c r="AM106" i="12"/>
  <c r="AM124" i="12"/>
  <c r="AM137" i="12"/>
  <c r="AM151" i="12"/>
  <c r="AJ676" i="17"/>
  <c r="AJ427" i="17"/>
  <c r="AJ658" i="17"/>
  <c r="AJ589" i="17"/>
  <c r="AJ409" i="17"/>
  <c r="AM78" i="11"/>
  <c r="AM27" i="11"/>
  <c r="AJ646" i="17"/>
  <c r="AJ403" i="17"/>
  <c r="AM82" i="11"/>
  <c r="AM31" i="11"/>
  <c r="AM50" i="11"/>
  <c r="AM126" i="11"/>
  <c r="AM147" i="11"/>
  <c r="AM166" i="11"/>
  <c r="AM176" i="11"/>
  <c r="AM187" i="11"/>
  <c r="AM198" i="11"/>
  <c r="AM206" i="11"/>
  <c r="AM218" i="11"/>
  <c r="AM226" i="11"/>
  <c r="AM246" i="11"/>
  <c r="AM257" i="11"/>
  <c r="AM266" i="11"/>
  <c r="AM9" i="11"/>
  <c r="AM78" i="12"/>
  <c r="AM95" i="12"/>
  <c r="AM133" i="12"/>
  <c r="AM154" i="12"/>
  <c r="AM163" i="12"/>
  <c r="AM190" i="12"/>
  <c r="AM197" i="12"/>
  <c r="AM208" i="12"/>
  <c r="AM232" i="12"/>
  <c r="AM243" i="12"/>
  <c r="AM266" i="12"/>
  <c r="AM273" i="12"/>
  <c r="AM3" i="12"/>
  <c r="AM74" i="11"/>
  <c r="AM42" i="11"/>
  <c r="AM65" i="11"/>
  <c r="AM110" i="11"/>
  <c r="AM134" i="11"/>
  <c r="AM162" i="11"/>
  <c r="AM182" i="11"/>
  <c r="AM191" i="11"/>
  <c r="AM205" i="11"/>
  <c r="AM221" i="11"/>
  <c r="AM245" i="11"/>
  <c r="AM260" i="11"/>
  <c r="AM40" i="12"/>
  <c r="AM64" i="12"/>
  <c r="AM107" i="12"/>
  <c r="AM140" i="12"/>
  <c r="AM159" i="12"/>
  <c r="AM171" i="12"/>
  <c r="AM182" i="12"/>
  <c r="AM193" i="12"/>
  <c r="AM216" i="12"/>
  <c r="AM229" i="12"/>
  <c r="AM251" i="12"/>
  <c r="AM264" i="12"/>
  <c r="AM86" i="11"/>
  <c r="AM46" i="11"/>
  <c r="AM92" i="11"/>
  <c r="AM114" i="11"/>
  <c r="AM140" i="11"/>
  <c r="AM170" i="11"/>
  <c r="AM183" i="11"/>
  <c r="AM209" i="11"/>
  <c r="AM222" i="11"/>
  <c r="AM237" i="11"/>
  <c r="AM252" i="11"/>
  <c r="AM261" i="11"/>
  <c r="AM5" i="11"/>
  <c r="AM66" i="12"/>
  <c r="AM94" i="12"/>
  <c r="AM119" i="12"/>
  <c r="AM141" i="12"/>
  <c r="AM162" i="12"/>
  <c r="AM174" i="12"/>
  <c r="AM209" i="12"/>
  <c r="AJ450" i="17"/>
  <c r="AM23" i="11"/>
  <c r="AM57" i="11"/>
  <c r="AM96" i="11"/>
  <c r="AM118" i="11"/>
  <c r="AM151" i="11"/>
  <c r="AM171" i="11"/>
  <c r="AM186" i="11"/>
  <c r="AM210" i="11"/>
  <c r="AM225" i="11"/>
  <c r="AM241" i="11"/>
  <c r="AM253" i="11"/>
  <c r="AM264" i="11"/>
  <c r="AM10" i="11"/>
  <c r="AM48" i="12"/>
  <c r="AM75" i="12"/>
  <c r="AM102" i="12"/>
  <c r="AM169" i="12"/>
  <c r="AM189" i="12"/>
  <c r="AM211" i="12"/>
  <c r="AM247" i="12"/>
  <c r="AM255" i="12"/>
  <c r="AM20" i="12"/>
  <c r="AM61" i="11"/>
  <c r="AM100" i="11"/>
  <c r="AM130" i="11"/>
  <c r="AM155" i="11"/>
  <c r="AM174" i="11"/>
  <c r="AM190" i="11"/>
  <c r="AM202" i="11"/>
  <c r="AM217" i="11"/>
  <c r="AM242" i="11"/>
  <c r="AM256" i="11"/>
  <c r="AM14" i="11"/>
  <c r="AM58" i="12"/>
  <c r="AM103" i="12"/>
  <c r="AM155" i="12"/>
  <c r="AM170" i="12"/>
  <c r="AM178" i="12"/>
  <c r="AM201" i="12"/>
  <c r="AM212" i="12"/>
  <c r="AM248" i="12"/>
  <c r="AM32" i="12"/>
  <c r="AM13" i="12"/>
  <c r="AM5" i="12"/>
  <c r="AM271" i="12"/>
  <c r="AM234" i="12"/>
  <c r="AM195" i="12"/>
  <c r="AM176" i="12"/>
  <c r="AM157" i="12"/>
  <c r="AM135" i="12"/>
  <c r="AM69" i="12"/>
  <c r="AM50" i="12"/>
  <c r="AM28" i="12"/>
  <c r="AM262" i="12"/>
  <c r="AM213" i="12"/>
  <c r="AM160" i="12"/>
  <c r="AM134" i="12"/>
  <c r="AM100" i="12"/>
  <c r="AM76" i="12"/>
  <c r="AM49" i="12"/>
  <c r="AM11" i="11"/>
  <c r="AL402" i="17"/>
  <c r="AM403" i="17"/>
  <c r="AK405" i="17"/>
  <c r="AM396" i="17"/>
  <c r="AK398" i="17"/>
  <c r="AL399" i="17"/>
  <c r="AM407" i="17"/>
  <c r="AK409" i="17"/>
  <c r="AL410" i="17"/>
  <c r="AM411" i="17"/>
  <c r="AL419" i="17"/>
  <c r="AM420" i="17"/>
  <c r="AK422" i="17"/>
  <c r="AL423" i="17"/>
  <c r="AM425" i="17"/>
  <c r="AK427" i="17"/>
  <c r="AL428" i="17"/>
  <c r="AM429" i="17"/>
  <c r="AL432" i="17"/>
  <c r="AM433" i="17"/>
  <c r="AK435" i="17"/>
  <c r="AL437" i="17"/>
  <c r="AK444" i="17"/>
  <c r="AL445" i="17"/>
  <c r="AM446" i="17"/>
  <c r="AK449" i="17"/>
  <c r="AL450" i="17"/>
  <c r="AM451" i="17"/>
  <c r="AK453" i="17"/>
  <c r="AL455" i="17"/>
  <c r="AM456" i="17"/>
  <c r="AK458" i="17"/>
  <c r="AL459" i="17"/>
  <c r="AM461" i="17"/>
  <c r="AK474" i="17"/>
  <c r="AL475" i="17"/>
  <c r="AM476" i="17"/>
  <c r="AK479" i="17"/>
  <c r="AL480" i="17"/>
  <c r="AM481" i="17"/>
  <c r="AK483" i="17"/>
  <c r="AL485" i="17"/>
  <c r="AM486" i="17"/>
  <c r="AM12" i="12"/>
  <c r="AM26" i="12"/>
  <c r="AM267" i="12"/>
  <c r="AM230" i="12"/>
  <c r="AM210" i="12"/>
  <c r="AM191" i="12"/>
  <c r="AM172" i="12"/>
  <c r="AM153" i="12"/>
  <c r="AM85" i="12"/>
  <c r="AM65" i="12"/>
  <c r="AM46" i="12"/>
  <c r="AM30" i="12"/>
  <c r="AM24" i="12"/>
  <c r="AM233" i="12"/>
  <c r="AM205" i="12"/>
  <c r="AM179" i="12"/>
  <c r="AM156" i="12"/>
  <c r="AM120" i="12"/>
  <c r="AM96" i="12"/>
  <c r="AM68" i="12"/>
  <c r="AM41" i="12"/>
  <c r="AM7" i="11"/>
  <c r="AM402" i="17"/>
  <c r="AK404" i="17"/>
  <c r="AL405" i="17"/>
  <c r="AK397" i="17"/>
  <c r="AL398" i="17"/>
  <c r="AM399" i="17"/>
  <c r="AK408" i="17"/>
  <c r="AL409" i="17"/>
  <c r="AM410" i="17"/>
  <c r="AK413" i="17"/>
  <c r="AM419" i="17"/>
  <c r="AK421" i="17"/>
  <c r="AL422" i="17"/>
  <c r="AM423" i="17"/>
  <c r="AK426" i="17"/>
  <c r="AL427" i="17"/>
  <c r="AM428" i="17"/>
  <c r="AK431" i="17"/>
  <c r="AM432" i="17"/>
  <c r="AK434" i="17"/>
  <c r="AL435" i="17"/>
  <c r="AM437" i="17"/>
  <c r="AK443" i="17"/>
  <c r="AL444" i="17"/>
  <c r="AM445" i="17"/>
  <c r="AK447" i="17"/>
  <c r="AL449" i="17"/>
  <c r="AM450" i="17"/>
  <c r="AK452" i="17"/>
  <c r="AL453" i="17"/>
  <c r="AM455" i="17"/>
  <c r="AK457" i="17"/>
  <c r="AL458" i="17"/>
  <c r="AM459" i="17"/>
  <c r="AL474" i="17"/>
  <c r="AM475" i="17"/>
  <c r="AK477" i="17"/>
  <c r="AL479" i="17"/>
  <c r="AM480" i="17"/>
  <c r="AK482" i="17"/>
  <c r="AL483" i="17"/>
  <c r="AM485" i="17"/>
  <c r="AK487" i="17"/>
  <c r="AL488" i="17"/>
  <c r="AM489" i="17"/>
  <c r="AL497" i="17"/>
  <c r="AM498" i="17"/>
  <c r="AK500" i="17"/>
  <c r="AL501" i="17"/>
  <c r="AM503" i="17"/>
  <c r="AK505" i="17"/>
  <c r="AL506" i="17"/>
  <c r="AM507" i="17"/>
  <c r="AK510" i="17"/>
  <c r="AL511" i="17"/>
  <c r="AM512" i="17"/>
  <c r="AK515" i="17"/>
  <c r="AL516" i="17"/>
  <c r="AM517" i="17"/>
  <c r="AK519" i="17"/>
  <c r="AL527" i="17"/>
  <c r="AM528" i="17"/>
  <c r="AK530" i="17"/>
  <c r="AL531" i="17"/>
  <c r="AK540" i="17"/>
  <c r="AL542" i="17"/>
  <c r="AM543" i="17"/>
  <c r="AK556" i="17"/>
  <c r="AL557" i="17"/>
  <c r="AM558" i="17"/>
  <c r="AK560" i="17"/>
  <c r="AL561" i="17"/>
  <c r="AM562" i="17"/>
  <c r="AK564" i="17"/>
  <c r="AM566" i="17"/>
  <c r="AK568" i="17"/>
  <c r="AM569" i="17"/>
  <c r="AL572" i="17"/>
  <c r="AM574" i="17"/>
  <c r="AK576" i="17"/>
  <c r="AL578" i="17"/>
  <c r="AM579" i="17"/>
  <c r="AK581" i="17"/>
  <c r="AL582" i="17"/>
  <c r="AK585" i="17"/>
  <c r="AL586" i="17"/>
  <c r="AM587" i="17"/>
  <c r="AK590" i="17"/>
  <c r="AM609" i="17"/>
  <c r="AK611" i="17"/>
  <c r="AL612" i="17"/>
  <c r="AK622" i="17"/>
  <c r="AL623" i="17"/>
  <c r="AM624" i="17"/>
  <c r="AK627" i="17"/>
  <c r="AL628" i="17"/>
  <c r="AM629" i="17"/>
  <c r="AK632" i="17"/>
  <c r="AM4" i="12"/>
  <c r="AM27" i="12"/>
  <c r="AM6" i="12"/>
  <c r="AM22" i="12"/>
  <c r="AM263" i="12"/>
  <c r="AM245" i="12"/>
  <c r="AM226" i="12"/>
  <c r="AM206" i="12"/>
  <c r="AM187" i="12"/>
  <c r="AM165" i="12"/>
  <c r="AM143" i="12"/>
  <c r="AM121" i="12"/>
  <c r="AM81" i="12"/>
  <c r="AM61" i="12"/>
  <c r="AM42" i="12"/>
  <c r="AM8" i="12"/>
  <c r="AM274" i="12"/>
  <c r="AM252" i="12"/>
  <c r="AM225" i="12"/>
  <c r="AM198" i="12"/>
  <c r="AM175" i="12"/>
  <c r="AM142" i="12"/>
  <c r="AM116" i="12"/>
  <c r="AM60" i="12"/>
  <c r="AM4" i="11"/>
  <c r="AK403" i="17"/>
  <c r="AL404" i="17"/>
  <c r="AM405" i="17"/>
  <c r="AK396" i="17"/>
  <c r="AL397" i="17"/>
  <c r="AM398" i="17"/>
  <c r="AK407" i="17"/>
  <c r="AL408" i="17"/>
  <c r="AM409" i="17"/>
  <c r="AK411" i="17"/>
  <c r="AL413" i="17"/>
  <c r="AK420" i="17"/>
  <c r="AL421" i="17"/>
  <c r="AM422" i="17"/>
  <c r="AK425" i="17"/>
  <c r="AL426" i="17"/>
  <c r="AM427" i="17"/>
  <c r="AK429" i="17"/>
  <c r="AL431" i="17"/>
  <c r="AK433" i="17"/>
  <c r="AL434" i="17"/>
  <c r="AM435" i="17"/>
  <c r="AL443" i="17"/>
  <c r="AM444" i="17"/>
  <c r="AK446" i="17"/>
  <c r="AL447" i="17"/>
  <c r="AM449" i="17"/>
  <c r="AK451" i="17"/>
  <c r="AL452" i="17"/>
  <c r="AM453" i="17"/>
  <c r="AK456" i="17"/>
  <c r="AL457" i="17"/>
  <c r="AM458" i="17"/>
  <c r="AK461" i="17"/>
  <c r="AM474" i="17"/>
  <c r="AK476" i="17"/>
  <c r="AL477" i="17"/>
  <c r="AM479" i="17"/>
  <c r="AK481" i="17"/>
  <c r="AL482" i="17"/>
  <c r="AM483" i="17"/>
  <c r="AK486" i="17"/>
  <c r="AL487" i="17"/>
  <c r="AM488" i="17"/>
  <c r="AK491" i="17"/>
  <c r="AM497" i="17"/>
  <c r="AK499" i="17"/>
  <c r="AL500" i="17"/>
  <c r="AM501" i="17"/>
  <c r="AK504" i="17"/>
  <c r="AL505" i="17"/>
  <c r="AM506" i="17"/>
  <c r="AK509" i="17"/>
  <c r="AL510" i="17"/>
  <c r="AM511" i="17"/>
  <c r="AK513" i="17"/>
  <c r="AL515" i="17"/>
  <c r="AM516" i="17"/>
  <c r="AK518" i="17"/>
  <c r="AL519" i="17"/>
  <c r="AM527" i="17"/>
  <c r="AK529" i="17"/>
  <c r="AL530" i="17"/>
  <c r="AM531" i="17"/>
  <c r="AK533" i="17"/>
  <c r="AL540" i="17"/>
  <c r="AM542" i="17"/>
  <c r="AK544" i="17"/>
  <c r="AK555" i="17"/>
  <c r="AL556" i="17"/>
  <c r="AM557" i="17"/>
  <c r="AL560" i="17"/>
  <c r="AM561" i="17"/>
  <c r="AK563" i="17"/>
  <c r="AL564" i="17"/>
  <c r="AK567" i="17"/>
  <c r="AL568" i="17"/>
  <c r="AK570" i="17"/>
  <c r="AM572" i="17"/>
  <c r="AK575" i="17"/>
  <c r="AL576" i="17"/>
  <c r="AM578" i="17"/>
  <c r="AK580" i="17"/>
  <c r="AL581" i="17"/>
  <c r="AM582" i="17"/>
  <c r="AK584" i="17"/>
  <c r="AL585" i="17"/>
  <c r="AM586" i="17"/>
  <c r="AK588" i="17"/>
  <c r="AL590" i="17"/>
  <c r="AK610" i="17"/>
  <c r="AL611" i="17"/>
  <c r="AM612" i="17"/>
  <c r="AK621" i="17"/>
  <c r="AL622" i="17"/>
  <c r="AM623" i="17"/>
  <c r="AK626" i="17"/>
  <c r="AL627" i="17"/>
  <c r="AM628" i="17"/>
  <c r="AK630" i="17"/>
  <c r="AL632" i="17"/>
  <c r="AM257" i="12"/>
  <c r="AM180" i="12"/>
  <c r="AM97" i="12"/>
  <c r="AM21" i="12"/>
  <c r="AM217" i="12"/>
  <c r="AM109" i="12"/>
  <c r="AL407" i="17"/>
  <c r="AM413" i="17"/>
  <c r="AK419" i="17"/>
  <c r="AL425" i="17"/>
  <c r="AM431" i="17"/>
  <c r="AK437" i="17"/>
  <c r="AM447" i="17"/>
  <c r="AK455" i="17"/>
  <c r="AL461" i="17"/>
  <c r="AK480" i="17"/>
  <c r="AL486" i="17"/>
  <c r="AL489" i="17"/>
  <c r="AL498" i="17"/>
  <c r="AK501" i="17"/>
  <c r="AM504" i="17"/>
  <c r="AL507" i="17"/>
  <c r="AK511" i="17"/>
  <c r="AM513" i="17"/>
  <c r="AL517" i="17"/>
  <c r="AK527" i="17"/>
  <c r="AM529" i="17"/>
  <c r="AK542" i="17"/>
  <c r="AM544" i="17"/>
  <c r="AM555" i="17"/>
  <c r="AL558" i="17"/>
  <c r="AK561" i="17"/>
  <c r="AM563" i="17"/>
  <c r="AL566" i="17"/>
  <c r="AM570" i="17"/>
  <c r="AL574" i="17"/>
  <c r="AK578" i="17"/>
  <c r="AM580" i="17"/>
  <c r="AK586" i="17"/>
  <c r="AM588" i="17"/>
  <c r="AM610" i="17"/>
  <c r="AK623" i="17"/>
  <c r="AM626" i="17"/>
  <c r="AL629" i="17"/>
  <c r="AM641" i="17"/>
  <c r="AK644" i="17"/>
  <c r="AL645" i="17"/>
  <c r="AM646" i="17"/>
  <c r="AK648" i="17"/>
  <c r="AL650" i="17"/>
  <c r="AM651" i="17"/>
  <c r="AK653" i="17"/>
  <c r="AL654" i="17"/>
  <c r="AM656" i="17"/>
  <c r="AK658" i="17"/>
  <c r="AL659" i="17"/>
  <c r="AM660" i="17"/>
  <c r="AK663" i="17"/>
  <c r="AL664" i="17"/>
  <c r="AM665" i="17"/>
  <c r="AK668" i="17"/>
  <c r="AL669" i="17"/>
  <c r="AM670" i="17"/>
  <c r="AK672" i="17"/>
  <c r="AL673" i="17"/>
  <c r="AM674" i="17"/>
  <c r="AM23" i="12"/>
  <c r="AM161" i="12"/>
  <c r="AM77" i="12"/>
  <c r="AM33" i="12"/>
  <c r="AM194" i="12"/>
  <c r="AK402" i="17"/>
  <c r="AL396" i="17"/>
  <c r="AM408" i="17"/>
  <c r="AL420" i="17"/>
  <c r="AM426" i="17"/>
  <c r="AK432" i="17"/>
  <c r="AM443" i="17"/>
  <c r="AK450" i="17"/>
  <c r="AL456" i="17"/>
  <c r="AK475" i="17"/>
  <c r="AL481" i="17"/>
  <c r="AM487" i="17"/>
  <c r="AL491" i="17"/>
  <c r="AL499" i="17"/>
  <c r="AK503" i="17"/>
  <c r="AM505" i="17"/>
  <c r="AL509" i="17"/>
  <c r="AK512" i="17"/>
  <c r="AM515" i="17"/>
  <c r="AL518" i="17"/>
  <c r="AK528" i="17"/>
  <c r="AM530" i="17"/>
  <c r="AL533" i="17"/>
  <c r="AK543" i="17"/>
  <c r="AM556" i="17"/>
  <c r="AK562" i="17"/>
  <c r="AM564" i="17"/>
  <c r="AL567" i="17"/>
  <c r="AK569" i="17"/>
  <c r="AL575" i="17"/>
  <c r="AK579" i="17"/>
  <c r="AM581" i="17"/>
  <c r="AL584" i="17"/>
  <c r="AK587" i="17"/>
  <c r="AM590" i="17"/>
  <c r="AK609" i="17"/>
  <c r="AM611" i="17"/>
  <c r="AL621" i="17"/>
  <c r="AK624" i="17"/>
  <c r="AM627" i="17"/>
  <c r="AL630" i="17"/>
  <c r="AK642" i="17"/>
  <c r="AL644" i="17"/>
  <c r="AM645" i="17"/>
  <c r="AK647" i="17"/>
  <c r="AL648" i="17"/>
  <c r="AM650" i="17"/>
  <c r="AK652" i="17"/>
  <c r="AL653" i="17"/>
  <c r="AM654" i="17"/>
  <c r="AK657" i="17"/>
  <c r="AL658" i="17"/>
  <c r="AM659" i="17"/>
  <c r="AK662" i="17"/>
  <c r="AL663" i="17"/>
  <c r="AM664" i="17"/>
  <c r="AK666" i="17"/>
  <c r="AL668" i="17"/>
  <c r="AM669" i="17"/>
  <c r="AK671" i="17"/>
  <c r="AL672" i="17"/>
  <c r="AM673" i="17"/>
  <c r="AK675" i="17"/>
  <c r="AL676" i="17"/>
  <c r="AM677" i="17"/>
  <c r="AK680" i="17"/>
  <c r="AL681" i="17"/>
  <c r="AM682" i="17"/>
  <c r="AK684" i="17"/>
  <c r="AL685" i="17"/>
  <c r="AM686" i="17"/>
  <c r="AK688" i="17"/>
  <c r="AL689" i="17"/>
  <c r="AM690" i="17"/>
  <c r="AN4" i="12"/>
  <c r="AO5" i="12"/>
  <c r="AN8" i="12"/>
  <c r="AO9" i="12"/>
  <c r="AN12" i="12"/>
  <c r="AO13" i="12"/>
  <c r="AP20" i="12"/>
  <c r="AN22" i="12"/>
  <c r="AO23" i="12"/>
  <c r="AP24" i="12"/>
  <c r="AN26" i="12"/>
  <c r="AO27" i="12"/>
  <c r="AN31" i="12"/>
  <c r="AO32" i="12"/>
  <c r="AP33" i="12"/>
  <c r="AN35" i="12"/>
  <c r="AO39" i="12"/>
  <c r="AP40" i="12"/>
  <c r="AN42" i="12"/>
  <c r="AO43" i="12"/>
  <c r="AP44" i="12"/>
  <c r="AN46" i="12"/>
  <c r="AO47" i="12"/>
  <c r="AP48" i="12"/>
  <c r="AN50" i="12"/>
  <c r="AO51" i="12"/>
  <c r="AP53" i="12"/>
  <c r="AN57" i="12"/>
  <c r="AO58" i="12"/>
  <c r="AP59" i="12"/>
  <c r="AN61" i="12"/>
  <c r="AO62" i="12"/>
  <c r="AP63" i="12"/>
  <c r="AN65" i="12"/>
  <c r="AO66" i="12"/>
  <c r="AP67" i="12"/>
  <c r="AN69" i="12"/>
  <c r="AP75" i="12"/>
  <c r="AN77" i="12"/>
  <c r="AO78" i="12"/>
  <c r="AP79" i="12"/>
  <c r="AN81" i="12"/>
  <c r="AO82" i="12"/>
  <c r="AP83" i="12"/>
  <c r="AN85" i="12"/>
  <c r="AO86" i="12"/>
  <c r="AP87" i="12"/>
  <c r="AO94" i="12"/>
  <c r="AP95" i="12"/>
  <c r="AN97" i="12"/>
  <c r="AO98" i="12"/>
  <c r="AP99" i="12"/>
  <c r="AN101" i="12"/>
  <c r="AO102" i="12"/>
  <c r="AP103" i="12"/>
  <c r="AN105" i="12"/>
  <c r="AO106" i="12"/>
  <c r="AP107" i="12"/>
  <c r="AN113" i="12"/>
  <c r="AO114" i="12"/>
  <c r="AP115" i="12"/>
  <c r="AN117" i="12"/>
  <c r="AO118" i="12"/>
  <c r="AP119" i="12"/>
  <c r="AN121" i="12"/>
  <c r="AO122" i="12"/>
  <c r="AM220" i="12"/>
  <c r="AM139" i="12"/>
  <c r="AM57" i="12"/>
  <c r="AM270" i="12"/>
  <c r="AM164" i="12"/>
  <c r="AL403" i="17"/>
  <c r="AM397" i="17"/>
  <c r="AK410" i="17"/>
  <c r="AM421" i="17"/>
  <c r="AK428" i="17"/>
  <c r="AL433" i="17"/>
  <c r="AK445" i="17"/>
  <c r="AL451" i="17"/>
  <c r="AM457" i="17"/>
  <c r="AL476" i="17"/>
  <c r="AM482" i="17"/>
  <c r="AK488" i="17"/>
  <c r="AM491" i="17"/>
  <c r="AK497" i="17"/>
  <c r="AM499" i="17"/>
  <c r="AL503" i="17"/>
  <c r="AK506" i="17"/>
  <c r="AM509" i="17"/>
  <c r="AL512" i="17"/>
  <c r="AK516" i="17"/>
  <c r="AM518" i="17"/>
  <c r="AL528" i="17"/>
  <c r="AK531" i="17"/>
  <c r="AM533" i="17"/>
  <c r="AL543" i="17"/>
  <c r="AK557" i="17"/>
  <c r="AL562" i="17"/>
  <c r="AM567" i="17"/>
  <c r="AL569" i="17"/>
  <c r="AK572" i="17"/>
  <c r="AM575" i="17"/>
  <c r="AL579" i="17"/>
  <c r="AK582" i="17"/>
  <c r="AM584" i="17"/>
  <c r="AL587" i="17"/>
  <c r="AL609" i="17"/>
  <c r="AK612" i="17"/>
  <c r="AM621" i="17"/>
  <c r="AL624" i="17"/>
  <c r="AK628" i="17"/>
  <c r="AM630" i="17"/>
  <c r="AK641" i="17"/>
  <c r="AL642" i="17"/>
  <c r="AM644" i="17"/>
  <c r="AK646" i="17"/>
  <c r="AL647" i="17"/>
  <c r="AM648" i="17"/>
  <c r="AK651" i="17"/>
  <c r="AL652" i="17"/>
  <c r="AM653" i="17"/>
  <c r="AK656" i="17"/>
  <c r="AL657" i="17"/>
  <c r="AM658" i="17"/>
  <c r="AK660" i="17"/>
  <c r="AL662" i="17"/>
  <c r="AM663" i="17"/>
  <c r="AK665" i="17"/>
  <c r="AL666" i="17"/>
  <c r="AM668" i="17"/>
  <c r="AK670" i="17"/>
  <c r="AL671" i="17"/>
  <c r="AM672" i="17"/>
  <c r="AK674" i="17"/>
  <c r="AL675" i="17"/>
  <c r="AM676" i="17"/>
  <c r="AK678" i="17"/>
  <c r="AL680" i="17"/>
  <c r="AM681" i="17"/>
  <c r="AK683" i="17"/>
  <c r="AL684" i="17"/>
  <c r="AM685" i="17"/>
  <c r="AK687" i="17"/>
  <c r="AL688" i="17"/>
  <c r="AM689" i="17"/>
  <c r="AM573" i="17"/>
  <c r="AO4" i="12"/>
  <c r="AN7" i="12"/>
  <c r="AO8" i="12"/>
  <c r="AN11" i="12"/>
  <c r="AO12" i="12"/>
  <c r="AN15" i="12"/>
  <c r="AN21" i="12"/>
  <c r="AO22" i="12"/>
  <c r="AP23" i="12"/>
  <c r="AN25" i="12"/>
  <c r="AO26" i="12"/>
  <c r="AP27" i="12"/>
  <c r="AN30" i="12"/>
  <c r="AO31" i="12"/>
  <c r="AP32" i="12"/>
  <c r="AN34" i="12"/>
  <c r="AO35" i="12"/>
  <c r="AP39" i="12"/>
  <c r="AN41" i="12"/>
  <c r="AO42" i="12"/>
  <c r="AP43" i="12"/>
  <c r="AN45" i="12"/>
  <c r="AO46" i="12"/>
  <c r="AP47" i="12"/>
  <c r="AN49" i="12"/>
  <c r="AO50" i="12"/>
  <c r="AP51" i="12"/>
  <c r="AO57" i="12"/>
  <c r="AP58" i="12"/>
  <c r="AN60" i="12"/>
  <c r="AO61" i="12"/>
  <c r="AP62" i="12"/>
  <c r="AN64" i="12"/>
  <c r="AO65" i="12"/>
  <c r="AP66" i="12"/>
  <c r="AN68" i="12"/>
  <c r="AO69" i="12"/>
  <c r="AN76" i="12"/>
  <c r="AO77" i="12"/>
  <c r="AP78" i="12"/>
  <c r="AN80" i="12"/>
  <c r="AO81" i="12"/>
  <c r="AP82" i="12"/>
  <c r="AN84" i="12"/>
  <c r="AO85" i="12"/>
  <c r="AP86" i="12"/>
  <c r="AP94" i="12"/>
  <c r="AN96" i="12"/>
  <c r="AO97" i="12"/>
  <c r="AP98" i="12"/>
  <c r="AN100" i="12"/>
  <c r="AO101" i="12"/>
  <c r="AP102" i="12"/>
  <c r="AN104" i="12"/>
  <c r="AO105" i="12"/>
  <c r="AP106" i="12"/>
  <c r="AN109" i="12"/>
  <c r="AO113" i="12"/>
  <c r="AP114" i="12"/>
  <c r="AN116" i="12"/>
  <c r="AO117" i="12"/>
  <c r="AP118" i="12"/>
  <c r="AN120" i="12"/>
  <c r="AO121" i="12"/>
  <c r="AP122" i="12"/>
  <c r="AM244" i="12"/>
  <c r="AM404" i="17"/>
  <c r="AK423" i="17"/>
  <c r="AL446" i="17"/>
  <c r="AM477" i="17"/>
  <c r="AK507" i="17"/>
  <c r="AM519" i="17"/>
  <c r="AL544" i="17"/>
  <c r="AK558" i="17"/>
  <c r="AM568" i="17"/>
  <c r="AL580" i="17"/>
  <c r="AM622" i="17"/>
  <c r="AM642" i="17"/>
  <c r="AK650" i="17"/>
  <c r="AL656" i="17"/>
  <c r="AM662" i="17"/>
  <c r="AK669" i="17"/>
  <c r="AL674" i="17"/>
  <c r="AL677" i="17"/>
  <c r="AK681" i="17"/>
  <c r="AM683" i="17"/>
  <c r="AL686" i="17"/>
  <c r="AK689" i="17"/>
  <c r="AK573" i="17"/>
  <c r="AO6" i="12"/>
  <c r="AN9" i="12"/>
  <c r="AO14" i="12"/>
  <c r="AP21" i="12"/>
  <c r="AO24" i="12"/>
  <c r="AN27" i="12"/>
  <c r="AP30" i="12"/>
  <c r="AO33" i="12"/>
  <c r="AN39" i="12"/>
  <c r="AP41" i="12"/>
  <c r="AO44" i="12"/>
  <c r="AN47" i="12"/>
  <c r="AP49" i="12"/>
  <c r="AO53" i="12"/>
  <c r="AN58" i="12"/>
  <c r="AP60" i="12"/>
  <c r="AO63" i="12"/>
  <c r="AN66" i="12"/>
  <c r="AP68" i="12"/>
  <c r="AO75" i="12"/>
  <c r="AN78" i="12"/>
  <c r="AP80" i="12"/>
  <c r="AO83" i="12"/>
  <c r="AN86" i="12"/>
  <c r="AO95" i="12"/>
  <c r="AN98" i="12"/>
  <c r="AP100" i="12"/>
  <c r="AO103" i="12"/>
  <c r="AN106" i="12"/>
  <c r="AP109" i="12"/>
  <c r="AO115" i="12"/>
  <c r="AN118" i="12"/>
  <c r="AP120" i="12"/>
  <c r="AO123" i="12"/>
  <c r="AP124" i="12"/>
  <c r="AN132" i="12"/>
  <c r="AO133" i="12"/>
  <c r="AP134" i="12"/>
  <c r="AN136" i="12"/>
  <c r="AO137" i="12"/>
  <c r="AP138" i="12"/>
  <c r="AN140" i="12"/>
  <c r="AO141" i="12"/>
  <c r="AP142" i="12"/>
  <c r="AO151" i="12"/>
  <c r="AP152" i="12"/>
  <c r="AN154" i="12"/>
  <c r="AO155" i="12"/>
  <c r="AP156" i="12"/>
  <c r="AN158" i="12"/>
  <c r="AO159" i="12"/>
  <c r="AP160" i="12"/>
  <c r="AN162" i="12"/>
  <c r="AO163" i="12"/>
  <c r="AP164" i="12"/>
  <c r="AN169" i="12"/>
  <c r="AO170" i="12"/>
  <c r="AP171" i="12"/>
  <c r="AN173" i="12"/>
  <c r="AO174" i="12"/>
  <c r="AP175" i="12"/>
  <c r="AN177" i="12"/>
  <c r="AO178" i="12"/>
  <c r="AP179" i="12"/>
  <c r="AN181" i="12"/>
  <c r="AO182" i="12"/>
  <c r="AN188" i="12"/>
  <c r="AO189" i="12"/>
  <c r="AP190" i="12"/>
  <c r="AN192" i="12"/>
  <c r="AO193" i="12"/>
  <c r="AP194" i="12"/>
  <c r="AN196" i="12"/>
  <c r="AO197" i="12"/>
  <c r="AP198" i="12"/>
  <c r="AN200" i="12"/>
  <c r="AO201" i="12"/>
  <c r="AP205" i="12"/>
  <c r="AN207" i="12"/>
  <c r="AO208" i="12"/>
  <c r="AP209" i="12"/>
  <c r="AN211" i="12"/>
  <c r="AO212" i="12"/>
  <c r="AP213" i="12"/>
  <c r="AN215" i="12"/>
  <c r="AO216" i="12"/>
  <c r="AP217" i="12"/>
  <c r="AO224" i="12"/>
  <c r="AP225" i="12"/>
  <c r="AN227" i="12"/>
  <c r="AO228" i="12"/>
  <c r="AP229" i="12"/>
  <c r="AN231" i="12"/>
  <c r="AO232" i="12"/>
  <c r="AP233" i="12"/>
  <c r="AN235" i="12"/>
  <c r="AO236" i="12"/>
  <c r="AO243" i="12"/>
  <c r="AP244" i="12"/>
  <c r="AN246" i="12"/>
  <c r="AO247" i="12"/>
  <c r="AP248" i="12"/>
  <c r="AN250" i="12"/>
  <c r="AO251" i="12"/>
  <c r="AP252" i="12"/>
  <c r="AN254" i="12"/>
  <c r="AO255" i="12"/>
  <c r="AP256" i="12"/>
  <c r="AO261" i="12"/>
  <c r="AP262" i="12"/>
  <c r="AN264" i="12"/>
  <c r="AO265" i="12"/>
  <c r="AP266" i="12"/>
  <c r="AN268" i="12"/>
  <c r="AO269" i="12"/>
  <c r="AP270" i="12"/>
  <c r="AN272" i="12"/>
  <c r="AO273" i="12"/>
  <c r="AP274" i="12"/>
  <c r="AO3" i="12"/>
  <c r="AP4" i="11"/>
  <c r="AP8" i="11"/>
  <c r="AP12" i="11"/>
  <c r="AP17" i="11"/>
  <c r="AM199" i="12"/>
  <c r="AM138" i="12"/>
  <c r="AK399" i="17"/>
  <c r="AL429" i="17"/>
  <c r="AM452" i="17"/>
  <c r="AK485" i="17"/>
  <c r="AK498" i="17"/>
  <c r="AM510" i="17"/>
  <c r="AL529" i="17"/>
  <c r="AM560" i="17"/>
  <c r="AL570" i="17"/>
  <c r="AL626" i="17"/>
  <c r="AK645" i="17"/>
  <c r="AL651" i="17"/>
  <c r="AM657" i="17"/>
  <c r="AM661" i="17"/>
  <c r="AK664" i="17"/>
  <c r="AL670" i="17"/>
  <c r="AM675" i="17"/>
  <c r="AL678" i="17"/>
  <c r="AK682" i="17"/>
  <c r="AM684" i="17"/>
  <c r="AL687" i="17"/>
  <c r="AK690" i="17"/>
  <c r="AO7" i="12"/>
  <c r="AN10" i="12"/>
  <c r="AO15" i="12"/>
  <c r="AN20" i="12"/>
  <c r="AP22" i="12"/>
  <c r="AO25" i="12"/>
  <c r="AP31" i="12"/>
  <c r="AO34" i="12"/>
  <c r="AN40" i="12"/>
  <c r="AP42" i="12"/>
  <c r="AO45" i="12"/>
  <c r="AN48" i="12"/>
  <c r="AP50" i="12"/>
  <c r="AN59" i="12"/>
  <c r="AP61" i="12"/>
  <c r="AO64" i="12"/>
  <c r="AN67" i="12"/>
  <c r="AP69" i="12"/>
  <c r="AO76" i="12"/>
  <c r="AN79" i="12"/>
  <c r="AP81" i="12"/>
  <c r="AO84" i="12"/>
  <c r="AN87" i="12"/>
  <c r="AO96" i="12"/>
  <c r="AN99" i="12"/>
  <c r="AP101" i="12"/>
  <c r="AO104" i="12"/>
  <c r="AN107" i="12"/>
  <c r="AP113" i="12"/>
  <c r="AO116" i="12"/>
  <c r="AN119" i="12"/>
  <c r="AP121" i="12"/>
  <c r="AP123" i="12"/>
  <c r="AO132" i="12"/>
  <c r="AP133" i="12"/>
  <c r="AN135" i="12"/>
  <c r="AO136" i="12"/>
  <c r="AP137" i="12"/>
  <c r="AN139" i="12"/>
  <c r="AO140" i="12"/>
  <c r="AP141" i="12"/>
  <c r="AN143" i="12"/>
  <c r="AP151" i="12"/>
  <c r="AN153" i="12"/>
  <c r="AO154" i="12"/>
  <c r="AP155" i="12"/>
  <c r="AN157" i="12"/>
  <c r="AO158" i="12"/>
  <c r="AP159" i="12"/>
  <c r="AN161" i="12"/>
  <c r="AO162" i="12"/>
  <c r="AP163" i="12"/>
  <c r="AN165" i="12"/>
  <c r="AO169" i="12"/>
  <c r="AP170" i="12"/>
  <c r="AN172" i="12"/>
  <c r="AO173" i="12"/>
  <c r="AP174" i="12"/>
  <c r="AN176" i="12"/>
  <c r="AO177" i="12"/>
  <c r="AP178" i="12"/>
  <c r="AN180" i="12"/>
  <c r="AO181" i="12"/>
  <c r="AP182" i="12"/>
  <c r="AN187" i="12"/>
  <c r="AO188" i="12"/>
  <c r="AP189" i="12"/>
  <c r="AN191" i="12"/>
  <c r="AO192" i="12"/>
  <c r="AP193" i="12"/>
  <c r="AN195" i="12"/>
  <c r="AO196" i="12"/>
  <c r="AP197" i="12"/>
  <c r="AN199" i="12"/>
  <c r="AO200" i="12"/>
  <c r="AP201" i="12"/>
  <c r="AN206" i="12"/>
  <c r="AO207" i="12"/>
  <c r="AP208" i="12"/>
  <c r="AN210" i="12"/>
  <c r="AO211" i="12"/>
  <c r="AP212" i="12"/>
  <c r="AN214" i="12"/>
  <c r="AO215" i="12"/>
  <c r="AP216" i="12"/>
  <c r="AN220" i="12"/>
  <c r="AP224" i="12"/>
  <c r="AN226" i="12"/>
  <c r="AO227" i="12"/>
  <c r="AP228" i="12"/>
  <c r="AN230" i="12"/>
  <c r="AO231" i="12"/>
  <c r="AP232" i="12"/>
  <c r="AN234" i="12"/>
  <c r="AO235" i="12"/>
  <c r="AP236" i="12"/>
  <c r="AP243" i="12"/>
  <c r="AN245" i="12"/>
  <c r="AO246" i="12"/>
  <c r="AP247" i="12"/>
  <c r="AN249" i="12"/>
  <c r="AO250" i="12"/>
  <c r="AP251" i="12"/>
  <c r="AN253" i="12"/>
  <c r="AO254" i="12"/>
  <c r="AP255" i="12"/>
  <c r="AN257" i="12"/>
  <c r="AP261" i="12"/>
  <c r="AN263" i="12"/>
  <c r="AO264" i="12"/>
  <c r="AP265" i="12"/>
  <c r="AN267" i="12"/>
  <c r="AO268" i="12"/>
  <c r="AP269" i="12"/>
  <c r="AN271" i="12"/>
  <c r="AO272" i="12"/>
  <c r="AP273" i="12"/>
  <c r="AN3" i="12"/>
  <c r="AP7" i="11"/>
  <c r="AP11" i="11"/>
  <c r="AP15" i="11"/>
  <c r="AP22" i="11"/>
  <c r="AP26" i="11"/>
  <c r="AP30" i="11"/>
  <c r="AP41" i="11"/>
  <c r="AP45" i="11"/>
  <c r="AP49" i="11"/>
  <c r="AP56" i="11"/>
  <c r="AP60" i="11"/>
  <c r="AP64" i="11"/>
  <c r="AP73" i="11"/>
  <c r="AP77" i="11"/>
  <c r="AP81" i="11"/>
  <c r="AP85" i="11"/>
  <c r="AP92" i="11"/>
  <c r="AP96" i="11"/>
  <c r="AP100" i="11"/>
  <c r="AP110" i="11"/>
  <c r="AP114" i="11"/>
  <c r="AP118" i="11"/>
  <c r="AP126" i="11"/>
  <c r="AP130" i="11"/>
  <c r="AP134" i="11"/>
  <c r="AP138" i="11"/>
  <c r="AP146" i="11"/>
  <c r="AP150" i="11"/>
  <c r="AP154" i="11"/>
  <c r="AP158" i="11"/>
  <c r="AM15" i="11"/>
  <c r="AL411" i="17"/>
  <c r="AM434" i="17"/>
  <c r="AK459" i="17"/>
  <c r="AK489" i="17"/>
  <c r="AM500" i="17"/>
  <c r="AL513" i="17"/>
  <c r="AL563" i="17"/>
  <c r="AK574" i="17"/>
  <c r="AM585" i="17"/>
  <c r="AL610" i="17"/>
  <c r="AK629" i="17"/>
  <c r="AL646" i="17"/>
  <c r="AM652" i="17"/>
  <c r="AK659" i="17"/>
  <c r="AL665" i="17"/>
  <c r="AM671" i="17"/>
  <c r="AK676" i="17"/>
  <c r="AM678" i="17"/>
  <c r="AL682" i="17"/>
  <c r="AK685" i="17"/>
  <c r="AM687" i="17"/>
  <c r="AL690" i="17"/>
  <c r="AN5" i="12"/>
  <c r="AO10" i="12"/>
  <c r="AN13" i="12"/>
  <c r="AO20" i="12"/>
  <c r="AN23" i="12"/>
  <c r="AP25" i="12"/>
  <c r="AN32" i="12"/>
  <c r="AP34" i="12"/>
  <c r="AO40" i="12"/>
  <c r="AN43" i="12"/>
  <c r="AP45" i="12"/>
  <c r="AO48" i="12"/>
  <c r="AN51" i="12"/>
  <c r="AO59" i="12"/>
  <c r="AN62" i="12"/>
  <c r="AP64" i="12"/>
  <c r="AO67" i="12"/>
  <c r="AP76" i="12"/>
  <c r="AO79" i="12"/>
  <c r="AN82" i="12"/>
  <c r="AP84" i="12"/>
  <c r="AO87" i="12"/>
  <c r="AN94" i="12"/>
  <c r="AP96" i="12"/>
  <c r="AO99" i="12"/>
  <c r="AN102" i="12"/>
  <c r="AP104" i="12"/>
  <c r="AO107" i="12"/>
  <c r="AN114" i="12"/>
  <c r="AP116" i="12"/>
  <c r="AO119" i="12"/>
  <c r="AN122" i="12"/>
  <c r="AN124" i="12"/>
  <c r="AP132" i="12"/>
  <c r="AN134" i="12"/>
  <c r="AO135" i="12"/>
  <c r="AP136" i="12"/>
  <c r="AN138" i="12"/>
  <c r="AO139" i="12"/>
  <c r="AP140" i="12"/>
  <c r="AN142" i="12"/>
  <c r="AO143" i="12"/>
  <c r="AN152" i="12"/>
  <c r="AO153" i="12"/>
  <c r="AP154" i="12"/>
  <c r="AN156" i="12"/>
  <c r="AO157" i="12"/>
  <c r="AP158" i="12"/>
  <c r="AN160" i="12"/>
  <c r="AO161" i="12"/>
  <c r="AP162" i="12"/>
  <c r="AN164" i="12"/>
  <c r="AO165" i="12"/>
  <c r="AP169" i="12"/>
  <c r="AN171" i="12"/>
  <c r="AO172" i="12"/>
  <c r="AP173" i="12"/>
  <c r="AN175" i="12"/>
  <c r="AO176" i="12"/>
  <c r="AP177" i="12"/>
  <c r="AN179" i="12"/>
  <c r="AO180" i="12"/>
  <c r="AP181" i="12"/>
  <c r="AO187" i="12"/>
  <c r="AP188" i="12"/>
  <c r="AN190" i="12"/>
  <c r="AO191" i="12"/>
  <c r="AP192" i="12"/>
  <c r="AN194" i="12"/>
  <c r="AO195" i="12"/>
  <c r="AP196" i="12"/>
  <c r="AN198" i="12"/>
  <c r="AO199" i="12"/>
  <c r="AP200" i="12"/>
  <c r="AN205" i="12"/>
  <c r="AO206" i="12"/>
  <c r="AP207" i="12"/>
  <c r="AN209" i="12"/>
  <c r="AO210" i="12"/>
  <c r="AP211" i="12"/>
  <c r="AN213" i="12"/>
  <c r="AM540" i="17"/>
  <c r="AL588" i="17"/>
  <c r="AM647" i="17"/>
  <c r="AK673" i="17"/>
  <c r="AK686" i="17"/>
  <c r="AO21" i="12"/>
  <c r="AN33" i="12"/>
  <c r="AP46" i="12"/>
  <c r="AO60" i="12"/>
  <c r="AN75" i="12"/>
  <c r="AP85" i="12"/>
  <c r="AO100" i="12"/>
  <c r="AN115" i="12"/>
  <c r="AO124" i="12"/>
  <c r="AP135" i="12"/>
  <c r="AN141" i="12"/>
  <c r="AO152" i="12"/>
  <c r="AP157" i="12"/>
  <c r="AN163" i="12"/>
  <c r="AO171" i="12"/>
  <c r="AP176" i="12"/>
  <c r="AN182" i="12"/>
  <c r="AO190" i="12"/>
  <c r="AP195" i="12"/>
  <c r="AN201" i="12"/>
  <c r="AO209" i="12"/>
  <c r="AO214" i="12"/>
  <c r="AN217" i="12"/>
  <c r="AO226" i="12"/>
  <c r="AN229" i="12"/>
  <c r="AP231" i="12"/>
  <c r="AO234" i="12"/>
  <c r="AO245" i="12"/>
  <c r="AN248" i="12"/>
  <c r="AP250" i="12"/>
  <c r="AO253" i="12"/>
  <c r="AN256" i="12"/>
  <c r="AO263" i="12"/>
  <c r="AN266" i="12"/>
  <c r="AP268" i="12"/>
  <c r="AO271" i="12"/>
  <c r="AN274" i="12"/>
  <c r="AP10" i="11"/>
  <c r="AP21" i="11"/>
  <c r="AP23" i="11"/>
  <c r="AP25" i="11"/>
  <c r="AP34" i="11"/>
  <c r="AP42" i="11"/>
  <c r="AP44" i="11"/>
  <c r="AP51" i="11"/>
  <c r="AP61" i="11"/>
  <c r="AP63" i="11"/>
  <c r="AP78" i="11"/>
  <c r="AP80" i="11"/>
  <c r="AP97" i="11"/>
  <c r="AP99" i="11"/>
  <c r="AP108" i="11"/>
  <c r="AP115" i="11"/>
  <c r="AP117" i="11"/>
  <c r="AP128" i="11"/>
  <c r="AP135" i="11"/>
  <c r="AP137" i="11"/>
  <c r="AP148" i="11"/>
  <c r="AP155" i="11"/>
  <c r="AP157" i="11"/>
  <c r="AP166" i="11"/>
  <c r="AP170" i="11"/>
  <c r="AP174" i="11"/>
  <c r="AP182" i="11"/>
  <c r="AP186" i="11"/>
  <c r="AP190" i="11"/>
  <c r="AP201" i="11"/>
  <c r="AP205" i="11"/>
  <c r="AP209" i="11"/>
  <c r="AP217" i="11"/>
  <c r="AL555" i="17"/>
  <c r="AK654" i="17"/>
  <c r="AK677" i="17"/>
  <c r="AM688" i="17"/>
  <c r="AO11" i="12"/>
  <c r="AN24" i="12"/>
  <c r="AP35" i="12"/>
  <c r="AO49" i="12"/>
  <c r="AN63" i="12"/>
  <c r="AP77" i="12"/>
  <c r="AN103" i="12"/>
  <c r="AP117" i="12"/>
  <c r="AN137" i="12"/>
  <c r="AO142" i="12"/>
  <c r="AP153" i="12"/>
  <c r="AN159" i="12"/>
  <c r="AO164" i="12"/>
  <c r="AP172" i="12"/>
  <c r="AN178" i="12"/>
  <c r="AP191" i="12"/>
  <c r="AN197" i="12"/>
  <c r="AO205" i="12"/>
  <c r="AP210" i="12"/>
  <c r="AP214" i="12"/>
  <c r="AO217" i="12"/>
  <c r="AN224" i="12"/>
  <c r="AP226" i="12"/>
  <c r="AO229" i="12"/>
  <c r="AN232" i="12"/>
  <c r="AP234" i="12"/>
  <c r="AN243" i="12"/>
  <c r="AP245" i="12"/>
  <c r="AO248" i="12"/>
  <c r="AN251" i="12"/>
  <c r="AP253" i="12"/>
  <c r="AO256" i="12"/>
  <c r="AN261" i="12"/>
  <c r="AP263" i="12"/>
  <c r="AO266" i="12"/>
  <c r="AN269" i="12"/>
  <c r="AP271" i="12"/>
  <c r="AO274" i="12"/>
  <c r="AP5" i="11"/>
  <c r="AP13" i="11"/>
  <c r="AP27" i="11"/>
  <c r="AP29" i="11"/>
  <c r="AP39" i="11"/>
  <c r="AP46" i="11"/>
  <c r="AP48" i="11"/>
  <c r="AP58" i="11"/>
  <c r="AP65" i="11"/>
  <c r="AP67" i="11"/>
  <c r="AP75" i="11"/>
  <c r="AP82" i="11"/>
  <c r="AP84" i="11"/>
  <c r="AP94" i="11"/>
  <c r="AP101" i="11"/>
  <c r="AP103" i="11"/>
  <c r="AP112" i="11"/>
  <c r="AP119" i="11"/>
  <c r="AP132" i="11"/>
  <c r="AP140" i="11"/>
  <c r="AP145" i="11"/>
  <c r="AP152" i="11"/>
  <c r="AP162" i="11"/>
  <c r="AP165" i="11"/>
  <c r="AP169" i="11"/>
  <c r="AP173" i="11"/>
  <c r="AP181" i="11"/>
  <c r="AP185" i="11"/>
  <c r="AP189" i="11"/>
  <c r="AP194" i="11"/>
  <c r="AP200" i="11"/>
  <c r="AP204" i="11"/>
  <c r="AP208" i="11"/>
  <c r="AP216" i="11"/>
  <c r="AP220" i="11"/>
  <c r="AL504" i="17"/>
  <c r="AK566" i="17"/>
  <c r="AM632" i="17"/>
  <c r="AL660" i="17"/>
  <c r="AM680" i="17"/>
  <c r="AL573" i="17"/>
  <c r="AN14" i="12"/>
  <c r="AP26" i="12"/>
  <c r="AO41" i="12"/>
  <c r="AN53" i="12"/>
  <c r="AP65" i="12"/>
  <c r="AO80" i="12"/>
  <c r="AN95" i="12"/>
  <c r="AP105" i="12"/>
  <c r="AO120" i="12"/>
  <c r="AN133" i="12"/>
  <c r="AO138" i="12"/>
  <c r="AP143" i="12"/>
  <c r="AN155" i="12"/>
  <c r="AO160" i="12"/>
  <c r="AP165" i="12"/>
  <c r="AN174" i="12"/>
  <c r="AO179" i="12"/>
  <c r="AP187" i="12"/>
  <c r="AN193" i="12"/>
  <c r="AO198" i="12"/>
  <c r="AP206" i="12"/>
  <c r="AN212" i="12"/>
  <c r="AP215" i="12"/>
  <c r="AO220" i="12"/>
  <c r="AN225" i="12"/>
  <c r="AP227" i="12"/>
  <c r="AO230" i="12"/>
  <c r="AN233" i="12"/>
  <c r="AP235" i="12"/>
  <c r="AN244" i="12"/>
  <c r="AP246" i="12"/>
  <c r="AO249" i="12"/>
  <c r="AN252" i="12"/>
  <c r="AP254" i="12"/>
  <c r="AO257" i="12"/>
  <c r="AN262" i="12"/>
  <c r="AP264" i="12"/>
  <c r="AO267" i="12"/>
  <c r="AN270" i="12"/>
  <c r="AP272" i="12"/>
  <c r="AP6" i="11"/>
  <c r="AP14" i="11"/>
  <c r="AP24" i="11"/>
  <c r="AP31" i="11"/>
  <c r="AP35" i="11"/>
  <c r="AP43" i="11"/>
  <c r="AP50" i="11"/>
  <c r="AP62" i="11"/>
  <c r="AP79" i="11"/>
  <c r="AP86" i="11"/>
  <c r="AP91" i="11"/>
  <c r="AP98" i="11"/>
  <c r="AP109" i="11"/>
  <c r="AP116" i="11"/>
  <c r="AP127" i="11"/>
  <c r="AP129" i="11"/>
  <c r="AP136" i="11"/>
  <c r="AP147" i="11"/>
  <c r="AP149" i="11"/>
  <c r="AP156" i="11"/>
  <c r="AP164" i="11"/>
  <c r="AP168" i="11"/>
  <c r="AP172" i="11"/>
  <c r="AP180" i="11"/>
  <c r="AP184" i="11"/>
  <c r="AP188" i="11"/>
  <c r="AP192" i="11"/>
  <c r="AP199" i="11"/>
  <c r="AP203" i="11"/>
  <c r="AP207" i="11"/>
  <c r="AP212" i="11"/>
  <c r="AP219" i="11"/>
  <c r="AP223" i="11"/>
  <c r="AP227" i="11"/>
  <c r="AP235" i="11"/>
  <c r="AP239" i="11"/>
  <c r="AP254" i="11"/>
  <c r="AP238" i="11"/>
  <c r="AP218" i="11"/>
  <c r="AP198" i="11"/>
  <c r="AP111" i="11"/>
  <c r="AP95" i="11"/>
  <c r="AO270" i="12"/>
  <c r="AN247" i="12"/>
  <c r="AP220" i="12"/>
  <c r="AO175" i="12"/>
  <c r="AO109" i="12"/>
  <c r="AN6" i="12"/>
  <c r="AP264" i="11"/>
  <c r="AP260" i="11"/>
  <c r="AP256" i="11"/>
  <c r="AP252" i="11"/>
  <c r="AP245" i="11"/>
  <c r="AP237" i="11"/>
  <c r="AP226" i="11"/>
  <c r="AP224" i="11"/>
  <c r="AP206" i="11"/>
  <c r="AP187" i="11"/>
  <c r="AP167" i="11"/>
  <c r="AP151" i="11"/>
  <c r="AP144" i="11"/>
  <c r="AP133" i="11"/>
  <c r="AP74" i="11"/>
  <c r="AP66" i="11"/>
  <c r="AP59" i="11"/>
  <c r="AN265" i="12"/>
  <c r="AO252" i="12"/>
  <c r="AN228" i="12"/>
  <c r="AO213" i="12"/>
  <c r="AN189" i="12"/>
  <c r="AP161" i="12"/>
  <c r="AO134" i="12"/>
  <c r="AN83" i="12"/>
  <c r="AO30" i="12"/>
  <c r="AM666" i="17"/>
  <c r="AP57" i="11"/>
  <c r="AP47" i="11"/>
  <c r="AP9" i="11"/>
  <c r="AN273" i="12"/>
  <c r="AO262" i="12"/>
  <c r="AP249" i="12"/>
  <c r="AN236" i="12"/>
  <c r="AO225" i="12"/>
  <c r="AN208" i="12"/>
  <c r="AP180" i="12"/>
  <c r="AO156" i="12"/>
  <c r="AN123" i="12"/>
  <c r="AO68" i="12"/>
  <c r="AL641" i="17"/>
  <c r="L697" i="17"/>
  <c r="L696" i="17"/>
  <c r="V694" i="17"/>
  <c r="Y694" i="17"/>
  <c r="AD694" i="17"/>
  <c r="AD695" i="17"/>
  <c r="Y695" i="17"/>
  <c r="V695" i="17"/>
  <c r="L685" i="17"/>
  <c r="AO568" i="17"/>
  <c r="L684" i="17"/>
  <c r="AO567" i="17"/>
  <c r="AJ679" i="17"/>
  <c r="V682" i="17"/>
  <c r="Y682" i="17"/>
  <c r="AD682" i="17"/>
  <c r="AD683" i="17"/>
  <c r="Y683" i="17"/>
  <c r="V683" i="17"/>
  <c r="L673" i="17"/>
  <c r="AO556" i="17"/>
  <c r="L672" i="17"/>
  <c r="AO555" i="17"/>
  <c r="V670" i="17"/>
  <c r="Y670" i="17"/>
  <c r="AD670" i="17"/>
  <c r="AD671" i="17"/>
  <c r="Y671" i="17"/>
  <c r="V671" i="17"/>
  <c r="L667" i="17"/>
  <c r="AO550" i="17"/>
  <c r="L666" i="17"/>
  <c r="AO549" i="17"/>
  <c r="V664" i="17"/>
  <c r="Y664" i="17"/>
  <c r="AD664" i="17"/>
  <c r="AD665" i="17"/>
  <c r="Y665" i="17"/>
  <c r="V665" i="17"/>
  <c r="L661" i="17"/>
  <c r="AO544" i="17"/>
  <c r="L660" i="17"/>
  <c r="AO543" i="17"/>
  <c r="V658" i="17"/>
  <c r="Y658" i="17"/>
  <c r="AD658" i="17"/>
  <c r="AD659" i="17"/>
  <c r="Y659" i="17"/>
  <c r="V659" i="17"/>
  <c r="L655" i="17"/>
  <c r="AO538" i="17"/>
  <c r="L654" i="17"/>
  <c r="AO537" i="17"/>
  <c r="AD652" i="17"/>
  <c r="Y652" i="17"/>
  <c r="V652" i="17"/>
  <c r="AD653" i="17"/>
  <c r="Y653" i="17"/>
  <c r="V653" i="17"/>
  <c r="L649" i="17"/>
  <c r="AO532" i="17"/>
  <c r="L648" i="17"/>
  <c r="AO531" i="17"/>
  <c r="AD647" i="17"/>
  <c r="Y647" i="17"/>
  <c r="V647" i="17"/>
  <c r="AD646" i="17"/>
  <c r="Y646" i="17"/>
  <c r="V646" i="17"/>
  <c r="L630" i="17"/>
  <c r="AO513" i="17"/>
  <c r="L629" i="17"/>
  <c r="AO512" i="17"/>
  <c r="AD628" i="17"/>
  <c r="Y628" i="17"/>
  <c r="V628" i="17"/>
  <c r="AD627" i="17"/>
  <c r="Y627" i="17"/>
  <c r="V627" i="17"/>
  <c r="L624" i="17"/>
  <c r="AO507" i="17"/>
  <c r="L623" i="17"/>
  <c r="AO506" i="17"/>
  <c r="AD621" i="17"/>
  <c r="Y621" i="17"/>
  <c r="V621" i="17"/>
  <c r="AD622" i="17"/>
  <c r="Y622" i="17"/>
  <c r="V622" i="17"/>
  <c r="L612" i="17"/>
  <c r="AO495" i="17"/>
  <c r="L611" i="17"/>
  <c r="AO494" i="17"/>
  <c r="V609" i="17"/>
  <c r="Y609" i="17"/>
  <c r="AD609" i="17"/>
  <c r="AD610" i="17"/>
  <c r="Y610" i="17"/>
  <c r="V610" i="17"/>
  <c r="L576" i="17"/>
  <c r="AO459" i="17"/>
  <c r="L575" i="17"/>
  <c r="AO458" i="17"/>
  <c r="V573" i="17"/>
  <c r="Y573" i="17"/>
  <c r="AD573" i="17"/>
  <c r="AD574" i="17"/>
  <c r="Y574" i="17"/>
  <c r="V574" i="17"/>
  <c r="L588" i="17"/>
  <c r="AO471" i="17"/>
  <c r="L587" i="17"/>
  <c r="AO470" i="17"/>
  <c r="V585" i="17"/>
  <c r="Y585" i="17"/>
  <c r="AD585" i="17"/>
  <c r="AD586" i="17"/>
  <c r="Y586" i="17"/>
  <c r="V586" i="17"/>
  <c r="V540" i="17"/>
  <c r="Y540" i="17"/>
  <c r="AD540" i="17"/>
  <c r="AD542" i="17"/>
  <c r="Y542" i="17"/>
  <c r="V542" i="17"/>
  <c r="L519" i="17"/>
  <c r="AO402" i="17"/>
  <c r="L518" i="17"/>
  <c r="AO401" i="17"/>
  <c r="AJ520" i="17"/>
  <c r="AD516" i="17"/>
  <c r="Y516" i="17"/>
  <c r="V516" i="17"/>
  <c r="AD517" i="17"/>
  <c r="Y517" i="17"/>
  <c r="V517" i="17"/>
  <c r="L513" i="17"/>
  <c r="AO396" i="17"/>
  <c r="L512" i="17"/>
  <c r="AO395" i="17"/>
  <c r="V510" i="17"/>
  <c r="Y510" i="17"/>
  <c r="AD510" i="17"/>
  <c r="AD511" i="17"/>
  <c r="Y511" i="17"/>
  <c r="V511" i="17"/>
  <c r="L507" i="17"/>
  <c r="L506" i="17"/>
  <c r="V504" i="17"/>
  <c r="Y504" i="17"/>
  <c r="AD504" i="17"/>
  <c r="AD505" i="17"/>
  <c r="Y505" i="17"/>
  <c r="V505" i="17"/>
  <c r="L501" i="17"/>
  <c r="L500" i="17"/>
  <c r="AD498" i="17"/>
  <c r="Y498" i="17"/>
  <c r="V498" i="17"/>
  <c r="AD499" i="17"/>
  <c r="Y499" i="17"/>
  <c r="V499" i="17"/>
  <c r="L489" i="17"/>
  <c r="L488" i="17"/>
  <c r="AJ490" i="17"/>
  <c r="AD486" i="17"/>
  <c r="Y486" i="17"/>
  <c r="V486" i="17"/>
  <c r="AD487" i="17"/>
  <c r="Y487" i="17"/>
  <c r="V487" i="17"/>
  <c r="L483" i="17"/>
  <c r="L482" i="17"/>
  <c r="AD480" i="17"/>
  <c r="Y480" i="17"/>
  <c r="V480" i="17"/>
  <c r="AD481" i="17"/>
  <c r="Y481" i="17"/>
  <c r="V481" i="17"/>
  <c r="L477" i="17"/>
  <c r="L476" i="17"/>
  <c r="AD474" i="17"/>
  <c r="Y474" i="17"/>
  <c r="V474" i="17"/>
  <c r="AD475" i="17"/>
  <c r="Y475" i="17"/>
  <c r="V475" i="17"/>
  <c r="L459" i="17"/>
  <c r="L458" i="17"/>
  <c r="AD456" i="17"/>
  <c r="Y456" i="17"/>
  <c r="V456" i="17"/>
  <c r="AD457" i="17"/>
  <c r="Y457" i="17"/>
  <c r="V457" i="17"/>
  <c r="L453" i="17"/>
  <c r="L452" i="17"/>
  <c r="AD450" i="17"/>
  <c r="Y450" i="17"/>
  <c r="V450" i="17"/>
  <c r="AD451" i="17"/>
  <c r="Y451" i="17"/>
  <c r="V451" i="17"/>
  <c r="AD444" i="17"/>
  <c r="Y444" i="17"/>
  <c r="V444" i="17"/>
  <c r="L447" i="17"/>
  <c r="L446" i="17"/>
  <c r="AD445" i="17"/>
  <c r="Y445" i="17"/>
  <c r="V445" i="17"/>
  <c r="L435" i="17"/>
  <c r="L434" i="17"/>
  <c r="AD432" i="17"/>
  <c r="Y432" i="17"/>
  <c r="V432" i="17"/>
  <c r="AD433" i="17"/>
  <c r="Y433" i="17"/>
  <c r="V433" i="17"/>
  <c r="L429" i="17"/>
  <c r="L428" i="17"/>
  <c r="AD426" i="17"/>
  <c r="Y426" i="17"/>
  <c r="V426" i="17"/>
  <c r="AD427" i="17"/>
  <c r="Y427" i="17"/>
  <c r="V427" i="17"/>
  <c r="AJ424" i="17"/>
  <c r="L423" i="17"/>
  <c r="L422" i="17"/>
  <c r="AD420" i="17"/>
  <c r="Y420" i="17"/>
  <c r="V420" i="17"/>
  <c r="AD421" i="17"/>
  <c r="Y421" i="17"/>
  <c r="V421" i="17"/>
  <c r="L411" i="17"/>
  <c r="L410" i="17"/>
  <c r="AD408" i="17"/>
  <c r="Y408" i="17"/>
  <c r="V408" i="17"/>
  <c r="AD409" i="17"/>
  <c r="Y409" i="17"/>
  <c r="V409" i="17"/>
  <c r="L399" i="17"/>
  <c r="L398" i="17"/>
  <c r="AD396" i="17"/>
  <c r="Y396" i="17"/>
  <c r="V396" i="17"/>
  <c r="AD397" i="17"/>
  <c r="Y397" i="17"/>
  <c r="V397" i="17"/>
  <c r="L405" i="17"/>
  <c r="L404" i="17"/>
  <c r="AD402" i="17"/>
  <c r="Y402" i="17"/>
  <c r="V402" i="17"/>
  <c r="AD403" i="17"/>
  <c r="Y403" i="17"/>
  <c r="V403" i="17"/>
  <c r="AW539" i="11"/>
  <c r="AW538" i="11"/>
  <c r="AW533" i="11"/>
  <c r="AW532" i="11"/>
  <c r="AW527" i="11"/>
  <c r="AW526" i="11"/>
  <c r="AW521" i="11"/>
  <c r="AW520" i="11"/>
  <c r="AW515" i="11"/>
  <c r="AW514" i="11"/>
  <c r="AW509" i="11"/>
  <c r="AW508" i="11"/>
  <c r="AW503" i="11"/>
  <c r="AW502" i="11"/>
  <c r="AW497" i="11"/>
  <c r="AW496" i="11"/>
  <c r="AW491" i="11"/>
  <c r="AW490" i="11"/>
  <c r="AW485" i="11"/>
  <c r="AW484" i="11"/>
  <c r="AW483" i="11"/>
  <c r="AW477" i="11"/>
  <c r="AW476" i="11"/>
  <c r="AW471" i="11"/>
  <c r="AW470" i="11"/>
  <c r="AW465" i="11"/>
  <c r="AW464" i="11"/>
  <c r="AW459" i="11"/>
  <c r="AW458" i="11"/>
  <c r="AW453" i="11"/>
  <c r="AW452" i="11"/>
  <c r="AW447" i="11"/>
  <c r="AW446" i="11"/>
  <c r="AW441" i="11"/>
  <c r="AW440" i="11"/>
  <c r="AW435" i="11"/>
  <c r="AW434" i="11"/>
  <c r="AW429" i="11"/>
  <c r="AW428" i="11"/>
  <c r="AW423" i="11"/>
  <c r="AW422" i="11"/>
  <c r="AW417" i="11"/>
  <c r="AW416" i="11"/>
  <c r="AW411" i="11"/>
  <c r="AW410" i="11"/>
  <c r="AW405" i="11"/>
  <c r="AW404" i="11"/>
  <c r="AW399" i="11"/>
  <c r="AW398" i="11"/>
  <c r="AW393" i="11"/>
  <c r="AW392" i="11"/>
  <c r="AW387" i="11"/>
  <c r="AW386" i="11"/>
  <c r="AW381" i="11"/>
  <c r="AW380" i="11"/>
  <c r="AW375" i="11"/>
  <c r="AW374" i="11"/>
  <c r="AW369" i="11"/>
  <c r="AW368" i="11"/>
  <c r="AW363" i="11"/>
  <c r="AW362" i="11"/>
  <c r="AW357" i="11"/>
  <c r="AW356" i="11"/>
  <c r="AW351" i="11"/>
  <c r="AW350" i="11"/>
  <c r="AW345" i="11"/>
  <c r="AW344" i="11"/>
  <c r="AW339" i="11"/>
  <c r="AW338" i="11"/>
  <c r="AW333" i="11"/>
  <c r="AW332" i="11"/>
  <c r="AW327" i="11"/>
  <c r="AW326" i="11"/>
  <c r="AW321" i="11"/>
  <c r="AW320" i="11"/>
  <c r="AW315" i="11"/>
  <c r="AW314" i="11"/>
  <c r="AW309" i="11"/>
  <c r="AW308" i="11"/>
  <c r="AW303" i="11"/>
  <c r="AW302" i="11"/>
  <c r="AW297" i="11"/>
  <c r="AW296" i="11"/>
  <c r="AW291" i="11"/>
  <c r="AW290" i="11"/>
  <c r="AW285" i="11"/>
  <c r="AW284" i="11"/>
  <c r="AW279" i="11"/>
  <c r="AW278" i="11"/>
  <c r="AW273" i="11"/>
  <c r="AW272" i="11"/>
  <c r="AG103" i="11"/>
  <c r="AB103" i="11"/>
  <c r="Y103" i="11"/>
  <c r="AJ661" i="17"/>
  <c r="AM577" i="17"/>
  <c r="AK424" i="17"/>
  <c r="AM424" i="17"/>
  <c r="AM508" i="17"/>
  <c r="AK412" i="17"/>
  <c r="AL436" i="17"/>
  <c r="AM546" i="17"/>
  <c r="AL667" i="17"/>
  <c r="AL478" i="17"/>
  <c r="AK478" i="17"/>
  <c r="AK661" i="17"/>
  <c r="AL577" i="17"/>
  <c r="AL559" i="17"/>
  <c r="AM589" i="17"/>
  <c r="AK508" i="17"/>
  <c r="AK577" i="17"/>
  <c r="AL625" i="17"/>
  <c r="AK532" i="17"/>
  <c r="AK448" i="17"/>
  <c r="AK583" i="17"/>
  <c r="AM565" i="17"/>
  <c r="AK559" i="17"/>
  <c r="AK631" i="17"/>
  <c r="AM625" i="17"/>
  <c r="AL532" i="17"/>
  <c r="AM559" i="17"/>
  <c r="AK571" i="17"/>
  <c r="AM583" i="17"/>
  <c r="AM532" i="17"/>
  <c r="AL589" i="17"/>
  <c r="AM613" i="17"/>
  <c r="AK589" i="17"/>
  <c r="AK546" i="17"/>
  <c r="AL613" i="17"/>
  <c r="AL583" i="17"/>
  <c r="AM571" i="17"/>
  <c r="AM631" i="17"/>
  <c r="AK613" i="17"/>
  <c r="AL571" i="17"/>
  <c r="AK565" i="17"/>
  <c r="AL631" i="17"/>
  <c r="AK625" i="17"/>
  <c r="AL546" i="17"/>
  <c r="AL565" i="17"/>
  <c r="AL406" i="17"/>
  <c r="AJ484" i="17"/>
  <c r="AK400" i="17"/>
  <c r="AL649" i="17"/>
  <c r="AL655" i="17"/>
  <c r="AM691" i="17"/>
  <c r="AL520" i="17"/>
  <c r="AK649" i="17"/>
  <c r="AM643" i="17"/>
  <c r="AL514" i="17"/>
  <c r="AK643" i="17"/>
  <c r="AM667" i="17"/>
  <c r="AK514" i="17"/>
  <c r="AK454" i="17"/>
  <c r="AK520" i="17"/>
  <c r="AL490" i="17"/>
  <c r="AK484" i="17"/>
  <c r="AK460" i="17"/>
  <c r="AM454" i="17"/>
  <c r="AL448" i="17"/>
  <c r="AM406" i="17"/>
  <c r="AL508" i="17"/>
  <c r="AM436" i="17"/>
  <c r="AL460" i="17"/>
  <c r="AK436" i="17"/>
  <c r="AM412" i="17"/>
  <c r="AJ691" i="17"/>
  <c r="AL691" i="17"/>
  <c r="AM679" i="17"/>
  <c r="AL412" i="17"/>
  <c r="AM478" i="17"/>
  <c r="AL502" i="17"/>
  <c r="AM490" i="17"/>
  <c r="AM655" i="17"/>
  <c r="AK490" i="17"/>
  <c r="AK667" i="17"/>
  <c r="AM514" i="17"/>
  <c r="AL430" i="17"/>
  <c r="AM520" i="17"/>
  <c r="AJ625" i="17"/>
  <c r="AK502" i="17"/>
  <c r="AM502" i="17"/>
  <c r="AM484" i="17"/>
  <c r="AM460" i="17"/>
  <c r="AL454" i="17"/>
  <c r="AK430" i="17"/>
  <c r="AL484" i="17"/>
  <c r="AM448" i="17"/>
  <c r="AL424" i="17"/>
  <c r="AL400" i="17"/>
  <c r="AK406" i="17"/>
  <c r="AK679" i="17"/>
  <c r="AK691" i="17"/>
  <c r="AL679" i="17"/>
  <c r="AL661" i="17"/>
  <c r="AK655" i="17"/>
  <c r="AM649" i="17"/>
  <c r="AL643" i="17"/>
  <c r="AJ430" i="17"/>
  <c r="AM430" i="17"/>
  <c r="AJ436" i="17"/>
  <c r="AM400" i="17"/>
  <c r="AJ454" i="17"/>
  <c r="AJ613" i="17"/>
  <c r="AJ448" i="17"/>
  <c r="AJ460" i="17"/>
  <c r="AJ478" i="17"/>
  <c r="AJ502" i="17"/>
  <c r="AJ577" i="17"/>
  <c r="AJ406" i="17"/>
  <c r="AJ508" i="17"/>
  <c r="AJ514" i="17"/>
  <c r="AJ655" i="17"/>
  <c r="AJ667" i="17"/>
  <c r="AJ631" i="17"/>
  <c r="AJ400" i="17"/>
  <c r="AJ412" i="17"/>
  <c r="AJ649" i="17"/>
  <c r="AG274" i="12"/>
  <c r="AB274" i="12"/>
  <c r="Y274" i="12"/>
  <c r="AG257" i="12"/>
  <c r="AB257" i="12"/>
  <c r="Y257" i="12"/>
  <c r="AG201" i="12"/>
  <c r="AB201" i="12"/>
  <c r="Y201" i="12"/>
  <c r="Z201" i="12" s="1"/>
  <c r="AK201" i="12" s="1"/>
  <c r="AG107" i="12"/>
  <c r="AG109" i="12"/>
  <c r="AB107" i="12"/>
  <c r="AB109" i="12"/>
  <c r="Y107" i="12"/>
  <c r="Z107" i="12" s="1"/>
  <c r="AK107" i="12" s="1"/>
  <c r="Y109" i="12"/>
  <c r="Y91" i="11"/>
  <c r="AB91" i="11"/>
  <c r="AG91" i="11"/>
  <c r="Y92" i="11"/>
  <c r="AB92" i="11"/>
  <c r="AG92" i="11"/>
  <c r="Y93" i="11"/>
  <c r="AB93" i="11"/>
  <c r="AG93" i="11"/>
  <c r="Y94" i="11"/>
  <c r="AB94" i="11"/>
  <c r="AG94" i="11"/>
  <c r="Y95" i="11"/>
  <c r="AB95" i="11"/>
  <c r="AG95" i="11"/>
  <c r="Y96" i="11"/>
  <c r="AB96" i="11"/>
  <c r="AG96" i="11"/>
  <c r="Y97" i="11"/>
  <c r="AB97" i="11"/>
  <c r="AG97" i="11"/>
  <c r="Y98" i="11"/>
  <c r="AB98" i="11"/>
  <c r="AG98" i="11"/>
  <c r="Y99" i="11"/>
  <c r="AB99" i="11"/>
  <c r="AG99" i="11"/>
  <c r="Y100" i="11"/>
  <c r="AB100" i="11"/>
  <c r="AG100" i="11"/>
  <c r="Y101" i="11"/>
  <c r="AB101" i="11"/>
  <c r="AG101" i="11"/>
  <c r="Y102" i="11"/>
  <c r="AB102" i="11"/>
  <c r="AG102" i="11"/>
  <c r="AG34" i="12"/>
  <c r="AG35" i="12"/>
  <c r="AB34" i="12"/>
  <c r="AB35" i="12"/>
  <c r="Y34" i="12"/>
  <c r="Y35" i="12"/>
  <c r="AG262" i="12"/>
  <c r="AG263" i="12"/>
  <c r="AG264" i="12"/>
  <c r="AG265" i="12"/>
  <c r="AG266" i="12"/>
  <c r="AG267" i="12"/>
  <c r="AG268" i="12"/>
  <c r="AG269" i="12"/>
  <c r="AG270" i="12"/>
  <c r="AG271" i="12"/>
  <c r="AG272" i="12"/>
  <c r="AG273" i="12"/>
  <c r="AG261" i="12"/>
  <c r="AG244" i="12"/>
  <c r="AG245" i="12"/>
  <c r="AG246" i="12"/>
  <c r="AG247" i="12"/>
  <c r="AG248" i="12"/>
  <c r="AG249" i="12"/>
  <c r="AG250" i="12"/>
  <c r="AG251" i="12"/>
  <c r="AG252" i="12"/>
  <c r="AG253" i="12"/>
  <c r="AG254" i="12"/>
  <c r="AG255" i="12"/>
  <c r="AG256" i="12"/>
  <c r="AG243" i="12"/>
  <c r="AG225" i="12"/>
  <c r="AG226" i="12"/>
  <c r="AG227" i="12"/>
  <c r="AG228" i="12"/>
  <c r="AG229" i="12"/>
  <c r="AG230" i="12"/>
  <c r="AG231" i="12"/>
  <c r="AG232" i="12"/>
  <c r="AG233" i="12"/>
  <c r="AG234" i="12"/>
  <c r="AG235" i="12"/>
  <c r="AG236" i="12"/>
  <c r="AG224" i="12"/>
  <c r="AG206" i="12"/>
  <c r="AG207" i="12"/>
  <c r="AG208" i="12"/>
  <c r="AG209" i="12"/>
  <c r="AG210" i="12"/>
  <c r="AG211" i="12"/>
  <c r="AG212" i="12"/>
  <c r="AG213" i="12"/>
  <c r="AG214" i="12"/>
  <c r="AG215" i="12"/>
  <c r="AG216" i="12"/>
  <c r="AG217" i="12"/>
  <c r="AG220" i="12"/>
  <c r="AG205" i="12"/>
  <c r="AG188" i="12"/>
  <c r="AG189" i="12"/>
  <c r="AG190" i="12"/>
  <c r="AG191" i="12"/>
  <c r="AG192" i="12"/>
  <c r="AG193" i="12"/>
  <c r="AG194" i="12"/>
  <c r="AG195" i="12"/>
  <c r="AG196" i="12"/>
  <c r="AG197" i="12"/>
  <c r="AG198" i="12"/>
  <c r="AG199" i="12"/>
  <c r="AG200" i="12"/>
  <c r="AG187" i="12"/>
  <c r="AG170" i="12"/>
  <c r="AG171" i="12"/>
  <c r="AG172" i="12"/>
  <c r="AG173" i="12"/>
  <c r="AG174" i="12"/>
  <c r="AG175" i="12"/>
  <c r="AG176" i="12"/>
  <c r="AG177" i="12"/>
  <c r="AG178" i="12"/>
  <c r="AG179" i="12"/>
  <c r="AG180" i="12"/>
  <c r="AG181" i="12"/>
  <c r="AG182" i="12"/>
  <c r="AG169" i="12"/>
  <c r="AG152" i="12"/>
  <c r="AG153" i="12"/>
  <c r="AG154" i="12"/>
  <c r="AG155" i="12"/>
  <c r="AG156" i="12"/>
  <c r="AG157" i="12"/>
  <c r="AG158" i="12"/>
  <c r="AG159" i="12"/>
  <c r="AG160" i="12"/>
  <c r="AG161" i="12"/>
  <c r="AG162" i="12"/>
  <c r="AG163" i="12"/>
  <c r="AG164" i="12"/>
  <c r="AG165" i="12"/>
  <c r="AG151" i="12"/>
  <c r="AG133" i="12"/>
  <c r="AG134" i="12"/>
  <c r="AG135" i="12"/>
  <c r="AG136" i="12"/>
  <c r="AG137" i="12"/>
  <c r="AG138" i="12"/>
  <c r="AG139" i="12"/>
  <c r="AG140" i="12"/>
  <c r="AG141" i="12"/>
  <c r="AG143" i="12"/>
  <c r="AG132" i="12"/>
  <c r="AG114" i="12"/>
  <c r="AG115" i="12"/>
  <c r="AG116" i="12"/>
  <c r="AG117" i="12"/>
  <c r="AG118" i="12"/>
  <c r="AG119" i="12"/>
  <c r="AG120" i="12"/>
  <c r="AG121" i="12"/>
  <c r="AG122" i="12"/>
  <c r="AG123" i="12"/>
  <c r="AG124" i="12"/>
  <c r="AG113" i="12"/>
  <c r="AG95" i="12"/>
  <c r="AG96" i="12"/>
  <c r="AG97" i="12"/>
  <c r="AG98" i="12"/>
  <c r="AG99" i="12"/>
  <c r="AG100" i="12"/>
  <c r="AG101" i="12"/>
  <c r="AG102" i="12"/>
  <c r="AG103" i="12"/>
  <c r="AG104" i="12"/>
  <c r="AG105" i="12"/>
  <c r="AG106" i="12"/>
  <c r="AG94" i="12"/>
  <c r="AG76" i="12"/>
  <c r="AG77" i="12"/>
  <c r="AG78" i="12"/>
  <c r="AG79" i="12"/>
  <c r="AG80" i="12"/>
  <c r="AG81" i="12"/>
  <c r="AG82" i="12"/>
  <c r="AG83" i="12"/>
  <c r="AG84" i="12"/>
  <c r="AG85" i="12"/>
  <c r="AG86" i="12"/>
  <c r="AG87" i="12"/>
  <c r="AG75" i="12"/>
  <c r="AG58" i="12"/>
  <c r="AG59" i="12"/>
  <c r="AG60" i="12"/>
  <c r="AG61" i="12"/>
  <c r="AG62" i="12"/>
  <c r="AG63" i="12"/>
  <c r="AG64" i="12"/>
  <c r="AG65" i="12"/>
  <c r="AG66" i="12"/>
  <c r="AG67" i="12"/>
  <c r="AG68" i="12"/>
  <c r="AG69" i="12"/>
  <c r="AG57" i="12"/>
  <c r="AG40" i="12"/>
  <c r="AG41" i="12"/>
  <c r="AG42" i="12"/>
  <c r="AG43" i="12"/>
  <c r="AG44" i="12"/>
  <c r="AG45" i="12"/>
  <c r="AG46" i="12"/>
  <c r="AG47" i="12"/>
  <c r="AG48" i="12"/>
  <c r="AG49" i="12"/>
  <c r="AG50" i="12"/>
  <c r="AG51" i="12"/>
  <c r="AG53" i="12"/>
  <c r="AG39" i="12"/>
  <c r="AG21" i="12"/>
  <c r="AG22" i="12"/>
  <c r="AG23" i="12"/>
  <c r="AG24" i="12"/>
  <c r="AG25" i="12"/>
  <c r="AG26" i="12"/>
  <c r="AG27" i="12"/>
  <c r="AG30" i="12"/>
  <c r="AG31" i="12"/>
  <c r="AG32" i="12"/>
  <c r="AG33" i="12"/>
  <c r="AG20" i="12"/>
  <c r="AG5" i="12"/>
  <c r="AG6" i="12"/>
  <c r="AG7" i="12"/>
  <c r="AG8" i="12"/>
  <c r="AG9" i="12"/>
  <c r="AG10" i="12"/>
  <c r="AG11" i="12"/>
  <c r="AG12" i="12"/>
  <c r="AG13" i="12"/>
  <c r="AG14" i="12"/>
  <c r="AG15" i="12"/>
  <c r="AG4" i="12"/>
  <c r="AG3" i="12"/>
  <c r="Y252" i="11"/>
  <c r="AB252" i="11"/>
  <c r="AG252" i="11"/>
  <c r="Y253" i="11"/>
  <c r="AB253" i="11"/>
  <c r="AG253" i="11"/>
  <c r="Y254" i="11"/>
  <c r="AB254" i="11"/>
  <c r="AG254" i="11"/>
  <c r="Y255" i="11"/>
  <c r="AB255" i="11"/>
  <c r="AG255" i="11"/>
  <c r="Y256" i="11"/>
  <c r="AB256" i="11"/>
  <c r="AG256" i="11"/>
  <c r="Y257" i="11"/>
  <c r="AB257" i="11"/>
  <c r="AG257" i="11"/>
  <c r="Y258" i="11"/>
  <c r="AB258" i="11"/>
  <c r="AG258" i="11"/>
  <c r="Y259" i="11"/>
  <c r="AB259" i="11"/>
  <c r="AG259" i="11"/>
  <c r="Y260" i="11"/>
  <c r="AB260" i="11"/>
  <c r="AG260" i="11"/>
  <c r="Y261" i="11"/>
  <c r="AB261" i="11"/>
  <c r="AG261" i="11"/>
  <c r="Y262" i="11"/>
  <c r="AB262" i="11"/>
  <c r="AG262" i="11"/>
  <c r="Y263" i="11"/>
  <c r="AB263" i="11"/>
  <c r="AG263" i="11"/>
  <c r="Y264" i="11"/>
  <c r="AB264" i="11"/>
  <c r="AG264" i="11"/>
  <c r="Y266" i="11"/>
  <c r="AB266" i="11"/>
  <c r="AG266" i="11"/>
  <c r="Y234" i="11"/>
  <c r="AB234" i="11"/>
  <c r="AG234" i="11"/>
  <c r="Y235" i="11"/>
  <c r="AB235" i="11"/>
  <c r="AG235" i="11"/>
  <c r="Y236" i="11"/>
  <c r="AB236" i="11"/>
  <c r="AG236" i="11"/>
  <c r="Y237" i="11"/>
  <c r="AB237" i="11"/>
  <c r="AG237" i="11"/>
  <c r="Y238" i="11"/>
  <c r="AB238" i="11"/>
  <c r="AG238" i="11"/>
  <c r="Y239" i="11"/>
  <c r="AB239" i="11"/>
  <c r="AG239" i="11"/>
  <c r="Y240" i="11"/>
  <c r="AB240" i="11"/>
  <c r="AG240" i="11"/>
  <c r="Y241" i="11"/>
  <c r="AB241" i="11"/>
  <c r="AG241" i="11"/>
  <c r="Y242" i="11"/>
  <c r="AB242" i="11"/>
  <c r="AG242" i="11"/>
  <c r="Y243" i="11"/>
  <c r="AB243" i="11"/>
  <c r="AG243" i="11"/>
  <c r="Y244" i="11"/>
  <c r="AB244" i="11"/>
  <c r="AG244" i="11"/>
  <c r="Y245" i="11"/>
  <c r="AB245" i="11"/>
  <c r="AG245" i="11"/>
  <c r="Y246" i="11"/>
  <c r="AB246" i="11"/>
  <c r="AG246" i="11"/>
  <c r="Y248" i="11"/>
  <c r="AB248" i="11"/>
  <c r="AG248" i="11"/>
  <c r="Y216" i="11"/>
  <c r="AB216" i="11"/>
  <c r="AG216" i="11"/>
  <c r="Y217" i="11"/>
  <c r="AB217" i="11"/>
  <c r="AG217" i="11"/>
  <c r="Y218" i="11"/>
  <c r="AB218" i="11"/>
  <c r="AG218" i="11"/>
  <c r="Y219" i="11"/>
  <c r="AB219" i="11"/>
  <c r="AG219" i="11"/>
  <c r="Y220" i="11"/>
  <c r="AB220" i="11"/>
  <c r="AG220" i="11"/>
  <c r="Y221" i="11"/>
  <c r="AB221" i="11"/>
  <c r="AG221" i="11"/>
  <c r="Y222" i="11"/>
  <c r="AB222" i="11"/>
  <c r="AG222" i="11"/>
  <c r="Y223" i="11"/>
  <c r="AB223" i="11"/>
  <c r="AG223" i="11"/>
  <c r="Y224" i="11"/>
  <c r="AB224" i="11"/>
  <c r="AG224" i="11"/>
  <c r="Y225" i="11"/>
  <c r="AB225" i="11"/>
  <c r="AG225" i="11"/>
  <c r="Y226" i="11"/>
  <c r="AB226" i="11"/>
  <c r="AG226" i="11"/>
  <c r="Y227" i="11"/>
  <c r="AB227" i="11"/>
  <c r="AG227" i="11"/>
  <c r="Y228" i="11"/>
  <c r="AB228" i="11"/>
  <c r="AG228" i="11"/>
  <c r="Y198" i="11"/>
  <c r="AB198" i="11"/>
  <c r="AG198" i="11"/>
  <c r="Y199" i="11"/>
  <c r="AB199" i="11"/>
  <c r="AG199" i="11"/>
  <c r="Y200" i="11"/>
  <c r="AB200" i="11"/>
  <c r="AG200" i="11"/>
  <c r="Y201" i="11"/>
  <c r="AB201" i="11"/>
  <c r="AG201" i="11"/>
  <c r="Y202" i="11"/>
  <c r="AB202" i="11"/>
  <c r="AG202" i="11"/>
  <c r="Y203" i="11"/>
  <c r="AB203" i="11"/>
  <c r="AG203" i="11"/>
  <c r="Y204" i="11"/>
  <c r="AB204" i="11"/>
  <c r="AG204" i="11"/>
  <c r="Y205" i="11"/>
  <c r="AB205" i="11"/>
  <c r="AG205" i="11"/>
  <c r="Y206" i="11"/>
  <c r="AB206" i="11"/>
  <c r="AG206" i="11"/>
  <c r="Y207" i="11"/>
  <c r="AB207" i="11"/>
  <c r="AG207" i="11"/>
  <c r="Y208" i="11"/>
  <c r="AB208" i="11"/>
  <c r="AG208" i="11"/>
  <c r="Y209" i="11"/>
  <c r="AB209" i="11"/>
  <c r="AG209" i="11"/>
  <c r="Y210" i="11"/>
  <c r="AB210" i="11"/>
  <c r="AG210" i="11"/>
  <c r="Y212" i="11"/>
  <c r="AB212" i="11"/>
  <c r="AG212" i="11"/>
  <c r="Y180" i="11"/>
  <c r="AB180" i="11"/>
  <c r="AG180" i="11"/>
  <c r="Y181" i="11"/>
  <c r="AB181" i="11"/>
  <c r="AG181" i="11"/>
  <c r="Y182" i="11"/>
  <c r="AB182" i="11"/>
  <c r="AG182" i="11"/>
  <c r="Y183" i="11"/>
  <c r="AB183" i="11"/>
  <c r="AG183" i="11"/>
  <c r="Y184" i="11"/>
  <c r="AB184" i="11"/>
  <c r="AG184" i="11"/>
  <c r="Y185" i="11"/>
  <c r="AB185" i="11"/>
  <c r="AG185" i="11"/>
  <c r="AB186" i="11"/>
  <c r="AG186" i="11"/>
  <c r="Y187" i="11"/>
  <c r="AB187" i="11"/>
  <c r="AG187" i="11"/>
  <c r="Y188" i="11"/>
  <c r="AB188" i="11"/>
  <c r="AG188" i="11"/>
  <c r="Y189" i="11"/>
  <c r="AB189" i="11"/>
  <c r="AG189" i="11"/>
  <c r="Y190" i="11"/>
  <c r="AB190" i="11"/>
  <c r="AG190" i="11"/>
  <c r="Y191" i="11"/>
  <c r="AB191" i="11"/>
  <c r="AG191" i="11"/>
  <c r="Y192" i="11"/>
  <c r="AB192" i="11"/>
  <c r="AG192" i="11"/>
  <c r="Y194" i="11"/>
  <c r="AB194" i="11"/>
  <c r="AG194" i="11"/>
  <c r="Y162" i="11"/>
  <c r="AB162" i="11"/>
  <c r="AG162" i="11"/>
  <c r="Y163" i="11"/>
  <c r="AB163" i="11"/>
  <c r="AG163" i="11"/>
  <c r="Y164" i="11"/>
  <c r="AB164" i="11"/>
  <c r="AG164" i="11"/>
  <c r="Y165" i="11"/>
  <c r="AB165" i="11"/>
  <c r="AG165" i="11"/>
  <c r="Y166" i="11"/>
  <c r="AB166" i="11"/>
  <c r="AG166" i="11"/>
  <c r="Y167" i="11"/>
  <c r="AB167" i="11"/>
  <c r="AG167" i="11"/>
  <c r="Y168" i="11"/>
  <c r="AB168" i="11"/>
  <c r="AG168" i="11"/>
  <c r="Y169" i="11"/>
  <c r="AB169" i="11"/>
  <c r="AG169" i="11"/>
  <c r="Y170" i="11"/>
  <c r="AB170" i="11"/>
  <c r="AG170" i="11"/>
  <c r="Y171" i="11"/>
  <c r="AB171" i="11"/>
  <c r="AG171" i="11"/>
  <c r="Y172" i="11"/>
  <c r="AB172" i="11"/>
  <c r="AG172" i="11"/>
  <c r="Y173" i="11"/>
  <c r="AB173" i="11"/>
  <c r="AG173" i="11"/>
  <c r="Y174" i="11"/>
  <c r="AB174" i="11"/>
  <c r="AG174" i="11"/>
  <c r="Y176" i="11"/>
  <c r="AB176" i="11"/>
  <c r="AG176" i="11"/>
  <c r="Y144" i="11"/>
  <c r="AB144" i="11"/>
  <c r="AG144" i="11"/>
  <c r="Y145" i="11"/>
  <c r="AB145" i="11"/>
  <c r="AG145" i="11"/>
  <c r="Y146" i="11"/>
  <c r="AB146" i="11"/>
  <c r="AG146" i="11"/>
  <c r="Y147" i="11"/>
  <c r="AB147" i="11"/>
  <c r="AG147" i="11"/>
  <c r="Y148" i="11"/>
  <c r="AB148" i="11"/>
  <c r="AG148" i="11"/>
  <c r="Y149" i="11"/>
  <c r="AB149" i="11"/>
  <c r="AG149" i="11"/>
  <c r="Y150" i="11"/>
  <c r="AB150" i="11"/>
  <c r="AG150" i="11"/>
  <c r="Y151" i="11"/>
  <c r="AB151" i="11"/>
  <c r="AG151" i="11"/>
  <c r="Y152" i="11"/>
  <c r="AB152" i="11"/>
  <c r="AG152" i="11"/>
  <c r="Y153" i="11"/>
  <c r="AB153" i="11"/>
  <c r="AG153" i="11"/>
  <c r="Y154" i="11"/>
  <c r="AB154" i="11"/>
  <c r="AG154" i="11"/>
  <c r="Y155" i="11"/>
  <c r="AB155" i="11"/>
  <c r="AG155" i="11"/>
  <c r="Y156" i="11"/>
  <c r="AB156" i="11"/>
  <c r="AG156" i="11"/>
  <c r="Y157" i="11"/>
  <c r="AB157" i="11"/>
  <c r="AG157" i="11"/>
  <c r="Y158" i="11"/>
  <c r="AB158" i="11"/>
  <c r="AG158" i="11"/>
  <c r="Y126" i="11"/>
  <c r="AB126" i="11"/>
  <c r="AG126" i="11"/>
  <c r="Y127" i="11"/>
  <c r="AB127" i="11"/>
  <c r="AG127" i="11"/>
  <c r="Y128" i="11"/>
  <c r="AB128" i="11"/>
  <c r="AG128" i="11"/>
  <c r="Y129" i="11"/>
  <c r="AB129" i="11"/>
  <c r="AG129" i="11"/>
  <c r="Y130" i="11"/>
  <c r="AB130" i="11"/>
  <c r="AG130" i="11"/>
  <c r="Y131" i="11"/>
  <c r="AB131" i="11"/>
  <c r="AG131" i="11"/>
  <c r="Y132" i="11"/>
  <c r="AB132" i="11"/>
  <c r="AG132" i="11"/>
  <c r="Y133" i="11"/>
  <c r="AB133" i="11"/>
  <c r="AG133" i="11"/>
  <c r="Y134" i="11"/>
  <c r="AB134" i="11"/>
  <c r="AG134" i="11"/>
  <c r="Y135" i="11"/>
  <c r="AB135" i="11"/>
  <c r="AG135" i="11"/>
  <c r="Y136" i="11"/>
  <c r="AB136" i="11"/>
  <c r="AG136" i="11"/>
  <c r="Y137" i="11"/>
  <c r="AB137" i="11"/>
  <c r="AG137" i="11"/>
  <c r="Y138" i="11"/>
  <c r="AB138" i="11"/>
  <c r="AG138" i="11"/>
  <c r="Y140" i="11"/>
  <c r="AB140" i="11"/>
  <c r="AG140" i="11"/>
  <c r="Y108" i="11"/>
  <c r="AB108" i="11"/>
  <c r="AG108" i="11"/>
  <c r="Y109" i="11"/>
  <c r="AB109" i="11"/>
  <c r="AG109" i="11"/>
  <c r="Y110" i="11"/>
  <c r="AB110" i="11"/>
  <c r="AG110" i="11"/>
  <c r="Y111" i="11"/>
  <c r="AB111" i="11"/>
  <c r="AG111" i="11"/>
  <c r="Y112" i="11"/>
  <c r="AB112" i="11"/>
  <c r="AG112" i="11"/>
  <c r="Y113" i="11"/>
  <c r="AB113" i="11"/>
  <c r="AG113" i="11"/>
  <c r="Y114" i="11"/>
  <c r="AB114" i="11"/>
  <c r="AG114" i="11"/>
  <c r="Y115" i="11"/>
  <c r="AB115" i="11"/>
  <c r="AG115" i="11"/>
  <c r="Y116" i="11"/>
  <c r="AB116" i="11"/>
  <c r="AG116" i="11"/>
  <c r="Y117" i="11"/>
  <c r="AB117" i="11"/>
  <c r="AG117" i="11"/>
  <c r="Y118" i="11"/>
  <c r="AB118" i="11"/>
  <c r="AG118" i="11"/>
  <c r="Y119" i="11"/>
  <c r="AB119" i="11"/>
  <c r="AG119" i="11"/>
  <c r="Y120" i="11"/>
  <c r="AB120" i="11"/>
  <c r="AG120" i="11"/>
  <c r="AB4" i="11"/>
  <c r="AG4" i="11"/>
  <c r="AB5" i="11"/>
  <c r="AG5" i="11"/>
  <c r="AB6" i="11"/>
  <c r="AG6" i="11"/>
  <c r="AB7" i="11"/>
  <c r="AG7" i="11"/>
  <c r="AB8" i="11"/>
  <c r="AG8" i="11"/>
  <c r="AB9" i="11"/>
  <c r="AG9" i="11"/>
  <c r="AB10" i="11"/>
  <c r="AG10" i="11"/>
  <c r="AB11" i="11"/>
  <c r="AG11" i="11"/>
  <c r="AB12" i="11"/>
  <c r="AG12" i="11"/>
  <c r="AB13" i="11"/>
  <c r="AG13" i="11"/>
  <c r="AB14" i="11"/>
  <c r="AG14" i="11"/>
  <c r="AB15" i="11"/>
  <c r="AG15" i="11"/>
  <c r="AB17" i="11"/>
  <c r="AG17" i="11"/>
  <c r="Y21" i="11"/>
  <c r="AB21" i="11"/>
  <c r="AG21" i="11"/>
  <c r="Y22" i="11"/>
  <c r="AB22" i="11"/>
  <c r="AG22" i="11"/>
  <c r="Y23" i="11"/>
  <c r="AB23" i="11"/>
  <c r="AG23" i="11"/>
  <c r="Y24" i="11"/>
  <c r="AB24" i="11"/>
  <c r="AG24" i="11"/>
  <c r="Y25" i="11"/>
  <c r="AB25" i="11"/>
  <c r="AG25" i="11"/>
  <c r="Y26" i="11"/>
  <c r="AB26" i="11"/>
  <c r="AG26" i="11"/>
  <c r="Y27" i="11"/>
  <c r="AB27" i="11"/>
  <c r="AG27" i="11"/>
  <c r="Y28" i="11"/>
  <c r="AB28" i="11"/>
  <c r="AG28" i="11"/>
  <c r="Y29" i="11"/>
  <c r="AB29" i="11"/>
  <c r="AG29" i="11"/>
  <c r="Y30" i="11"/>
  <c r="AB30" i="11"/>
  <c r="AG30" i="11"/>
  <c r="Y31" i="11"/>
  <c r="AB31" i="11"/>
  <c r="AG31" i="11"/>
  <c r="Y34" i="11"/>
  <c r="AB34" i="11"/>
  <c r="AG34" i="11"/>
  <c r="Y35" i="11"/>
  <c r="AB35" i="11"/>
  <c r="AG35" i="11"/>
  <c r="Y39" i="11"/>
  <c r="AB39" i="11"/>
  <c r="AG39" i="11"/>
  <c r="Y40" i="11"/>
  <c r="AB40" i="11"/>
  <c r="AG40" i="11"/>
  <c r="Y41" i="11"/>
  <c r="AB41" i="11"/>
  <c r="AG41" i="11"/>
  <c r="Y42" i="11"/>
  <c r="AB42" i="11"/>
  <c r="AG42" i="11"/>
  <c r="Y43" i="11"/>
  <c r="AB43" i="11"/>
  <c r="AG43" i="11"/>
  <c r="Y44" i="11"/>
  <c r="AB44" i="11"/>
  <c r="AG44" i="11"/>
  <c r="Y45" i="11"/>
  <c r="AB45" i="11"/>
  <c r="AG45" i="11"/>
  <c r="Y46" i="11"/>
  <c r="AB46" i="11"/>
  <c r="AG46" i="11"/>
  <c r="Y47" i="11"/>
  <c r="AB47" i="11"/>
  <c r="AG47" i="11"/>
  <c r="Y48" i="11"/>
  <c r="AB48" i="11"/>
  <c r="AG48" i="11"/>
  <c r="Y49" i="11"/>
  <c r="AB49" i="11"/>
  <c r="AG49" i="11"/>
  <c r="Y50" i="11"/>
  <c r="AB50" i="11"/>
  <c r="AG50" i="11"/>
  <c r="Y51" i="11"/>
  <c r="AB51" i="11"/>
  <c r="AG51" i="11"/>
  <c r="Y56" i="11"/>
  <c r="AB56" i="11"/>
  <c r="AG56" i="11"/>
  <c r="Y57" i="11"/>
  <c r="AB57" i="11"/>
  <c r="AG57" i="11"/>
  <c r="Y58" i="11"/>
  <c r="AB58" i="11"/>
  <c r="AG58" i="11"/>
  <c r="Y59" i="11"/>
  <c r="AB59" i="11"/>
  <c r="AG59" i="11"/>
  <c r="Y60" i="11"/>
  <c r="AB60" i="11"/>
  <c r="AG60" i="11"/>
  <c r="Y61" i="11"/>
  <c r="AB61" i="11"/>
  <c r="AG61" i="11"/>
  <c r="Y62" i="11"/>
  <c r="AB62" i="11"/>
  <c r="AG62" i="11"/>
  <c r="Y63" i="11"/>
  <c r="AB63" i="11"/>
  <c r="AG63" i="11"/>
  <c r="Y64" i="11"/>
  <c r="AB64" i="11"/>
  <c r="AG64" i="11"/>
  <c r="Y65" i="11"/>
  <c r="AB65" i="11"/>
  <c r="AG65" i="11"/>
  <c r="Y66" i="11"/>
  <c r="AB66" i="11"/>
  <c r="AG66" i="11"/>
  <c r="Y67" i="11"/>
  <c r="AB67" i="11"/>
  <c r="AG67" i="11"/>
  <c r="Y73" i="11"/>
  <c r="AB73" i="11"/>
  <c r="AG73" i="11"/>
  <c r="Y74" i="11"/>
  <c r="AB74" i="11"/>
  <c r="AG74" i="11"/>
  <c r="Y75" i="11"/>
  <c r="AB75" i="11"/>
  <c r="AG75" i="11"/>
  <c r="Y76" i="11"/>
  <c r="AB76" i="11"/>
  <c r="AG76" i="11"/>
  <c r="Y77" i="11"/>
  <c r="AB77" i="11"/>
  <c r="AG77" i="11"/>
  <c r="Y78" i="11"/>
  <c r="AB78" i="11"/>
  <c r="AG78" i="11"/>
  <c r="Y79" i="11"/>
  <c r="AB79" i="11"/>
  <c r="AG79" i="11"/>
  <c r="Y80" i="11"/>
  <c r="AB80" i="11"/>
  <c r="AG80" i="11"/>
  <c r="Y81" i="11"/>
  <c r="AB81" i="11"/>
  <c r="AG81" i="11"/>
  <c r="Y82" i="11"/>
  <c r="AB82" i="11"/>
  <c r="AG82" i="11"/>
  <c r="Y83" i="11"/>
  <c r="AB83" i="11"/>
  <c r="AG83" i="11"/>
  <c r="Y84" i="11"/>
  <c r="AB84" i="11"/>
  <c r="AG84" i="11"/>
  <c r="Y85" i="11"/>
  <c r="AB85" i="11"/>
  <c r="AG85" i="11"/>
  <c r="Y86" i="11"/>
  <c r="AB86" i="11"/>
  <c r="AG86" i="11"/>
  <c r="Y133" i="12"/>
  <c r="AB133" i="12"/>
  <c r="Y121" i="12"/>
  <c r="AB121" i="12"/>
  <c r="Y100" i="12"/>
  <c r="AB100" i="12"/>
  <c r="Y84" i="12"/>
  <c r="AB84" i="12"/>
  <c r="Y63" i="12"/>
  <c r="AB63" i="12"/>
  <c r="Y51" i="12"/>
  <c r="AB51" i="12"/>
  <c r="Y43" i="12"/>
  <c r="AB43" i="12"/>
  <c r="Y21" i="12"/>
  <c r="AB21" i="12"/>
  <c r="Y155" i="12"/>
  <c r="Y156" i="12"/>
  <c r="Y157" i="12"/>
  <c r="Y158" i="12"/>
  <c r="Z158" i="12" s="1"/>
  <c r="AK158" i="12" s="1"/>
  <c r="Y159" i="12"/>
  <c r="Y160" i="12"/>
  <c r="Y161" i="12"/>
  <c r="Y162" i="12"/>
  <c r="Z162" i="12" s="1"/>
  <c r="AK162" i="12" s="1"/>
  <c r="Y163" i="12"/>
  <c r="Y164" i="12"/>
  <c r="Y165" i="12"/>
  <c r="Y169" i="12"/>
  <c r="Z169" i="12" s="1"/>
  <c r="AK169" i="12" s="1"/>
  <c r="Y170" i="12"/>
  <c r="Y171" i="12"/>
  <c r="Y172" i="12"/>
  <c r="Y173" i="12"/>
  <c r="Y174" i="12"/>
  <c r="Y175" i="12"/>
  <c r="Y176" i="12"/>
  <c r="Y177" i="12"/>
  <c r="Y178" i="12"/>
  <c r="Y179" i="12"/>
  <c r="Y180" i="12"/>
  <c r="Y181" i="12"/>
  <c r="Y182" i="12"/>
  <c r="Y187" i="12"/>
  <c r="Y188" i="12"/>
  <c r="Y189" i="12"/>
  <c r="Y190" i="12"/>
  <c r="Y191" i="12"/>
  <c r="Y192" i="12"/>
  <c r="Y193" i="12"/>
  <c r="Y194" i="12"/>
  <c r="Y195" i="12"/>
  <c r="Y196" i="12"/>
  <c r="Y197" i="12"/>
  <c r="Y198" i="12"/>
  <c r="Y199" i="12"/>
  <c r="Y200" i="12"/>
  <c r="Y205" i="12"/>
  <c r="Z205" i="12" s="1"/>
  <c r="AK205" i="12" s="1"/>
  <c r="Y206" i="12"/>
  <c r="Y207" i="12"/>
  <c r="Y208" i="12"/>
  <c r="Y209" i="12"/>
  <c r="Z209" i="12" s="1"/>
  <c r="AK209" i="12" s="1"/>
  <c r="Y210" i="12"/>
  <c r="Y211" i="12"/>
  <c r="Y212" i="12"/>
  <c r="Y213" i="12"/>
  <c r="Y214" i="12"/>
  <c r="Y215" i="12"/>
  <c r="Y216" i="12"/>
  <c r="Y217" i="12"/>
  <c r="Y220" i="12"/>
  <c r="Y224" i="12"/>
  <c r="Y225" i="12"/>
  <c r="Y226" i="12"/>
  <c r="Y227" i="12"/>
  <c r="Y228" i="12"/>
  <c r="Y229" i="12"/>
  <c r="Y230" i="12"/>
  <c r="Y231" i="12"/>
  <c r="Y232" i="12"/>
  <c r="Y233" i="12"/>
  <c r="Y234" i="12"/>
  <c r="Y235" i="12"/>
  <c r="Y236" i="12"/>
  <c r="Y243" i="12"/>
  <c r="Y244" i="12"/>
  <c r="Y245" i="12"/>
  <c r="Y246" i="12"/>
  <c r="Y247" i="12"/>
  <c r="Y248" i="12"/>
  <c r="Y249" i="12"/>
  <c r="Y250" i="12"/>
  <c r="Y251" i="12"/>
  <c r="Y252" i="12"/>
  <c r="Y253" i="12"/>
  <c r="Y254" i="12"/>
  <c r="Y255" i="12"/>
  <c r="Y256" i="12"/>
  <c r="Y261" i="12"/>
  <c r="Y262" i="12"/>
  <c r="Y263" i="12"/>
  <c r="Y264" i="12"/>
  <c r="Y265" i="12"/>
  <c r="Y266" i="12"/>
  <c r="Y267" i="12"/>
  <c r="Y268" i="12"/>
  <c r="Y269" i="12"/>
  <c r="Y270" i="12"/>
  <c r="Y271" i="12"/>
  <c r="Y272" i="12"/>
  <c r="Z272" i="12" s="1"/>
  <c r="AK272" i="12" s="1"/>
  <c r="Y273" i="12"/>
  <c r="AB22" i="12"/>
  <c r="AB23" i="12"/>
  <c r="AB24" i="12"/>
  <c r="AB25" i="12"/>
  <c r="AB26" i="12"/>
  <c r="AB27" i="12"/>
  <c r="AB30" i="12"/>
  <c r="AB31" i="12"/>
  <c r="AB32" i="12"/>
  <c r="AB33" i="12"/>
  <c r="AB39" i="12"/>
  <c r="AB40" i="12"/>
  <c r="AB41" i="12"/>
  <c r="AB42" i="12"/>
  <c r="AB44" i="12"/>
  <c r="AB45" i="12"/>
  <c r="AB46" i="12"/>
  <c r="AB47" i="12"/>
  <c r="AB48" i="12"/>
  <c r="AB49" i="12"/>
  <c r="AB50" i="12"/>
  <c r="AB53" i="12"/>
  <c r="AB57" i="12"/>
  <c r="AB58" i="12"/>
  <c r="AB59" i="12"/>
  <c r="AB60" i="12"/>
  <c r="AB61" i="12"/>
  <c r="AB62" i="12"/>
  <c r="AB64" i="12"/>
  <c r="AB65" i="12"/>
  <c r="AB66" i="12"/>
  <c r="AB67" i="12"/>
  <c r="AB68" i="12"/>
  <c r="AB69" i="12"/>
  <c r="AB75" i="12"/>
  <c r="AB76" i="12"/>
  <c r="AB77" i="12"/>
  <c r="AB78" i="12"/>
  <c r="AB79" i="12"/>
  <c r="AB80" i="12"/>
  <c r="AB81" i="12"/>
  <c r="AB82" i="12"/>
  <c r="AB83" i="12"/>
  <c r="AB85" i="12"/>
  <c r="AB86" i="12"/>
  <c r="AB87" i="12"/>
  <c r="AB94" i="12"/>
  <c r="AB95" i="12"/>
  <c r="AB96" i="12"/>
  <c r="AB97" i="12"/>
  <c r="AB98" i="12"/>
  <c r="AB99" i="12"/>
  <c r="AB101" i="12"/>
  <c r="AB102" i="12"/>
  <c r="AB103" i="12"/>
  <c r="AB104" i="12"/>
  <c r="AB105" i="12"/>
  <c r="AB106" i="12"/>
  <c r="AB113" i="12"/>
  <c r="AB114" i="12"/>
  <c r="AB115" i="12"/>
  <c r="AB116" i="12"/>
  <c r="AB117" i="12"/>
  <c r="AB118" i="12"/>
  <c r="AB119" i="12"/>
  <c r="AB120" i="12"/>
  <c r="AB122" i="12"/>
  <c r="AB123" i="12"/>
  <c r="AB124" i="12"/>
  <c r="AB132" i="12"/>
  <c r="AB134" i="12"/>
  <c r="AB135" i="12"/>
  <c r="AB136" i="12"/>
  <c r="AB137" i="12"/>
  <c r="AB138" i="12"/>
  <c r="AB139" i="12"/>
  <c r="AB140" i="12"/>
  <c r="AB141" i="12"/>
  <c r="AB142" i="12"/>
  <c r="AB143" i="12"/>
  <c r="AB151" i="12"/>
  <c r="AB152" i="12"/>
  <c r="AB153" i="12"/>
  <c r="AB154" i="12"/>
  <c r="AB155" i="12"/>
  <c r="AB156" i="12"/>
  <c r="AB157" i="12"/>
  <c r="AB158" i="12"/>
  <c r="AB159" i="12"/>
  <c r="AB160" i="12"/>
  <c r="AB161" i="12"/>
  <c r="AB162" i="12"/>
  <c r="AB163" i="12"/>
  <c r="AB164" i="12"/>
  <c r="AB165" i="12"/>
  <c r="AB169" i="12"/>
  <c r="AB170" i="12"/>
  <c r="AB171" i="12"/>
  <c r="AB172" i="12"/>
  <c r="AB173" i="12"/>
  <c r="AB174" i="12"/>
  <c r="AB175" i="12"/>
  <c r="AB176" i="12"/>
  <c r="AB177" i="12"/>
  <c r="AB178" i="12"/>
  <c r="AB179" i="12"/>
  <c r="AB180" i="12"/>
  <c r="AB181" i="12"/>
  <c r="AB182" i="12"/>
  <c r="AB187" i="12"/>
  <c r="AB188" i="12"/>
  <c r="AB189" i="12"/>
  <c r="AB190" i="12"/>
  <c r="AB191" i="12"/>
  <c r="AB192" i="12"/>
  <c r="AB193" i="12"/>
  <c r="AB194" i="12"/>
  <c r="AB195" i="12"/>
  <c r="AB196" i="12"/>
  <c r="AB197" i="12"/>
  <c r="AB198" i="12"/>
  <c r="AB199" i="12"/>
  <c r="AB200" i="12"/>
  <c r="AB205" i="12"/>
  <c r="AB206" i="12"/>
  <c r="AB207" i="12"/>
  <c r="AB208" i="12"/>
  <c r="AB209" i="12"/>
  <c r="AB210" i="12"/>
  <c r="AB211" i="12"/>
  <c r="AB212" i="12"/>
  <c r="AB213" i="12"/>
  <c r="AB214" i="12"/>
  <c r="AB215" i="12"/>
  <c r="AB216" i="12"/>
  <c r="AB217" i="12"/>
  <c r="AB220" i="12"/>
  <c r="AB224" i="12"/>
  <c r="AB225" i="12"/>
  <c r="AB226" i="12"/>
  <c r="AB227" i="12"/>
  <c r="AB228" i="12"/>
  <c r="AB229" i="12"/>
  <c r="AB230" i="12"/>
  <c r="AB231" i="12"/>
  <c r="AB232" i="12"/>
  <c r="AB233" i="12"/>
  <c r="AB234" i="12"/>
  <c r="AB235" i="12"/>
  <c r="AB236" i="12"/>
  <c r="AB243" i="12"/>
  <c r="AB244" i="12"/>
  <c r="AB245" i="12"/>
  <c r="AB246" i="12"/>
  <c r="AB247" i="12"/>
  <c r="AB248" i="12"/>
  <c r="AB249" i="12"/>
  <c r="AB250" i="12"/>
  <c r="AB251" i="12"/>
  <c r="AB252" i="12"/>
  <c r="AB253" i="12"/>
  <c r="AB254" i="12"/>
  <c r="AB255" i="12"/>
  <c r="AB256" i="12"/>
  <c r="AB261" i="12"/>
  <c r="AB262" i="12"/>
  <c r="AB263" i="12"/>
  <c r="AB264" i="12"/>
  <c r="AB265" i="12"/>
  <c r="AB266" i="12"/>
  <c r="AB267" i="12"/>
  <c r="AB268" i="12"/>
  <c r="AB269" i="12"/>
  <c r="AB270" i="12"/>
  <c r="AB271" i="12"/>
  <c r="AB272" i="12"/>
  <c r="AB273" i="12"/>
  <c r="G17" i="10"/>
  <c r="F17" i="10"/>
  <c r="E17" i="10"/>
  <c r="D17" i="10"/>
  <c r="B17" i="10"/>
  <c r="K19" i="10" s="1"/>
  <c r="C66" i="4"/>
  <c r="B66" i="4" s="1"/>
  <c r="B26" i="4"/>
  <c r="B29" i="4"/>
  <c r="B33" i="4"/>
  <c r="C47" i="4"/>
  <c r="B47" i="4" s="1"/>
  <c r="B34" i="4"/>
  <c r="C46" i="4"/>
  <c r="B46" i="4" s="1"/>
  <c r="B35" i="4"/>
  <c r="B36" i="4"/>
  <c r="C45" i="4"/>
  <c r="B45" i="4" s="1"/>
  <c r="B37" i="4"/>
  <c r="B38" i="4"/>
  <c r="C41" i="4"/>
  <c r="B41" i="4" s="1"/>
  <c r="C40" i="4"/>
  <c r="B40" i="4" s="1"/>
  <c r="Y26" i="12"/>
  <c r="Y20" i="12"/>
  <c r="Y22" i="12"/>
  <c r="Y23" i="12"/>
  <c r="Y24" i="12"/>
  <c r="Y25" i="12"/>
  <c r="Y27" i="12"/>
  <c r="Y30" i="12"/>
  <c r="Y31" i="12"/>
  <c r="Y32" i="12"/>
  <c r="Y33" i="12"/>
  <c r="Y39" i="12"/>
  <c r="Y40" i="12"/>
  <c r="Y41" i="12"/>
  <c r="Y42" i="12"/>
  <c r="Y44" i="12"/>
  <c r="Y45" i="12"/>
  <c r="Y46" i="12"/>
  <c r="Y47" i="12"/>
  <c r="Y48" i="12"/>
  <c r="Y49" i="12"/>
  <c r="Y50" i="12"/>
  <c r="Z50" i="12" s="1"/>
  <c r="AK50" i="12" s="1"/>
  <c r="Y53" i="12"/>
  <c r="Y57" i="12"/>
  <c r="Y58" i="12"/>
  <c r="Y59" i="12"/>
  <c r="Y60" i="12"/>
  <c r="Y61" i="12"/>
  <c r="Y62" i="12"/>
  <c r="Y64" i="12"/>
  <c r="Y65" i="12"/>
  <c r="Y66" i="12"/>
  <c r="Y67" i="12"/>
  <c r="Y68" i="12"/>
  <c r="Y69" i="12"/>
  <c r="Y75" i="12"/>
  <c r="Y76" i="12"/>
  <c r="Y77" i="12"/>
  <c r="Y78" i="12"/>
  <c r="Y79" i="12"/>
  <c r="Y80" i="12"/>
  <c r="Y81" i="12"/>
  <c r="Y82" i="12"/>
  <c r="Y83" i="12"/>
  <c r="Y85" i="12"/>
  <c r="Y86" i="12"/>
  <c r="Y87" i="12"/>
  <c r="Y94" i="12"/>
  <c r="Y95" i="12"/>
  <c r="Y96" i="12"/>
  <c r="Y97" i="12"/>
  <c r="Y98" i="12"/>
  <c r="Y99" i="12"/>
  <c r="Y101" i="12"/>
  <c r="Y102" i="12"/>
  <c r="Y103" i="12"/>
  <c r="Y104" i="12"/>
  <c r="Y105" i="12"/>
  <c r="Y106" i="12"/>
  <c r="Y113" i="12"/>
  <c r="Y114" i="12"/>
  <c r="Y115" i="12"/>
  <c r="Y116" i="12"/>
  <c r="Y117" i="12"/>
  <c r="Y118" i="12"/>
  <c r="Y119" i="12"/>
  <c r="Y120" i="12"/>
  <c r="Y122" i="12"/>
  <c r="Y123" i="12"/>
  <c r="Y124" i="12"/>
  <c r="Y132" i="12"/>
  <c r="Y134" i="12"/>
  <c r="Y135" i="12"/>
  <c r="Y136" i="12"/>
  <c r="Y137" i="12"/>
  <c r="Y138" i="12"/>
  <c r="Y139" i="12"/>
  <c r="Y140" i="12"/>
  <c r="Y141" i="12"/>
  <c r="Y142" i="12"/>
  <c r="Y143" i="12"/>
  <c r="Y151" i="12"/>
  <c r="Z151" i="12" s="1"/>
  <c r="AK151" i="12" s="1"/>
  <c r="Y152" i="12"/>
  <c r="Y153" i="12"/>
  <c r="Y154" i="12"/>
  <c r="AG3" i="11"/>
  <c r="H17" i="10"/>
  <c r="AJ643" i="17"/>
  <c r="I17" i="10"/>
  <c r="AE239" i="12" s="1"/>
  <c r="AF239" i="12" s="1"/>
  <c r="K21" i="10"/>
  <c r="W535" i="17" s="1"/>
  <c r="W537" i="17" s="1"/>
  <c r="W568" i="17"/>
  <c r="W570" i="17" s="1"/>
  <c r="W635" i="17"/>
  <c r="W638" i="17" s="1"/>
  <c r="W562" i="17"/>
  <c r="W564" i="17" s="1"/>
  <c r="W541" i="17"/>
  <c r="W544" i="17" s="1"/>
  <c r="W549" i="17"/>
  <c r="W551" i="17" s="1"/>
  <c r="W492" i="17"/>
  <c r="W494" i="17" s="1"/>
  <c r="W463" i="17"/>
  <c r="W465" i="17" s="1"/>
  <c r="W579" i="17"/>
  <c r="W581" i="17" s="1"/>
  <c r="Z128" i="12"/>
  <c r="AK128" i="12" s="1"/>
  <c r="Z144" i="12"/>
  <c r="AK144" i="12" s="1"/>
  <c r="AE118" i="12"/>
  <c r="AF118" i="12" s="1"/>
  <c r="AE209" i="12"/>
  <c r="AF209" i="12" s="1"/>
  <c r="AE58" i="12"/>
  <c r="AF58" i="12" s="1"/>
  <c r="AE22" i="12"/>
  <c r="AF22" i="12" s="1"/>
  <c r="AE265" i="12"/>
  <c r="AF265" i="12" s="1"/>
  <c r="AE8" i="12"/>
  <c r="AF8" i="12" s="1"/>
  <c r="AE191" i="12"/>
  <c r="AF191" i="12" s="1"/>
  <c r="AE85" i="12"/>
  <c r="AF85" i="12" s="1"/>
  <c r="AE231" i="12"/>
  <c r="AF231" i="12" s="1"/>
  <c r="AE53" i="12"/>
  <c r="AF53" i="12" s="1"/>
  <c r="AB529" i="17"/>
  <c r="AC529" i="17" s="1"/>
  <c r="AE529" i="17" s="1"/>
  <c r="AE531" i="17" s="1"/>
  <c r="AB683" i="17"/>
  <c r="AC683" i="17" s="1"/>
  <c r="AE683" i="17" s="1"/>
  <c r="AE685" i="17" s="1"/>
  <c r="AB646" i="17"/>
  <c r="AC646" i="17" s="1"/>
  <c r="AE646" i="17" s="1"/>
  <c r="AE648" i="17" s="1"/>
  <c r="AB621" i="17"/>
  <c r="AC621" i="17" s="1"/>
  <c r="AE621" i="17" s="1"/>
  <c r="AE623" i="17" s="1"/>
  <c r="AB585" i="17"/>
  <c r="AC585" i="17" s="1"/>
  <c r="AE585" i="17" s="1"/>
  <c r="AE587" i="17" s="1"/>
  <c r="AB456" i="17"/>
  <c r="AC456" i="17" s="1"/>
  <c r="AE456" i="17" s="1"/>
  <c r="AE458" i="17" s="1"/>
  <c r="AB457" i="17"/>
  <c r="AC457" i="17" s="1"/>
  <c r="AE457" i="17" s="1"/>
  <c r="AE459" i="17" s="1"/>
  <c r="AB427" i="17"/>
  <c r="AC427" i="17" s="1"/>
  <c r="AE427" i="17" s="1"/>
  <c r="AE429" i="17" s="1"/>
  <c r="AB396" i="17"/>
  <c r="AC396" i="17" s="1"/>
  <c r="AE396" i="17" s="1"/>
  <c r="AE398" i="17" s="1"/>
  <c r="AB499" i="17"/>
  <c r="AC499" i="17" s="1"/>
  <c r="AE499" i="17" s="1"/>
  <c r="AE501" i="17" s="1"/>
  <c r="AB682" i="17"/>
  <c r="AC682" i="17" s="1"/>
  <c r="AE682" i="17" s="1"/>
  <c r="AE684" i="17" s="1"/>
  <c r="AB659" i="17"/>
  <c r="AC659" i="17" s="1"/>
  <c r="AE659" i="17" s="1"/>
  <c r="AE661" i="17" s="1"/>
  <c r="AB627" i="17"/>
  <c r="AC627" i="17" s="1"/>
  <c r="AE627" i="17" s="1"/>
  <c r="AE629" i="17" s="1"/>
  <c r="AB574" i="17"/>
  <c r="AC574" i="17" s="1"/>
  <c r="AE574" i="17" s="1"/>
  <c r="AE576" i="17" s="1"/>
  <c r="AB586" i="17"/>
  <c r="AC586" i="17" s="1"/>
  <c r="AE586" i="17" s="1"/>
  <c r="AE588" i="17" s="1"/>
  <c r="AB542" i="17"/>
  <c r="AC542" i="17" s="1"/>
  <c r="AE542" i="17" s="1"/>
  <c r="AE545" i="17" s="1"/>
  <c r="AB481" i="17"/>
  <c r="AC481" i="17" s="1"/>
  <c r="AE481" i="17" s="1"/>
  <c r="AE483" i="17" s="1"/>
  <c r="AB451" i="17"/>
  <c r="AC451" i="17" s="1"/>
  <c r="AE451" i="17" s="1"/>
  <c r="AE453" i="17" s="1"/>
  <c r="AB658" i="17"/>
  <c r="AC658" i="17" s="1"/>
  <c r="AE658" i="17" s="1"/>
  <c r="AE660" i="17" s="1"/>
  <c r="AB573" i="17"/>
  <c r="AC573" i="17" s="1"/>
  <c r="AE573" i="17" s="1"/>
  <c r="AE575" i="17" s="1"/>
  <c r="AB540" i="17"/>
  <c r="AC540" i="17" s="1"/>
  <c r="AE540" i="17" s="1"/>
  <c r="AE543" i="17" s="1"/>
  <c r="AB504" i="17"/>
  <c r="AC504" i="17" s="1"/>
  <c r="AE504" i="17" s="1"/>
  <c r="AE506" i="17" s="1"/>
  <c r="AB445" i="17"/>
  <c r="AC445" i="17" s="1"/>
  <c r="AE445" i="17" s="1"/>
  <c r="AE447" i="17" s="1"/>
  <c r="AB397" i="17"/>
  <c r="AC397" i="17" s="1"/>
  <c r="AE397" i="17" s="1"/>
  <c r="AE399" i="17" s="1"/>
  <c r="AB517" i="17"/>
  <c r="AC517" i="17" s="1"/>
  <c r="AE517" i="17" s="1"/>
  <c r="AE519" i="17" s="1"/>
  <c r="AB474" i="17"/>
  <c r="AC474" i="17" s="1"/>
  <c r="AE474" i="17" s="1"/>
  <c r="AE476" i="17" s="1"/>
  <c r="AB426" i="17"/>
  <c r="AC426" i="17" s="1"/>
  <c r="AE426" i="17" s="1"/>
  <c r="AE428" i="17" s="1"/>
  <c r="AB505" i="17"/>
  <c r="AC505" i="17" s="1"/>
  <c r="AE505" i="17" s="1"/>
  <c r="AE507" i="17" s="1"/>
  <c r="AB409" i="17"/>
  <c r="AC409" i="17" s="1"/>
  <c r="AE409" i="17" s="1"/>
  <c r="AE411" i="17" s="1"/>
  <c r="AB653" i="17"/>
  <c r="AC653" i="17" s="1"/>
  <c r="AE653" i="17" s="1"/>
  <c r="AE655" i="17" s="1"/>
  <c r="AB486" i="17"/>
  <c r="AC486" i="17" s="1"/>
  <c r="AE486" i="17" s="1"/>
  <c r="AE488" i="17" s="1"/>
  <c r="AB403" i="17"/>
  <c r="AC403" i="17" s="1"/>
  <c r="AE403" i="17" s="1"/>
  <c r="AE405" i="17" s="1"/>
  <c r="AE109" i="12"/>
  <c r="AF109" i="12" s="1"/>
  <c r="AE35" i="12"/>
  <c r="AF35" i="12" s="1"/>
  <c r="AE107" i="12"/>
  <c r="AF107" i="12" s="1"/>
  <c r="AE34" i="12"/>
  <c r="AF34" i="12" s="1"/>
  <c r="AE274" i="12"/>
  <c r="AF274" i="12" s="1"/>
  <c r="AE257" i="12"/>
  <c r="AF257" i="12" s="1"/>
  <c r="AE201" i="12"/>
  <c r="AF201" i="12" s="1"/>
  <c r="Z23" i="12"/>
  <c r="W529" i="17"/>
  <c r="W531" i="17" s="1"/>
  <c r="W658" i="17"/>
  <c r="W660" i="17" s="1"/>
  <c r="W409" i="17"/>
  <c r="W411" i="17" s="1"/>
  <c r="W586" i="17"/>
  <c r="W588" i="17" s="1"/>
  <c r="W499" i="17"/>
  <c r="W501" i="17" s="1"/>
  <c r="W486" i="17"/>
  <c r="W488" i="17" s="1"/>
  <c r="W659" i="17"/>
  <c r="W661" i="17" s="1"/>
  <c r="W683" i="17"/>
  <c r="W685" i="17" s="1"/>
  <c r="W456" i="17"/>
  <c r="W458" i="17" s="1"/>
  <c r="W451" i="17"/>
  <c r="W453" i="17" s="1"/>
  <c r="W542" i="17"/>
  <c r="W545" i="17" s="1"/>
  <c r="W621" i="17"/>
  <c r="W623" i="17" s="1"/>
  <c r="W474" i="17"/>
  <c r="W476" i="17" s="1"/>
  <c r="W481" i="17"/>
  <c r="W483" i="17" s="1"/>
  <c r="W396" i="17"/>
  <c r="W398" i="17" s="1"/>
  <c r="W457" i="17"/>
  <c r="W459" i="17" s="1"/>
  <c r="W403" i="17"/>
  <c r="W405" i="17" s="1"/>
  <c r="W574" i="17"/>
  <c r="W576" i="17" s="1"/>
  <c r="W627" i="17"/>
  <c r="W629" i="17" s="1"/>
  <c r="W445" i="17"/>
  <c r="W447" i="17" s="1"/>
  <c r="W540" i="17"/>
  <c r="W543" i="17" s="1"/>
  <c r="W426" i="17"/>
  <c r="W428" i="17" s="1"/>
  <c r="W585" i="17"/>
  <c r="W587" i="17" s="1"/>
  <c r="W653" i="17"/>
  <c r="W655" i="17" s="1"/>
  <c r="W397" i="17"/>
  <c r="W399" i="17" s="1"/>
  <c r="W682" i="17"/>
  <c r="W684" i="17" s="1"/>
  <c r="W427" i="17"/>
  <c r="W429" i="17" s="1"/>
  <c r="W646" i="17"/>
  <c r="W648" i="17" s="1"/>
  <c r="W517" i="17"/>
  <c r="W519" i="17" s="1"/>
  <c r="W505" i="17"/>
  <c r="W507" i="17" s="1"/>
  <c r="W573" i="17"/>
  <c r="W575" i="17" s="1"/>
  <c r="W504" i="17"/>
  <c r="W506" i="17" s="1"/>
  <c r="Z109" i="12"/>
  <c r="AK109" i="12" s="1"/>
  <c r="Z274" i="12"/>
  <c r="AK274" i="12" s="1"/>
  <c r="Z257" i="12"/>
  <c r="AK257" i="12" s="1"/>
  <c r="Z35" i="12"/>
  <c r="Z34" i="12"/>
  <c r="AE103" i="12"/>
  <c r="AF103" i="12" s="1"/>
  <c r="AE198" i="12"/>
  <c r="AF198" i="12" s="1"/>
  <c r="AE161" i="12"/>
  <c r="AF161" i="12" s="1"/>
  <c r="AE60" i="12"/>
  <c r="AF60" i="12" s="1"/>
  <c r="AE46" i="12"/>
  <c r="AF46" i="12" s="1"/>
  <c r="AE233" i="12"/>
  <c r="AF233" i="12" s="1"/>
  <c r="AE13" i="12"/>
  <c r="AF13" i="12" s="1"/>
  <c r="AE99" i="12"/>
  <c r="AF99" i="12" s="1"/>
  <c r="AE115" i="12"/>
  <c r="AF115" i="12" s="1"/>
  <c r="AE43" i="12"/>
  <c r="AF43" i="12" s="1"/>
  <c r="AE235" i="12"/>
  <c r="AF235" i="12" s="1"/>
  <c r="AE154" i="12"/>
  <c r="AF154" i="12" s="1"/>
  <c r="AE165" i="12"/>
  <c r="AE247" i="12"/>
  <c r="AF247" i="12" s="1"/>
  <c r="AE246" i="12"/>
  <c r="AF246" i="12" s="1"/>
  <c r="AE133" i="12"/>
  <c r="AF133" i="12" s="1"/>
  <c r="AE252" i="12"/>
  <c r="AF252" i="12" s="1"/>
  <c r="AE177" i="12"/>
  <c r="AF177" i="12" s="1"/>
  <c r="AE138" i="12"/>
  <c r="AF138" i="12" s="1"/>
  <c r="AE27" i="12"/>
  <c r="AF27" i="12" s="1"/>
  <c r="AE59" i="12"/>
  <c r="AF59" i="12" s="1"/>
  <c r="AE86" i="12"/>
  <c r="AF86" i="12" s="1"/>
  <c r="AE155" i="12"/>
  <c r="AF155" i="12" s="1"/>
  <c r="AE21" i="12"/>
  <c r="AF21" i="12" s="1"/>
  <c r="AE170" i="12"/>
  <c r="AF170" i="12" s="1"/>
  <c r="AE63" i="12"/>
  <c r="AF63" i="12" s="1"/>
  <c r="AE214" i="12"/>
  <c r="AF214" i="12" s="1"/>
  <c r="AE263" i="12"/>
  <c r="AF263" i="12" s="1"/>
  <c r="AE30" i="12"/>
  <c r="AF30" i="12" s="1"/>
  <c r="AE12" i="12"/>
  <c r="AF12" i="12" s="1"/>
  <c r="AE76" i="12"/>
  <c r="AF76" i="12" s="1"/>
  <c r="AE78" i="12"/>
  <c r="AF78" i="12" s="1"/>
  <c r="AE47" i="12"/>
  <c r="AF47" i="12" s="1"/>
  <c r="AE98" i="12"/>
  <c r="AF98" i="12" s="1"/>
  <c r="AE179" i="12"/>
  <c r="AF179" i="12" s="1"/>
  <c r="AE245" i="12"/>
  <c r="AF245" i="12" s="1"/>
  <c r="AE158" i="12"/>
  <c r="AF158" i="12" s="1"/>
  <c r="AE234" i="12"/>
  <c r="AF234" i="12" s="1"/>
  <c r="AE220" i="12"/>
  <c r="AF220" i="12" s="1"/>
  <c r="AE272" i="12"/>
  <c r="AF272" i="12" s="1"/>
  <c r="AE172" i="12"/>
  <c r="AF172" i="12" s="1"/>
  <c r="AE207" i="12"/>
  <c r="AF207" i="12" s="1"/>
  <c r="AE134" i="12"/>
  <c r="AF134" i="12" s="1"/>
  <c r="AE39" i="12"/>
  <c r="AF39" i="12" s="1"/>
  <c r="AE20" i="12"/>
  <c r="AF20" i="12" s="1"/>
  <c r="AE6" i="12"/>
  <c r="AF6" i="12" s="1"/>
  <c r="AE80" i="12"/>
  <c r="AF80" i="12" s="1"/>
  <c r="AE61" i="12"/>
  <c r="AF61" i="12" s="1"/>
  <c r="AE41" i="12"/>
  <c r="AF41" i="12" s="1"/>
  <c r="AE190" i="12"/>
  <c r="AF190" i="12" s="1"/>
  <c r="AE270" i="12"/>
  <c r="AF270" i="12" s="1"/>
  <c r="AE193" i="12"/>
  <c r="AF193" i="12" s="1"/>
  <c r="AE248" i="12"/>
  <c r="AF248" i="12" s="1"/>
  <c r="AE200" i="12"/>
  <c r="AF200" i="12" s="1"/>
  <c r="AE229" i="12"/>
  <c r="AF229" i="12" s="1"/>
  <c r="AE51" i="12"/>
  <c r="AF51" i="12" s="1"/>
  <c r="AE164" i="12"/>
  <c r="AE232" i="12"/>
  <c r="AF232" i="12" s="1"/>
  <c r="AE117" i="12"/>
  <c r="AF117" i="12" s="1"/>
  <c r="AE135" i="12"/>
  <c r="AF135" i="12" s="1"/>
  <c r="AE141" i="12"/>
  <c r="AF141" i="12" s="1"/>
  <c r="AE116" i="12"/>
  <c r="AF116" i="12" s="1"/>
  <c r="AE25" i="12"/>
  <c r="AF25" i="12" s="1"/>
  <c r="AE26" i="12"/>
  <c r="AF26" i="12" s="1"/>
  <c r="AE10" i="12"/>
  <c r="AF10" i="12" s="1"/>
  <c r="AE5" i="12"/>
  <c r="AF5" i="12" s="1"/>
  <c r="AE67" i="12"/>
  <c r="AF67" i="12" s="1"/>
  <c r="AE83" i="12"/>
  <c r="AF83" i="12" s="1"/>
  <c r="AE102" i="12"/>
  <c r="AF102" i="12" s="1"/>
  <c r="AE62" i="12"/>
  <c r="AF62" i="12" s="1"/>
  <c r="AE42" i="12"/>
  <c r="AF42" i="12" s="1"/>
  <c r="AE64" i="12"/>
  <c r="AF64" i="12" s="1"/>
  <c r="AE101" i="12"/>
  <c r="AF101" i="12" s="1"/>
  <c r="AE82" i="12"/>
  <c r="AF82" i="12" s="1"/>
  <c r="AE48" i="12"/>
  <c r="AF48" i="12" s="1"/>
  <c r="AE171" i="12"/>
  <c r="AF171" i="12" s="1"/>
  <c r="AE216" i="12"/>
  <c r="AF216" i="12" s="1"/>
  <c r="AE227" i="12"/>
  <c r="AF227" i="12" s="1"/>
  <c r="AE262" i="12"/>
  <c r="AF262" i="12" s="1"/>
  <c r="AE178" i="12"/>
  <c r="AF178" i="12" s="1"/>
  <c r="AE189" i="12"/>
  <c r="AF189" i="12" s="1"/>
  <c r="AE230" i="12"/>
  <c r="AF230" i="12" s="1"/>
  <c r="AE273" i="12"/>
  <c r="AF273" i="12" s="1"/>
  <c r="AE121" i="12"/>
  <c r="AF121" i="12" s="1"/>
  <c r="AE169" i="12"/>
  <c r="AF169" i="12" s="1"/>
  <c r="AE196" i="12"/>
  <c r="AF196" i="12" s="1"/>
  <c r="AE210" i="12"/>
  <c r="AF210" i="12" s="1"/>
  <c r="AE255" i="12"/>
  <c r="AF255" i="12" s="1"/>
  <c r="AE268" i="12"/>
  <c r="AF268" i="12" s="1"/>
  <c r="AE100" i="12"/>
  <c r="AF100" i="12" s="1"/>
  <c r="AE160" i="12"/>
  <c r="AF160" i="12" s="1"/>
  <c r="AE205" i="12"/>
  <c r="AF205" i="12" s="1"/>
  <c r="AE228" i="12"/>
  <c r="AF228" i="12" s="1"/>
  <c r="AE123" i="12"/>
  <c r="AF123" i="12" s="1"/>
  <c r="AE119" i="12"/>
  <c r="AF119" i="12" s="1"/>
  <c r="AE143" i="12"/>
  <c r="AF143" i="12" s="1"/>
  <c r="AE140" i="12"/>
  <c r="AF140" i="12" s="1"/>
  <c r="AE32" i="12"/>
  <c r="AF32" i="12" s="1"/>
  <c r="AE31" i="12"/>
  <c r="AF31" i="12" s="1"/>
  <c r="AE24" i="12"/>
  <c r="AF24" i="12" s="1"/>
  <c r="AE14" i="12"/>
  <c r="AF14" i="12" s="1"/>
  <c r="AE9" i="12"/>
  <c r="AF9" i="12" s="1"/>
  <c r="AE4" i="12"/>
  <c r="AF4" i="12" s="1"/>
  <c r="AE75" i="12"/>
  <c r="AF75" i="12" s="1"/>
  <c r="AE106" i="12"/>
  <c r="AF106" i="12" s="1"/>
  <c r="AE77" i="12"/>
  <c r="AF77" i="12" s="1"/>
  <c r="AE96" i="12"/>
  <c r="AF96" i="12" s="1"/>
  <c r="AE44" i="12"/>
  <c r="AF44" i="12" s="1"/>
  <c r="AE79" i="12"/>
  <c r="AF79" i="12" s="1"/>
  <c r="AE104" i="12"/>
  <c r="AF104" i="12" s="1"/>
  <c r="AE65" i="12"/>
  <c r="AF65" i="12" s="1"/>
  <c r="AE159" i="12"/>
  <c r="AE187" i="12"/>
  <c r="AF187" i="12" s="1"/>
  <c r="AE212" i="12"/>
  <c r="AF212" i="12" s="1"/>
  <c r="AE249" i="12"/>
  <c r="AF249" i="12" s="1"/>
  <c r="AE162" i="12"/>
  <c r="AF162" i="12" s="1"/>
  <c r="AE174" i="12"/>
  <c r="AF174" i="12" s="1"/>
  <c r="AE217" i="12"/>
  <c r="AF217" i="12" s="1"/>
  <c r="AE256" i="12"/>
  <c r="AF256" i="12" s="1"/>
  <c r="AE269" i="12"/>
  <c r="AF269" i="12" s="1"/>
  <c r="AE181" i="12"/>
  <c r="AF181" i="12" s="1"/>
  <c r="AE192" i="12"/>
  <c r="AF192" i="12" s="1"/>
  <c r="AE251" i="12"/>
  <c r="AF251" i="12" s="1"/>
  <c r="AE264" i="12"/>
  <c r="AF264" i="12" s="1"/>
  <c r="AE176" i="12"/>
  <c r="AF176" i="12" s="1"/>
  <c r="AE211" i="12"/>
  <c r="AF211" i="12" s="1"/>
  <c r="AE250" i="12"/>
  <c r="AF250" i="12" s="1"/>
  <c r="AE87" i="12"/>
  <c r="AF87" i="12" s="1"/>
  <c r="AE152" i="12"/>
  <c r="AF152" i="12" s="1"/>
  <c r="AE132" i="12"/>
  <c r="AF132" i="12" s="1"/>
  <c r="AE105" i="12"/>
  <c r="AF105" i="12" s="1"/>
  <c r="AE33" i="12"/>
  <c r="AF33" i="12" s="1"/>
  <c r="AF28" i="12"/>
  <c r="AE23" i="12"/>
  <c r="AF23" i="12" s="1"/>
  <c r="AE15" i="12"/>
  <c r="AF15" i="12" s="1"/>
  <c r="AE11" i="12"/>
  <c r="AF11" i="12" s="1"/>
  <c r="AE7" i="12"/>
  <c r="AF7" i="12" s="1"/>
  <c r="AE3" i="12"/>
  <c r="AF3" i="12" s="1"/>
  <c r="AE68" i="12"/>
  <c r="AF68" i="12" s="1"/>
  <c r="AE81" i="12"/>
  <c r="AF81" i="12" s="1"/>
  <c r="AE95" i="12"/>
  <c r="AF95" i="12" s="1"/>
  <c r="AE114" i="12"/>
  <c r="AF114" i="12" s="1"/>
  <c r="AE69" i="12"/>
  <c r="AF69" i="12" s="1"/>
  <c r="AE40" i="12"/>
  <c r="AF40" i="12" s="1"/>
  <c r="AE45" i="12"/>
  <c r="AF45" i="12" s="1"/>
  <c r="AE97" i="12"/>
  <c r="AF97" i="12" s="1"/>
  <c r="AE57" i="12"/>
  <c r="AF57" i="12" s="1"/>
  <c r="AE50" i="12"/>
  <c r="AF50" i="12" s="1"/>
  <c r="AE163" i="12"/>
  <c r="AF163" i="12" s="1"/>
  <c r="AE175" i="12"/>
  <c r="AF175" i="12" s="1"/>
  <c r="AE194" i="12"/>
  <c r="AF194" i="12" s="1"/>
  <c r="AE208" i="12"/>
  <c r="AF208" i="12" s="1"/>
  <c r="AE253" i="12"/>
  <c r="AF253" i="12" s="1"/>
  <c r="AE266" i="12"/>
  <c r="AF266" i="12" s="1"/>
  <c r="AE84" i="12"/>
  <c r="AF84" i="12" s="1"/>
  <c r="AE182" i="12"/>
  <c r="AF182" i="12" s="1"/>
  <c r="AE197" i="12"/>
  <c r="AF197" i="12" s="1"/>
  <c r="AE213" i="12"/>
  <c r="AF213" i="12" s="1"/>
  <c r="AE226" i="12"/>
  <c r="AF226" i="12" s="1"/>
  <c r="AE244" i="12"/>
  <c r="AF244" i="12" s="1"/>
  <c r="AE157" i="12"/>
  <c r="AF157" i="12" s="1"/>
  <c r="AE173" i="12"/>
  <c r="AF173" i="12" s="1"/>
  <c r="AE188" i="12"/>
  <c r="AF188" i="12" s="1"/>
  <c r="AE206" i="12"/>
  <c r="AF206" i="12" s="1"/>
  <c r="AE225" i="12"/>
  <c r="AF225" i="12" s="1"/>
  <c r="AE261" i="12"/>
  <c r="AF261" i="12" s="1"/>
  <c r="AE156" i="12"/>
  <c r="AF156" i="12" s="1"/>
  <c r="AE199" i="12"/>
  <c r="AF199" i="12" s="1"/>
  <c r="AE224" i="12"/>
  <c r="AF224" i="12" s="1"/>
  <c r="AE243" i="12"/>
  <c r="AF243" i="12" s="1"/>
  <c r="AE271" i="12"/>
  <c r="AF271" i="12" s="1"/>
  <c r="AE49" i="12"/>
  <c r="AF49" i="12" s="1"/>
  <c r="AE136" i="12"/>
  <c r="AF136" i="12" s="1"/>
  <c r="AE66" i="12"/>
  <c r="AF66" i="12" s="1"/>
  <c r="AE122" i="12"/>
  <c r="AF122" i="12" s="1"/>
  <c r="AE137" i="12"/>
  <c r="AF137" i="12" s="1"/>
  <c r="AE151" i="12"/>
  <c r="AF151" i="12" s="1"/>
  <c r="AE120" i="12"/>
  <c r="AF120" i="12" s="1"/>
  <c r="AE180" i="12"/>
  <c r="AF180" i="12" s="1"/>
  <c r="AE195" i="12"/>
  <c r="AF195" i="12" s="1"/>
  <c r="AE215" i="12"/>
  <c r="AF215" i="12" s="1"/>
  <c r="AE236" i="12"/>
  <c r="AF236" i="12" s="1"/>
  <c r="AE254" i="12"/>
  <c r="AF254" i="12" s="1"/>
  <c r="AE267" i="12"/>
  <c r="AF267" i="12" s="1"/>
  <c r="AE113" i="12"/>
  <c r="AF113" i="12" s="1"/>
  <c r="AE142" i="12"/>
  <c r="AF142" i="12" s="1"/>
  <c r="AE94" i="12"/>
  <c r="AF94" i="12" s="1"/>
  <c r="AE124" i="12"/>
  <c r="AF124" i="12" s="1"/>
  <c r="AE139" i="12"/>
  <c r="AF139" i="12" s="1"/>
  <c r="AE153" i="12"/>
  <c r="AF153" i="12" s="1"/>
  <c r="Z270" i="12"/>
  <c r="AK270" i="12" s="1"/>
  <c r="Z250" i="12"/>
  <c r="AK250" i="12" s="1"/>
  <c r="Z229" i="12"/>
  <c r="AK229" i="12" s="1"/>
  <c r="Z189" i="12"/>
  <c r="AK189" i="12" s="1"/>
  <c r="Z43" i="12"/>
  <c r="AK43" i="12" s="1"/>
  <c r="Z269" i="12"/>
  <c r="AK269" i="12" s="1"/>
  <c r="Z249" i="12"/>
  <c r="AK249" i="12" s="1"/>
  <c r="Z228" i="12"/>
  <c r="AK228" i="12" s="1"/>
  <c r="Z208" i="12"/>
  <c r="AK208" i="12" s="1"/>
  <c r="Z188" i="12"/>
  <c r="AK188" i="12" s="1"/>
  <c r="Z165" i="12"/>
  <c r="AK165" i="12" s="1"/>
  <c r="Z256" i="12"/>
  <c r="AK256" i="12" s="1"/>
  <c r="Z235" i="12"/>
  <c r="AK235" i="12" s="1"/>
  <c r="Z215" i="12"/>
  <c r="AK215" i="12" s="1"/>
  <c r="Z195" i="12"/>
  <c r="AK195" i="12" s="1"/>
  <c r="Z175" i="12"/>
  <c r="AK175" i="12" s="1"/>
  <c r="Z156" i="12"/>
  <c r="AK156" i="12" s="1"/>
  <c r="Z100" i="12"/>
  <c r="AK100" i="12" s="1"/>
  <c r="Z267" i="12"/>
  <c r="AK267" i="12" s="1"/>
  <c r="Z247" i="12"/>
  <c r="AK247" i="12" s="1"/>
  <c r="Z226" i="12"/>
  <c r="AK226" i="12" s="1"/>
  <c r="Z206" i="12"/>
  <c r="Z182" i="12"/>
  <c r="AK182" i="12" s="1"/>
  <c r="Z163" i="12"/>
  <c r="AK163" i="12" s="1"/>
  <c r="Z266" i="12"/>
  <c r="AK266" i="12" s="1"/>
  <c r="Z246" i="12"/>
  <c r="AK246" i="12" s="1"/>
  <c r="Z225" i="12"/>
  <c r="AK225" i="12" s="1"/>
  <c r="Z181" i="12"/>
  <c r="AK181" i="12" s="1"/>
  <c r="Z63" i="12"/>
  <c r="Z265" i="12"/>
  <c r="AK265" i="12" s="1"/>
  <c r="Z245" i="12"/>
  <c r="AK245" i="12" s="1"/>
  <c r="Z224" i="12"/>
  <c r="AK224" i="12" s="1"/>
  <c r="Z200" i="12"/>
  <c r="AK200" i="12" s="1"/>
  <c r="Z180" i="12"/>
  <c r="AK180" i="12" s="1"/>
  <c r="Z161" i="12"/>
  <c r="AK161" i="12" s="1"/>
  <c r="Z252" i="12"/>
  <c r="AK252" i="12" s="1"/>
  <c r="Z231" i="12"/>
  <c r="AK231" i="12" s="1"/>
  <c r="Z211" i="12"/>
  <c r="AK211" i="12" s="1"/>
  <c r="Z191" i="12"/>
  <c r="AK191" i="12" s="1"/>
  <c r="Z171" i="12"/>
  <c r="AK171" i="12" s="1"/>
  <c r="Z21" i="12"/>
  <c r="Z133" i="12"/>
  <c r="AK133" i="12" s="1"/>
  <c r="Z263" i="12"/>
  <c r="AK263" i="12" s="1"/>
  <c r="Z243" i="12"/>
  <c r="AK243" i="12" s="1"/>
  <c r="Z220" i="12"/>
  <c r="AK220" i="12" s="1"/>
  <c r="Z198" i="12"/>
  <c r="AK198" i="12" s="1"/>
  <c r="Z178" i="12"/>
  <c r="AK178" i="12" s="1"/>
  <c r="Z159" i="12"/>
  <c r="AK159" i="12" s="1"/>
  <c r="Z262" i="12"/>
  <c r="Z217" i="12"/>
  <c r="AK217" i="12" s="1"/>
  <c r="Z197" i="12"/>
  <c r="AK197" i="12" s="1"/>
  <c r="Z177" i="12"/>
  <c r="AK177" i="12" s="1"/>
  <c r="Z261" i="12"/>
  <c r="AK261" i="12" s="1"/>
  <c r="Z236" i="12"/>
  <c r="AK236" i="12" s="1"/>
  <c r="Z216" i="12"/>
  <c r="AK216" i="12" s="1"/>
  <c r="Z196" i="12"/>
  <c r="AK196" i="12" s="1"/>
  <c r="Z176" i="12"/>
  <c r="AK176" i="12" s="1"/>
  <c r="Z157" i="12"/>
  <c r="AK157" i="12" s="1"/>
  <c r="Z268" i="12"/>
  <c r="AK268" i="12" s="1"/>
  <c r="Z248" i="12"/>
  <c r="AK248" i="12" s="1"/>
  <c r="Z227" i="12"/>
  <c r="AK227" i="12" s="1"/>
  <c r="Z207" i="12"/>
  <c r="AK207" i="12" s="1"/>
  <c r="Z187" i="12"/>
  <c r="AK187" i="12" s="1"/>
  <c r="Z164" i="12"/>
  <c r="AK164" i="12" s="1"/>
  <c r="Z51" i="12"/>
  <c r="AK51" i="12" s="1"/>
  <c r="Z255" i="12"/>
  <c r="AK255" i="12" s="1"/>
  <c r="Z234" i="12"/>
  <c r="AK234" i="12" s="1"/>
  <c r="Z214" i="12"/>
  <c r="AK214" i="12" s="1"/>
  <c r="Z194" i="12"/>
  <c r="AK194" i="12" s="1"/>
  <c r="Z174" i="12"/>
  <c r="AK174" i="12" s="1"/>
  <c r="Z155" i="12"/>
  <c r="AK155" i="12" s="1"/>
  <c r="Z254" i="12"/>
  <c r="AK254" i="12" s="1"/>
  <c r="Z233" i="12"/>
  <c r="AK233" i="12" s="1"/>
  <c r="Z213" i="12"/>
  <c r="AK213" i="12" s="1"/>
  <c r="Z193" i="12"/>
  <c r="AK193" i="12" s="1"/>
  <c r="Z173" i="12"/>
  <c r="AK173" i="12" s="1"/>
  <c r="Z121" i="12"/>
  <c r="AK121" i="12" s="1"/>
  <c r="Z273" i="12"/>
  <c r="AK273" i="12" s="1"/>
  <c r="Z253" i="12"/>
  <c r="Z232" i="12"/>
  <c r="AK232" i="12" s="1"/>
  <c r="Z212" i="12"/>
  <c r="AK212" i="12" s="1"/>
  <c r="Z192" i="12"/>
  <c r="AK192" i="12" s="1"/>
  <c r="Z172" i="12"/>
  <c r="AK172" i="12" s="1"/>
  <c r="Z264" i="12"/>
  <c r="AK264" i="12" s="1"/>
  <c r="Z244" i="12"/>
  <c r="AK244" i="12" s="1"/>
  <c r="Z199" i="12"/>
  <c r="AK199" i="12" s="1"/>
  <c r="Z179" i="12"/>
  <c r="AK179" i="12" s="1"/>
  <c r="Z160" i="12"/>
  <c r="AK160" i="12" s="1"/>
  <c r="Z84" i="12"/>
  <c r="AK84" i="12" s="1"/>
  <c r="Z271" i="12"/>
  <c r="AK271" i="12" s="1"/>
  <c r="Z251" i="12"/>
  <c r="AK251" i="12" s="1"/>
  <c r="Z230" i="12"/>
  <c r="AK230" i="12" s="1"/>
  <c r="Z210" i="12"/>
  <c r="AK210" i="12" s="1"/>
  <c r="Z190" i="12"/>
  <c r="AK190" i="12" s="1"/>
  <c r="Z170" i="12"/>
  <c r="AK170" i="12" s="1"/>
  <c r="Z25" i="12"/>
  <c r="Z28" i="12"/>
  <c r="Z5" i="12"/>
  <c r="AK5" i="12" s="1"/>
  <c r="Z13" i="12"/>
  <c r="AK13" i="12" s="1"/>
  <c r="Z8" i="12"/>
  <c r="AK8" i="12" s="1"/>
  <c r="Z26" i="12"/>
  <c r="Z32" i="12"/>
  <c r="Z24" i="12"/>
  <c r="Z3" i="12"/>
  <c r="AK3" i="12" s="1"/>
  <c r="Z39" i="12"/>
  <c r="AK39" i="12" s="1"/>
  <c r="Z10" i="12"/>
  <c r="AK10" i="12" s="1"/>
  <c r="Z14" i="12"/>
  <c r="Z30" i="12"/>
  <c r="Z22" i="12"/>
  <c r="Z7" i="12"/>
  <c r="AK7" i="12" s="1"/>
  <c r="Z94" i="12"/>
  <c r="AK94" i="12" s="1"/>
  <c r="Z95" i="12"/>
  <c r="AK95" i="12" s="1"/>
  <c r="Z96" i="12"/>
  <c r="AK96" i="12" s="1"/>
  <c r="Z97" i="12"/>
  <c r="AK97" i="12" s="1"/>
  <c r="Z98" i="12"/>
  <c r="AK98" i="12" s="1"/>
  <c r="Z99" i="12"/>
  <c r="AK99" i="12" s="1"/>
  <c r="Z101" i="12"/>
  <c r="AK101" i="12" s="1"/>
  <c r="Z102" i="12"/>
  <c r="AK102" i="12" s="1"/>
  <c r="Z103" i="12"/>
  <c r="AK103" i="12" s="1"/>
  <c r="Z104" i="12"/>
  <c r="AK104" i="12" s="1"/>
  <c r="Z105" i="12"/>
  <c r="AK105" i="12" s="1"/>
  <c r="Z106" i="12"/>
  <c r="AK106" i="12" s="1"/>
  <c r="Z113" i="12"/>
  <c r="AK113" i="12" s="1"/>
  <c r="Z114" i="12"/>
  <c r="AK114" i="12" s="1"/>
  <c r="Z115" i="12"/>
  <c r="AK115" i="12" s="1"/>
  <c r="Z116" i="12"/>
  <c r="AK116" i="12" s="1"/>
  <c r="Z6" i="12"/>
  <c r="Z12" i="12"/>
  <c r="AK12" i="12" s="1"/>
  <c r="Z20" i="12"/>
  <c r="AK20" i="12" s="1"/>
  <c r="Z33" i="12"/>
  <c r="Z42" i="12"/>
  <c r="AK42" i="12" s="1"/>
  <c r="Z47" i="12"/>
  <c r="Z64" i="12"/>
  <c r="AK64" i="12" s="1"/>
  <c r="Z61" i="12"/>
  <c r="AK61" i="12" s="1"/>
  <c r="Z69" i="12"/>
  <c r="AK69" i="12" s="1"/>
  <c r="Z77" i="12"/>
  <c r="Z85" i="12"/>
  <c r="AK85" i="12" s="1"/>
  <c r="Z139" i="12"/>
  <c r="AK139" i="12" s="1"/>
  <c r="Z141" i="12"/>
  <c r="AK141" i="12" s="1"/>
  <c r="Z152" i="12"/>
  <c r="AK152" i="12" s="1"/>
  <c r="Z154" i="12"/>
  <c r="AK154" i="12" s="1"/>
  <c r="Z44" i="12"/>
  <c r="AK44" i="12" s="1"/>
  <c r="Z53" i="12"/>
  <c r="AK53" i="12" s="1"/>
  <c r="Z58" i="12"/>
  <c r="AK58" i="12" s="1"/>
  <c r="Z66" i="12"/>
  <c r="AK66" i="12" s="1"/>
  <c r="Z82" i="12"/>
  <c r="AK82" i="12" s="1"/>
  <c r="AK89" i="12"/>
  <c r="Z79" i="12"/>
  <c r="AK79" i="12" s="1"/>
  <c r="Z86" i="12"/>
  <c r="AK86" i="12" s="1"/>
  <c r="Z117" i="12"/>
  <c r="AK117" i="12" s="1"/>
  <c r="Z119" i="12"/>
  <c r="AK119" i="12" s="1"/>
  <c r="Z122" i="12"/>
  <c r="AK122" i="12" s="1"/>
  <c r="Z123" i="12"/>
  <c r="AK123" i="12" s="1"/>
  <c r="Z134" i="12"/>
  <c r="AK134" i="12" s="1"/>
  <c r="Z137" i="12"/>
  <c r="AK137" i="12" s="1"/>
  <c r="Z140" i="12"/>
  <c r="AK140" i="12" s="1"/>
  <c r="Z142" i="12"/>
  <c r="Z9" i="12"/>
  <c r="AK9" i="12" s="1"/>
  <c r="Z27" i="12"/>
  <c r="Z40" i="12"/>
  <c r="AK40" i="12" s="1"/>
  <c r="Z45" i="12"/>
  <c r="AK45" i="12" s="1"/>
  <c r="Z49" i="12"/>
  <c r="AK49" i="12" s="1"/>
  <c r="Z60" i="12"/>
  <c r="AK60" i="12" s="1"/>
  <c r="Z68" i="12"/>
  <c r="AK68" i="12" s="1"/>
  <c r="Z76" i="12"/>
  <c r="AK76" i="12" s="1"/>
  <c r="Z81" i="12"/>
  <c r="AK81" i="12" s="1"/>
  <c r="Z83" i="12"/>
  <c r="AK83" i="12" s="1"/>
  <c r="Z57" i="12"/>
  <c r="AK57" i="12" s="1"/>
  <c r="Z65" i="12"/>
  <c r="AK65" i="12" s="1"/>
  <c r="Z87" i="12"/>
  <c r="AK87" i="12" s="1"/>
  <c r="Z118" i="12"/>
  <c r="AK118" i="12" s="1"/>
  <c r="Z120" i="12"/>
  <c r="AK120" i="12" s="1"/>
  <c r="Z124" i="12"/>
  <c r="AK124" i="12" s="1"/>
  <c r="Z135" i="12"/>
  <c r="Z138" i="12"/>
  <c r="AK138" i="12" s="1"/>
  <c r="Z4" i="12"/>
  <c r="AK4" i="12" s="1"/>
  <c r="Z11" i="12"/>
  <c r="AK11" i="12" s="1"/>
  <c r="Z15" i="12"/>
  <c r="AK15" i="12" s="1"/>
  <c r="Z31" i="12"/>
  <c r="Z41" i="12"/>
  <c r="AK41" i="12" s="1"/>
  <c r="Z46" i="12"/>
  <c r="AK46" i="12" s="1"/>
  <c r="Z48" i="12"/>
  <c r="AK48" i="12" s="1"/>
  <c r="Z62" i="12"/>
  <c r="AK62" i="12" s="1"/>
  <c r="Z78" i="12"/>
  <c r="AK78" i="12" s="1"/>
  <c r="Z59" i="12"/>
  <c r="AK59" i="12" s="1"/>
  <c r="Z67" i="12"/>
  <c r="AK67" i="12" s="1"/>
  <c r="Z75" i="12"/>
  <c r="AK75" i="12" s="1"/>
  <c r="Z80" i="12"/>
  <c r="AK80" i="12" s="1"/>
  <c r="Z132" i="12"/>
  <c r="AK132" i="12" s="1"/>
  <c r="Z136" i="12"/>
  <c r="AK136" i="12" s="1"/>
  <c r="Z143" i="12"/>
  <c r="AK143" i="12" s="1"/>
  <c r="Z153" i="12"/>
  <c r="AK153" i="12" s="1"/>
  <c r="AE430" i="17"/>
  <c r="AE577" i="17"/>
  <c r="AE686" i="17"/>
  <c r="AE460" i="17"/>
  <c r="AE589" i="17"/>
  <c r="AE400" i="17"/>
  <c r="W430" i="17"/>
  <c r="W460" i="17"/>
  <c r="W589" i="17"/>
  <c r="W508" i="17"/>
  <c r="W400" i="17"/>
  <c r="AE508" i="17"/>
  <c r="AF165" i="12"/>
  <c r="AF159" i="12"/>
  <c r="AF164" i="12"/>
  <c r="AK31" i="12" l="1"/>
  <c r="AA31" i="12"/>
  <c r="AA33" i="12"/>
  <c r="AK33" i="12"/>
  <c r="AK32" i="12"/>
  <c r="AA32" i="12"/>
  <c r="AK23" i="12"/>
  <c r="AA23" i="12"/>
  <c r="AA22" i="12"/>
  <c r="AK22" i="12"/>
  <c r="AK26" i="12"/>
  <c r="AA26" i="12"/>
  <c r="AA28" i="12"/>
  <c r="AK28" i="12"/>
  <c r="AK27" i="12"/>
  <c r="AA27" i="12"/>
  <c r="AK30" i="12"/>
  <c r="AA30" i="12"/>
  <c r="AA25" i="12"/>
  <c r="AK25" i="12"/>
  <c r="AK34" i="12"/>
  <c r="AA34" i="12"/>
  <c r="AA24" i="12"/>
  <c r="AK24" i="12"/>
  <c r="AK21" i="12"/>
  <c r="AA21" i="12"/>
  <c r="AA35" i="12"/>
  <c r="AK35" i="12"/>
  <c r="AE127" i="12"/>
  <c r="AF127" i="12" s="1"/>
  <c r="AE128" i="12"/>
  <c r="AF128" i="12" s="1"/>
  <c r="AB415" i="17"/>
  <c r="AC415" i="17" s="1"/>
  <c r="AE415" i="17" s="1"/>
  <c r="AE417" i="17" s="1"/>
  <c r="AB549" i="17"/>
  <c r="AC549" i="17" s="1"/>
  <c r="AE549" i="17" s="1"/>
  <c r="AE551" i="17" s="1"/>
  <c r="AB634" i="17"/>
  <c r="AC634" i="17" s="1"/>
  <c r="AE634" i="17" s="1"/>
  <c r="AE637" i="17" s="1"/>
  <c r="I6" i="10"/>
  <c r="AB285" i="17" s="1"/>
  <c r="AC285" i="17" s="1"/>
  <c r="AC5" i="12"/>
  <c r="AL5" i="12" s="1"/>
  <c r="Z579" i="17"/>
  <c r="Z581" i="17" s="1"/>
  <c r="Z469" i="17"/>
  <c r="Z471" i="17" s="1"/>
  <c r="Z658" i="17"/>
  <c r="Z660" i="17" s="1"/>
  <c r="Z474" i="17"/>
  <c r="Z476" i="17" s="1"/>
  <c r="Z621" i="17"/>
  <c r="Z623" i="17" s="1"/>
  <c r="Z457" i="17"/>
  <c r="Z459" i="17" s="1"/>
  <c r="AC113" i="12"/>
  <c r="AL113" i="12" s="1"/>
  <c r="AC124" i="12"/>
  <c r="AL124" i="12" s="1"/>
  <c r="AC118" i="12"/>
  <c r="AL118" i="12" s="1"/>
  <c r="Z562" i="17"/>
  <c r="Z564" i="17" s="1"/>
  <c r="Z556" i="17"/>
  <c r="Z558" i="17" s="1"/>
  <c r="Z486" i="17"/>
  <c r="Z488" i="17" s="1"/>
  <c r="Z397" i="17"/>
  <c r="Z399" i="17" s="1"/>
  <c r="Z499" i="17"/>
  <c r="Z501" i="17" s="1"/>
  <c r="Z646" i="17"/>
  <c r="Z648" i="17" s="1"/>
  <c r="AC117" i="12"/>
  <c r="Z535" i="17"/>
  <c r="Z537" i="17" s="1"/>
  <c r="Z568" i="17"/>
  <c r="Z570" i="17" s="1"/>
  <c r="Z634" i="17"/>
  <c r="Z637" i="17" s="1"/>
  <c r="Z585" i="17"/>
  <c r="Z587" i="17" s="1"/>
  <c r="Z682" i="17"/>
  <c r="Z684" i="17" s="1"/>
  <c r="Z481" i="17"/>
  <c r="Z483" i="17" s="1"/>
  <c r="Z653" i="17"/>
  <c r="Z655" i="17" s="1"/>
  <c r="Z403" i="17"/>
  <c r="Z405" i="17" s="1"/>
  <c r="AC114" i="12"/>
  <c r="AL114" i="12" s="1"/>
  <c r="AC119" i="12"/>
  <c r="AL119" i="12" s="1"/>
  <c r="Z439" i="17"/>
  <c r="Z441" i="17" s="1"/>
  <c r="Z492" i="17"/>
  <c r="Z494" i="17" s="1"/>
  <c r="AC128" i="12"/>
  <c r="AL128" i="12" s="1"/>
  <c r="Z427" i="17"/>
  <c r="Z429" i="17" s="1"/>
  <c r="Z445" i="17"/>
  <c r="Z447" i="17" s="1"/>
  <c r="Z426" i="17"/>
  <c r="Z428" i="17" s="1"/>
  <c r="Z430" i="17" s="1"/>
  <c r="Z409" i="17"/>
  <c r="Z411" i="17" s="1"/>
  <c r="Z659" i="17"/>
  <c r="Z661" i="17" s="1"/>
  <c r="AC115" i="12"/>
  <c r="AL115" i="12" s="1"/>
  <c r="AC122" i="12"/>
  <c r="AL122" i="12" s="1"/>
  <c r="AC120" i="12"/>
  <c r="AL120" i="12" s="1"/>
  <c r="AB562" i="17"/>
  <c r="AC562" i="17" s="1"/>
  <c r="AE562" i="17" s="1"/>
  <c r="AE564" i="17" s="1"/>
  <c r="AB523" i="17"/>
  <c r="AC523" i="17" s="1"/>
  <c r="AE523" i="17" s="1"/>
  <c r="AE525" i="17" s="1"/>
  <c r="Z127" i="12"/>
  <c r="AK127" i="12" s="1"/>
  <c r="W415" i="17"/>
  <c r="W417" i="17" s="1"/>
  <c r="W634" i="17"/>
  <c r="W637" i="17" s="1"/>
  <c r="W522" i="17"/>
  <c r="W524" i="17" s="1"/>
  <c r="W633" i="17"/>
  <c r="W636" i="17" s="1"/>
  <c r="W580" i="17"/>
  <c r="W582" i="17" s="1"/>
  <c r="W583" i="17" s="1"/>
  <c r="K8" i="10"/>
  <c r="K9" i="10"/>
  <c r="K11" i="10" s="1"/>
  <c r="Z450" i="17" s="1"/>
  <c r="Z452" i="17" s="1"/>
  <c r="AC130" i="11"/>
  <c r="Z609" i="17"/>
  <c r="Z611" i="17" s="1"/>
  <c r="Z613" i="17" s="1"/>
  <c r="Z628" i="17"/>
  <c r="Z630" i="17" s="1"/>
  <c r="Z487" i="17"/>
  <c r="Z489" i="17" s="1"/>
  <c r="Z670" i="17"/>
  <c r="Z672" i="17" s="1"/>
  <c r="Z647" i="17"/>
  <c r="Z649" i="17" s="1"/>
  <c r="Z650" i="17" s="1"/>
  <c r="AC122" i="11"/>
  <c r="AL122" i="11" s="1"/>
  <c r="AC115" i="11"/>
  <c r="AL115" i="11" s="1"/>
  <c r="AC120" i="11"/>
  <c r="AL120" i="11" s="1"/>
  <c r="AC109" i="11"/>
  <c r="AL109" i="11" s="1"/>
  <c r="Z622" i="17"/>
  <c r="Z624" i="17" s="1"/>
  <c r="Z625" i="17" s="1"/>
  <c r="Z528" i="17"/>
  <c r="Z530" i="17" s="1"/>
  <c r="AC111" i="11"/>
  <c r="AL111" i="11" s="1"/>
  <c r="AC114" i="11"/>
  <c r="AL114" i="11" s="1"/>
  <c r="AC117" i="11"/>
  <c r="AL117" i="11" s="1"/>
  <c r="Z498" i="17"/>
  <c r="Z500" i="17" s="1"/>
  <c r="Z502" i="17" s="1"/>
  <c r="Z480" i="17"/>
  <c r="Z482" i="17" s="1"/>
  <c r="Z484" i="17" s="1"/>
  <c r="Z694" i="17"/>
  <c r="Z696" i="17" s="1"/>
  <c r="Z671" i="17"/>
  <c r="Z673" i="17" s="1"/>
  <c r="Z674" i="17" s="1"/>
  <c r="Z432" i="17"/>
  <c r="Z434" i="17" s="1"/>
  <c r="Z436" i="17" s="1"/>
  <c r="AC119" i="11"/>
  <c r="AD119" i="11" s="1"/>
  <c r="AC113" i="11"/>
  <c r="AL113" i="11" s="1"/>
  <c r="AC110" i="11"/>
  <c r="AL110" i="11" s="1"/>
  <c r="Z433" i="17"/>
  <c r="Z435" i="17" s="1"/>
  <c r="Z652" i="17"/>
  <c r="Z654" i="17" s="1"/>
  <c r="Z656" i="17" s="1"/>
  <c r="Z408" i="17"/>
  <c r="Z410" i="17" s="1"/>
  <c r="Z412" i="17" s="1"/>
  <c r="Z420" i="17"/>
  <c r="Z422" i="17" s="1"/>
  <c r="Z610" i="17"/>
  <c r="Z612" i="17" s="1"/>
  <c r="Z510" i="17"/>
  <c r="Z512" i="17" s="1"/>
  <c r="F19" i="22"/>
  <c r="W662" i="17"/>
  <c r="K10" i="10"/>
  <c r="W284" i="17" s="1"/>
  <c r="X284" i="17" s="1"/>
  <c r="W577" i="17"/>
  <c r="W546" i="17"/>
  <c r="W291" i="17"/>
  <c r="W293" i="17" s="1"/>
  <c r="W255" i="17"/>
  <c r="W91" i="17"/>
  <c r="W218" i="17"/>
  <c r="W90" i="17"/>
  <c r="W156" i="17"/>
  <c r="W158" i="17" s="1"/>
  <c r="W43" i="17"/>
  <c r="W36" i="17"/>
  <c r="Z193" i="11"/>
  <c r="AK193" i="11" s="1"/>
  <c r="Z32" i="11"/>
  <c r="AK32" i="11" s="1"/>
  <c r="W462" i="17"/>
  <c r="W464" i="17" s="1"/>
  <c r="W466" i="17" s="1"/>
  <c r="W414" i="17"/>
  <c r="W416" i="17" s="1"/>
  <c r="W592" i="17"/>
  <c r="W594" i="17" s="1"/>
  <c r="Z247" i="11"/>
  <c r="AK247" i="11" s="1"/>
  <c r="Z68" i="11"/>
  <c r="AK68" i="11" s="1"/>
  <c r="W534" i="17"/>
  <c r="W536" i="17" s="1"/>
  <c r="W538" i="17" s="1"/>
  <c r="W604" i="17"/>
  <c r="W606" i="17" s="1"/>
  <c r="W597" i="17"/>
  <c r="W599" i="17" s="1"/>
  <c r="W493" i="17"/>
  <c r="W495" i="17" s="1"/>
  <c r="W555" i="17"/>
  <c r="W557" i="17" s="1"/>
  <c r="W548" i="17"/>
  <c r="W550" i="17" s="1"/>
  <c r="W552" i="17" s="1"/>
  <c r="W591" i="17"/>
  <c r="W593" i="17" s="1"/>
  <c r="Z122" i="11"/>
  <c r="AK122" i="11" s="1"/>
  <c r="W686" i="17"/>
  <c r="AE662" i="17"/>
  <c r="AE209" i="11"/>
  <c r="AF209" i="11" s="1"/>
  <c r="AE149" i="11"/>
  <c r="AF149" i="11" s="1"/>
  <c r="Z490" i="17"/>
  <c r="Z314" i="17"/>
  <c r="Z316" i="17" s="1"/>
  <c r="Z266" i="17"/>
  <c r="Z248" i="17"/>
  <c r="Z250" i="17" s="1"/>
  <c r="Z225" i="17"/>
  <c r="Z218" i="17"/>
  <c r="Z109" i="17"/>
  <c r="Z97" i="17"/>
  <c r="Z78" i="17"/>
  <c r="AI78" i="17" s="1"/>
  <c r="Z67" i="17"/>
  <c r="Z320" i="17"/>
  <c r="AI320" i="17" s="1"/>
  <c r="Z279" i="17"/>
  <c r="Z261" i="17"/>
  <c r="Z263" i="17" s="1"/>
  <c r="Z242" i="17"/>
  <c r="Z236" i="17"/>
  <c r="Z114" i="17"/>
  <c r="Z48" i="17"/>
  <c r="Z284" i="17"/>
  <c r="Z254" i="17"/>
  <c r="Z255" i="17"/>
  <c r="Z219" i="17"/>
  <c r="Z200" i="17"/>
  <c r="Z203" i="17" s="1"/>
  <c r="Z192" i="17"/>
  <c r="Z193" i="17"/>
  <c r="Z162" i="17"/>
  <c r="Z156" i="17"/>
  <c r="Z151" i="17"/>
  <c r="Z85" i="17"/>
  <c r="Z73" i="17"/>
  <c r="Z308" i="17"/>
  <c r="Z291" i="17"/>
  <c r="Z285" i="17"/>
  <c r="Z243" i="17"/>
  <c r="Z245" i="17" s="1"/>
  <c r="Z231" i="17"/>
  <c r="Z233" i="17" s="1"/>
  <c r="Z212" i="17"/>
  <c r="Z174" i="17"/>
  <c r="Z175" i="17"/>
  <c r="Z138" i="17"/>
  <c r="Z140" i="17" s="1"/>
  <c r="Z133" i="17"/>
  <c r="Z120" i="17"/>
  <c r="Z102" i="17"/>
  <c r="Z103" i="17"/>
  <c r="Z90" i="17"/>
  <c r="Z91" i="17"/>
  <c r="Z19" i="17"/>
  <c r="AI19" i="17" s="1"/>
  <c r="AC24" i="11"/>
  <c r="AL24" i="11" s="1"/>
  <c r="AC28" i="11"/>
  <c r="AL28" i="11" s="1"/>
  <c r="AC32" i="11"/>
  <c r="AC40" i="11"/>
  <c r="AL40" i="11" s="1"/>
  <c r="Z43" i="17"/>
  <c r="Z45" i="17" s="1"/>
  <c r="Z12" i="17"/>
  <c r="Z25" i="17"/>
  <c r="Z27" i="17" s="1"/>
  <c r="Z18" i="17"/>
  <c r="Z20" i="17" s="1"/>
  <c r="AC25" i="11"/>
  <c r="AL25" i="11" s="1"/>
  <c r="AC29" i="11"/>
  <c r="AL29" i="11" s="1"/>
  <c r="AC33" i="11"/>
  <c r="AL33" i="11" s="1"/>
  <c r="AC41" i="11"/>
  <c r="AL41" i="11" s="1"/>
  <c r="AC45" i="11"/>
  <c r="AL45" i="11" s="1"/>
  <c r="Z49" i="17"/>
  <c r="AA49" i="17" s="1"/>
  <c r="Z36" i="17"/>
  <c r="Z24" i="17"/>
  <c r="AC23" i="11"/>
  <c r="AL23" i="11" s="1"/>
  <c r="AC27" i="11"/>
  <c r="AL27" i="11" s="1"/>
  <c r="AC31" i="11"/>
  <c r="AL31" i="11" s="1"/>
  <c r="AC35" i="11"/>
  <c r="AL35" i="11" s="1"/>
  <c r="AC43" i="11"/>
  <c r="AL43" i="11" s="1"/>
  <c r="AC47" i="11"/>
  <c r="AL47" i="11" s="1"/>
  <c r="AC51" i="11"/>
  <c r="AL51" i="11" s="1"/>
  <c r="AC58" i="11"/>
  <c r="AL58" i="11" s="1"/>
  <c r="AC62" i="11"/>
  <c r="AL62" i="11" s="1"/>
  <c r="AC66" i="11"/>
  <c r="AL66" i="11" s="1"/>
  <c r="AC76" i="11"/>
  <c r="AL76" i="11" s="1"/>
  <c r="AC80" i="11"/>
  <c r="AL80" i="11" s="1"/>
  <c r="AC84" i="11"/>
  <c r="AL84" i="11" s="1"/>
  <c r="AC95" i="11"/>
  <c r="AL95" i="11" s="1"/>
  <c r="AC99" i="11"/>
  <c r="AL99" i="11" s="1"/>
  <c r="AC103" i="11"/>
  <c r="AL103" i="11" s="1"/>
  <c r="AC128" i="11"/>
  <c r="AL128" i="11" s="1"/>
  <c r="AC133" i="11"/>
  <c r="AL133" i="11" s="1"/>
  <c r="AC137" i="11"/>
  <c r="AL137" i="11" s="1"/>
  <c r="AC145" i="11"/>
  <c r="AL145" i="11" s="1"/>
  <c r="AC149" i="11"/>
  <c r="AL149" i="11" s="1"/>
  <c r="AC153" i="11"/>
  <c r="AL153" i="11" s="1"/>
  <c r="AC157" i="11"/>
  <c r="AL157" i="11" s="1"/>
  <c r="AC165" i="11"/>
  <c r="AL165" i="11" s="1"/>
  <c r="AC169" i="11"/>
  <c r="AL169" i="11" s="1"/>
  <c r="AC173" i="11"/>
  <c r="AC181" i="11"/>
  <c r="AL181" i="11" s="1"/>
  <c r="AC185" i="11"/>
  <c r="AL185" i="11" s="1"/>
  <c r="AC190" i="11"/>
  <c r="AL190" i="11" s="1"/>
  <c r="AC194" i="11"/>
  <c r="AL194" i="11" s="1"/>
  <c r="AC202" i="11"/>
  <c r="AD202" i="11" s="1"/>
  <c r="AC206" i="11"/>
  <c r="AL206" i="11" s="1"/>
  <c r="AC210" i="11"/>
  <c r="AL210" i="11" s="1"/>
  <c r="AC218" i="11"/>
  <c r="AL218" i="11" s="1"/>
  <c r="AC222" i="11"/>
  <c r="AL222" i="11" s="1"/>
  <c r="AC226" i="11"/>
  <c r="AL226" i="11" s="1"/>
  <c r="AC230" i="11"/>
  <c r="AL230" i="11" s="1"/>
  <c r="AC238" i="11"/>
  <c r="AL238" i="11" s="1"/>
  <c r="AC242" i="11"/>
  <c r="AL242" i="11" s="1"/>
  <c r="AC246" i="11"/>
  <c r="AL246" i="11" s="1"/>
  <c r="AC254" i="11"/>
  <c r="AL254" i="11" s="1"/>
  <c r="AC258" i="11"/>
  <c r="AL258" i="11" s="1"/>
  <c r="AC262" i="11"/>
  <c r="AL262" i="11" s="1"/>
  <c r="AC266" i="11"/>
  <c r="AL266" i="11" s="1"/>
  <c r="AC198" i="11"/>
  <c r="AL198" i="11" s="1"/>
  <c r="AC126" i="11"/>
  <c r="AL126" i="11" s="1"/>
  <c r="AC39" i="11"/>
  <c r="AL39" i="11" s="1"/>
  <c r="AC6" i="11"/>
  <c r="AL6" i="11" s="1"/>
  <c r="AC10" i="11"/>
  <c r="AL10" i="11" s="1"/>
  <c r="AC14" i="11"/>
  <c r="AL14" i="11" s="1"/>
  <c r="AC26" i="11"/>
  <c r="AL26" i="11" s="1"/>
  <c r="AC44" i="11"/>
  <c r="AL44" i="11" s="1"/>
  <c r="AC50" i="11"/>
  <c r="AL50" i="11" s="1"/>
  <c r="AC59" i="11"/>
  <c r="AL59" i="11" s="1"/>
  <c r="AC64" i="11"/>
  <c r="AL64" i="11" s="1"/>
  <c r="AC69" i="11"/>
  <c r="AL69" i="11" s="1"/>
  <c r="AC77" i="11"/>
  <c r="AL77" i="11" s="1"/>
  <c r="AC82" i="11"/>
  <c r="AL82" i="11" s="1"/>
  <c r="AC87" i="11"/>
  <c r="AL87" i="11" s="1"/>
  <c r="AC96" i="11"/>
  <c r="AL96" i="11" s="1"/>
  <c r="AC101" i="11"/>
  <c r="AL101" i="11" s="1"/>
  <c r="AC127" i="11"/>
  <c r="AL127" i="11" s="1"/>
  <c r="AC134" i="11"/>
  <c r="AL134" i="11" s="1"/>
  <c r="AC139" i="11"/>
  <c r="AL139" i="11" s="1"/>
  <c r="AC148" i="11"/>
  <c r="AL148" i="11" s="1"/>
  <c r="AC154" i="11"/>
  <c r="AL154" i="11" s="1"/>
  <c r="AC163" i="11"/>
  <c r="AL163" i="11" s="1"/>
  <c r="AC168" i="11"/>
  <c r="AL168" i="11" s="1"/>
  <c r="AC174" i="11"/>
  <c r="AL174" i="11" s="1"/>
  <c r="AC183" i="11"/>
  <c r="AL183" i="11" s="1"/>
  <c r="AC189" i="11"/>
  <c r="AL189" i="11" s="1"/>
  <c r="AC199" i="11"/>
  <c r="AL199" i="11" s="1"/>
  <c r="AC204" i="11"/>
  <c r="AL204" i="11" s="1"/>
  <c r="AC209" i="11"/>
  <c r="AL209" i="11" s="1"/>
  <c r="AC219" i="11"/>
  <c r="AL219" i="11" s="1"/>
  <c r="AC224" i="11"/>
  <c r="AC229" i="11"/>
  <c r="AD229" i="11" s="1"/>
  <c r="AC239" i="11"/>
  <c r="AL239" i="11" s="1"/>
  <c r="AC244" i="11"/>
  <c r="AL244" i="11" s="1"/>
  <c r="AC253" i="11"/>
  <c r="AL253" i="11" s="1"/>
  <c r="AC259" i="11"/>
  <c r="AL259" i="11" s="1"/>
  <c r="AC264" i="11"/>
  <c r="AL264" i="11" s="1"/>
  <c r="AC216" i="11"/>
  <c r="AL216" i="11" s="1"/>
  <c r="AC91" i="11"/>
  <c r="AL91" i="11" s="1"/>
  <c r="AC4" i="11"/>
  <c r="AL4" i="11" s="1"/>
  <c r="AC9" i="11"/>
  <c r="AL9" i="11" s="1"/>
  <c r="AC15" i="11"/>
  <c r="AL15" i="11" s="1"/>
  <c r="AC30" i="11"/>
  <c r="AL30" i="11" s="1"/>
  <c r="AC46" i="11"/>
  <c r="AL46" i="11" s="1"/>
  <c r="AC52" i="11"/>
  <c r="AL52" i="11" s="1"/>
  <c r="AC60" i="11"/>
  <c r="AL60" i="11" s="1"/>
  <c r="AC65" i="11"/>
  <c r="AL65" i="11" s="1"/>
  <c r="AC78" i="11"/>
  <c r="AL78" i="11" s="1"/>
  <c r="AC83" i="11"/>
  <c r="AL83" i="11" s="1"/>
  <c r="AC92" i="11"/>
  <c r="AL92" i="11" s="1"/>
  <c r="AC97" i="11"/>
  <c r="AL97" i="11" s="1"/>
  <c r="AC102" i="11"/>
  <c r="AL102" i="11" s="1"/>
  <c r="AC129" i="11"/>
  <c r="AL129" i="11" s="1"/>
  <c r="AC135" i="11"/>
  <c r="AL135" i="11" s="1"/>
  <c r="AC140" i="11"/>
  <c r="AL140" i="11" s="1"/>
  <c r="AC150" i="11"/>
  <c r="AL150" i="11" s="1"/>
  <c r="AC155" i="11"/>
  <c r="AL155" i="11" s="1"/>
  <c r="AC164" i="11"/>
  <c r="AL164" i="11" s="1"/>
  <c r="AC170" i="11"/>
  <c r="AL170" i="11" s="1"/>
  <c r="AC175" i="11"/>
  <c r="AL175" i="11" s="1"/>
  <c r="AC184" i="11"/>
  <c r="AL184" i="11" s="1"/>
  <c r="AC191" i="11"/>
  <c r="AL191" i="11" s="1"/>
  <c r="AC200" i="11"/>
  <c r="AL200" i="11" s="1"/>
  <c r="AC205" i="11"/>
  <c r="AC211" i="11"/>
  <c r="AL211" i="11" s="1"/>
  <c r="AC220" i="11"/>
  <c r="AL220" i="11" s="1"/>
  <c r="AC225" i="11"/>
  <c r="AD225" i="11" s="1"/>
  <c r="AC235" i="11"/>
  <c r="AL235" i="11" s="1"/>
  <c r="AC240" i="11"/>
  <c r="AL240" i="11" s="1"/>
  <c r="AC245" i="11"/>
  <c r="AL245" i="11" s="1"/>
  <c r="AC255" i="11"/>
  <c r="AL255" i="11" s="1"/>
  <c r="AC260" i="11"/>
  <c r="AL260" i="11" s="1"/>
  <c r="AC265" i="11"/>
  <c r="AL265" i="11" s="1"/>
  <c r="AC180" i="11"/>
  <c r="AL180" i="11" s="1"/>
  <c r="AC73" i="11"/>
  <c r="AL73" i="11" s="1"/>
  <c r="AC5" i="11"/>
  <c r="AL5" i="11" s="1"/>
  <c r="AC11" i="11"/>
  <c r="AL11" i="11" s="1"/>
  <c r="AC16" i="11"/>
  <c r="AL16" i="11" s="1"/>
  <c r="Z534" i="17"/>
  <c r="Z536" i="17" s="1"/>
  <c r="Z538" i="17" s="1"/>
  <c r="Z616" i="17"/>
  <c r="Z618" i="17" s="1"/>
  <c r="Z604" i="17"/>
  <c r="Z606" i="17" s="1"/>
  <c r="Z567" i="17"/>
  <c r="Z569" i="17" s="1"/>
  <c r="Z571" i="17" s="1"/>
  <c r="Z548" i="17"/>
  <c r="Z550" i="17" s="1"/>
  <c r="Z493" i="17"/>
  <c r="Z495" i="17" s="1"/>
  <c r="Z496" i="17" s="1"/>
  <c r="Z561" i="17"/>
  <c r="Z563" i="17" s="1"/>
  <c r="Z565" i="17" s="1"/>
  <c r="Z468" i="17"/>
  <c r="Z470" i="17" s="1"/>
  <c r="Z472" i="17" s="1"/>
  <c r="Z598" i="17"/>
  <c r="Z600" i="17" s="1"/>
  <c r="AC121" i="11"/>
  <c r="AL121" i="11" s="1"/>
  <c r="AC34" i="11"/>
  <c r="AL34" i="11" s="1"/>
  <c r="AC48" i="11"/>
  <c r="AL48" i="11" s="1"/>
  <c r="AC61" i="11"/>
  <c r="AL61" i="11" s="1"/>
  <c r="AC67" i="11"/>
  <c r="AL67" i="11" s="1"/>
  <c r="AC74" i="11"/>
  <c r="AL74" i="11" s="1"/>
  <c r="AC79" i="11"/>
  <c r="AL79" i="11" s="1"/>
  <c r="AC85" i="11"/>
  <c r="AL85" i="11" s="1"/>
  <c r="AC93" i="11"/>
  <c r="AL93" i="11" s="1"/>
  <c r="AC98" i="11"/>
  <c r="AL98" i="11" s="1"/>
  <c r="AC104" i="11"/>
  <c r="AL104" i="11" s="1"/>
  <c r="AC131" i="11"/>
  <c r="AL131" i="11" s="1"/>
  <c r="AC136" i="11"/>
  <c r="AL136" i="11" s="1"/>
  <c r="AC146" i="11"/>
  <c r="AL146" i="11" s="1"/>
  <c r="AC151" i="11"/>
  <c r="AL151" i="11" s="1"/>
  <c r="AC156" i="11"/>
  <c r="AL156" i="11" s="1"/>
  <c r="AC166" i="11"/>
  <c r="AL166" i="11" s="1"/>
  <c r="AC171" i="11"/>
  <c r="AL171" i="11" s="1"/>
  <c r="AC176" i="11"/>
  <c r="AL176" i="11" s="1"/>
  <c r="AC186" i="11"/>
  <c r="AL186" i="11" s="1"/>
  <c r="AC192" i="11"/>
  <c r="AD192" i="11" s="1"/>
  <c r="AC201" i="11"/>
  <c r="AL201" i="11" s="1"/>
  <c r="AC207" i="11"/>
  <c r="AL207" i="11" s="1"/>
  <c r="AC212" i="11"/>
  <c r="AL212" i="11" s="1"/>
  <c r="AC221" i="11"/>
  <c r="AL221" i="11" s="1"/>
  <c r="AC227" i="11"/>
  <c r="AL227" i="11" s="1"/>
  <c r="AC236" i="11"/>
  <c r="AL236" i="11" s="1"/>
  <c r="AC241" i="11"/>
  <c r="AL241" i="11" s="1"/>
  <c r="AC247" i="11"/>
  <c r="AL247" i="11" s="1"/>
  <c r="AC256" i="11"/>
  <c r="AL256" i="11" s="1"/>
  <c r="AC261" i="11"/>
  <c r="AL261" i="11" s="1"/>
  <c r="AC252" i="11"/>
  <c r="AL252" i="11" s="1"/>
  <c r="AC162" i="11"/>
  <c r="AL162" i="11" s="1"/>
  <c r="AC56" i="11"/>
  <c r="AL56" i="11" s="1"/>
  <c r="AC7" i="11"/>
  <c r="AL7" i="11" s="1"/>
  <c r="AC12" i="11"/>
  <c r="AL12" i="11" s="1"/>
  <c r="AC17" i="11"/>
  <c r="AL17" i="11" s="1"/>
  <c r="AC22" i="11"/>
  <c r="AL22" i="11" s="1"/>
  <c r="AC42" i="11"/>
  <c r="AL42" i="11" s="1"/>
  <c r="AC49" i="11"/>
  <c r="AL49" i="11" s="1"/>
  <c r="AC57" i="11"/>
  <c r="AL57" i="11" s="1"/>
  <c r="AC63" i="11"/>
  <c r="AL63" i="11" s="1"/>
  <c r="AC68" i="11"/>
  <c r="AL68" i="11" s="1"/>
  <c r="AC75" i="11"/>
  <c r="AL75" i="11" s="1"/>
  <c r="AC81" i="11"/>
  <c r="AL81" i="11" s="1"/>
  <c r="AC86" i="11"/>
  <c r="AL86" i="11" s="1"/>
  <c r="AC94" i="11"/>
  <c r="AL94" i="11" s="1"/>
  <c r="AC100" i="11"/>
  <c r="AL100" i="11" s="1"/>
  <c r="AC132" i="11"/>
  <c r="AL132" i="11" s="1"/>
  <c r="AC138" i="11"/>
  <c r="AL138" i="11" s="1"/>
  <c r="AC147" i="11"/>
  <c r="AL147" i="11" s="1"/>
  <c r="AC152" i="11"/>
  <c r="AL152" i="11" s="1"/>
  <c r="AC158" i="11"/>
  <c r="AL158" i="11" s="1"/>
  <c r="AC167" i="11"/>
  <c r="AL167" i="11" s="1"/>
  <c r="AC172" i="11"/>
  <c r="AL172" i="11" s="1"/>
  <c r="AC182" i="11"/>
  <c r="AL182" i="11" s="1"/>
  <c r="AC187" i="11"/>
  <c r="AL187" i="11" s="1"/>
  <c r="AC193" i="11"/>
  <c r="AL193" i="11" s="1"/>
  <c r="AC203" i="11"/>
  <c r="AL203" i="11" s="1"/>
  <c r="AC208" i="11"/>
  <c r="AL208" i="11" s="1"/>
  <c r="AC217" i="11"/>
  <c r="AL217" i="11" s="1"/>
  <c r="AC223" i="11"/>
  <c r="AL223" i="11" s="1"/>
  <c r="AC228" i="11"/>
  <c r="AL228" i="11" s="1"/>
  <c r="AC237" i="11"/>
  <c r="AL237" i="11" s="1"/>
  <c r="AC243" i="11"/>
  <c r="AL243" i="11" s="1"/>
  <c r="AC248" i="11"/>
  <c r="AL248" i="11" s="1"/>
  <c r="AC257" i="11"/>
  <c r="AL257" i="11" s="1"/>
  <c r="AC263" i="11"/>
  <c r="AL263" i="11" s="1"/>
  <c r="AC234" i="11"/>
  <c r="AD234" i="11" s="1"/>
  <c r="AC144" i="11"/>
  <c r="AL144" i="11" s="1"/>
  <c r="AC21" i="11"/>
  <c r="AL21" i="11" s="1"/>
  <c r="AC8" i="11"/>
  <c r="AL8" i="11" s="1"/>
  <c r="AC13" i="11"/>
  <c r="AL13" i="11" s="1"/>
  <c r="Z615" i="17"/>
  <c r="Z617" i="17" s="1"/>
  <c r="Z619" i="17" s="1"/>
  <c r="Z603" i="17"/>
  <c r="Z605" i="17" s="1"/>
  <c r="Z607" i="17" s="1"/>
  <c r="Z597" i="17"/>
  <c r="Z599" i="17" s="1"/>
  <c r="Z601" i="17" s="1"/>
  <c r="Z438" i="17"/>
  <c r="Z440" i="17" s="1"/>
  <c r="Z442" i="17" s="1"/>
  <c r="Z462" i="17"/>
  <c r="Z464" i="17" s="1"/>
  <c r="Z592" i="17"/>
  <c r="Z594" i="17" s="1"/>
  <c r="Z591" i="17"/>
  <c r="Z593" i="17" s="1"/>
  <c r="Z555" i="17"/>
  <c r="Z557" i="17" s="1"/>
  <c r="Z559" i="17" s="1"/>
  <c r="Z414" i="17"/>
  <c r="Z416" i="17" s="1"/>
  <c r="AC127" i="12"/>
  <c r="AL127" i="12" s="1"/>
  <c r="Z635" i="17"/>
  <c r="Z638" i="17" s="1"/>
  <c r="Z541" i="17"/>
  <c r="Z544" i="17" s="1"/>
  <c r="Z580" i="17"/>
  <c r="Z582" i="17" s="1"/>
  <c r="Z583" i="17" s="1"/>
  <c r="AE144" i="12"/>
  <c r="AF144" i="12" s="1"/>
  <c r="AB579" i="17"/>
  <c r="AC579" i="17" s="1"/>
  <c r="AE579" i="17" s="1"/>
  <c r="AE581" i="17" s="1"/>
  <c r="AB439" i="17"/>
  <c r="AC439" i="17" s="1"/>
  <c r="AE439" i="17" s="1"/>
  <c r="AE441" i="17" s="1"/>
  <c r="AB492" i="17"/>
  <c r="AC492" i="17" s="1"/>
  <c r="AE492" i="17" s="1"/>
  <c r="AE494" i="17" s="1"/>
  <c r="AB633" i="17"/>
  <c r="AC633" i="17" s="1"/>
  <c r="AE633" i="17" s="1"/>
  <c r="AE636" i="17" s="1"/>
  <c r="Z147" i="12"/>
  <c r="AK147" i="12" s="1"/>
  <c r="W439" i="17"/>
  <c r="W441" i="17" s="1"/>
  <c r="W469" i="17"/>
  <c r="W471" i="17" s="1"/>
  <c r="W523" i="17"/>
  <c r="W525" i="17" s="1"/>
  <c r="W526" i="17" s="1"/>
  <c r="W556" i="17"/>
  <c r="W558" i="17" s="1"/>
  <c r="F58" i="22"/>
  <c r="W496" i="17"/>
  <c r="W418" i="17"/>
  <c r="K20" i="10"/>
  <c r="K22" i="10" s="1"/>
  <c r="Z540" i="17" s="1"/>
  <c r="Z543" i="17" s="1"/>
  <c r="AD16" i="11"/>
  <c r="AA193" i="11"/>
  <c r="AC3" i="11"/>
  <c r="AL3" i="11" s="1"/>
  <c r="AD131" i="11"/>
  <c r="Z529" i="17"/>
  <c r="Z531" i="17" s="1"/>
  <c r="Z532" i="17" s="1"/>
  <c r="Z451" i="17"/>
  <c r="Z453" i="17" s="1"/>
  <c r="Z573" i="17"/>
  <c r="Z575" i="17" s="1"/>
  <c r="Z586" i="17"/>
  <c r="Z588" i="17" s="1"/>
  <c r="Z589" i="17" s="1"/>
  <c r="Z456" i="17"/>
  <c r="Z458" i="17" s="1"/>
  <c r="Z460" i="17" s="1"/>
  <c r="Z517" i="17"/>
  <c r="Z519" i="17" s="1"/>
  <c r="Z627" i="17"/>
  <c r="Z629" i="17" s="1"/>
  <c r="Z631" i="17" s="1"/>
  <c r="Z683" i="17"/>
  <c r="Z685" i="17" s="1"/>
  <c r="Z686" i="17" s="1"/>
  <c r="AC13" i="12"/>
  <c r="AL13" i="12" s="1"/>
  <c r="Z415" i="17"/>
  <c r="Z417" i="17" s="1"/>
  <c r="Z418" i="17" s="1"/>
  <c r="Z523" i="17"/>
  <c r="Z525" i="17" s="1"/>
  <c r="Z574" i="17"/>
  <c r="Z576" i="17" s="1"/>
  <c r="AC116" i="12"/>
  <c r="AL116" i="12" s="1"/>
  <c r="AC123" i="12"/>
  <c r="AL123" i="12" s="1"/>
  <c r="Z633" i="17"/>
  <c r="Z636" i="17" s="1"/>
  <c r="Z522" i="17"/>
  <c r="Z524" i="17" s="1"/>
  <c r="Z396" i="17"/>
  <c r="Z398" i="17" s="1"/>
  <c r="Z400" i="17" s="1"/>
  <c r="Z504" i="17"/>
  <c r="Z506" i="17" s="1"/>
  <c r="AC121" i="12"/>
  <c r="AL121" i="12" s="1"/>
  <c r="Z639" i="17"/>
  <c r="AE147" i="12"/>
  <c r="AF147" i="12" s="1"/>
  <c r="AB541" i="17"/>
  <c r="AC541" i="17" s="1"/>
  <c r="AE541" i="17" s="1"/>
  <c r="AE544" i="17" s="1"/>
  <c r="AE546" i="17" s="1"/>
  <c r="AB568" i="17"/>
  <c r="AC568" i="17" s="1"/>
  <c r="AE568" i="17" s="1"/>
  <c r="AE570" i="17" s="1"/>
  <c r="AB635" i="17"/>
  <c r="AC635" i="17" s="1"/>
  <c r="AE635" i="17" s="1"/>
  <c r="AE638" i="17" s="1"/>
  <c r="AB522" i="17"/>
  <c r="AC522" i="17" s="1"/>
  <c r="AE522" i="17" s="1"/>
  <c r="AE524" i="17" s="1"/>
  <c r="AE526" i="17" s="1"/>
  <c r="AB556" i="17"/>
  <c r="AC556" i="17" s="1"/>
  <c r="AE556" i="17" s="1"/>
  <c r="AE558" i="17" s="1"/>
  <c r="AB469" i="17"/>
  <c r="AC469" i="17" s="1"/>
  <c r="AE469" i="17" s="1"/>
  <c r="AE471" i="17" s="1"/>
  <c r="AB580" i="17"/>
  <c r="AC580" i="17" s="1"/>
  <c r="AE580" i="17" s="1"/>
  <c r="AE582" i="17" s="1"/>
  <c r="AB463" i="17"/>
  <c r="AC463" i="17" s="1"/>
  <c r="AE463" i="17" s="1"/>
  <c r="AE465" i="17" s="1"/>
  <c r="AB535" i="17"/>
  <c r="AC535" i="17" s="1"/>
  <c r="AE535" i="17" s="1"/>
  <c r="AE537" i="17" s="1"/>
  <c r="W321" i="17"/>
  <c r="W315" i="17"/>
  <c r="W309" i="17"/>
  <c r="W311" i="17" s="1"/>
  <c r="W267" i="17"/>
  <c r="W269" i="17" s="1"/>
  <c r="W249" i="17"/>
  <c r="W213" i="17"/>
  <c r="W186" i="17"/>
  <c r="W169" i="17"/>
  <c r="W157" i="17"/>
  <c r="W327" i="17"/>
  <c r="W302" i="17"/>
  <c r="W272" i="17"/>
  <c r="W237" i="17"/>
  <c r="W230" i="17"/>
  <c r="W207" i="17"/>
  <c r="W168" i="17"/>
  <c r="W145" i="17"/>
  <c r="W132" i="17"/>
  <c r="W127" i="17"/>
  <c r="W326" i="17"/>
  <c r="W297" i="17"/>
  <c r="W260" i="17"/>
  <c r="W224" i="17"/>
  <c r="W198" i="17"/>
  <c r="W199" i="17"/>
  <c r="W181" i="17"/>
  <c r="W144" i="17"/>
  <c r="W126" i="17"/>
  <c r="W303" i="17"/>
  <c r="W296" i="17"/>
  <c r="W290" i="17"/>
  <c r="W278" i="17"/>
  <c r="W273" i="17"/>
  <c r="W206" i="17"/>
  <c r="W187" i="17"/>
  <c r="W180" i="17"/>
  <c r="W163" i="17"/>
  <c r="W150" i="17"/>
  <c r="W115" i="17"/>
  <c r="W117" i="17" s="1"/>
  <c r="W108" i="17"/>
  <c r="W110" i="17" s="1"/>
  <c r="W55" i="17"/>
  <c r="W121" i="17"/>
  <c r="W79" i="17"/>
  <c r="W81" i="17" s="1"/>
  <c r="W72" i="17"/>
  <c r="W66" i="17"/>
  <c r="W61" i="17"/>
  <c r="W54" i="17"/>
  <c r="W37" i="17"/>
  <c r="W39" i="17" s="1"/>
  <c r="W31" i="17"/>
  <c r="W6" i="17"/>
  <c r="W139" i="17"/>
  <c r="W96" i="17"/>
  <c r="W98" i="17" s="1"/>
  <c r="W60" i="17"/>
  <c r="W30" i="17"/>
  <c r="W13" i="17"/>
  <c r="W7" i="17"/>
  <c r="W84" i="17"/>
  <c r="W86" i="17" s="1"/>
  <c r="W42" i="17"/>
  <c r="Z70" i="12"/>
  <c r="AK70" i="12" s="1"/>
  <c r="AE70" i="12"/>
  <c r="AF70" i="12" s="1"/>
  <c r="Z218" i="12"/>
  <c r="AK218" i="12" s="1"/>
  <c r="AE218" i="12"/>
  <c r="AF218" i="12" s="1"/>
  <c r="AA152" i="12"/>
  <c r="AC57" i="12"/>
  <c r="AL57" i="12" s="1"/>
  <c r="AC151" i="12"/>
  <c r="AL151" i="12" s="1"/>
  <c r="AC224" i="12"/>
  <c r="AL224" i="12" s="1"/>
  <c r="AC274" i="12"/>
  <c r="AL274" i="12" s="1"/>
  <c r="AC270" i="12"/>
  <c r="AL270" i="12" s="1"/>
  <c r="AC266" i="12"/>
  <c r="AL266" i="12" s="1"/>
  <c r="AC262" i="12"/>
  <c r="AL262" i="12" s="1"/>
  <c r="AC254" i="12"/>
  <c r="AL254" i="12" s="1"/>
  <c r="AC250" i="12"/>
  <c r="AL250" i="12" s="1"/>
  <c r="AC246" i="12"/>
  <c r="AL246" i="12" s="1"/>
  <c r="AC237" i="12"/>
  <c r="AL237" i="12" s="1"/>
  <c r="AC233" i="12"/>
  <c r="AL233" i="12" s="1"/>
  <c r="AC229" i="12"/>
  <c r="AL229" i="12" s="1"/>
  <c r="AC225" i="12"/>
  <c r="AL225" i="12" s="1"/>
  <c r="AC216" i="12"/>
  <c r="AL216" i="12" s="1"/>
  <c r="AC212" i="12"/>
  <c r="AL212" i="12" s="1"/>
  <c r="AC208" i="12"/>
  <c r="AL208" i="12" s="1"/>
  <c r="AC200" i="12"/>
  <c r="AL200" i="12" s="1"/>
  <c r="AC196" i="12"/>
  <c r="AL196" i="12" s="1"/>
  <c r="AC192" i="12"/>
  <c r="AL192" i="12" s="1"/>
  <c r="AC188" i="12"/>
  <c r="AL188" i="12" s="1"/>
  <c r="AC181" i="12"/>
  <c r="AL181" i="12" s="1"/>
  <c r="AC177" i="12"/>
  <c r="AL177" i="12" s="1"/>
  <c r="AC173" i="12"/>
  <c r="AL173" i="12" s="1"/>
  <c r="AC165" i="12"/>
  <c r="AL165" i="12" s="1"/>
  <c r="AC161" i="12"/>
  <c r="AL161" i="12" s="1"/>
  <c r="AC157" i="12"/>
  <c r="AL157" i="12" s="1"/>
  <c r="AC153" i="12"/>
  <c r="AL153" i="12" s="1"/>
  <c r="AC144" i="12"/>
  <c r="AL144" i="12" s="1"/>
  <c r="AC140" i="12"/>
  <c r="AL140" i="12" s="1"/>
  <c r="AC136" i="12"/>
  <c r="AL136" i="12" s="1"/>
  <c r="AC109" i="12"/>
  <c r="AL109" i="12" s="1"/>
  <c r="AC104" i="12"/>
  <c r="AL104" i="12" s="1"/>
  <c r="AC100" i="12"/>
  <c r="AL100" i="12" s="1"/>
  <c r="AC96" i="12"/>
  <c r="AL96" i="12" s="1"/>
  <c r="AC87" i="12"/>
  <c r="AL87" i="12" s="1"/>
  <c r="AC83" i="12"/>
  <c r="AL83" i="12" s="1"/>
  <c r="AC79" i="12"/>
  <c r="AL79" i="12" s="1"/>
  <c r="AC68" i="12"/>
  <c r="AL68" i="12" s="1"/>
  <c r="AC64" i="12"/>
  <c r="AL64" i="12" s="1"/>
  <c r="AC60" i="12"/>
  <c r="AL60" i="12" s="1"/>
  <c r="AC52" i="12"/>
  <c r="AL52" i="12" s="1"/>
  <c r="AC48" i="12"/>
  <c r="AL48" i="12" s="1"/>
  <c r="AC44" i="12"/>
  <c r="AL44" i="12" s="1"/>
  <c r="AC40" i="12"/>
  <c r="AL40" i="12" s="1"/>
  <c r="AC32" i="12"/>
  <c r="AC27" i="12"/>
  <c r="AC23" i="12"/>
  <c r="AC16" i="12"/>
  <c r="AL16" i="12" s="1"/>
  <c r="AC11" i="12"/>
  <c r="AL11" i="12" s="1"/>
  <c r="AC7" i="12"/>
  <c r="AL7" i="12" s="1"/>
  <c r="AB326" i="17"/>
  <c r="AC326" i="17" s="1"/>
  <c r="AB297" i="17"/>
  <c r="AC297" i="17" s="1"/>
  <c r="AB272" i="17"/>
  <c r="AC272" i="17" s="1"/>
  <c r="AB260" i="17"/>
  <c r="AC260" i="17" s="1"/>
  <c r="AB224" i="17"/>
  <c r="AC224" i="17" s="1"/>
  <c r="AB168" i="17"/>
  <c r="AC168" i="17" s="1"/>
  <c r="AB145" i="17"/>
  <c r="AC145" i="17" s="1"/>
  <c r="AB309" i="17"/>
  <c r="AC309" i="17" s="1"/>
  <c r="AB303" i="17"/>
  <c r="AC303" i="17" s="1"/>
  <c r="AB296" i="17"/>
  <c r="AC296" i="17" s="1"/>
  <c r="AB290" i="17"/>
  <c r="AC290" i="17" s="1"/>
  <c r="AB278" i="17"/>
  <c r="AC278" i="17" s="1"/>
  <c r="AB273" i="17"/>
  <c r="AC273" i="17" s="1"/>
  <c r="AB267" i="17"/>
  <c r="AC267" i="17" s="1"/>
  <c r="AB198" i="17"/>
  <c r="AC198" i="17" s="1"/>
  <c r="AB199" i="17"/>
  <c r="AC199" i="17" s="1"/>
  <c r="AB181" i="17"/>
  <c r="AC181" i="17" s="1"/>
  <c r="AB144" i="17"/>
  <c r="AC144" i="17" s="1"/>
  <c r="AB126" i="17"/>
  <c r="AC126" i="17" s="1"/>
  <c r="AB321" i="17"/>
  <c r="AC321" i="17" s="1"/>
  <c r="AB315" i="17"/>
  <c r="AC315" i="17" s="1"/>
  <c r="AB249" i="17"/>
  <c r="AC249" i="17" s="1"/>
  <c r="AB213" i="17"/>
  <c r="AC213" i="17" s="1"/>
  <c r="AB206" i="17"/>
  <c r="AC206" i="17" s="1"/>
  <c r="AB187" i="17"/>
  <c r="AC187" i="17" s="1"/>
  <c r="AB180" i="17"/>
  <c r="AC180" i="17" s="1"/>
  <c r="AB163" i="17"/>
  <c r="AC163" i="17" s="1"/>
  <c r="AB150" i="17"/>
  <c r="AC150" i="17" s="1"/>
  <c r="AB327" i="17"/>
  <c r="AC327" i="17" s="1"/>
  <c r="AB302" i="17"/>
  <c r="AC302" i="17" s="1"/>
  <c r="AB237" i="17"/>
  <c r="AC237" i="17" s="1"/>
  <c r="AB230" i="17"/>
  <c r="AC230" i="17" s="1"/>
  <c r="AB207" i="17"/>
  <c r="AC207" i="17" s="1"/>
  <c r="AB186" i="17"/>
  <c r="AC186" i="17" s="1"/>
  <c r="AB169" i="17"/>
  <c r="AC169" i="17" s="1"/>
  <c r="AB157" i="17"/>
  <c r="AC157" i="17" s="1"/>
  <c r="AB139" i="17"/>
  <c r="AC139" i="17" s="1"/>
  <c r="AB127" i="17"/>
  <c r="AC127" i="17" s="1"/>
  <c r="AB121" i="17"/>
  <c r="AC121" i="17" s="1"/>
  <c r="AB79" i="17"/>
  <c r="AC79" i="17" s="1"/>
  <c r="AB72" i="17"/>
  <c r="AC72" i="17" s="1"/>
  <c r="AB66" i="17"/>
  <c r="AC66" i="17" s="1"/>
  <c r="AB61" i="17"/>
  <c r="AC61" i="17" s="1"/>
  <c r="AB54" i="17"/>
  <c r="AC54" i="17" s="1"/>
  <c r="AB37" i="17"/>
  <c r="AC37" i="17" s="1"/>
  <c r="AB31" i="17"/>
  <c r="AC31" i="17" s="1"/>
  <c r="AB6" i="17"/>
  <c r="AC6" i="17" s="1"/>
  <c r="AB96" i="17"/>
  <c r="AC96" i="17" s="1"/>
  <c r="AB60" i="17"/>
  <c r="AC60" i="17" s="1"/>
  <c r="AB30" i="17"/>
  <c r="AC30" i="17" s="1"/>
  <c r="AB13" i="17"/>
  <c r="AC13" i="17" s="1"/>
  <c r="AB84" i="17"/>
  <c r="AC84" i="17" s="1"/>
  <c r="AB42" i="17"/>
  <c r="AC42" i="17" s="1"/>
  <c r="AB12" i="17"/>
  <c r="AC12" i="17" s="1"/>
  <c r="AB132" i="17"/>
  <c r="AC132" i="17" s="1"/>
  <c r="AB115" i="17"/>
  <c r="AC115" i="17" s="1"/>
  <c r="AB108" i="17"/>
  <c r="AC108" i="17" s="1"/>
  <c r="AB55" i="17"/>
  <c r="AC55" i="17" s="1"/>
  <c r="AB7" i="17"/>
  <c r="AC7" i="17" s="1"/>
  <c r="Z183" i="12"/>
  <c r="AK183" i="12" s="1"/>
  <c r="AE183" i="12"/>
  <c r="AF183" i="12" s="1"/>
  <c r="Z275" i="12"/>
  <c r="AK275" i="12" s="1"/>
  <c r="AC3" i="12"/>
  <c r="AL3" i="12" s="1"/>
  <c r="AC75" i="12"/>
  <c r="AL75" i="12" s="1"/>
  <c r="AC169" i="12"/>
  <c r="AL169" i="12" s="1"/>
  <c r="AC243" i="12"/>
  <c r="AL243" i="12" s="1"/>
  <c r="AC273" i="12"/>
  <c r="AL273" i="12" s="1"/>
  <c r="AC269" i="12"/>
  <c r="AL269" i="12" s="1"/>
  <c r="AC265" i="12"/>
  <c r="AL265" i="12" s="1"/>
  <c r="AC257" i="12"/>
  <c r="AL257" i="12" s="1"/>
  <c r="AC253" i="12"/>
  <c r="AL253" i="12" s="1"/>
  <c r="AC249" i="12"/>
  <c r="AL249" i="12" s="1"/>
  <c r="AC245" i="12"/>
  <c r="AL245" i="12" s="1"/>
  <c r="AC236" i="12"/>
  <c r="AL236" i="12" s="1"/>
  <c r="AC232" i="12"/>
  <c r="AL232" i="12" s="1"/>
  <c r="AC228" i="12"/>
  <c r="AL228" i="12" s="1"/>
  <c r="AC220" i="12"/>
  <c r="AL220" i="12" s="1"/>
  <c r="AC215" i="12"/>
  <c r="AL215" i="12" s="1"/>
  <c r="AC211" i="12"/>
  <c r="AC207" i="12"/>
  <c r="AL207" i="12" s="1"/>
  <c r="AC199" i="12"/>
  <c r="AL199" i="12" s="1"/>
  <c r="AC195" i="12"/>
  <c r="AL195" i="12" s="1"/>
  <c r="AC191" i="12"/>
  <c r="AL191" i="12" s="1"/>
  <c r="AC180" i="12"/>
  <c r="AL180" i="12" s="1"/>
  <c r="AC176" i="12"/>
  <c r="AL176" i="12" s="1"/>
  <c r="AC172" i="12"/>
  <c r="AL172" i="12" s="1"/>
  <c r="AC164" i="12"/>
  <c r="AL164" i="12" s="1"/>
  <c r="AC160" i="12"/>
  <c r="AL160" i="12" s="1"/>
  <c r="AC156" i="12"/>
  <c r="AL156" i="12" s="1"/>
  <c r="AC152" i="12"/>
  <c r="AL152" i="12" s="1"/>
  <c r="AC143" i="12"/>
  <c r="AL143" i="12" s="1"/>
  <c r="AC139" i="12"/>
  <c r="AL139" i="12" s="1"/>
  <c r="AC135" i="12"/>
  <c r="AL135" i="12" s="1"/>
  <c r="AC107" i="12"/>
  <c r="AL107" i="12" s="1"/>
  <c r="AC103" i="12"/>
  <c r="AL103" i="12" s="1"/>
  <c r="AC99" i="12"/>
  <c r="AL99" i="12" s="1"/>
  <c r="AC95" i="12"/>
  <c r="AL95" i="12" s="1"/>
  <c r="AC86" i="12"/>
  <c r="AL86" i="12" s="1"/>
  <c r="AC82" i="12"/>
  <c r="AL82" i="12" s="1"/>
  <c r="AC78" i="12"/>
  <c r="AL78" i="12" s="1"/>
  <c r="AC71" i="12"/>
  <c r="AL71" i="12" s="1"/>
  <c r="AC67" i="12"/>
  <c r="AL67" i="12" s="1"/>
  <c r="AC63" i="12"/>
  <c r="AL63" i="12" s="1"/>
  <c r="AC59" i="12"/>
  <c r="AL59" i="12" s="1"/>
  <c r="AC51" i="12"/>
  <c r="AL51" i="12" s="1"/>
  <c r="AC47" i="12"/>
  <c r="AL47" i="12" s="1"/>
  <c r="AC43" i="12"/>
  <c r="AL43" i="12" s="1"/>
  <c r="AC35" i="12"/>
  <c r="AC31" i="12"/>
  <c r="AC26" i="12"/>
  <c r="AC22" i="12"/>
  <c r="AC15" i="12"/>
  <c r="AL15" i="12" s="1"/>
  <c r="AC10" i="12"/>
  <c r="AL10" i="12" s="1"/>
  <c r="AC6" i="12"/>
  <c r="AL6" i="12" s="1"/>
  <c r="Z52" i="12"/>
  <c r="AK52" i="12" s="1"/>
  <c r="AE52" i="12"/>
  <c r="AF52" i="12" s="1"/>
  <c r="AK88" i="12"/>
  <c r="Z239" i="12"/>
  <c r="AK239" i="12" s="1"/>
  <c r="AC20" i="12"/>
  <c r="AL20" i="12" s="1"/>
  <c r="AC94" i="12"/>
  <c r="AL94" i="12" s="1"/>
  <c r="AC187" i="12"/>
  <c r="AL187" i="12" s="1"/>
  <c r="AC261" i="12"/>
  <c r="AL261" i="12" s="1"/>
  <c r="AC272" i="12"/>
  <c r="AL272" i="12" s="1"/>
  <c r="AC268" i="12"/>
  <c r="AL268" i="12" s="1"/>
  <c r="AC264" i="12"/>
  <c r="AL264" i="12" s="1"/>
  <c r="AC256" i="12"/>
  <c r="AL256" i="12" s="1"/>
  <c r="AC252" i="12"/>
  <c r="AL252" i="12" s="1"/>
  <c r="AC248" i="12"/>
  <c r="AL248" i="12" s="1"/>
  <c r="AC244" i="12"/>
  <c r="AL244" i="12" s="1"/>
  <c r="AC235" i="12"/>
  <c r="AL235" i="12" s="1"/>
  <c r="AC231" i="12"/>
  <c r="AL231" i="12" s="1"/>
  <c r="AC227" i="12"/>
  <c r="AL227" i="12" s="1"/>
  <c r="AC218" i="12"/>
  <c r="AL218" i="12" s="1"/>
  <c r="AC214" i="12"/>
  <c r="AL214" i="12" s="1"/>
  <c r="AC210" i="12"/>
  <c r="AL210" i="12" s="1"/>
  <c r="AC206" i="12"/>
  <c r="AL206" i="12" s="1"/>
  <c r="AC198" i="12"/>
  <c r="AL198" i="12" s="1"/>
  <c r="AC194" i="12"/>
  <c r="AL194" i="12" s="1"/>
  <c r="AC190" i="12"/>
  <c r="AL190" i="12" s="1"/>
  <c r="AC183" i="12"/>
  <c r="AL183" i="12" s="1"/>
  <c r="AC179" i="12"/>
  <c r="AL179" i="12" s="1"/>
  <c r="AC175" i="12"/>
  <c r="AL175" i="12" s="1"/>
  <c r="AC171" i="12"/>
  <c r="AL171" i="12" s="1"/>
  <c r="AC163" i="12"/>
  <c r="AL163" i="12" s="1"/>
  <c r="AC159" i="12"/>
  <c r="AL159" i="12" s="1"/>
  <c r="AC155" i="12"/>
  <c r="AL155" i="12" s="1"/>
  <c r="AC142" i="12"/>
  <c r="AL142" i="12" s="1"/>
  <c r="AC138" i="12"/>
  <c r="AL138" i="12" s="1"/>
  <c r="AC134" i="12"/>
  <c r="AL134" i="12" s="1"/>
  <c r="AC106" i="12"/>
  <c r="AL106" i="12" s="1"/>
  <c r="AC102" i="12"/>
  <c r="AL102" i="12" s="1"/>
  <c r="AC98" i="12"/>
  <c r="AL98" i="12" s="1"/>
  <c r="AL89" i="12"/>
  <c r="AC85" i="12"/>
  <c r="AL85" i="12" s="1"/>
  <c r="AC81" i="12"/>
  <c r="AL81" i="12" s="1"/>
  <c r="AC77" i="12"/>
  <c r="AL77" i="12" s="1"/>
  <c r="AC70" i="12"/>
  <c r="AL70" i="12" s="1"/>
  <c r="AC66" i="12"/>
  <c r="AL66" i="12" s="1"/>
  <c r="AC62" i="12"/>
  <c r="AL62" i="12" s="1"/>
  <c r="AC58" i="12"/>
  <c r="AL58" i="12" s="1"/>
  <c r="AC50" i="12"/>
  <c r="AL50" i="12" s="1"/>
  <c r="AC46" i="12"/>
  <c r="AL46" i="12" s="1"/>
  <c r="AC42" i="12"/>
  <c r="AL42" i="12" s="1"/>
  <c r="AC34" i="12"/>
  <c r="AC30" i="12"/>
  <c r="AC25" i="12"/>
  <c r="AC21" i="12"/>
  <c r="AC14" i="12"/>
  <c r="AL14" i="12" s="1"/>
  <c r="AC9" i="12"/>
  <c r="AL9" i="12" s="1"/>
  <c r="Z326" i="17"/>
  <c r="Z290" i="17"/>
  <c r="Z273" i="17"/>
  <c r="Z224" i="17"/>
  <c r="Z226" i="17" s="1"/>
  <c r="Z198" i="17"/>
  <c r="Z199" i="17"/>
  <c r="Z186" i="17"/>
  <c r="Z187" i="17"/>
  <c r="Z180" i="17"/>
  <c r="Z181" i="17"/>
  <c r="Z157" i="17"/>
  <c r="Z145" i="17"/>
  <c r="Z303" i="17"/>
  <c r="Z305" i="17" s="1"/>
  <c r="Z296" i="17"/>
  <c r="Z278" i="17"/>
  <c r="AI278" i="17" s="1"/>
  <c r="Z267" i="17"/>
  <c r="Z213" i="17"/>
  <c r="Z206" i="17"/>
  <c r="Z208" i="17" s="1"/>
  <c r="Z168" i="17"/>
  <c r="Z169" i="17"/>
  <c r="Z144" i="17"/>
  <c r="Z146" i="17" s="1"/>
  <c r="Z327" i="17"/>
  <c r="Z321" i="17"/>
  <c r="Z315" i="17"/>
  <c r="Z309" i="17"/>
  <c r="Z302" i="17"/>
  <c r="Z249" i="17"/>
  <c r="Z163" i="17"/>
  <c r="Z150" i="17"/>
  <c r="Z152" i="17" s="1"/>
  <c r="Z132" i="17"/>
  <c r="Z297" i="17"/>
  <c r="Z272" i="17"/>
  <c r="Z260" i="17"/>
  <c r="Z237" i="17"/>
  <c r="AI237" i="17" s="1"/>
  <c r="Z230" i="17"/>
  <c r="Z232" i="17" s="1"/>
  <c r="Z234" i="17" s="1"/>
  <c r="AI234" i="17" s="1"/>
  <c r="Z207" i="17"/>
  <c r="Z139" i="17"/>
  <c r="AI139" i="17" s="1"/>
  <c r="Z126" i="17"/>
  <c r="Z127" i="17"/>
  <c r="Z121" i="17"/>
  <c r="Z79" i="17"/>
  <c r="Z81" i="17" s="1"/>
  <c r="Z72" i="17"/>
  <c r="AI72" i="17" s="1"/>
  <c r="Z54" i="17"/>
  <c r="AI54" i="17" s="1"/>
  <c r="Z37" i="17"/>
  <c r="Z108" i="17"/>
  <c r="Z7" i="17"/>
  <c r="Z96" i="17"/>
  <c r="Z84" i="17"/>
  <c r="Z66" i="17"/>
  <c r="AA66" i="17" s="1"/>
  <c r="Z42" i="17"/>
  <c r="AI42" i="17" s="1"/>
  <c r="Z13" i="17"/>
  <c r="Z115" i="17"/>
  <c r="Z60" i="17"/>
  <c r="Z61" i="17"/>
  <c r="Z55" i="17"/>
  <c r="Z57" i="17" s="1"/>
  <c r="Z30" i="17"/>
  <c r="Z31" i="17"/>
  <c r="Z6" i="17"/>
  <c r="AI6" i="17" s="1"/>
  <c r="Z16" i="12"/>
  <c r="AK16" i="12" s="1"/>
  <c r="AE16" i="12"/>
  <c r="AF16" i="12" s="1"/>
  <c r="Z71" i="12"/>
  <c r="AK71" i="12" s="1"/>
  <c r="AE71" i="12"/>
  <c r="AF71" i="12" s="1"/>
  <c r="Z237" i="12"/>
  <c r="AK237" i="12" s="1"/>
  <c r="AE237" i="12"/>
  <c r="AF237" i="12" s="1"/>
  <c r="AE275" i="12"/>
  <c r="AF275" i="12" s="1"/>
  <c r="AC39" i="12"/>
  <c r="AL39" i="12" s="1"/>
  <c r="AC132" i="12"/>
  <c r="AL132" i="12" s="1"/>
  <c r="AC205" i="12"/>
  <c r="AL205" i="12" s="1"/>
  <c r="AC275" i="12"/>
  <c r="AL275" i="12" s="1"/>
  <c r="AC271" i="12"/>
  <c r="AL271" i="12" s="1"/>
  <c r="AC267" i="12"/>
  <c r="AL267" i="12" s="1"/>
  <c r="AC263" i="12"/>
  <c r="AL263" i="12" s="1"/>
  <c r="AC255" i="12"/>
  <c r="AL255" i="12" s="1"/>
  <c r="AC251" i="12"/>
  <c r="AL251" i="12" s="1"/>
  <c r="AC247" i="12"/>
  <c r="AL247" i="12" s="1"/>
  <c r="AC239" i="12"/>
  <c r="AL239" i="12" s="1"/>
  <c r="AC234" i="12"/>
  <c r="AL234" i="12" s="1"/>
  <c r="AC230" i="12"/>
  <c r="AL230" i="12" s="1"/>
  <c r="AC226" i="12"/>
  <c r="AL226" i="12" s="1"/>
  <c r="AC217" i="12"/>
  <c r="AL217" i="12" s="1"/>
  <c r="AC213" i="12"/>
  <c r="AL213" i="12" s="1"/>
  <c r="AC209" i="12"/>
  <c r="AL209" i="12" s="1"/>
  <c r="AC201" i="12"/>
  <c r="AL201" i="12" s="1"/>
  <c r="AC197" i="12"/>
  <c r="AL197" i="12" s="1"/>
  <c r="AC193" i="12"/>
  <c r="AL193" i="12" s="1"/>
  <c r="AC189" i="12"/>
  <c r="AL189" i="12" s="1"/>
  <c r="AC182" i="12"/>
  <c r="AL182" i="12" s="1"/>
  <c r="AC178" i="12"/>
  <c r="AL178" i="12" s="1"/>
  <c r="AC174" i="12"/>
  <c r="AL174" i="12" s="1"/>
  <c r="AC170" i="12"/>
  <c r="AL170" i="12" s="1"/>
  <c r="AC162" i="12"/>
  <c r="AL162" i="12" s="1"/>
  <c r="AC158" i="12"/>
  <c r="AL158" i="12" s="1"/>
  <c r="AC154" i="12"/>
  <c r="AL154" i="12" s="1"/>
  <c r="AC147" i="12"/>
  <c r="AL147" i="12" s="1"/>
  <c r="AC141" i="12"/>
  <c r="AL141" i="12" s="1"/>
  <c r="AC137" i="12"/>
  <c r="AL137" i="12" s="1"/>
  <c r="AC133" i="12"/>
  <c r="AL133" i="12" s="1"/>
  <c r="AC105" i="12"/>
  <c r="AL105" i="12" s="1"/>
  <c r="AC101" i="12"/>
  <c r="AL101" i="12" s="1"/>
  <c r="AC97" i="12"/>
  <c r="AL97" i="12" s="1"/>
  <c r="AL88" i="12"/>
  <c r="AC84" i="12"/>
  <c r="AL84" i="12" s="1"/>
  <c r="AC80" i="12"/>
  <c r="AL80" i="12" s="1"/>
  <c r="AC76" i="12"/>
  <c r="AL76" i="12" s="1"/>
  <c r="AC69" i="12"/>
  <c r="AL69" i="12" s="1"/>
  <c r="AC65" i="12"/>
  <c r="AL65" i="12" s="1"/>
  <c r="AC61" i="12"/>
  <c r="AL61" i="12" s="1"/>
  <c r="AC53" i="12"/>
  <c r="AL53" i="12" s="1"/>
  <c r="AC49" i="12"/>
  <c r="AL49" i="12" s="1"/>
  <c r="AC45" i="12"/>
  <c r="AL45" i="12" s="1"/>
  <c r="AC41" i="12"/>
  <c r="AL41" i="12" s="1"/>
  <c r="AC33" i="12"/>
  <c r="AC28" i="12"/>
  <c r="AC24" i="12"/>
  <c r="AC12" i="12"/>
  <c r="AL12" i="12" s="1"/>
  <c r="AC8" i="12"/>
  <c r="AL8" i="12" s="1"/>
  <c r="AC4" i="12"/>
  <c r="AL4" i="12" s="1"/>
  <c r="AD31" i="11"/>
  <c r="AD210" i="11"/>
  <c r="AD40" i="11"/>
  <c r="AD39" i="11"/>
  <c r="AL229" i="11"/>
  <c r="AD207" i="11"/>
  <c r="AD174" i="11"/>
  <c r="AD257" i="11"/>
  <c r="AD212" i="11"/>
  <c r="AD261" i="11"/>
  <c r="AD50" i="11"/>
  <c r="AD157" i="11"/>
  <c r="AD77" i="11"/>
  <c r="Z38" i="17"/>
  <c r="AI36" i="17"/>
  <c r="Z74" i="17"/>
  <c r="AI296" i="17"/>
  <c r="Z298" i="17"/>
  <c r="Z8" i="17"/>
  <c r="AI43" i="17"/>
  <c r="Z44" i="17"/>
  <c r="Z46" i="17" s="1"/>
  <c r="AI46" i="17" s="1"/>
  <c r="Z80" i="17"/>
  <c r="Z116" i="17"/>
  <c r="AI114" i="17"/>
  <c r="AI207" i="17"/>
  <c r="Z209" i="17"/>
  <c r="Z210" i="17" s="1"/>
  <c r="AI210" i="17" s="1"/>
  <c r="Z21" i="17"/>
  <c r="Z22" i="17" s="1"/>
  <c r="AI22" i="17" s="1"/>
  <c r="AI25" i="17"/>
  <c r="Z56" i="17"/>
  <c r="Z58" i="17" s="1"/>
  <c r="AI58" i="17" s="1"/>
  <c r="Z221" i="17"/>
  <c r="AI219" i="17"/>
  <c r="AI230" i="17"/>
  <c r="Z280" i="17"/>
  <c r="Z286" i="17"/>
  <c r="AI284" i="17"/>
  <c r="AI314" i="17"/>
  <c r="AI224" i="17"/>
  <c r="AI243" i="17"/>
  <c r="AI248" i="17"/>
  <c r="AI261" i="17"/>
  <c r="Z322" i="17"/>
  <c r="X127" i="17"/>
  <c r="AA82" i="12"/>
  <c r="X91" i="17"/>
  <c r="AA139" i="12"/>
  <c r="AA78" i="12"/>
  <c r="AA231" i="12"/>
  <c r="AA133" i="12"/>
  <c r="AA116" i="12"/>
  <c r="AA58" i="12"/>
  <c r="X273" i="17"/>
  <c r="AA46" i="12"/>
  <c r="AA265" i="12"/>
  <c r="AA266" i="12"/>
  <c r="AA40" i="12"/>
  <c r="AA208" i="12"/>
  <c r="X42" i="17"/>
  <c r="AA7" i="17"/>
  <c r="AD265" i="12"/>
  <c r="AD52" i="11"/>
  <c r="AD122" i="11"/>
  <c r="AA207" i="17"/>
  <c r="AA25" i="17"/>
  <c r="AD99" i="12"/>
  <c r="AD136" i="12"/>
  <c r="AD35" i="11"/>
  <c r="AD156" i="11"/>
  <c r="AD254" i="11"/>
  <c r="AA255" i="17"/>
  <c r="AA193" i="17"/>
  <c r="AA61" i="17"/>
  <c r="AD52" i="12"/>
  <c r="AA109" i="17"/>
  <c r="AA91" i="17"/>
  <c r="AD224" i="12"/>
  <c r="AD151" i="12"/>
  <c r="AD97" i="11"/>
  <c r="AD82" i="11"/>
  <c r="AD230" i="11"/>
  <c r="AD265" i="11"/>
  <c r="AA169" i="17"/>
  <c r="AD151" i="11"/>
  <c r="AD21" i="11"/>
  <c r="AA133" i="17"/>
  <c r="AA254" i="17"/>
  <c r="AA73" i="17"/>
  <c r="AA6" i="17"/>
  <c r="AD123" i="12"/>
  <c r="AD159" i="12"/>
  <c r="AD272" i="12"/>
  <c r="AD109" i="11"/>
  <c r="AD255" i="11"/>
  <c r="AD239" i="11"/>
  <c r="AD243" i="11"/>
  <c r="AD49" i="11"/>
  <c r="AD138" i="11"/>
  <c r="AD95" i="11"/>
  <c r="AD167" i="11"/>
  <c r="AA291" i="17"/>
  <c r="AA42" i="17"/>
  <c r="AD59" i="11"/>
  <c r="X290" i="17"/>
  <c r="X150" i="17"/>
  <c r="AA251" i="12"/>
  <c r="AA229" i="12"/>
  <c r="X278" i="17"/>
  <c r="X54" i="17"/>
  <c r="AA174" i="12"/>
  <c r="AA162" i="12"/>
  <c r="AA97" i="12"/>
  <c r="AA232" i="12"/>
  <c r="X224" i="17"/>
  <c r="AA226" i="12"/>
  <c r="AA205" i="12"/>
  <c r="AA264" i="12"/>
  <c r="AA20" i="12"/>
  <c r="AA51" i="12"/>
  <c r="AA147" i="12"/>
  <c r="AA67" i="17"/>
  <c r="AD180" i="12"/>
  <c r="AD20" i="12"/>
  <c r="AD250" i="12"/>
  <c r="AA248" i="17"/>
  <c r="AA230" i="17"/>
  <c r="AD141" i="12"/>
  <c r="AD210" i="12"/>
  <c r="AD45" i="11"/>
  <c r="AA279" i="17"/>
  <c r="AA36" i="17"/>
  <c r="AD11" i="12"/>
  <c r="AD68" i="12"/>
  <c r="AD79" i="12"/>
  <c r="AD135" i="12"/>
  <c r="AD181" i="12"/>
  <c r="AD235" i="12"/>
  <c r="AD102" i="11"/>
  <c r="AA107" i="12"/>
  <c r="AA254" i="12"/>
  <c r="AA79" i="12"/>
  <c r="AA64" i="12"/>
  <c r="AA75" i="12"/>
  <c r="X121" i="17"/>
  <c r="AA5" i="12"/>
  <c r="AA163" i="17"/>
  <c r="AA242" i="17"/>
  <c r="AA115" i="17"/>
  <c r="AD63" i="12"/>
  <c r="AA118" i="12"/>
  <c r="AA134" i="12"/>
  <c r="X181" i="17"/>
  <c r="AA173" i="12"/>
  <c r="AA80" i="12"/>
  <c r="AA138" i="12"/>
  <c r="AA216" i="12"/>
  <c r="X90" i="17"/>
  <c r="AA70" i="12"/>
  <c r="AA99" i="12"/>
  <c r="AA103" i="12"/>
  <c r="X126" i="17"/>
  <c r="AA49" i="12"/>
  <c r="X169" i="17"/>
  <c r="AA86" i="12"/>
  <c r="AA274" i="12"/>
  <c r="X96" i="17"/>
  <c r="AA67" i="12"/>
  <c r="AA128" i="12"/>
  <c r="AA249" i="12"/>
  <c r="AA199" i="17"/>
  <c r="AD143" i="12"/>
  <c r="AD154" i="11"/>
  <c r="AD41" i="11"/>
  <c r="AD170" i="11"/>
  <c r="AD248" i="11"/>
  <c r="AD163" i="11"/>
  <c r="AA243" i="17"/>
  <c r="AA225" i="17"/>
  <c r="X132" i="17"/>
  <c r="X198" i="17"/>
  <c r="X326" i="17"/>
  <c r="X297" i="17"/>
  <c r="X61" i="17"/>
  <c r="AA189" i="12"/>
  <c r="AA101" i="12"/>
  <c r="AA161" i="12"/>
  <c r="AA210" i="12"/>
  <c r="AA158" i="12"/>
  <c r="AA269" i="12"/>
  <c r="AA212" i="12"/>
  <c r="AA233" i="12"/>
  <c r="AA151" i="12"/>
  <c r="X139" i="17"/>
  <c r="X145" i="17"/>
  <c r="AA96" i="12"/>
  <c r="AA267" i="12"/>
  <c r="AA42" i="12"/>
  <c r="AA50" i="12"/>
  <c r="AA153" i="12"/>
  <c r="AA179" i="12"/>
  <c r="AA268" i="12"/>
  <c r="AA272" i="12"/>
  <c r="AA163" i="12"/>
  <c r="AA192" i="12"/>
  <c r="AA61" i="12"/>
  <c r="AA172" i="12"/>
  <c r="AA176" i="12"/>
  <c r="X108" i="17"/>
  <c r="X157" i="17"/>
  <c r="X230" i="17"/>
  <c r="X7" i="17"/>
  <c r="AA177" i="12"/>
  <c r="AA132" i="12"/>
  <c r="AA140" i="12"/>
  <c r="AA252" i="12"/>
  <c r="AA256" i="12"/>
  <c r="AA98" i="12"/>
  <c r="AA195" i="12"/>
  <c r="AA12" i="12"/>
  <c r="AA95" i="12"/>
  <c r="AA120" i="12"/>
  <c r="X321" i="17"/>
  <c r="X36" i="17"/>
  <c r="AA143" i="12"/>
  <c r="AA199" i="12"/>
  <c r="AA52" i="12"/>
  <c r="AA224" i="12"/>
  <c r="AA9" i="12"/>
  <c r="AA175" i="17"/>
  <c r="AD261" i="12"/>
  <c r="AA218" i="17"/>
  <c r="AD232" i="12"/>
  <c r="AD169" i="12"/>
  <c r="AA132" i="17"/>
  <c r="AD124" i="12"/>
  <c r="AD269" i="12"/>
  <c r="AA174" i="17"/>
  <c r="AD98" i="12"/>
  <c r="AA102" i="17"/>
  <c r="AA72" i="17"/>
  <c r="AD153" i="12"/>
  <c r="AD231" i="12"/>
  <c r="AD6" i="11"/>
  <c r="AD14" i="11"/>
  <c r="AD237" i="12"/>
  <c r="AA249" i="17"/>
  <c r="AD78" i="12"/>
  <c r="AA54" i="17"/>
  <c r="AD196" i="12"/>
  <c r="AD213" i="12"/>
  <c r="AA296" i="17"/>
  <c r="AA157" i="17"/>
  <c r="AD58" i="12"/>
  <c r="AD122" i="12"/>
  <c r="AD177" i="12"/>
  <c r="AD216" i="12"/>
  <c r="AD4" i="11"/>
  <c r="AA97" i="17"/>
  <c r="AA13" i="17"/>
  <c r="AD188" i="12"/>
  <c r="AA162" i="17"/>
  <c r="AA278" i="17"/>
  <c r="AD70" i="12"/>
  <c r="AD87" i="12"/>
  <c r="AD126" i="11"/>
  <c r="AD198" i="11"/>
  <c r="AD258" i="11"/>
  <c r="AD241" i="11"/>
  <c r="AD237" i="11"/>
  <c r="AD227" i="11"/>
  <c r="AD204" i="11"/>
  <c r="AD200" i="11"/>
  <c r="AD194" i="11"/>
  <c r="AD190" i="11"/>
  <c r="AD185" i="11"/>
  <c r="AD181" i="11"/>
  <c r="AD175" i="11"/>
  <c r="AD153" i="11"/>
  <c r="AD149" i="11"/>
  <c r="AD120" i="11"/>
  <c r="AD103" i="11"/>
  <c r="AD87" i="11"/>
  <c r="AD75" i="11"/>
  <c r="AD68" i="11"/>
  <c r="AD46" i="11"/>
  <c r="AD32" i="11"/>
  <c r="AD28" i="11"/>
  <c r="AA236" i="12"/>
  <c r="AA270" i="12"/>
  <c r="X13" i="17"/>
  <c r="AA188" i="12"/>
  <c r="X296" i="17"/>
  <c r="AE296" i="17" s="1"/>
  <c r="AE298" i="17" s="1"/>
  <c r="AA41" i="12"/>
  <c r="AA165" i="12"/>
  <c r="AA83" i="12"/>
  <c r="AA191" i="12"/>
  <c r="X207" i="17"/>
  <c r="X187" i="17"/>
  <c r="X186" i="17"/>
  <c r="AA104" i="12"/>
  <c r="AA197" i="12"/>
  <c r="AA230" i="12"/>
  <c r="AA271" i="12"/>
  <c r="AA11" i="12"/>
  <c r="X315" i="17"/>
  <c r="X302" i="17"/>
  <c r="X199" i="17"/>
  <c r="X255" i="17"/>
  <c r="X144" i="17"/>
  <c r="AA100" i="12"/>
  <c r="AA182" i="12"/>
  <c r="AA217" i="12"/>
  <c r="AA263" i="12"/>
  <c r="AA105" i="12"/>
  <c r="AA144" i="12"/>
  <c r="AA157" i="12"/>
  <c r="AA76" i="12"/>
  <c r="AA273" i="12"/>
  <c r="AA8" i="12"/>
  <c r="AA48" i="12"/>
  <c r="AA237" i="12"/>
  <c r="AA186" i="17"/>
  <c r="AA314" i="17"/>
  <c r="AD193" i="12"/>
  <c r="AD200" i="12"/>
  <c r="AD264" i="12"/>
  <c r="AD253" i="12"/>
  <c r="AD191" i="12"/>
  <c r="AD173" i="12"/>
  <c r="AD254" i="12"/>
  <c r="AD132" i="12"/>
  <c r="AD118" i="12"/>
  <c r="AA290" i="17"/>
  <c r="AA326" i="17"/>
  <c r="AA43" i="17"/>
  <c r="AA96" i="17"/>
  <c r="AD75" i="12"/>
  <c r="AD86" i="12"/>
  <c r="AA60" i="17"/>
  <c r="AD128" i="12"/>
  <c r="AA267" i="17"/>
  <c r="AA309" i="17"/>
  <c r="AD46" i="12"/>
  <c r="AD154" i="12"/>
  <c r="AD201" i="12"/>
  <c r="AA31" i="17"/>
  <c r="AD47" i="12"/>
  <c r="AD59" i="12"/>
  <c r="AH59" i="12" s="1"/>
  <c r="AD194" i="12"/>
  <c r="AD160" i="12"/>
  <c r="AD244" i="12"/>
  <c r="AA224" i="17"/>
  <c r="AA272" i="17"/>
  <c r="AD96" i="12"/>
  <c r="AD4" i="12"/>
  <c r="AD73" i="11"/>
  <c r="AD253" i="11"/>
  <c r="AD236" i="11"/>
  <c r="AD222" i="11"/>
  <c r="AD218" i="11"/>
  <c r="AD203" i="11"/>
  <c r="AD189" i="11"/>
  <c r="AD148" i="11"/>
  <c r="AD129" i="11"/>
  <c r="AD115" i="11"/>
  <c r="AD111" i="11"/>
  <c r="AD98" i="11"/>
  <c r="AD94" i="11"/>
  <c r="AD78" i="11"/>
  <c r="AA68" i="11"/>
  <c r="AD27" i="11"/>
  <c r="AA68" i="12"/>
  <c r="AH68" i="12" s="1"/>
  <c r="X213" i="17"/>
  <c r="X180" i="17"/>
  <c r="AA15" i="12"/>
  <c r="AA10" i="12"/>
  <c r="AA187" i="12"/>
  <c r="X163" i="17"/>
  <c r="X272" i="17"/>
  <c r="X303" i="17"/>
  <c r="AA275" i="12"/>
  <c r="AA183" i="12"/>
  <c r="AA7" i="12"/>
  <c r="AA44" i="12"/>
  <c r="X55" i="17"/>
  <c r="AA4" i="12"/>
  <c r="AA246" i="12"/>
  <c r="AA213" i="17"/>
  <c r="AD15" i="12"/>
  <c r="AA219" i="17"/>
  <c r="AA144" i="17"/>
  <c r="AA37" i="17"/>
  <c r="AD9" i="12"/>
  <c r="AD179" i="12"/>
  <c r="AD262" i="12"/>
  <c r="AA266" i="17"/>
  <c r="AA120" i="17"/>
  <c r="AA90" i="17"/>
  <c r="AD155" i="12"/>
  <c r="AA181" i="17"/>
  <c r="AD115" i="12"/>
  <c r="AD138" i="12"/>
  <c r="AD171" i="12"/>
  <c r="AD172" i="12"/>
  <c r="AD101" i="12"/>
  <c r="AD214" i="12"/>
  <c r="AD228" i="12"/>
  <c r="AD226" i="12"/>
  <c r="AA19" i="17"/>
  <c r="AA108" i="17"/>
  <c r="AD82" i="12"/>
  <c r="AA114" i="17"/>
  <c r="AD121" i="12"/>
  <c r="AA127" i="17"/>
  <c r="AD3" i="12"/>
  <c r="AD205" i="12"/>
  <c r="AA198" i="17"/>
  <c r="AD77" i="12"/>
  <c r="AD190" i="12"/>
  <c r="AD198" i="12"/>
  <c r="AD127" i="12"/>
  <c r="AD139" i="12"/>
  <c r="AA85" i="17"/>
  <c r="AD61" i="12"/>
  <c r="AD197" i="12"/>
  <c r="AD43" i="12"/>
  <c r="AA103" i="17"/>
  <c r="AD76" i="12"/>
  <c r="AD10" i="11"/>
  <c r="AA308" i="17"/>
  <c r="AA150" i="17"/>
  <c r="AD116" i="12"/>
  <c r="AD7" i="11"/>
  <c r="AD233" i="12"/>
  <c r="AA192" i="17"/>
  <c r="AD134" i="12"/>
  <c r="AD48" i="12"/>
  <c r="AD274" i="12"/>
  <c r="AA285" i="17"/>
  <c r="AA79" i="17"/>
  <c r="AA151" i="17"/>
  <c r="AH267" i="17"/>
  <c r="AI138" i="17"/>
  <c r="AH115" i="17"/>
  <c r="AH309" i="17"/>
  <c r="AI206" i="17"/>
  <c r="AK262" i="12"/>
  <c r="AK206" i="12"/>
  <c r="AK135" i="12"/>
  <c r="AK77" i="12"/>
  <c r="AK6" i="12"/>
  <c r="AK63" i="12"/>
  <c r="AH37" i="17"/>
  <c r="AK142" i="12"/>
  <c r="AL211" i="12"/>
  <c r="AL117" i="12"/>
  <c r="AK47" i="12"/>
  <c r="AK14" i="12"/>
  <c r="AL32" i="11"/>
  <c r="AL205" i="11"/>
  <c r="AD264" i="11"/>
  <c r="AD235" i="11"/>
  <c r="AD183" i="11"/>
  <c r="AD169" i="11"/>
  <c r="AD165" i="11"/>
  <c r="AD155" i="11"/>
  <c r="AD147" i="11"/>
  <c r="AD133" i="11"/>
  <c r="AD128" i="11"/>
  <c r="AD110" i="11"/>
  <c r="AD101" i="11"/>
  <c r="AD85" i="11"/>
  <c r="AD58" i="11"/>
  <c r="X31" i="17"/>
  <c r="AA244" i="12"/>
  <c r="AA194" i="12"/>
  <c r="AA218" i="12"/>
  <c r="AA211" i="12"/>
  <c r="AA243" i="12"/>
  <c r="X43" i="17"/>
  <c r="X30" i="17"/>
  <c r="AA201" i="12"/>
  <c r="AA247" i="12"/>
  <c r="AA94" i="12"/>
  <c r="AA154" i="12"/>
  <c r="AA180" i="12"/>
  <c r="AA250" i="12"/>
  <c r="AA57" i="12"/>
  <c r="AA121" i="12"/>
  <c r="AA239" i="12"/>
  <c r="AA122" i="12"/>
  <c r="X60" i="17"/>
  <c r="AA117" i="12"/>
  <c r="AA169" i="12"/>
  <c r="AA235" i="12"/>
  <c r="AA106" i="12"/>
  <c r="AA175" i="12"/>
  <c r="AA245" i="12"/>
  <c r="AA196" i="12"/>
  <c r="AA225" i="12"/>
  <c r="X218" i="17"/>
  <c r="X260" i="17"/>
  <c r="AA85" i="12"/>
  <c r="AA102" i="12"/>
  <c r="AA228" i="12"/>
  <c r="AA124" i="12"/>
  <c r="AA159" i="12"/>
  <c r="AA87" i="12"/>
  <c r="AA190" i="12"/>
  <c r="AA66" i="12"/>
  <c r="AA81" i="12"/>
  <c r="X237" i="17"/>
  <c r="AA193" i="12"/>
  <c r="AH193" i="12" s="1"/>
  <c r="AA114" i="12"/>
  <c r="AA69" i="12"/>
  <c r="AA123" i="12"/>
  <c r="AA137" i="12"/>
  <c r="AA141" i="12"/>
  <c r="AA3" i="12"/>
  <c r="AA62" i="12"/>
  <c r="AA45" i="12"/>
  <c r="AA209" i="12"/>
  <c r="AA136" i="12"/>
  <c r="AA261" i="12"/>
  <c r="AA43" i="12"/>
  <c r="AA155" i="12"/>
  <c r="AA181" i="12"/>
  <c r="AH181" i="12" s="1"/>
  <c r="AA200" i="12"/>
  <c r="X327" i="17"/>
  <c r="X66" i="17"/>
  <c r="AA109" i="12"/>
  <c r="AA255" i="12"/>
  <c r="AA214" i="12"/>
  <c r="AA65" i="12"/>
  <c r="AA115" i="12"/>
  <c r="AA220" i="12"/>
  <c r="AA257" i="12"/>
  <c r="X206" i="17"/>
  <c r="X72" i="17"/>
  <c r="X6" i="17"/>
  <c r="AE6" i="17" s="1"/>
  <c r="AE8" i="17" s="1"/>
  <c r="AA156" i="12"/>
  <c r="AA234" i="12"/>
  <c r="AA39" i="12"/>
  <c r="AA248" i="12"/>
  <c r="AA119" i="12"/>
  <c r="AA207" i="12"/>
  <c r="AA13" i="12"/>
  <c r="AH13" i="12" s="1"/>
  <c r="X309" i="17"/>
  <c r="AE309" i="17" s="1"/>
  <c r="AE311" i="17" s="1"/>
  <c r="X267" i="17"/>
  <c r="X115" i="17"/>
  <c r="X37" i="17"/>
  <c r="AA63" i="12"/>
  <c r="AH63" i="12" s="1"/>
  <c r="AA135" i="12"/>
  <c r="AA160" i="12"/>
  <c r="AA6" i="12"/>
  <c r="AA14" i="12"/>
  <c r="AA170" i="12"/>
  <c r="AA198" i="12"/>
  <c r="AA206" i="12"/>
  <c r="AA47" i="12"/>
  <c r="AA77" i="12"/>
  <c r="AA142" i="12"/>
  <c r="AA262" i="12"/>
  <c r="AA320" i="17"/>
  <c r="AA48" i="17"/>
  <c r="AA212" i="17"/>
  <c r="AA260" i="17"/>
  <c r="AD137" i="12"/>
  <c r="AD252" i="12"/>
  <c r="AD249" i="12"/>
  <c r="AA315" i="17"/>
  <c r="AA187" i="17"/>
  <c r="AD152" i="12"/>
  <c r="AH152" i="12" s="1"/>
  <c r="AD263" i="12"/>
  <c r="AA297" i="17"/>
  <c r="AA84" i="17"/>
  <c r="AD5" i="12"/>
  <c r="AD100" i="12"/>
  <c r="AD114" i="12"/>
  <c r="AD161" i="12"/>
  <c r="AD187" i="12"/>
  <c r="AD245" i="12"/>
  <c r="AD164" i="12"/>
  <c r="AH164" i="12" s="1"/>
  <c r="AD218" i="12"/>
  <c r="AA237" i="17"/>
  <c r="AA139" i="17"/>
  <c r="AD192" i="12"/>
  <c r="AD273" i="12"/>
  <c r="AD247" i="12"/>
  <c r="AA327" i="17"/>
  <c r="AD67" i="12"/>
  <c r="AD109" i="12"/>
  <c r="AD97" i="12"/>
  <c r="AD157" i="12"/>
  <c r="AD225" i="12"/>
  <c r="AA284" i="17"/>
  <c r="AD50" i="12"/>
  <c r="AA55" i="17"/>
  <c r="AD246" i="12"/>
  <c r="AD12" i="11"/>
  <c r="AA261" i="17"/>
  <c r="AA273" i="17"/>
  <c r="AA145" i="17"/>
  <c r="AA78" i="17"/>
  <c r="AD12" i="12"/>
  <c r="AA138" i="17"/>
  <c r="AA206" i="17"/>
  <c r="AD117" i="12"/>
  <c r="AD211" i="12"/>
  <c r="AA303" i="17"/>
  <c r="AA121" i="17"/>
  <c r="AA321" i="17"/>
  <c r="AA302" i="17"/>
  <c r="AA180" i="17"/>
  <c r="AA126" i="17"/>
  <c r="AA168" i="17"/>
  <c r="AA156" i="17"/>
  <c r="AA24" i="17"/>
  <c r="AD199" i="12"/>
  <c r="AD178" i="12"/>
  <c r="AH178" i="12" s="1"/>
  <c r="AA30" i="17"/>
  <c r="AA12" i="17"/>
  <c r="AD41" i="12"/>
  <c r="AD5" i="11"/>
  <c r="X249" i="17"/>
  <c r="AE249" i="17" s="1"/>
  <c r="AE251" i="17" s="1"/>
  <c r="X168" i="17"/>
  <c r="AA53" i="12"/>
  <c r="AA213" i="12"/>
  <c r="AH213" i="12" s="1"/>
  <c r="AA227" i="12"/>
  <c r="AA171" i="12"/>
  <c r="AA215" i="12"/>
  <c r="AD252" i="11"/>
  <c r="AD259" i="11"/>
  <c r="AD246" i="11"/>
  <c r="AD242" i="11"/>
  <c r="AD238" i="11"/>
  <c r="AD228" i="11"/>
  <c r="AD220" i="11"/>
  <c r="AD209" i="11"/>
  <c r="AD205" i="11"/>
  <c r="AD191" i="11"/>
  <c r="AD186" i="11"/>
  <c r="AD176" i="11"/>
  <c r="AD172" i="11"/>
  <c r="AD164" i="11"/>
  <c r="AD150" i="11"/>
  <c r="AD140" i="11"/>
  <c r="AD127" i="11"/>
  <c r="AD121" i="11"/>
  <c r="AD117" i="11"/>
  <c r="AD113" i="11"/>
  <c r="AD104" i="11"/>
  <c r="AD100" i="11"/>
  <c r="AD96" i="11"/>
  <c r="AD92" i="11"/>
  <c r="AD84" i="11"/>
  <c r="AD76" i="11"/>
  <c r="AD69" i="11"/>
  <c r="AD65" i="11"/>
  <c r="AD61" i="11"/>
  <c r="AD51" i="11"/>
  <c r="AD47" i="11"/>
  <c r="AD43" i="11"/>
  <c r="AD33" i="11"/>
  <c r="AD29" i="11"/>
  <c r="AD260" i="11" l="1"/>
  <c r="AL234" i="11"/>
  <c r="AD223" i="11"/>
  <c r="AL225" i="11"/>
  <c r="AL202" i="11"/>
  <c r="AD144" i="11"/>
  <c r="AA122" i="11"/>
  <c r="AD42" i="11"/>
  <c r="AD193" i="11"/>
  <c r="AD80" i="11"/>
  <c r="AD79" i="11"/>
  <c r="AD9" i="11"/>
  <c r="AD25" i="11"/>
  <c r="AD62" i="11"/>
  <c r="AD15" i="11"/>
  <c r="AD24" i="11"/>
  <c r="AD64" i="11"/>
  <c r="AD99" i="11"/>
  <c r="AD8" i="11"/>
  <c r="AD221" i="11"/>
  <c r="AD208" i="11"/>
  <c r="AD216" i="11"/>
  <c r="AA247" i="11"/>
  <c r="AD134" i="11"/>
  <c r="AD83" i="11"/>
  <c r="AA32" i="11"/>
  <c r="AD137" i="11"/>
  <c r="AL119" i="11"/>
  <c r="AD23" i="11"/>
  <c r="AD152" i="11"/>
  <c r="AD211" i="11"/>
  <c r="AD11" i="11"/>
  <c r="AD60" i="11"/>
  <c r="AD17" i="11"/>
  <c r="AD184" i="11"/>
  <c r="AD93" i="11"/>
  <c r="AD182" i="11"/>
  <c r="AD114" i="11"/>
  <c r="AD247" i="11"/>
  <c r="AD3" i="11"/>
  <c r="AD219" i="11"/>
  <c r="AD57" i="11"/>
  <c r="AD136" i="11"/>
  <c r="AD263" i="11"/>
  <c r="AD26" i="11"/>
  <c r="AD81" i="11"/>
  <c r="AD166" i="11"/>
  <c r="AD262" i="11"/>
  <c r="AD244" i="11"/>
  <c r="AD240" i="11"/>
  <c r="AD162" i="11"/>
  <c r="AD67" i="11"/>
  <c r="AL192" i="11"/>
  <c r="AD34" i="11"/>
  <c r="AD267" i="12"/>
  <c r="AD266" i="12"/>
  <c r="AD239" i="12"/>
  <c r="AD220" i="12"/>
  <c r="AD217" i="12"/>
  <c r="AD212" i="12"/>
  <c r="AH212" i="12" s="1"/>
  <c r="AD207" i="12"/>
  <c r="AD256" i="12"/>
  <c r="AD255" i="12"/>
  <c r="AD182" i="12"/>
  <c r="AD175" i="12"/>
  <c r="AD174" i="12"/>
  <c r="AD140" i="12"/>
  <c r="AD119" i="12"/>
  <c r="AH119" i="12" s="1"/>
  <c r="AD103" i="12"/>
  <c r="AD106" i="12"/>
  <c r="AD183" i="12"/>
  <c r="AH183" i="12" s="1"/>
  <c r="AD195" i="12"/>
  <c r="AD158" i="12"/>
  <c r="AH158" i="12" s="1"/>
  <c r="AD83" i="12"/>
  <c r="AD60" i="12"/>
  <c r="AH60" i="12" s="1"/>
  <c r="AD57" i="12"/>
  <c r="AH262" i="12"/>
  <c r="AH171" i="12"/>
  <c r="AD142" i="12"/>
  <c r="AD163" i="12"/>
  <c r="AH155" i="12"/>
  <c r="AD71" i="12"/>
  <c r="AD84" i="12"/>
  <c r="AH84" i="12" s="1"/>
  <c r="AH198" i="12"/>
  <c r="AH159" i="12"/>
  <c r="AH99" i="12"/>
  <c r="AD85" i="12"/>
  <c r="AD24" i="12"/>
  <c r="AH24" i="12" s="1"/>
  <c r="AL24" i="12"/>
  <c r="AL21" i="12"/>
  <c r="AD21" i="12"/>
  <c r="AD31" i="12"/>
  <c r="AL31" i="12"/>
  <c r="AL28" i="12"/>
  <c r="AD28" i="12"/>
  <c r="AH28" i="12" s="1"/>
  <c r="AL25" i="12"/>
  <c r="AD25" i="12"/>
  <c r="AD35" i="12"/>
  <c r="AL35" i="12"/>
  <c r="AL23" i="12"/>
  <c r="AD23" i="12"/>
  <c r="AH23" i="12" s="1"/>
  <c r="AL33" i="12"/>
  <c r="AD33" i="12"/>
  <c r="AL30" i="12"/>
  <c r="AD30" i="12"/>
  <c r="AD22" i="12"/>
  <c r="AL22" i="12"/>
  <c r="AL27" i="12"/>
  <c r="AD27" i="12"/>
  <c r="AH27" i="12" s="1"/>
  <c r="AL34" i="12"/>
  <c r="AD34" i="12"/>
  <c r="AD26" i="12"/>
  <c r="AL26" i="12"/>
  <c r="AL32" i="12"/>
  <c r="AD32" i="12"/>
  <c r="AH32" i="12" s="1"/>
  <c r="AD69" i="12"/>
  <c r="AD53" i="12"/>
  <c r="AH53" i="12" s="1"/>
  <c r="AD40" i="12"/>
  <c r="AH40" i="12" s="1"/>
  <c r="AD170" i="12"/>
  <c r="AH170" i="12" s="1"/>
  <c r="AD248" i="12"/>
  <c r="AH248" i="12" s="1"/>
  <c r="AD120" i="12"/>
  <c r="AD45" i="12"/>
  <c r="AD51" i="12"/>
  <c r="AD236" i="12"/>
  <c r="AD215" i="12"/>
  <c r="AH215" i="12" s="1"/>
  <c r="AD156" i="12"/>
  <c r="AH156" i="12" s="1"/>
  <c r="AD44" i="12"/>
  <c r="AH44" i="12" s="1"/>
  <c r="AD270" i="12"/>
  <c r="AH270" i="12" s="1"/>
  <c r="AD95" i="12"/>
  <c r="AD42" i="12"/>
  <c r="AD94" i="12"/>
  <c r="AD229" i="12"/>
  <c r="AD105" i="12"/>
  <c r="AA127" i="12"/>
  <c r="AD227" i="12"/>
  <c r="AH227" i="12" s="1"/>
  <c r="AD144" i="12"/>
  <c r="AH144" i="12" s="1"/>
  <c r="AD208" i="12"/>
  <c r="AD147" i="12"/>
  <c r="AD209" i="12"/>
  <c r="AH209" i="12" s="1"/>
  <c r="AD189" i="12"/>
  <c r="AH189" i="12" s="1"/>
  <c r="AD113" i="12"/>
  <c r="AH113" i="12" s="1"/>
  <c r="AD165" i="12"/>
  <c r="AD243" i="12"/>
  <c r="AH243" i="12" s="1"/>
  <c r="AD64" i="12"/>
  <c r="AD230" i="12"/>
  <c r="AH230" i="12" s="1"/>
  <c r="AD62" i="12"/>
  <c r="AH62" i="12" s="1"/>
  <c r="AD39" i="12"/>
  <c r="AD257" i="12"/>
  <c r="AH257" i="12" s="1"/>
  <c r="AD206" i="12"/>
  <c r="AD104" i="12"/>
  <c r="AH104" i="12" s="1"/>
  <c r="AD271" i="12"/>
  <c r="AH135" i="12"/>
  <c r="AH136" i="12"/>
  <c r="AH154" i="12"/>
  <c r="AD65" i="12"/>
  <c r="AH65" i="12" s="1"/>
  <c r="AD81" i="12"/>
  <c r="AH81" i="12" s="1"/>
  <c r="AD102" i="12"/>
  <c r="AH102" i="12" s="1"/>
  <c r="AD10" i="12"/>
  <c r="AH10" i="12" s="1"/>
  <c r="AD176" i="12"/>
  <c r="AD251" i="12"/>
  <c r="AH251" i="12" s="1"/>
  <c r="AD268" i="12"/>
  <c r="AD8" i="12"/>
  <c r="AD16" i="12"/>
  <c r="AD14" i="12"/>
  <c r="AH14" i="12" s="1"/>
  <c r="AD6" i="12"/>
  <c r="AH6" i="12" s="1"/>
  <c r="AA16" i="12"/>
  <c r="AD7" i="12"/>
  <c r="AH7" i="12" s="1"/>
  <c r="AD162" i="12"/>
  <c r="AH162" i="12" s="1"/>
  <c r="AH4" i="12"/>
  <c r="AE267" i="17"/>
  <c r="AE269" i="17" s="1"/>
  <c r="AE72" i="17"/>
  <c r="AE74" i="17" s="1"/>
  <c r="AE79" i="17"/>
  <c r="AE81" i="17" s="1"/>
  <c r="AE84" i="17"/>
  <c r="AE86" i="17" s="1"/>
  <c r="AE37" i="17"/>
  <c r="AE39" i="17" s="1"/>
  <c r="AE207" i="17"/>
  <c r="AE209" i="17" s="1"/>
  <c r="AB18" i="17"/>
  <c r="AC18" i="17" s="1"/>
  <c r="AE129" i="11"/>
  <c r="AF129" i="11" s="1"/>
  <c r="AE246" i="11"/>
  <c r="AF246" i="11" s="1"/>
  <c r="AE49" i="11"/>
  <c r="AF49" i="11" s="1"/>
  <c r="AB261" i="17"/>
  <c r="AC261" i="17" s="1"/>
  <c r="AE6" i="11"/>
  <c r="AF6" i="11" s="1"/>
  <c r="AB567" i="17"/>
  <c r="AC567" i="17" s="1"/>
  <c r="AE567" i="17" s="1"/>
  <c r="AE569" i="17" s="1"/>
  <c r="AE22" i="11"/>
  <c r="AF22" i="11" s="1"/>
  <c r="AE175" i="11"/>
  <c r="AF175" i="11" s="1"/>
  <c r="AE42" i="11"/>
  <c r="AF42" i="11" s="1"/>
  <c r="AE186" i="11"/>
  <c r="AF186" i="11" s="1"/>
  <c r="AE73" i="11"/>
  <c r="AF73" i="11" s="1"/>
  <c r="AE248" i="11"/>
  <c r="AF248" i="11" s="1"/>
  <c r="AB604" i="17"/>
  <c r="AC604" i="17" s="1"/>
  <c r="AE604" i="17" s="1"/>
  <c r="AE606" i="17" s="1"/>
  <c r="AB109" i="17"/>
  <c r="AC109" i="17" s="1"/>
  <c r="AB192" i="17"/>
  <c r="AC192" i="17" s="1"/>
  <c r="AE571" i="17"/>
  <c r="AE147" i="11"/>
  <c r="AF147" i="11" s="1"/>
  <c r="AE62" i="11"/>
  <c r="AF62" i="11" s="1"/>
  <c r="AE187" i="11"/>
  <c r="AF187" i="11" s="1"/>
  <c r="AE86" i="11"/>
  <c r="AF86" i="11" s="1"/>
  <c r="AE234" i="11"/>
  <c r="AF234" i="11" s="1"/>
  <c r="AE97" i="11"/>
  <c r="AF97" i="11" s="1"/>
  <c r="AB414" i="17"/>
  <c r="AC414" i="17" s="1"/>
  <c r="AE414" i="17" s="1"/>
  <c r="AE416" i="17" s="1"/>
  <c r="AE418" i="17" s="1"/>
  <c r="AB616" i="17"/>
  <c r="AC616" i="17" s="1"/>
  <c r="AE616" i="17" s="1"/>
  <c r="AE618" i="17" s="1"/>
  <c r="AB120" i="17"/>
  <c r="AC120" i="17" s="1"/>
  <c r="AE208" i="11"/>
  <c r="AF208" i="11" s="1"/>
  <c r="AE95" i="11"/>
  <c r="AF95" i="11" s="1"/>
  <c r="AE221" i="11"/>
  <c r="AF221" i="11" s="1"/>
  <c r="AE119" i="11"/>
  <c r="AF119" i="11" s="1"/>
  <c r="AE9" i="11"/>
  <c r="AF9" i="11" s="1"/>
  <c r="AE152" i="11"/>
  <c r="AF152" i="11" s="1"/>
  <c r="AB597" i="17"/>
  <c r="AC597" i="17" s="1"/>
  <c r="AE597" i="17" s="1"/>
  <c r="AE599" i="17" s="1"/>
  <c r="AE265" i="11"/>
  <c r="AF265" i="11" s="1"/>
  <c r="AB284" i="17"/>
  <c r="AC284" i="17" s="1"/>
  <c r="AE230" i="11"/>
  <c r="AF230" i="11" s="1"/>
  <c r="AE47" i="11"/>
  <c r="AF47" i="11" s="1"/>
  <c r="AE137" i="11"/>
  <c r="AF137" i="11" s="1"/>
  <c r="AE163" i="11"/>
  <c r="AF163" i="11" s="1"/>
  <c r="AE245" i="11"/>
  <c r="AF245" i="11" s="1"/>
  <c r="AE65" i="11"/>
  <c r="AF65" i="11" s="1"/>
  <c r="AE128" i="11"/>
  <c r="AF128" i="11" s="1"/>
  <c r="AE206" i="11"/>
  <c r="AF206" i="11" s="1"/>
  <c r="AE28" i="11"/>
  <c r="AF28" i="11" s="1"/>
  <c r="AE77" i="11"/>
  <c r="AF77" i="11" s="1"/>
  <c r="AE189" i="11"/>
  <c r="AF189" i="11" s="1"/>
  <c r="AB591" i="17"/>
  <c r="AC591" i="17" s="1"/>
  <c r="AE591" i="17" s="1"/>
  <c r="AE593" i="17" s="1"/>
  <c r="AE595" i="17" s="1"/>
  <c r="AB592" i="17"/>
  <c r="AC592" i="17" s="1"/>
  <c r="AE592" i="17" s="1"/>
  <c r="AE594" i="17" s="1"/>
  <c r="AB615" i="17"/>
  <c r="AC615" i="17" s="1"/>
  <c r="AE615" i="17" s="1"/>
  <c r="AE617" i="17" s="1"/>
  <c r="AB24" i="17"/>
  <c r="AC24" i="17" s="1"/>
  <c r="AB248" i="17"/>
  <c r="AC248" i="17" s="1"/>
  <c r="AB162" i="17"/>
  <c r="AC162" i="17" s="1"/>
  <c r="AB291" i="17"/>
  <c r="AC291" i="17" s="1"/>
  <c r="AE291" i="17" s="1"/>
  <c r="AE293" i="17" s="1"/>
  <c r="AE192" i="11"/>
  <c r="AF192" i="11" s="1"/>
  <c r="AE11" i="11"/>
  <c r="AF11" i="11" s="1"/>
  <c r="AE75" i="11"/>
  <c r="AF75" i="11" s="1"/>
  <c r="AE150" i="11"/>
  <c r="AF150" i="11" s="1"/>
  <c r="AE199" i="11"/>
  <c r="AF199" i="11" s="1"/>
  <c r="AE39" i="11"/>
  <c r="AF39" i="11" s="1"/>
  <c r="AE74" i="11"/>
  <c r="AF74" i="11" s="1"/>
  <c r="AE166" i="11"/>
  <c r="AF166" i="11" s="1"/>
  <c r="AE264" i="11"/>
  <c r="AF264" i="11" s="1"/>
  <c r="AE131" i="11"/>
  <c r="AF131" i="11" s="1"/>
  <c r="AE227" i="11"/>
  <c r="AF227" i="11" s="1"/>
  <c r="AB462" i="17"/>
  <c r="AC462" i="17" s="1"/>
  <c r="AE462" i="17" s="1"/>
  <c r="AE464" i="17" s="1"/>
  <c r="AE466" i="17" s="1"/>
  <c r="AB603" i="17"/>
  <c r="AC603" i="17" s="1"/>
  <c r="AE603" i="17" s="1"/>
  <c r="AE605" i="17" s="1"/>
  <c r="AE33" i="11"/>
  <c r="AF33" i="11" s="1"/>
  <c r="AB67" i="17"/>
  <c r="AC67" i="17" s="1"/>
  <c r="AB200" i="17"/>
  <c r="AC200" i="17" s="1"/>
  <c r="AB90" i="17"/>
  <c r="AC90" i="17" s="1"/>
  <c r="AB534" i="17"/>
  <c r="AC534" i="17" s="1"/>
  <c r="AE534" i="17" s="1"/>
  <c r="AE536" i="17" s="1"/>
  <c r="AE538" i="17" s="1"/>
  <c r="AE104" i="11"/>
  <c r="AF104" i="11" s="1"/>
  <c r="AE16" i="11"/>
  <c r="AF16" i="11" s="1"/>
  <c r="AB43" i="17"/>
  <c r="AC43" i="17" s="1"/>
  <c r="AB36" i="17"/>
  <c r="AC36" i="17" s="1"/>
  <c r="AE36" i="17" s="1"/>
  <c r="AE38" i="17" s="1"/>
  <c r="AB78" i="17"/>
  <c r="AC78" i="17" s="1"/>
  <c r="AB193" i="17"/>
  <c r="AC193" i="17" s="1"/>
  <c r="AB255" i="17"/>
  <c r="AC255" i="17" s="1"/>
  <c r="AB133" i="17"/>
  <c r="AC133" i="17" s="1"/>
  <c r="AB219" i="17"/>
  <c r="AC219" i="17" s="1"/>
  <c r="AB320" i="17"/>
  <c r="AC320" i="17" s="1"/>
  <c r="AB174" i="17"/>
  <c r="AC174" i="17" s="1"/>
  <c r="AB266" i="17"/>
  <c r="AC266" i="17" s="1"/>
  <c r="AB114" i="17"/>
  <c r="AC114" i="17" s="1"/>
  <c r="AB212" i="17"/>
  <c r="AC212" i="17" s="1"/>
  <c r="AB308" i="17"/>
  <c r="AC308" i="17" s="1"/>
  <c r="AE68" i="11"/>
  <c r="AF68" i="11" s="1"/>
  <c r="AE211" i="11"/>
  <c r="AF211" i="11" s="1"/>
  <c r="AE69" i="11"/>
  <c r="AF69" i="11" s="1"/>
  <c r="AB25" i="17"/>
  <c r="AC25" i="17" s="1"/>
  <c r="AB49" i="17"/>
  <c r="AC49" i="17" s="1"/>
  <c r="AE49" i="17" s="1"/>
  <c r="AE51" i="17" s="1"/>
  <c r="AB91" i="17"/>
  <c r="AC91" i="17" s="1"/>
  <c r="AB231" i="17"/>
  <c r="AC231" i="17" s="1"/>
  <c r="AB254" i="17"/>
  <c r="AC254" i="17" s="1"/>
  <c r="AB138" i="17"/>
  <c r="AC138" i="17" s="1"/>
  <c r="AB242" i="17"/>
  <c r="AC242" i="17" s="1"/>
  <c r="AB85" i="17"/>
  <c r="AC85" i="17" s="1"/>
  <c r="AB218" i="17"/>
  <c r="AC218" i="17" s="1"/>
  <c r="AE218" i="17" s="1"/>
  <c r="AE220" i="17" s="1"/>
  <c r="AB314" i="17"/>
  <c r="AC314" i="17" s="1"/>
  <c r="AB151" i="17"/>
  <c r="AC151" i="17" s="1"/>
  <c r="AB225" i="17"/>
  <c r="AC225" i="17" s="1"/>
  <c r="AE43" i="17"/>
  <c r="AE45" i="17" s="1"/>
  <c r="AE247" i="11"/>
  <c r="AF247" i="11" s="1"/>
  <c r="AE32" i="11"/>
  <c r="AF32" i="11" s="1"/>
  <c r="AH32" i="11" s="1"/>
  <c r="AE193" i="11"/>
  <c r="AF193" i="11" s="1"/>
  <c r="AB48" i="17"/>
  <c r="AC48" i="17" s="1"/>
  <c r="AE48" i="17" s="1"/>
  <c r="AE50" i="17" s="1"/>
  <c r="AB19" i="17"/>
  <c r="AC19" i="17" s="1"/>
  <c r="AB97" i="17"/>
  <c r="AC97" i="17" s="1"/>
  <c r="AB243" i="17"/>
  <c r="AC243" i="17" s="1"/>
  <c r="AB102" i="17"/>
  <c r="AC102" i="17" s="1"/>
  <c r="AB156" i="17"/>
  <c r="AC156" i="17" s="1"/>
  <c r="AE156" i="17" s="1"/>
  <c r="AE158" i="17" s="1"/>
  <c r="AB279" i="17"/>
  <c r="AC279" i="17" s="1"/>
  <c r="AB103" i="17"/>
  <c r="AC103" i="17" s="1"/>
  <c r="AB236" i="17"/>
  <c r="AC236" i="17" s="1"/>
  <c r="AE236" i="17" s="1"/>
  <c r="AE238" i="17" s="1"/>
  <c r="AB73" i="17"/>
  <c r="AC73" i="17" s="1"/>
  <c r="AB175" i="17"/>
  <c r="AC175" i="17" s="1"/>
  <c r="AB561" i="17"/>
  <c r="AC561" i="17" s="1"/>
  <c r="AE561" i="17" s="1"/>
  <c r="AE563" i="17" s="1"/>
  <c r="AE565" i="17" s="1"/>
  <c r="AE259" i="11"/>
  <c r="AF259" i="11" s="1"/>
  <c r="AE243" i="11"/>
  <c r="AF243" i="11" s="1"/>
  <c r="AE205" i="11"/>
  <c r="AF205" i="11" s="1"/>
  <c r="AE165" i="11"/>
  <c r="AF165" i="11" s="1"/>
  <c r="AE148" i="11"/>
  <c r="AF148" i="11" s="1"/>
  <c r="AE139" i="11"/>
  <c r="AF139" i="11" s="1"/>
  <c r="AE122" i="11"/>
  <c r="AF122" i="11" s="1"/>
  <c r="AE81" i="11"/>
  <c r="AF81" i="11" s="1"/>
  <c r="AE41" i="11"/>
  <c r="AF41" i="11" s="1"/>
  <c r="AE34" i="11"/>
  <c r="AF34" i="11" s="1"/>
  <c r="AE256" i="11"/>
  <c r="AF256" i="11" s="1"/>
  <c r="AE244" i="11"/>
  <c r="AF244" i="11" s="1"/>
  <c r="AE216" i="11"/>
  <c r="AF216" i="11" s="1"/>
  <c r="AE190" i="11"/>
  <c r="AF190" i="11" s="1"/>
  <c r="AE145" i="11"/>
  <c r="AF145" i="11" s="1"/>
  <c r="AE136" i="11"/>
  <c r="AF136" i="11" s="1"/>
  <c r="AE94" i="11"/>
  <c r="AF94" i="11" s="1"/>
  <c r="AE82" i="11"/>
  <c r="AF82" i="11" s="1"/>
  <c r="AE46" i="11"/>
  <c r="AF46" i="11" s="1"/>
  <c r="AE35" i="11"/>
  <c r="AF35" i="11" s="1"/>
  <c r="AE257" i="11"/>
  <c r="AF257" i="11" s="1"/>
  <c r="AE241" i="11"/>
  <c r="AF241" i="11" s="1"/>
  <c r="AE203" i="11"/>
  <c r="AF203" i="11" s="1"/>
  <c r="AE191" i="11"/>
  <c r="AF191" i="11" s="1"/>
  <c r="AE154" i="11"/>
  <c r="AF154" i="11" s="1"/>
  <c r="AE112" i="11"/>
  <c r="AF112" i="11" s="1"/>
  <c r="AE99" i="11"/>
  <c r="AF99" i="11" s="1"/>
  <c r="AE87" i="11"/>
  <c r="AF87" i="11" s="1"/>
  <c r="AE43" i="11"/>
  <c r="AF43" i="11" s="1"/>
  <c r="AE21" i="11"/>
  <c r="AF21" i="11" s="1"/>
  <c r="AE258" i="11"/>
  <c r="AF258" i="11" s="1"/>
  <c r="AE242" i="11"/>
  <c r="AF242" i="11" s="1"/>
  <c r="AE200" i="11"/>
  <c r="AF200" i="11" s="1"/>
  <c r="AE188" i="11"/>
  <c r="AF188" i="11" s="1"/>
  <c r="AE176" i="11"/>
  <c r="AF176" i="11" s="1"/>
  <c r="AE130" i="11"/>
  <c r="AF130" i="11" s="1"/>
  <c r="AE113" i="11"/>
  <c r="AF113" i="11" s="1"/>
  <c r="AE96" i="11"/>
  <c r="AF96" i="11" s="1"/>
  <c r="AE80" i="11"/>
  <c r="AF80" i="11" s="1"/>
  <c r="AE63" i="11"/>
  <c r="AF63" i="11" s="1"/>
  <c r="AE48" i="11"/>
  <c r="AF48" i="11" s="1"/>
  <c r="AE31" i="11"/>
  <c r="AF31" i="11" s="1"/>
  <c r="AE17" i="11"/>
  <c r="AF17" i="11" s="1"/>
  <c r="AB516" i="17"/>
  <c r="AC516" i="17" s="1"/>
  <c r="AE516" i="17" s="1"/>
  <c r="AE518" i="17" s="1"/>
  <c r="AE520" i="17" s="1"/>
  <c r="AB609" i="17"/>
  <c r="AC609" i="17" s="1"/>
  <c r="AE609" i="17" s="1"/>
  <c r="AE611" i="17" s="1"/>
  <c r="AB647" i="17"/>
  <c r="AC647" i="17" s="1"/>
  <c r="AE647" i="17" s="1"/>
  <c r="AE649" i="17" s="1"/>
  <c r="AE650" i="17" s="1"/>
  <c r="AB652" i="17"/>
  <c r="AC652" i="17" s="1"/>
  <c r="AE652" i="17" s="1"/>
  <c r="AE654" i="17" s="1"/>
  <c r="AE656" i="17" s="1"/>
  <c r="AB498" i="17"/>
  <c r="AC498" i="17" s="1"/>
  <c r="AE498" i="17" s="1"/>
  <c r="AE500" i="17" s="1"/>
  <c r="AE502" i="17" s="1"/>
  <c r="AB510" i="17"/>
  <c r="AC510" i="17" s="1"/>
  <c r="AE510" i="17" s="1"/>
  <c r="AE512" i="17" s="1"/>
  <c r="AB432" i="17"/>
  <c r="AC432" i="17" s="1"/>
  <c r="AE432" i="17" s="1"/>
  <c r="AE434" i="17" s="1"/>
  <c r="AB450" i="17"/>
  <c r="AC450" i="17" s="1"/>
  <c r="AE450" i="17" s="1"/>
  <c r="AE452" i="17" s="1"/>
  <c r="AE454" i="17" s="1"/>
  <c r="AB402" i="17"/>
  <c r="AC402" i="17" s="1"/>
  <c r="AE402" i="17" s="1"/>
  <c r="AE404" i="17" s="1"/>
  <c r="AE406" i="17" s="1"/>
  <c r="AB555" i="17"/>
  <c r="AC555" i="17" s="1"/>
  <c r="AE555" i="17" s="1"/>
  <c r="AE557" i="17" s="1"/>
  <c r="AE559" i="17" s="1"/>
  <c r="AB493" i="17"/>
  <c r="AC493" i="17" s="1"/>
  <c r="AE493" i="17" s="1"/>
  <c r="AE495" i="17" s="1"/>
  <c r="AE496" i="17" s="1"/>
  <c r="AE263" i="11"/>
  <c r="AF263" i="11" s="1"/>
  <c r="AE219" i="11"/>
  <c r="AF219" i="11" s="1"/>
  <c r="AE181" i="11"/>
  <c r="AF181" i="11" s="1"/>
  <c r="AE169" i="11"/>
  <c r="AF169" i="11" s="1"/>
  <c r="AE156" i="11"/>
  <c r="AF156" i="11" s="1"/>
  <c r="AE110" i="11"/>
  <c r="AF110" i="11" s="1"/>
  <c r="AE93" i="11"/>
  <c r="AF93" i="11" s="1"/>
  <c r="AE85" i="11"/>
  <c r="AF85" i="11" s="1"/>
  <c r="AE45" i="11"/>
  <c r="AF45" i="11" s="1"/>
  <c r="AE5" i="11"/>
  <c r="AF5" i="11" s="1"/>
  <c r="AE260" i="11"/>
  <c r="AF260" i="11" s="1"/>
  <c r="AE220" i="11"/>
  <c r="AF220" i="11" s="1"/>
  <c r="AE202" i="11"/>
  <c r="AF202" i="11" s="1"/>
  <c r="AE180" i="11"/>
  <c r="AF180" i="11" s="1"/>
  <c r="AE153" i="11"/>
  <c r="AF153" i="11" s="1"/>
  <c r="AE140" i="11"/>
  <c r="AF140" i="11" s="1"/>
  <c r="AE98" i="11"/>
  <c r="AF98" i="11" s="1"/>
  <c r="AE57" i="11"/>
  <c r="AF57" i="11" s="1"/>
  <c r="AE50" i="11"/>
  <c r="AF50" i="11" s="1"/>
  <c r="AE10" i="11"/>
  <c r="AF10" i="11" s="1"/>
  <c r="AE261" i="11"/>
  <c r="AF261" i="11" s="1"/>
  <c r="AE217" i="11"/>
  <c r="AF217" i="11" s="1"/>
  <c r="AE207" i="11"/>
  <c r="AF207" i="11" s="1"/>
  <c r="AE167" i="11"/>
  <c r="AF167" i="11" s="1"/>
  <c r="AE158" i="11"/>
  <c r="AF158" i="11" s="1"/>
  <c r="AE116" i="11"/>
  <c r="AF116" i="11" s="1"/>
  <c r="AE103" i="11"/>
  <c r="AF103" i="11" s="1"/>
  <c r="AE58" i="11"/>
  <c r="AF58" i="11" s="1"/>
  <c r="AE51" i="11"/>
  <c r="AF51" i="11" s="1"/>
  <c r="AE7" i="11"/>
  <c r="AF7" i="11" s="1"/>
  <c r="AE262" i="11"/>
  <c r="AF262" i="11" s="1"/>
  <c r="AE218" i="11"/>
  <c r="AF218" i="11" s="1"/>
  <c r="AE204" i="11"/>
  <c r="AF204" i="11" s="1"/>
  <c r="AE164" i="11"/>
  <c r="AF164" i="11" s="1"/>
  <c r="AE151" i="11"/>
  <c r="AF151" i="11" s="1"/>
  <c r="AE134" i="11"/>
  <c r="AF134" i="11" s="1"/>
  <c r="AE117" i="11"/>
  <c r="AF117" i="11" s="1"/>
  <c r="AE100" i="11"/>
  <c r="AF100" i="11" s="1"/>
  <c r="AE84" i="11"/>
  <c r="AF84" i="11" s="1"/>
  <c r="AE67" i="11"/>
  <c r="AF67" i="11" s="1"/>
  <c r="AE52" i="11"/>
  <c r="AF52" i="11" s="1"/>
  <c r="AE4" i="11"/>
  <c r="AF4" i="11" s="1"/>
  <c r="AB444" i="17"/>
  <c r="AC444" i="17" s="1"/>
  <c r="AE444" i="17" s="1"/>
  <c r="AE446" i="17" s="1"/>
  <c r="AE448" i="17" s="1"/>
  <c r="AB480" i="17"/>
  <c r="AC480" i="17" s="1"/>
  <c r="AE480" i="17" s="1"/>
  <c r="AE482" i="17" s="1"/>
  <c r="AE484" i="17" s="1"/>
  <c r="AB628" i="17"/>
  <c r="AC628" i="17" s="1"/>
  <c r="AE628" i="17" s="1"/>
  <c r="AE630" i="17" s="1"/>
  <c r="AE631" i="17" s="1"/>
  <c r="AB671" i="17"/>
  <c r="AC671" i="17" s="1"/>
  <c r="AE671" i="17" s="1"/>
  <c r="AE673" i="17" s="1"/>
  <c r="AB622" i="17"/>
  <c r="AC622" i="17" s="1"/>
  <c r="AE622" i="17" s="1"/>
  <c r="AE624" i="17" s="1"/>
  <c r="AE625" i="17" s="1"/>
  <c r="AB664" i="17"/>
  <c r="AC664" i="17" s="1"/>
  <c r="AE664" i="17" s="1"/>
  <c r="AE666" i="17" s="1"/>
  <c r="AB548" i="17"/>
  <c r="AC548" i="17" s="1"/>
  <c r="AE548" i="17" s="1"/>
  <c r="AE550" i="17" s="1"/>
  <c r="AE552" i="17" s="1"/>
  <c r="AB438" i="17"/>
  <c r="AC438" i="17" s="1"/>
  <c r="AE438" i="17" s="1"/>
  <c r="AE440" i="17" s="1"/>
  <c r="AE442" i="17" s="1"/>
  <c r="AE235" i="11"/>
  <c r="AF235" i="11" s="1"/>
  <c r="AE223" i="11"/>
  <c r="AF223" i="11" s="1"/>
  <c r="AE185" i="11"/>
  <c r="AF185" i="11" s="1"/>
  <c r="AE173" i="11"/>
  <c r="AF173" i="11" s="1"/>
  <c r="AE127" i="11"/>
  <c r="AF127" i="11" s="1"/>
  <c r="AE114" i="11"/>
  <c r="AF114" i="11" s="1"/>
  <c r="AE101" i="11"/>
  <c r="AF101" i="11" s="1"/>
  <c r="AE60" i="11"/>
  <c r="AF60" i="11" s="1"/>
  <c r="AE13" i="11"/>
  <c r="AF13" i="11" s="1"/>
  <c r="AE236" i="11"/>
  <c r="AF236" i="11" s="1"/>
  <c r="AE224" i="11"/>
  <c r="AF224" i="11" s="1"/>
  <c r="AE210" i="11"/>
  <c r="AF210" i="11" s="1"/>
  <c r="AE170" i="11"/>
  <c r="AF170" i="11" s="1"/>
  <c r="AE157" i="11"/>
  <c r="AF157" i="11" s="1"/>
  <c r="AE111" i="11"/>
  <c r="AF111" i="11" s="1"/>
  <c r="AE102" i="11"/>
  <c r="AF102" i="11" s="1"/>
  <c r="AE61" i="11"/>
  <c r="AF61" i="11" s="1"/>
  <c r="AE25" i="11"/>
  <c r="AF25" i="11" s="1"/>
  <c r="AE14" i="11"/>
  <c r="AF14" i="11" s="1"/>
  <c r="AE266" i="11"/>
  <c r="AF266" i="11" s="1"/>
  <c r="AE225" i="11"/>
  <c r="AF225" i="11" s="1"/>
  <c r="AE212" i="11"/>
  <c r="AF212" i="11" s="1"/>
  <c r="AE171" i="11"/>
  <c r="AF171" i="11" s="1"/>
  <c r="AE133" i="11"/>
  <c r="AF133" i="11" s="1"/>
  <c r="AE120" i="11"/>
  <c r="AF120" i="11" s="1"/>
  <c r="AE79" i="11"/>
  <c r="AF79" i="11" s="1"/>
  <c r="AE66" i="11"/>
  <c r="AF66" i="11" s="1"/>
  <c r="AE26" i="11"/>
  <c r="AF26" i="11" s="1"/>
  <c r="AE15" i="11"/>
  <c r="AF15" i="11" s="1"/>
  <c r="AE252" i="11"/>
  <c r="AF252" i="11" s="1"/>
  <c r="AE222" i="11"/>
  <c r="AF222" i="11" s="1"/>
  <c r="AE198" i="11"/>
  <c r="AF198" i="11" s="1"/>
  <c r="AE168" i="11"/>
  <c r="AF168" i="11" s="1"/>
  <c r="AE155" i="11"/>
  <c r="AF155" i="11" s="1"/>
  <c r="AE138" i="11"/>
  <c r="AF138" i="11" s="1"/>
  <c r="AE121" i="11"/>
  <c r="AF121" i="11" s="1"/>
  <c r="AE40" i="11"/>
  <c r="AF40" i="11" s="1"/>
  <c r="AE23" i="11"/>
  <c r="AF23" i="11" s="1"/>
  <c r="AE8" i="11"/>
  <c r="AF8" i="11" s="1"/>
  <c r="AB694" i="17"/>
  <c r="AC694" i="17" s="1"/>
  <c r="AE694" i="17" s="1"/>
  <c r="AE696" i="17" s="1"/>
  <c r="AB695" i="17"/>
  <c r="AC695" i="17" s="1"/>
  <c r="AE695" i="17" s="1"/>
  <c r="AE697" i="17" s="1"/>
  <c r="AB433" i="17"/>
  <c r="AC433" i="17" s="1"/>
  <c r="AE433" i="17" s="1"/>
  <c r="AE435" i="17" s="1"/>
  <c r="AB420" i="17"/>
  <c r="AC420" i="17" s="1"/>
  <c r="AE420" i="17" s="1"/>
  <c r="AE422" i="17" s="1"/>
  <c r="AB487" i="17"/>
  <c r="AC487" i="17" s="1"/>
  <c r="AE487" i="17" s="1"/>
  <c r="AE489" i="17" s="1"/>
  <c r="AE490" i="17" s="1"/>
  <c r="AB421" i="17"/>
  <c r="AC421" i="17" s="1"/>
  <c r="AE421" i="17" s="1"/>
  <c r="AE423" i="17" s="1"/>
  <c r="AB598" i="17"/>
  <c r="AC598" i="17" s="1"/>
  <c r="AE598" i="17" s="1"/>
  <c r="AE600" i="17" s="1"/>
  <c r="AE601" i="17" s="1"/>
  <c r="AB468" i="17"/>
  <c r="AC468" i="17" s="1"/>
  <c r="AE468" i="17" s="1"/>
  <c r="AE470" i="17" s="1"/>
  <c r="AE472" i="17" s="1"/>
  <c r="AE255" i="11"/>
  <c r="AF255" i="11" s="1"/>
  <c r="AE239" i="11"/>
  <c r="AF239" i="11" s="1"/>
  <c r="AE201" i="11"/>
  <c r="AF201" i="11" s="1"/>
  <c r="AE194" i="11"/>
  <c r="AF194" i="11" s="1"/>
  <c r="AE162" i="11"/>
  <c r="AF162" i="11" s="1"/>
  <c r="AE135" i="11"/>
  <c r="AF135" i="11" s="1"/>
  <c r="AE118" i="11"/>
  <c r="AF118" i="11" s="1"/>
  <c r="AE91" i="11"/>
  <c r="AF91" i="11" s="1"/>
  <c r="AE64" i="11"/>
  <c r="AF64" i="11" s="1"/>
  <c r="AE24" i="11"/>
  <c r="AF24" i="11" s="1"/>
  <c r="AE3" i="11"/>
  <c r="AF3" i="11" s="1"/>
  <c r="AE240" i="11"/>
  <c r="AF240" i="11" s="1"/>
  <c r="AE228" i="11"/>
  <c r="AF228" i="11" s="1"/>
  <c r="AE182" i="11"/>
  <c r="AF182" i="11" s="1"/>
  <c r="AE174" i="11"/>
  <c r="AF174" i="11" s="1"/>
  <c r="AE132" i="11"/>
  <c r="AF132" i="11" s="1"/>
  <c r="AE115" i="11"/>
  <c r="AF115" i="11" s="1"/>
  <c r="AE78" i="11"/>
  <c r="AF78" i="11" s="1"/>
  <c r="AE29" i="11"/>
  <c r="AF29" i="11" s="1"/>
  <c r="AE253" i="11"/>
  <c r="AF253" i="11" s="1"/>
  <c r="AE237" i="11"/>
  <c r="AF237" i="11" s="1"/>
  <c r="AH237" i="11" s="1"/>
  <c r="AE229" i="11"/>
  <c r="AF229" i="11" s="1"/>
  <c r="AE183" i="11"/>
  <c r="AF183" i="11" s="1"/>
  <c r="AE146" i="11"/>
  <c r="AF146" i="11" s="1"/>
  <c r="AE126" i="11"/>
  <c r="AF126" i="11" s="1"/>
  <c r="AE108" i="11"/>
  <c r="AF108" i="11" s="1"/>
  <c r="AE83" i="11"/>
  <c r="AF83" i="11" s="1"/>
  <c r="AE56" i="11"/>
  <c r="AF56" i="11" s="1"/>
  <c r="AE30" i="11"/>
  <c r="AF30" i="11" s="1"/>
  <c r="AE254" i="11"/>
  <c r="AF254" i="11" s="1"/>
  <c r="AE238" i="11"/>
  <c r="AF238" i="11" s="1"/>
  <c r="AE226" i="11"/>
  <c r="AF226" i="11" s="1"/>
  <c r="AE184" i="11"/>
  <c r="AF184" i="11" s="1"/>
  <c r="AE172" i="11"/>
  <c r="AF172" i="11" s="1"/>
  <c r="AE144" i="11"/>
  <c r="AF144" i="11" s="1"/>
  <c r="AE109" i="11"/>
  <c r="AF109" i="11" s="1"/>
  <c r="AE92" i="11"/>
  <c r="AF92" i="11" s="1"/>
  <c r="AE76" i="11"/>
  <c r="AF76" i="11" s="1"/>
  <c r="AE59" i="11"/>
  <c r="AF59" i="11" s="1"/>
  <c r="AE44" i="11"/>
  <c r="AF44" i="11" s="1"/>
  <c r="AE27" i="11"/>
  <c r="AF27" i="11" s="1"/>
  <c r="AE12" i="11"/>
  <c r="AF12" i="11" s="1"/>
  <c r="AB528" i="17"/>
  <c r="AC528" i="17" s="1"/>
  <c r="AE528" i="17" s="1"/>
  <c r="AE530" i="17" s="1"/>
  <c r="AE532" i="17" s="1"/>
  <c r="AB610" i="17"/>
  <c r="AC610" i="17" s="1"/>
  <c r="AE610" i="17" s="1"/>
  <c r="AE612" i="17" s="1"/>
  <c r="AE613" i="17" s="1"/>
  <c r="AB475" i="17"/>
  <c r="AC475" i="17" s="1"/>
  <c r="AE475" i="17" s="1"/>
  <c r="AE477" i="17" s="1"/>
  <c r="AE478" i="17" s="1"/>
  <c r="AB670" i="17"/>
  <c r="AC670" i="17" s="1"/>
  <c r="AE670" i="17" s="1"/>
  <c r="AE672" i="17" s="1"/>
  <c r="AE674" i="17" s="1"/>
  <c r="AB408" i="17"/>
  <c r="AC408" i="17" s="1"/>
  <c r="AE408" i="17" s="1"/>
  <c r="AE410" i="17" s="1"/>
  <c r="AE412" i="17" s="1"/>
  <c r="AB511" i="17"/>
  <c r="AC511" i="17" s="1"/>
  <c r="AE511" i="17" s="1"/>
  <c r="AE513" i="17" s="1"/>
  <c r="AB665" i="17"/>
  <c r="AC665" i="17" s="1"/>
  <c r="AE665" i="17" s="1"/>
  <c r="AE667" i="17" s="1"/>
  <c r="Z239" i="17"/>
  <c r="Z505" i="17"/>
  <c r="Z507" i="17" s="1"/>
  <c r="Z549" i="17"/>
  <c r="Z551" i="17" s="1"/>
  <c r="Z552" i="17" s="1"/>
  <c r="Z463" i="17"/>
  <c r="Z465" i="17" s="1"/>
  <c r="Z542" i="17"/>
  <c r="Z545" i="17" s="1"/>
  <c r="Z52" i="11"/>
  <c r="W598" i="17"/>
  <c r="W600" i="17" s="1"/>
  <c r="W615" i="17"/>
  <c r="W617" i="17" s="1"/>
  <c r="Z33" i="11"/>
  <c r="W616" i="17"/>
  <c r="W618" i="17" s="1"/>
  <c r="Z265" i="11"/>
  <c r="W48" i="17"/>
  <c r="W50" i="17" s="1"/>
  <c r="W24" i="17"/>
  <c r="X24" i="17" s="1"/>
  <c r="W138" i="17"/>
  <c r="X138" i="17" s="1"/>
  <c r="W266" i="17"/>
  <c r="X266" i="17" s="1"/>
  <c r="AE266" i="17" s="1"/>
  <c r="AE268" i="17" s="1"/>
  <c r="AE270" i="17" s="1"/>
  <c r="W212" i="17"/>
  <c r="X212" i="17" s="1"/>
  <c r="W73" i="17"/>
  <c r="X73" i="17" s="1"/>
  <c r="W192" i="17"/>
  <c r="X192" i="17" s="1"/>
  <c r="W236" i="17"/>
  <c r="W238" i="17" s="1"/>
  <c r="AC108" i="11"/>
  <c r="Z664" i="17"/>
  <c r="Z666" i="17" s="1"/>
  <c r="W639" i="17"/>
  <c r="Z662" i="17"/>
  <c r="Z454" i="17"/>
  <c r="AH193" i="11"/>
  <c r="Z104" i="11"/>
  <c r="W25" i="17"/>
  <c r="X25" i="17" s="1"/>
  <c r="W49" i="17"/>
  <c r="W51" i="17" s="1"/>
  <c r="W102" i="17"/>
  <c r="X102" i="17" s="1"/>
  <c r="W242" i="17"/>
  <c r="X242" i="17" s="1"/>
  <c r="AE242" i="17" s="1"/>
  <c r="AE244" i="17" s="1"/>
  <c r="W103" i="17"/>
  <c r="X103" i="17" s="1"/>
  <c r="W248" i="17"/>
  <c r="W151" i="17"/>
  <c r="X151" i="17" s="1"/>
  <c r="W78" i="17"/>
  <c r="X78" i="17" s="1"/>
  <c r="W308" i="17"/>
  <c r="X308" i="17" s="1"/>
  <c r="AE78" i="17"/>
  <c r="AE80" i="17" s="1"/>
  <c r="AE583" i="17"/>
  <c r="Z69" i="11"/>
  <c r="W12" i="17"/>
  <c r="X12" i="17" s="1"/>
  <c r="W19" i="17"/>
  <c r="X19" i="17" s="1"/>
  <c r="W133" i="17"/>
  <c r="X133" i="17" s="1"/>
  <c r="W261" i="17"/>
  <c r="X261" i="17" s="1"/>
  <c r="W162" i="17"/>
  <c r="W320" i="17"/>
  <c r="X320" i="17" s="1"/>
  <c r="W175" i="17"/>
  <c r="X175" i="17" s="1"/>
  <c r="W97" i="17"/>
  <c r="X97" i="17" s="1"/>
  <c r="AI55" i="17"/>
  <c r="AH201" i="12"/>
  <c r="AE199" i="17"/>
  <c r="AE202" i="17" s="1"/>
  <c r="AD80" i="12"/>
  <c r="AH80" i="12" s="1"/>
  <c r="AE66" i="17"/>
  <c r="AE68" i="17" s="1"/>
  <c r="AE70" i="17" s="1"/>
  <c r="AH169" i="12"/>
  <c r="AH224" i="12"/>
  <c r="AE230" i="17"/>
  <c r="AE232" i="17" s="1"/>
  <c r="AD66" i="12"/>
  <c r="AH66" i="12" s="1"/>
  <c r="AI303" i="17"/>
  <c r="AE7" i="17"/>
  <c r="AE9" i="17" s="1"/>
  <c r="AE10" i="17" s="1"/>
  <c r="AD275" i="12"/>
  <c r="AH275" i="12" s="1"/>
  <c r="AA71" i="12"/>
  <c r="Z141" i="17"/>
  <c r="Z142" i="17" s="1"/>
  <c r="AI142" i="17" s="1"/>
  <c r="AE639" i="17"/>
  <c r="Z577" i="17"/>
  <c r="W619" i="17"/>
  <c r="Z595" i="17"/>
  <c r="AE619" i="17"/>
  <c r="W595" i="17"/>
  <c r="Z211" i="11"/>
  <c r="W603" i="17"/>
  <c r="W605" i="17" s="1"/>
  <c r="Z16" i="11"/>
  <c r="Z4" i="11"/>
  <c r="W18" i="17"/>
  <c r="X18" i="17" s="1"/>
  <c r="AE18" i="17" s="1"/>
  <c r="AE20" i="17" s="1"/>
  <c r="W67" i="17"/>
  <c r="X67" i="17" s="1"/>
  <c r="AE67" i="17" s="1"/>
  <c r="AE69" i="17" s="1"/>
  <c r="W120" i="17"/>
  <c r="X120" i="17" s="1"/>
  <c r="AE120" i="17" s="1"/>
  <c r="AE122" i="17" s="1"/>
  <c r="W225" i="17"/>
  <c r="W85" i="17"/>
  <c r="X85" i="17" s="1"/>
  <c r="W174" i="17"/>
  <c r="X174" i="17" s="1"/>
  <c r="W285" i="17"/>
  <c r="X285" i="17" s="1"/>
  <c r="W114" i="17"/>
  <c r="X114" i="17" s="1"/>
  <c r="W243" i="17"/>
  <c r="X243" i="17" s="1"/>
  <c r="W219" i="17"/>
  <c r="X219" i="17" s="1"/>
  <c r="Z511" i="17"/>
  <c r="Z513" i="17" s="1"/>
  <c r="Z514" i="17" s="1"/>
  <c r="Z475" i="17"/>
  <c r="Z477" i="17" s="1"/>
  <c r="Z478" i="17" s="1"/>
  <c r="AC188" i="11"/>
  <c r="Z665" i="17"/>
  <c r="Z667" i="17" s="1"/>
  <c r="Z668" i="17" s="1"/>
  <c r="Z421" i="17"/>
  <c r="Z423" i="17" s="1"/>
  <c r="Z424" i="17" s="1"/>
  <c r="AC112" i="11"/>
  <c r="Z402" i="17"/>
  <c r="Z404" i="17" s="1"/>
  <c r="Z406" i="17" s="1"/>
  <c r="Z516" i="17"/>
  <c r="Z518" i="17" s="1"/>
  <c r="Z520" i="17" s="1"/>
  <c r="AC116" i="11"/>
  <c r="AC118" i="11"/>
  <c r="Z444" i="17"/>
  <c r="Z446" i="17" s="1"/>
  <c r="Z448" i="17" s="1"/>
  <c r="Z695" i="17"/>
  <c r="Z697" i="17" s="1"/>
  <c r="Z698" i="17" s="1"/>
  <c r="W200" i="17"/>
  <c r="X200" i="17" s="1"/>
  <c r="AE200" i="17" s="1"/>
  <c r="AE203" i="17" s="1"/>
  <c r="W254" i="17"/>
  <c r="X254" i="17" s="1"/>
  <c r="W109" i="17"/>
  <c r="X109" i="17" s="1"/>
  <c r="AE109" i="17" s="1"/>
  <c r="AE111" i="17" s="1"/>
  <c r="W279" i="17"/>
  <c r="X279" i="17" s="1"/>
  <c r="AE279" i="17" s="1"/>
  <c r="AE281" i="17" s="1"/>
  <c r="W231" i="17"/>
  <c r="X231" i="17" s="1"/>
  <c r="AE231" i="17" s="1"/>
  <c r="AE233" i="17" s="1"/>
  <c r="W314" i="17"/>
  <c r="X314" i="17" s="1"/>
  <c r="W193" i="17"/>
  <c r="X193" i="17" s="1"/>
  <c r="AE193" i="17" s="1"/>
  <c r="AE195" i="17" s="1"/>
  <c r="AH228" i="12"/>
  <c r="AE73" i="17"/>
  <c r="AE75" i="17" s="1"/>
  <c r="W601" i="17"/>
  <c r="AE13" i="17"/>
  <c r="AE15" i="17" s="1"/>
  <c r="AE607" i="17"/>
  <c r="W438" i="17"/>
  <c r="W440" i="17" s="1"/>
  <c r="W442" i="17" s="1"/>
  <c r="Z230" i="11"/>
  <c r="Z175" i="11"/>
  <c r="Z103" i="11"/>
  <c r="Z94" i="11"/>
  <c r="W420" i="17"/>
  <c r="W422" i="17" s="1"/>
  <c r="W424" i="17" s="1"/>
  <c r="W421" i="17"/>
  <c r="W423" i="17" s="1"/>
  <c r="W487" i="17"/>
  <c r="W489" i="17" s="1"/>
  <c r="W490" i="17" s="1"/>
  <c r="W664" i="17"/>
  <c r="W666" i="17" s="1"/>
  <c r="W408" i="17"/>
  <c r="W410" i="17" s="1"/>
  <c r="W412" i="17" s="1"/>
  <c r="Z85" i="11"/>
  <c r="Z79" i="11"/>
  <c r="Z84" i="11"/>
  <c r="Z25" i="11"/>
  <c r="Z140" i="11"/>
  <c r="Z173" i="11"/>
  <c r="Z205" i="11"/>
  <c r="Z263" i="11"/>
  <c r="Z64" i="11"/>
  <c r="Z15" i="11"/>
  <c r="Z132" i="11"/>
  <c r="Z166" i="11"/>
  <c r="Z198" i="11"/>
  <c r="Z63" i="11"/>
  <c r="Z75" i="11"/>
  <c r="Z39" i="11"/>
  <c r="Z117" i="11"/>
  <c r="Z150" i="11"/>
  <c r="Z183" i="11"/>
  <c r="Z29" i="11"/>
  <c r="Z111" i="11"/>
  <c r="Z144" i="11"/>
  <c r="Z209" i="11"/>
  <c r="Z243" i="11"/>
  <c r="Z78" i="11"/>
  <c r="Z30" i="11"/>
  <c r="Z112" i="11"/>
  <c r="Z145" i="11"/>
  <c r="Z210" i="11"/>
  <c r="Z220" i="11"/>
  <c r="W567" i="17"/>
  <c r="W569" i="17" s="1"/>
  <c r="W571" i="17" s="1"/>
  <c r="Z87" i="11"/>
  <c r="Z229" i="11"/>
  <c r="W528" i="17"/>
  <c r="W530" i="17" s="1"/>
  <c r="W532" i="17" s="1"/>
  <c r="Z92" i="11"/>
  <c r="Z93" i="11"/>
  <c r="Z98" i="11"/>
  <c r="W622" i="17"/>
  <c r="W624" i="17" s="1"/>
  <c r="W625" i="17" s="1"/>
  <c r="W652" i="17"/>
  <c r="W654" i="17" s="1"/>
  <c r="W656" i="17" s="1"/>
  <c r="W432" i="17"/>
  <c r="W434" i="17" s="1"/>
  <c r="W444" i="17"/>
  <c r="W446" i="17" s="1"/>
  <c r="W448" i="17" s="1"/>
  <c r="W610" i="17"/>
  <c r="W612" i="17" s="1"/>
  <c r="W628" i="17"/>
  <c r="W630" i="17" s="1"/>
  <c r="W631" i="17" s="1"/>
  <c r="W402" i="17"/>
  <c r="W404" i="17" s="1"/>
  <c r="W406" i="17" s="1"/>
  <c r="W609" i="17"/>
  <c r="W611" i="17" s="1"/>
  <c r="W665" i="17"/>
  <c r="W667" i="17" s="1"/>
  <c r="Z77" i="11"/>
  <c r="Z61" i="11"/>
  <c r="Z76" i="11"/>
  <c r="W468" i="17"/>
  <c r="W470" i="17" s="1"/>
  <c r="W472" i="17" s="1"/>
  <c r="Z121" i="11"/>
  <c r="Z95" i="11"/>
  <c r="Z96" i="11"/>
  <c r="Z97" i="11"/>
  <c r="Z102" i="11"/>
  <c r="W516" i="17"/>
  <c r="W518" i="17" s="1"/>
  <c r="W520" i="17" s="1"/>
  <c r="W510" i="17"/>
  <c r="W512" i="17" s="1"/>
  <c r="W695" i="17"/>
  <c r="W697" i="17" s="1"/>
  <c r="W694" i="17"/>
  <c r="W696" i="17" s="1"/>
  <c r="Z67" i="11"/>
  <c r="Z66" i="11"/>
  <c r="Z45" i="11"/>
  <c r="Z6" i="11"/>
  <c r="Z156" i="11"/>
  <c r="Z189" i="11"/>
  <c r="Z248" i="11"/>
  <c r="Z82" i="11"/>
  <c r="Z46" i="11"/>
  <c r="Z116" i="11"/>
  <c r="Z149" i="11"/>
  <c r="Z182" i="11"/>
  <c r="Z57" i="11"/>
  <c r="Z81" i="11"/>
  <c r="Z62" i="11"/>
  <c r="Z17" i="11"/>
  <c r="Z133" i="11"/>
  <c r="Z167" i="11"/>
  <c r="Z49" i="11"/>
  <c r="Z10" i="11"/>
  <c r="Z127" i="11"/>
  <c r="Z194" i="11"/>
  <c r="Z225" i="11"/>
  <c r="Z259" i="11"/>
  <c r="Z50" i="11"/>
  <c r="Z11" i="11"/>
  <c r="Z128" i="11"/>
  <c r="Z162" i="11"/>
  <c r="Z226" i="11"/>
  <c r="Z23" i="11"/>
  <c r="W561" i="17"/>
  <c r="W563" i="17" s="1"/>
  <c r="W565" i="17" s="1"/>
  <c r="Z139" i="11"/>
  <c r="Z99" i="11"/>
  <c r="Z100" i="11"/>
  <c r="Z101" i="11"/>
  <c r="Z91" i="11"/>
  <c r="W450" i="17"/>
  <c r="W452" i="17" s="1"/>
  <c r="W454" i="17" s="1"/>
  <c r="W433" i="17"/>
  <c r="W435" i="17" s="1"/>
  <c r="W670" i="17"/>
  <c r="W672" i="17" s="1"/>
  <c r="W671" i="17"/>
  <c r="W673" i="17" s="1"/>
  <c r="W480" i="17"/>
  <c r="W482" i="17" s="1"/>
  <c r="W484" i="17" s="1"/>
  <c r="W647" i="17"/>
  <c r="W649" i="17" s="1"/>
  <c r="W650" i="17" s="1"/>
  <c r="W475" i="17"/>
  <c r="W477" i="17" s="1"/>
  <c r="W478" i="17" s="1"/>
  <c r="W498" i="17"/>
  <c r="W500" i="17" s="1"/>
  <c r="W502" i="17" s="1"/>
  <c r="W511" i="17"/>
  <c r="W513" i="17" s="1"/>
  <c r="Z59" i="11"/>
  <c r="Z58" i="11"/>
  <c r="Z35" i="11"/>
  <c r="Z115" i="11"/>
  <c r="Z148" i="11"/>
  <c r="Z181" i="11"/>
  <c r="Z239" i="11"/>
  <c r="Z74" i="11"/>
  <c r="Z26" i="11"/>
  <c r="Z108" i="11"/>
  <c r="Z174" i="11"/>
  <c r="Z206" i="11"/>
  <c r="Z73" i="11"/>
  <c r="Z83" i="11"/>
  <c r="Z47" i="11"/>
  <c r="Z8" i="11"/>
  <c r="Z158" i="11"/>
  <c r="Z191" i="11"/>
  <c r="Z165" i="11"/>
  <c r="Z7" i="11"/>
  <c r="Z80" i="11"/>
  <c r="Z21" i="11"/>
  <c r="Z169" i="11"/>
  <c r="Z235" i="11"/>
  <c r="Z22" i="11"/>
  <c r="Z170" i="11"/>
  <c r="Z262" i="11"/>
  <c r="Z224" i="11"/>
  <c r="Z219" i="11"/>
  <c r="Z12" i="11"/>
  <c r="Z227" i="11"/>
  <c r="Z114" i="11"/>
  <c r="Z180" i="11"/>
  <c r="Z236" i="11"/>
  <c r="Z203" i="11"/>
  <c r="Z5" i="11"/>
  <c r="Z208" i="11"/>
  <c r="Z256" i="11"/>
  <c r="Z212" i="11"/>
  <c r="Z40" i="11"/>
  <c r="Z151" i="11"/>
  <c r="Z216" i="11"/>
  <c r="Z137" i="11"/>
  <c r="Z138" i="11"/>
  <c r="Z257" i="11"/>
  <c r="Z221" i="11"/>
  <c r="Z157" i="11"/>
  <c r="Z27" i="11"/>
  <c r="Z119" i="11"/>
  <c r="Z185" i="11"/>
  <c r="Z86" i="11"/>
  <c r="Z120" i="11"/>
  <c r="Z186" i="11"/>
  <c r="Z266" i="11"/>
  <c r="Z238" i="11"/>
  <c r="Z126" i="11"/>
  <c r="Z129" i="11"/>
  <c r="Z241" i="11"/>
  <c r="Z134" i="11"/>
  <c r="Z200" i="11"/>
  <c r="Z43" i="11"/>
  <c r="Z237" i="11"/>
  <c r="Z110" i="11"/>
  <c r="Z242" i="11"/>
  <c r="Z31" i="11"/>
  <c r="Z223" i="11"/>
  <c r="Z13" i="11"/>
  <c r="Z164" i="11"/>
  <c r="Z218" i="11"/>
  <c r="Z199" i="11"/>
  <c r="Z192" i="11"/>
  <c r="Z3" i="11"/>
  <c r="Z14" i="11"/>
  <c r="Z255" i="11"/>
  <c r="Z190" i="11"/>
  <c r="Z109" i="11"/>
  <c r="Z135" i="11"/>
  <c r="Z201" i="11"/>
  <c r="Z60" i="11"/>
  <c r="Z136" i="11"/>
  <c r="Z202" i="11"/>
  <c r="Z24" i="11"/>
  <c r="Z240" i="11"/>
  <c r="Z204" i="11"/>
  <c r="Z163" i="11"/>
  <c r="Z261" i="11"/>
  <c r="Z147" i="11"/>
  <c r="Z246" i="11"/>
  <c r="Z154" i="11"/>
  <c r="Z44" i="11"/>
  <c r="Z155" i="11"/>
  <c r="Z254" i="11"/>
  <c r="Z113" i="11"/>
  <c r="Z245" i="11"/>
  <c r="Z118" i="11"/>
  <c r="Z184" i="11"/>
  <c r="Z264" i="11"/>
  <c r="Z48" i="11"/>
  <c r="Z258" i="11"/>
  <c r="Z131" i="11"/>
  <c r="Z56" i="11"/>
  <c r="Z222" i="11"/>
  <c r="Z65" i="11"/>
  <c r="Z176" i="11"/>
  <c r="Z41" i="11"/>
  <c r="Z152" i="11"/>
  <c r="Z217" i="11"/>
  <c r="Z42" i="11"/>
  <c r="Z153" i="11"/>
  <c r="Z253" i="11"/>
  <c r="Z172" i="11"/>
  <c r="Z171" i="11"/>
  <c r="Z51" i="11"/>
  <c r="Z207" i="11"/>
  <c r="Z34" i="11"/>
  <c r="Z168" i="11"/>
  <c r="Z234" i="11"/>
  <c r="Z187" i="11"/>
  <c r="Z28" i="11"/>
  <c r="Z188" i="11"/>
  <c r="Z244" i="11"/>
  <c r="Z146" i="11"/>
  <c r="Z130" i="11"/>
  <c r="Z228" i="11"/>
  <c r="Z252" i="11"/>
  <c r="Z9" i="11"/>
  <c r="Z260" i="11"/>
  <c r="AD201" i="11"/>
  <c r="AD63" i="11"/>
  <c r="AD13" i="11"/>
  <c r="AD139" i="11"/>
  <c r="AD245" i="11"/>
  <c r="AD199" i="11"/>
  <c r="AD168" i="11"/>
  <c r="AD180" i="11"/>
  <c r="AD171" i="11"/>
  <c r="AD22" i="11"/>
  <c r="AD217" i="11"/>
  <c r="AD30" i="11"/>
  <c r="AD132" i="11"/>
  <c r="AD48" i="11"/>
  <c r="AD56" i="11"/>
  <c r="AE133" i="17"/>
  <c r="AE135" i="17" s="1"/>
  <c r="AD44" i="11"/>
  <c r="AD66" i="11"/>
  <c r="AD256" i="11"/>
  <c r="AD158" i="11"/>
  <c r="AD146" i="11"/>
  <c r="AD135" i="11"/>
  <c r="AD145" i="11"/>
  <c r="AD91" i="11"/>
  <c r="AD226" i="11"/>
  <c r="AD86" i="11"/>
  <c r="AD266" i="11"/>
  <c r="AD206" i="11"/>
  <c r="AD74" i="11"/>
  <c r="AD187" i="11"/>
  <c r="Z466" i="17"/>
  <c r="Z26" i="17"/>
  <c r="Z28" i="17" s="1"/>
  <c r="AI28" i="17" s="1"/>
  <c r="AI24" i="17"/>
  <c r="Z104" i="17"/>
  <c r="AI102" i="17"/>
  <c r="Z177" i="17"/>
  <c r="AI175" i="17"/>
  <c r="Z75" i="17"/>
  <c r="AI73" i="17"/>
  <c r="Z164" i="17"/>
  <c r="AI162" i="17"/>
  <c r="AI48" i="17"/>
  <c r="Z50" i="17"/>
  <c r="Z227" i="17"/>
  <c r="Z228" i="17" s="1"/>
  <c r="AI228" i="17" s="1"/>
  <c r="AI225" i="17"/>
  <c r="W52" i="17"/>
  <c r="AH52" i="17" s="1"/>
  <c r="AH19" i="17"/>
  <c r="W21" i="17"/>
  <c r="W104" i="17"/>
  <c r="AH102" i="17"/>
  <c r="AH266" i="17"/>
  <c r="W268" i="17"/>
  <c r="W270" i="17" s="1"/>
  <c r="AH270" i="17" s="1"/>
  <c r="AH91" i="17"/>
  <c r="W93" i="17"/>
  <c r="W194" i="17"/>
  <c r="AH192" i="17"/>
  <c r="W257" i="17"/>
  <c r="AH255" i="17"/>
  <c r="W99" i="17"/>
  <c r="W100" i="17" s="1"/>
  <c r="AH100" i="17" s="1"/>
  <c r="AH97" i="17"/>
  <c r="W310" i="17"/>
  <c r="W312" i="17" s="1"/>
  <c r="AH312" i="17" s="1"/>
  <c r="AH308" i="17"/>
  <c r="Z93" i="17"/>
  <c r="AI91" i="17"/>
  <c r="Z122" i="17"/>
  <c r="AI120" i="17"/>
  <c r="AI174" i="17"/>
  <c r="Z176" i="17"/>
  <c r="AI285" i="17"/>
  <c r="Z287" i="17"/>
  <c r="Z288" i="17" s="1"/>
  <c r="AI288" i="17" s="1"/>
  <c r="AI85" i="17"/>
  <c r="Z87" i="17"/>
  <c r="Z195" i="17"/>
  <c r="AI193" i="17"/>
  <c r="Z257" i="17"/>
  <c r="AI255" i="17"/>
  <c r="Z281" i="17"/>
  <c r="AI279" i="17"/>
  <c r="Z99" i="17"/>
  <c r="AI97" i="17"/>
  <c r="W607" i="17"/>
  <c r="W20" i="17"/>
  <c r="AH18" i="17"/>
  <c r="W69" i="17"/>
  <c r="AH67" i="17"/>
  <c r="W122" i="17"/>
  <c r="AH120" i="17"/>
  <c r="AH85" i="17"/>
  <c r="W87" i="17"/>
  <c r="W88" i="17" s="1"/>
  <c r="AH88" i="17" s="1"/>
  <c r="W176" i="17"/>
  <c r="AH174" i="17"/>
  <c r="W287" i="17"/>
  <c r="AH285" i="17"/>
  <c r="AH114" i="17"/>
  <c r="W116" i="17"/>
  <c r="W118" i="17" s="1"/>
  <c r="AH118" i="17" s="1"/>
  <c r="W203" i="17"/>
  <c r="AH200" i="17"/>
  <c r="W256" i="17"/>
  <c r="AH254" i="17"/>
  <c r="W111" i="17"/>
  <c r="W112" i="17" s="1"/>
  <c r="AH112" i="17" s="1"/>
  <c r="AH109" i="17"/>
  <c r="AH279" i="17"/>
  <c r="W281" i="17"/>
  <c r="Z526" i="17"/>
  <c r="AI49" i="17"/>
  <c r="Z51" i="17"/>
  <c r="Z14" i="17"/>
  <c r="AI12" i="17"/>
  <c r="Z92" i="17"/>
  <c r="Z94" i="17" s="1"/>
  <c r="AI94" i="17" s="1"/>
  <c r="AI90" i="17"/>
  <c r="Z135" i="17"/>
  <c r="AI133" i="17"/>
  <c r="Z214" i="17"/>
  <c r="AI212" i="17"/>
  <c r="AI291" i="17"/>
  <c r="Z293" i="17"/>
  <c r="Z153" i="17"/>
  <c r="Z154" i="17" s="1"/>
  <c r="AI154" i="17" s="1"/>
  <c r="AI151" i="17"/>
  <c r="AI192" i="17"/>
  <c r="Z194" i="17"/>
  <c r="Z196" i="17" s="1"/>
  <c r="AI196" i="17" s="1"/>
  <c r="AI254" i="17"/>
  <c r="Z256" i="17"/>
  <c r="AI236" i="17"/>
  <c r="Z238" i="17"/>
  <c r="Z111" i="17"/>
  <c r="AI109" i="17"/>
  <c r="Z268" i="17"/>
  <c r="AI266" i="17"/>
  <c r="W27" i="17"/>
  <c r="AH25" i="17"/>
  <c r="AH36" i="17"/>
  <c r="W38" i="17"/>
  <c r="W40" i="17" s="1"/>
  <c r="AH40" i="17" s="1"/>
  <c r="W26" i="17"/>
  <c r="W28" i="17" s="1"/>
  <c r="AH28" i="17" s="1"/>
  <c r="AH24" i="17"/>
  <c r="W135" i="17"/>
  <c r="AH133" i="17"/>
  <c r="W244" i="17"/>
  <c r="AH242" i="17"/>
  <c r="AH90" i="17"/>
  <c r="W92" i="17"/>
  <c r="W214" i="17"/>
  <c r="AH212" i="17"/>
  <c r="AH320" i="17"/>
  <c r="W322" i="17"/>
  <c r="AH151" i="17"/>
  <c r="W153" i="17"/>
  <c r="W233" i="17"/>
  <c r="AH231" i="17"/>
  <c r="W316" i="17"/>
  <c r="AH314" i="17"/>
  <c r="AH193" i="17"/>
  <c r="W195" i="17"/>
  <c r="W286" i="17"/>
  <c r="W288" i="17" s="1"/>
  <c r="AH288" i="17" s="1"/>
  <c r="AH284" i="17"/>
  <c r="Z282" i="17"/>
  <c r="AI282" i="17" s="1"/>
  <c r="Z240" i="17"/>
  <c r="AI240" i="17" s="1"/>
  <c r="Z76" i="17"/>
  <c r="AI76" i="17" s="1"/>
  <c r="Z105" i="17"/>
  <c r="AI103" i="17"/>
  <c r="Z310" i="17"/>
  <c r="AI308" i="17"/>
  <c r="AI156" i="17"/>
  <c r="Z158" i="17"/>
  <c r="AI242" i="17"/>
  <c r="Z244" i="17"/>
  <c r="Z246" i="17" s="1"/>
  <c r="AI246" i="17" s="1"/>
  <c r="Z69" i="17"/>
  <c r="AI67" i="17"/>
  <c r="Z220" i="17"/>
  <c r="Z222" i="17" s="1"/>
  <c r="AI222" i="17" s="1"/>
  <c r="AI218" i="17"/>
  <c r="W559" i="17"/>
  <c r="W14" i="17"/>
  <c r="AH12" i="17"/>
  <c r="W45" i="17"/>
  <c r="AH43" i="17"/>
  <c r="W140" i="17"/>
  <c r="AH138" i="17"/>
  <c r="AH261" i="17"/>
  <c r="W263" i="17"/>
  <c r="W105" i="17"/>
  <c r="AH103" i="17"/>
  <c r="W220" i="17"/>
  <c r="AH218" i="17"/>
  <c r="AH73" i="17"/>
  <c r="W75" i="17"/>
  <c r="AH175" i="17"/>
  <c r="W177" i="17"/>
  <c r="W245" i="17"/>
  <c r="AH243" i="17"/>
  <c r="W80" i="17"/>
  <c r="W82" i="17" s="1"/>
  <c r="AH82" i="17" s="1"/>
  <c r="AH78" i="17"/>
  <c r="AH219" i="17"/>
  <c r="W221" i="17"/>
  <c r="AD49" i="12"/>
  <c r="AH49" i="12" s="1"/>
  <c r="AI150" i="17"/>
  <c r="Z82" i="17"/>
  <c r="AI82" i="17" s="1"/>
  <c r="AI144" i="17"/>
  <c r="AI79" i="17"/>
  <c r="Z508" i="17"/>
  <c r="AH160" i="12"/>
  <c r="AH85" i="12"/>
  <c r="AH196" i="12"/>
  <c r="AH235" i="12"/>
  <c r="AD234" i="12"/>
  <c r="AH234" i="12" s="1"/>
  <c r="AD133" i="12"/>
  <c r="AH133" i="12" s="1"/>
  <c r="Z546" i="17"/>
  <c r="AI31" i="17"/>
  <c r="Z33" i="17"/>
  <c r="AI60" i="17"/>
  <c r="Z62" i="17"/>
  <c r="AI66" i="17"/>
  <c r="Z68" i="17"/>
  <c r="Z70" i="17" s="1"/>
  <c r="AI70" i="17" s="1"/>
  <c r="AI108" i="17"/>
  <c r="Z110" i="17"/>
  <c r="AI260" i="17"/>
  <c r="Z262" i="17"/>
  <c r="Z264" i="17" s="1"/>
  <c r="AI264" i="17" s="1"/>
  <c r="AI309" i="17"/>
  <c r="Z311" i="17"/>
  <c r="Z215" i="17"/>
  <c r="AI213" i="17"/>
  <c r="AI180" i="17"/>
  <c r="Z182" i="17"/>
  <c r="AI198" i="17"/>
  <c r="Z201" i="17"/>
  <c r="AI326" i="17"/>
  <c r="Z328" i="17"/>
  <c r="W9" i="17"/>
  <c r="AH7" i="17"/>
  <c r="W74" i="17"/>
  <c r="AH72" i="17"/>
  <c r="W182" i="17"/>
  <c r="AH180" i="17"/>
  <c r="AH278" i="17"/>
  <c r="W280" i="17"/>
  <c r="W282" i="17" s="1"/>
  <c r="AH282" i="17" s="1"/>
  <c r="W128" i="17"/>
  <c r="AH126" i="17"/>
  <c r="AH198" i="17"/>
  <c r="W201" i="17"/>
  <c r="W328" i="17"/>
  <c r="AH326" i="17"/>
  <c r="W170" i="17"/>
  <c r="AH168" i="17"/>
  <c r="W274" i="17"/>
  <c r="AH272" i="17"/>
  <c r="W171" i="17"/>
  <c r="AH169" i="17"/>
  <c r="AI30" i="17"/>
  <c r="Z32" i="17"/>
  <c r="Z34" i="17" s="1"/>
  <c r="AI34" i="17" s="1"/>
  <c r="Z117" i="17"/>
  <c r="AI115" i="17"/>
  <c r="AI84" i="17"/>
  <c r="Z86" i="17"/>
  <c r="Z88" i="17" s="1"/>
  <c r="AI88" i="17" s="1"/>
  <c r="Z39" i="17"/>
  <c r="Z40" i="17" s="1"/>
  <c r="AI40" i="17" s="1"/>
  <c r="AI37" i="17"/>
  <c r="Z123" i="17"/>
  <c r="Z124" i="17" s="1"/>
  <c r="AI124" i="17" s="1"/>
  <c r="AI121" i="17"/>
  <c r="AI272" i="17"/>
  <c r="Z274" i="17"/>
  <c r="Z165" i="17"/>
  <c r="AI163" i="17"/>
  <c r="AI315" i="17"/>
  <c r="Z317" i="17"/>
  <c r="Z318" i="17" s="1"/>
  <c r="AI318" i="17" s="1"/>
  <c r="AI169" i="17"/>
  <c r="Z171" i="17"/>
  <c r="Z269" i="17"/>
  <c r="AI267" i="17"/>
  <c r="Z147" i="17"/>
  <c r="Z148" i="17" s="1"/>
  <c r="AI148" i="17" s="1"/>
  <c r="AI145" i="17"/>
  <c r="Z189" i="17"/>
  <c r="AI187" i="17"/>
  <c r="AH13" i="17"/>
  <c r="W15" i="17"/>
  <c r="W16" i="17" s="1"/>
  <c r="AH16" i="17" s="1"/>
  <c r="W141" i="17"/>
  <c r="AH139" i="17"/>
  <c r="W56" i="17"/>
  <c r="AH54" i="17"/>
  <c r="W189" i="17"/>
  <c r="AH187" i="17"/>
  <c r="AH290" i="17"/>
  <c r="W292" i="17"/>
  <c r="W294" i="17" s="1"/>
  <c r="AH294" i="17" s="1"/>
  <c r="W146" i="17"/>
  <c r="AH144" i="17"/>
  <c r="W226" i="17"/>
  <c r="AH224" i="17"/>
  <c r="W129" i="17"/>
  <c r="AH127" i="17"/>
  <c r="W209" i="17"/>
  <c r="AH207" i="17"/>
  <c r="AH302" i="17"/>
  <c r="W304" i="17"/>
  <c r="W188" i="17"/>
  <c r="AH186" i="17"/>
  <c r="AH127" i="12"/>
  <c r="AI13" i="17"/>
  <c r="Z15" i="17"/>
  <c r="Z98" i="17"/>
  <c r="Z100" i="17" s="1"/>
  <c r="AI100" i="17" s="1"/>
  <c r="AI96" i="17"/>
  <c r="Z129" i="17"/>
  <c r="AI127" i="17"/>
  <c r="Z299" i="17"/>
  <c r="Z300" i="17" s="1"/>
  <c r="AI300" i="17" s="1"/>
  <c r="AI297" i="17"/>
  <c r="AI249" i="17"/>
  <c r="Z251" i="17"/>
  <c r="Z252" i="17" s="1"/>
  <c r="AI252" i="17" s="1"/>
  <c r="AI321" i="17"/>
  <c r="Z323" i="17"/>
  <c r="Z170" i="17"/>
  <c r="AI168" i="17"/>
  <c r="Z159" i="17"/>
  <c r="Z160" i="17" s="1"/>
  <c r="AI160" i="17" s="1"/>
  <c r="AI157" i="17"/>
  <c r="Z188" i="17"/>
  <c r="Z190" i="17" s="1"/>
  <c r="AI190" i="17" s="1"/>
  <c r="AI186" i="17"/>
  <c r="Z275" i="17"/>
  <c r="AI273" i="17"/>
  <c r="W44" i="17"/>
  <c r="W46" i="17" s="1"/>
  <c r="AH46" i="17" s="1"/>
  <c r="AH42" i="17"/>
  <c r="W32" i="17"/>
  <c r="AH30" i="17"/>
  <c r="AH6" i="17"/>
  <c r="W8" i="17"/>
  <c r="W10" i="17" s="1"/>
  <c r="AH10" i="17" s="1"/>
  <c r="AH61" i="17"/>
  <c r="W63" i="17"/>
  <c r="W123" i="17"/>
  <c r="W124" i="17" s="1"/>
  <c r="AH124" i="17" s="1"/>
  <c r="AH121" i="17"/>
  <c r="W152" i="17"/>
  <c r="W154" i="17" s="1"/>
  <c r="AH154" i="17" s="1"/>
  <c r="AH150" i="17"/>
  <c r="W208" i="17"/>
  <c r="W210" i="17" s="1"/>
  <c r="AH210" i="17" s="1"/>
  <c r="AH206" i="17"/>
  <c r="AH296" i="17"/>
  <c r="W298" i="17"/>
  <c r="AH181" i="17"/>
  <c r="W183" i="17"/>
  <c r="W262" i="17"/>
  <c r="W264" i="17" s="1"/>
  <c r="AH264" i="17" s="1"/>
  <c r="AH260" i="17"/>
  <c r="W134" i="17"/>
  <c r="W136" i="17" s="1"/>
  <c r="AH136" i="17" s="1"/>
  <c r="AH132" i="17"/>
  <c r="W232" i="17"/>
  <c r="W234" i="17" s="1"/>
  <c r="AH234" i="17" s="1"/>
  <c r="AH230" i="17"/>
  <c r="W329" i="17"/>
  <c r="AH327" i="17"/>
  <c r="AH213" i="17"/>
  <c r="W215" i="17"/>
  <c r="W317" i="17"/>
  <c r="W318" i="17" s="1"/>
  <c r="AH318" i="17" s="1"/>
  <c r="AH315" i="17"/>
  <c r="Z324" i="17"/>
  <c r="AI324" i="17" s="1"/>
  <c r="Z118" i="17"/>
  <c r="AI118" i="17" s="1"/>
  <c r="Z63" i="17"/>
  <c r="AI61" i="17"/>
  <c r="Z9" i="17"/>
  <c r="Z10" i="17" s="1"/>
  <c r="AI10" i="17" s="1"/>
  <c r="AI7" i="17"/>
  <c r="AI126" i="17"/>
  <c r="Z128" i="17"/>
  <c r="AI132" i="17"/>
  <c r="Z134" i="17"/>
  <c r="Z304" i="17"/>
  <c r="Z306" i="17" s="1"/>
  <c r="AI306" i="17" s="1"/>
  <c r="AI302" i="17"/>
  <c r="Z329" i="17"/>
  <c r="AI327" i="17"/>
  <c r="Z183" i="17"/>
  <c r="AI181" i="17"/>
  <c r="Z202" i="17"/>
  <c r="AI199" i="17"/>
  <c r="Z292" i="17"/>
  <c r="Z294" i="17" s="1"/>
  <c r="AI294" i="17" s="1"/>
  <c r="AI290" i="17"/>
  <c r="AD107" i="12"/>
  <c r="AH107" i="12" s="1"/>
  <c r="W62" i="17"/>
  <c r="W64" i="17" s="1"/>
  <c r="AH64" i="17" s="1"/>
  <c r="AH60" i="17"/>
  <c r="AH31" i="17"/>
  <c r="W33" i="17"/>
  <c r="W68" i="17"/>
  <c r="W70" i="17" s="1"/>
  <c r="AH70" i="17" s="1"/>
  <c r="AH66" i="17"/>
  <c r="W57" i="17"/>
  <c r="AH55" i="17"/>
  <c r="W165" i="17"/>
  <c r="AH163" i="17"/>
  <c r="AH273" i="17"/>
  <c r="W275" i="17"/>
  <c r="W305" i="17"/>
  <c r="AH303" i="17"/>
  <c r="W202" i="17"/>
  <c r="AH199" i="17"/>
  <c r="W299" i="17"/>
  <c r="AH297" i="17"/>
  <c r="AH145" i="17"/>
  <c r="W147" i="17"/>
  <c r="AH237" i="17"/>
  <c r="W239" i="17"/>
  <c r="W240" i="17" s="1"/>
  <c r="AH240" i="17" s="1"/>
  <c r="AH157" i="17"/>
  <c r="W159" i="17"/>
  <c r="W160" i="17" s="1"/>
  <c r="AH160" i="17" s="1"/>
  <c r="W251" i="17"/>
  <c r="AH249" i="17"/>
  <c r="W323" i="17"/>
  <c r="W324" i="17" s="1"/>
  <c r="AH324" i="17" s="1"/>
  <c r="AH321" i="17"/>
  <c r="AE272" i="17"/>
  <c r="AE274" i="17" s="1"/>
  <c r="AH143" i="12"/>
  <c r="AH64" i="12"/>
  <c r="AE254" i="17"/>
  <c r="AE256" i="17" s="1"/>
  <c r="AE25" i="17"/>
  <c r="AE27" i="17" s="1"/>
  <c r="AE163" i="17"/>
  <c r="AE165" i="17" s="1"/>
  <c r="AH188" i="12"/>
  <c r="AH176" i="12"/>
  <c r="AH247" i="11"/>
  <c r="AH77" i="12"/>
  <c r="AE115" i="17"/>
  <c r="AE117" i="17" s="1"/>
  <c r="AH261" i="12"/>
  <c r="AH141" i="12"/>
  <c r="AE285" i="17"/>
  <c r="AE287" i="17" s="1"/>
  <c r="AH122" i="12"/>
  <c r="AH57" i="12"/>
  <c r="AH194" i="12"/>
  <c r="AE243" i="17"/>
  <c r="AE245" i="17" s="1"/>
  <c r="AH34" i="12"/>
  <c r="AH239" i="12"/>
  <c r="AH250" i="12"/>
  <c r="AH244" i="12"/>
  <c r="AH11" i="12"/>
  <c r="AE82" i="17"/>
  <c r="AH237" i="12"/>
  <c r="AH165" i="12"/>
  <c r="AH151" i="12"/>
  <c r="AE169" i="17"/>
  <c r="AE171" i="17" s="1"/>
  <c r="AH214" i="12"/>
  <c r="AH124" i="12"/>
  <c r="AH255" i="12"/>
  <c r="AH123" i="12"/>
  <c r="AH190" i="12"/>
  <c r="AH175" i="12"/>
  <c r="AH180" i="12"/>
  <c r="AE31" i="17"/>
  <c r="AE33" i="17" s="1"/>
  <c r="AH68" i="11"/>
  <c r="AH272" i="12"/>
  <c r="AH210" i="12"/>
  <c r="AE61" i="17"/>
  <c r="AE63" i="17" s="1"/>
  <c r="AH47" i="12"/>
  <c r="AE85" i="17"/>
  <c r="AE87" i="17" s="1"/>
  <c r="AH115" i="12"/>
  <c r="AH200" i="12"/>
  <c r="AH43" i="12"/>
  <c r="AH45" i="12"/>
  <c r="AH3" i="12"/>
  <c r="AH87" i="12"/>
  <c r="AE60" i="17"/>
  <c r="AE62" i="17" s="1"/>
  <c r="AH121" i="12"/>
  <c r="AE219" i="17"/>
  <c r="AE221" i="17" s="1"/>
  <c r="AE255" i="17"/>
  <c r="AE257" i="17" s="1"/>
  <c r="AH52" i="12"/>
  <c r="AH95" i="12"/>
  <c r="AH268" i="12"/>
  <c r="AH103" i="12"/>
  <c r="AH79" i="12"/>
  <c r="AH39" i="12"/>
  <c r="AE213" i="17"/>
  <c r="AE215" i="17" s="1"/>
  <c r="AH98" i="12"/>
  <c r="AH142" i="12"/>
  <c r="AH207" i="12"/>
  <c r="AE206" i="17"/>
  <c r="AE208" i="17" s="1"/>
  <c r="AE210" i="17" s="1"/>
  <c r="AH109" i="12"/>
  <c r="AH225" i="12"/>
  <c r="AH106" i="12"/>
  <c r="AE30" i="17"/>
  <c r="AE32" i="17" s="1"/>
  <c r="AH218" i="12"/>
  <c r="AE55" i="17"/>
  <c r="AE57" i="17" s="1"/>
  <c r="AH15" i="12"/>
  <c r="AH21" i="12"/>
  <c r="AH8" i="12"/>
  <c r="AH217" i="12"/>
  <c r="AE315" i="17"/>
  <c r="AE317" i="17" s="1"/>
  <c r="AE186" i="17"/>
  <c r="AE188" i="17" s="1"/>
  <c r="AH191" i="12"/>
  <c r="AE103" i="17"/>
  <c r="AE105" i="17" s="1"/>
  <c r="AE12" i="17"/>
  <c r="AE14" i="17" s="1"/>
  <c r="AH35" i="12"/>
  <c r="AH30" i="12"/>
  <c r="AE314" i="17"/>
  <c r="AE316" i="17" s="1"/>
  <c r="AE175" i="17"/>
  <c r="AE177" i="17" s="1"/>
  <c r="AH42" i="12"/>
  <c r="AE145" i="17"/>
  <c r="AE147" i="17" s="1"/>
  <c r="AH161" i="12"/>
  <c r="AE102" i="17"/>
  <c r="AE104" i="17" s="1"/>
  <c r="AE198" i="17"/>
  <c r="AE201" i="17" s="1"/>
  <c r="AH128" i="12"/>
  <c r="AE126" i="17"/>
  <c r="AE128" i="17" s="1"/>
  <c r="AE151" i="17"/>
  <c r="AE153" i="17" s="1"/>
  <c r="AH51" i="12"/>
  <c r="AH226" i="12"/>
  <c r="AE278" i="17"/>
  <c r="AE280" i="17" s="1"/>
  <c r="AH229" i="12"/>
  <c r="AE290" i="17"/>
  <c r="AE292" i="17" s="1"/>
  <c r="AH22" i="12"/>
  <c r="AH266" i="12"/>
  <c r="AH231" i="12"/>
  <c r="AH82" i="12"/>
  <c r="AH69" i="12"/>
  <c r="AH94" i="12"/>
  <c r="AE114" i="17"/>
  <c r="AE116" i="17" s="1"/>
  <c r="AH187" i="12"/>
  <c r="AE24" i="17"/>
  <c r="AE26" i="17" s="1"/>
  <c r="AH273" i="12"/>
  <c r="AH105" i="12"/>
  <c r="AH182" i="12"/>
  <c r="AE284" i="17"/>
  <c r="AE286" i="17" s="1"/>
  <c r="AH197" i="12"/>
  <c r="AE187" i="17"/>
  <c r="AE189" i="17" s="1"/>
  <c r="AE261" i="17"/>
  <c r="AE263" i="17" s="1"/>
  <c r="AH9" i="12"/>
  <c r="AH199" i="12"/>
  <c r="AH12" i="12"/>
  <c r="AH256" i="12"/>
  <c r="AH132" i="12"/>
  <c r="AH172" i="12"/>
  <c r="AH192" i="12"/>
  <c r="AH179" i="12"/>
  <c r="AH267" i="12"/>
  <c r="AE139" i="17"/>
  <c r="AE141" i="17" s="1"/>
  <c r="AH269" i="12"/>
  <c r="AH101" i="12"/>
  <c r="AE132" i="17"/>
  <c r="AE134" i="17" s="1"/>
  <c r="AH67" i="12"/>
  <c r="AH31" i="12"/>
  <c r="AH173" i="12"/>
  <c r="AH25" i="12"/>
  <c r="AH71" i="12"/>
  <c r="AH20" i="12"/>
  <c r="AE19" i="17"/>
  <c r="AE21" i="17" s="1"/>
  <c r="AH232" i="12"/>
  <c r="AH174" i="12"/>
  <c r="AE42" i="17"/>
  <c r="AE44" i="17" s="1"/>
  <c r="AE46" i="17" s="1"/>
  <c r="AH265" i="12"/>
  <c r="AH78" i="12"/>
  <c r="AE127" i="17"/>
  <c r="AE129" i="17" s="1"/>
  <c r="AH33" i="12"/>
  <c r="AE168" i="17"/>
  <c r="AE170" i="17" s="1"/>
  <c r="AH137" i="12"/>
  <c r="AH114" i="12"/>
  <c r="AE320" i="17"/>
  <c r="AE322" i="17" s="1"/>
  <c r="AE260" i="17"/>
  <c r="AE262" i="17" s="1"/>
  <c r="AH245" i="12"/>
  <c r="AH247" i="12"/>
  <c r="AH246" i="12"/>
  <c r="AE303" i="17"/>
  <c r="AE305" i="17" s="1"/>
  <c r="AE180" i="17"/>
  <c r="AE182" i="17" s="1"/>
  <c r="AH76" i="12"/>
  <c r="AH100" i="12"/>
  <c r="AE321" i="17"/>
  <c r="AE323" i="17" s="1"/>
  <c r="AH195" i="12"/>
  <c r="AH252" i="12"/>
  <c r="AH177" i="12"/>
  <c r="AE157" i="17"/>
  <c r="AE159" i="17" s="1"/>
  <c r="AH61" i="12"/>
  <c r="AH163" i="12"/>
  <c r="AH153" i="12"/>
  <c r="AH96" i="12"/>
  <c r="AE297" i="17"/>
  <c r="AE299" i="17" s="1"/>
  <c r="AE300" i="17" s="1"/>
  <c r="AH16" i="12"/>
  <c r="AE96" i="17"/>
  <c r="AE98" i="17" s="1"/>
  <c r="AH274" i="12"/>
  <c r="AH70" i="12"/>
  <c r="AH216" i="12"/>
  <c r="AE181" i="17"/>
  <c r="AE183" i="17" s="1"/>
  <c r="AH134" i="12"/>
  <c r="AE121" i="17"/>
  <c r="AE123" i="17" s="1"/>
  <c r="AH254" i="12"/>
  <c r="AH264" i="12"/>
  <c r="AE224" i="17"/>
  <c r="AE226" i="17" s="1"/>
  <c r="AH97" i="12"/>
  <c r="AH253" i="12"/>
  <c r="AE54" i="17"/>
  <c r="AE56" i="17" s="1"/>
  <c r="AE150" i="17"/>
  <c r="AE152" i="17" s="1"/>
  <c r="AE212" i="17"/>
  <c r="AE214" i="17" s="1"/>
  <c r="AH46" i="12"/>
  <c r="AH116" i="12"/>
  <c r="AE174" i="17"/>
  <c r="AE176" i="17" s="1"/>
  <c r="AH139" i="12"/>
  <c r="AH206" i="12"/>
  <c r="AH220" i="12"/>
  <c r="AE327" i="17"/>
  <c r="AE329" i="17" s="1"/>
  <c r="AE237" i="17"/>
  <c r="AE239" i="17" s="1"/>
  <c r="AE240" i="17" s="1"/>
  <c r="AH117" i="12"/>
  <c r="AH211" i="12"/>
  <c r="AH48" i="12"/>
  <c r="AH157" i="12"/>
  <c r="AH263" i="12"/>
  <c r="AE144" i="17"/>
  <c r="AE146" i="17" s="1"/>
  <c r="AE302" i="17"/>
  <c r="AE304" i="17" s="1"/>
  <c r="AH271" i="12"/>
  <c r="AE138" i="17"/>
  <c r="AE140" i="17" s="1"/>
  <c r="AH83" i="12"/>
  <c r="AH41" i="12"/>
  <c r="AH236" i="12"/>
  <c r="AH120" i="12"/>
  <c r="AH140" i="12"/>
  <c r="AE108" i="17"/>
  <c r="AE110" i="17" s="1"/>
  <c r="AH26" i="12"/>
  <c r="AH50" i="12"/>
  <c r="AH233" i="12"/>
  <c r="AE326" i="17"/>
  <c r="AE328" i="17" s="1"/>
  <c r="AH249" i="12"/>
  <c r="AH86" i="12"/>
  <c r="AE90" i="17"/>
  <c r="AE92" i="17" s="1"/>
  <c r="AH138" i="12"/>
  <c r="AE308" i="17"/>
  <c r="AE310" i="17" s="1"/>
  <c r="AE312" i="17" s="1"/>
  <c r="AH118" i="12"/>
  <c r="AH5" i="12"/>
  <c r="AH75" i="12"/>
  <c r="AH147" i="12"/>
  <c r="AH205" i="12"/>
  <c r="AE192" i="17"/>
  <c r="AE194" i="17" s="1"/>
  <c r="AE97" i="17"/>
  <c r="AE99" i="17" s="1"/>
  <c r="AH208" i="12"/>
  <c r="AE273" i="17"/>
  <c r="AE275" i="17" s="1"/>
  <c r="AH58" i="12"/>
  <c r="AE91" i="17"/>
  <c r="AE93" i="17" s="1"/>
  <c r="AH122" i="11" l="1"/>
  <c r="AH208" i="11"/>
  <c r="AE258" i="17"/>
  <c r="AE88" i="17"/>
  <c r="AE76" i="17"/>
  <c r="AE276" i="17"/>
  <c r="AE234" i="17"/>
  <c r="AE40" i="17"/>
  <c r="AE16" i="17"/>
  <c r="AE142" i="17"/>
  <c r="AE246" i="17"/>
  <c r="AE204" i="17"/>
  <c r="AE294" i="17"/>
  <c r="AE160" i="17"/>
  <c r="AE22" i="17"/>
  <c r="AE288" i="17"/>
  <c r="AE282" i="17"/>
  <c r="AE424" i="17"/>
  <c r="AE52" i="17"/>
  <c r="AE222" i="17"/>
  <c r="AE196" i="17"/>
  <c r="AE112" i="17"/>
  <c r="AE698" i="17"/>
  <c r="AE154" i="17"/>
  <c r="AE136" i="17"/>
  <c r="AE668" i="17"/>
  <c r="AE436" i="17"/>
  <c r="AE514" i="17"/>
  <c r="AK69" i="11"/>
  <c r="AA69" i="11"/>
  <c r="AH69" i="11" s="1"/>
  <c r="AK52" i="11"/>
  <c r="AA52" i="11"/>
  <c r="AH52" i="11" s="1"/>
  <c r="AK104" i="11"/>
  <c r="AA104" i="11"/>
  <c r="AH104" i="11" s="1"/>
  <c r="AK33" i="11"/>
  <c r="AA33" i="11"/>
  <c r="AH33" i="11" s="1"/>
  <c r="AL108" i="11"/>
  <c r="AD108" i="11"/>
  <c r="AH108" i="11" s="1"/>
  <c r="W166" i="17"/>
  <c r="AH166" i="17" s="1"/>
  <c r="W164" i="17"/>
  <c r="X162" i="17"/>
  <c r="AE162" i="17" s="1"/>
  <c r="AE164" i="17" s="1"/>
  <c r="W250" i="17"/>
  <c r="W252" i="17" s="1"/>
  <c r="AH252" i="17" s="1"/>
  <c r="X248" i="17"/>
  <c r="AE248" i="17" s="1"/>
  <c r="AE250" i="17" s="1"/>
  <c r="AE252" i="17" s="1"/>
  <c r="AH248" i="17"/>
  <c r="AK265" i="11"/>
  <c r="AA265" i="11"/>
  <c r="AH265" i="11" s="1"/>
  <c r="AE148" i="17"/>
  <c r="AE118" i="17"/>
  <c r="AE216" i="17"/>
  <c r="AL118" i="11"/>
  <c r="AD118" i="11"/>
  <c r="AL112" i="11"/>
  <c r="AD112" i="11"/>
  <c r="AK16" i="11"/>
  <c r="AA16" i="11"/>
  <c r="AH16" i="11" s="1"/>
  <c r="AL116" i="11"/>
  <c r="AD116" i="11"/>
  <c r="AK211" i="11"/>
  <c r="AA211" i="11"/>
  <c r="AH211" i="11" s="1"/>
  <c r="AE124" i="17"/>
  <c r="W227" i="17"/>
  <c r="W228" i="17" s="1"/>
  <c r="AH228" i="17" s="1"/>
  <c r="AH225" i="17"/>
  <c r="X225" i="17"/>
  <c r="AE225" i="17" s="1"/>
  <c r="AE227" i="17" s="1"/>
  <c r="AE228" i="17" s="1"/>
  <c r="AK4" i="11"/>
  <c r="AA4" i="11"/>
  <c r="AH4" i="11" s="1"/>
  <c r="W698" i="17"/>
  <c r="Z136" i="17"/>
  <c r="AI136" i="17" s="1"/>
  <c r="W216" i="17"/>
  <c r="AH216" i="17" s="1"/>
  <c r="W142" i="17"/>
  <c r="AH142" i="17" s="1"/>
  <c r="Z258" i="17"/>
  <c r="AI258" i="17" s="1"/>
  <c r="W258" i="17"/>
  <c r="AH258" i="17" s="1"/>
  <c r="W22" i="17"/>
  <c r="AH22" i="17" s="1"/>
  <c r="W246" i="17"/>
  <c r="AH246" i="17" s="1"/>
  <c r="AK228" i="11"/>
  <c r="AA228" i="11"/>
  <c r="AH228" i="11" s="1"/>
  <c r="AK244" i="11"/>
  <c r="AA244" i="11"/>
  <c r="AH244" i="11" s="1"/>
  <c r="AK234" i="11"/>
  <c r="AA234" i="11"/>
  <c r="AH234" i="11" s="1"/>
  <c r="AK51" i="11"/>
  <c r="AA51" i="11"/>
  <c r="AH51" i="11" s="1"/>
  <c r="AK153" i="11"/>
  <c r="AA153" i="11"/>
  <c r="AH153" i="11" s="1"/>
  <c r="AK41" i="11"/>
  <c r="AA41" i="11"/>
  <c r="AH41" i="11" s="1"/>
  <c r="AK56" i="11"/>
  <c r="AA56" i="11"/>
  <c r="AH56" i="11" s="1"/>
  <c r="AK264" i="11"/>
  <c r="AA264" i="11"/>
  <c r="AH264" i="11" s="1"/>
  <c r="AK113" i="11"/>
  <c r="AA113" i="11"/>
  <c r="AH113" i="11" s="1"/>
  <c r="AK154" i="11"/>
  <c r="AA154" i="11"/>
  <c r="AH154" i="11" s="1"/>
  <c r="AK163" i="11"/>
  <c r="AA163" i="11"/>
  <c r="AH163" i="11" s="1"/>
  <c r="AK202" i="11"/>
  <c r="AA202" i="11"/>
  <c r="AH202" i="11" s="1"/>
  <c r="AK135" i="11"/>
  <c r="AA135" i="11"/>
  <c r="AH135" i="11" s="1"/>
  <c r="AK190" i="11"/>
  <c r="AA190" i="11"/>
  <c r="AH190" i="11" s="1"/>
  <c r="AK192" i="11"/>
  <c r="AA192" i="11"/>
  <c r="AH192" i="11" s="1"/>
  <c r="AK13" i="11"/>
  <c r="AA13" i="11"/>
  <c r="AH13" i="11" s="1"/>
  <c r="AK110" i="11"/>
  <c r="AA110" i="11"/>
  <c r="AH110" i="11" s="1"/>
  <c r="AK134" i="11"/>
  <c r="AA134" i="11"/>
  <c r="AH134" i="11" s="1"/>
  <c r="AK238" i="11"/>
  <c r="AA238" i="11"/>
  <c r="AH238" i="11" s="1"/>
  <c r="AK86" i="11"/>
  <c r="AA86" i="11"/>
  <c r="AH86" i="11" s="1"/>
  <c r="AK27" i="11"/>
  <c r="AA27" i="11"/>
  <c r="AH27" i="11" s="1"/>
  <c r="AK257" i="11"/>
  <c r="AA257" i="11"/>
  <c r="AH257" i="11" s="1"/>
  <c r="AK151" i="11"/>
  <c r="AA151" i="11"/>
  <c r="AH151" i="11" s="1"/>
  <c r="AK180" i="11"/>
  <c r="AA180" i="11"/>
  <c r="AH180" i="11" s="1"/>
  <c r="AK219" i="11"/>
  <c r="AA219" i="11"/>
  <c r="AH219" i="11" s="1"/>
  <c r="AK22" i="11"/>
  <c r="AA22" i="11"/>
  <c r="AH22" i="11" s="1"/>
  <c r="AK8" i="11"/>
  <c r="AA8" i="11"/>
  <c r="AH8" i="11" s="1"/>
  <c r="AK73" i="11"/>
  <c r="AA73" i="11"/>
  <c r="AH73" i="11" s="1"/>
  <c r="AK181" i="11"/>
  <c r="AA181" i="11"/>
  <c r="AH181" i="11" s="1"/>
  <c r="AK58" i="11"/>
  <c r="AA58" i="11"/>
  <c r="AH58" i="11" s="1"/>
  <c r="AK99" i="11"/>
  <c r="AA99" i="11"/>
  <c r="AH99" i="11" s="1"/>
  <c r="AK226" i="11"/>
  <c r="AA226" i="11"/>
  <c r="AH226" i="11" s="1"/>
  <c r="AK50" i="11"/>
  <c r="AA50" i="11"/>
  <c r="AH50" i="11" s="1"/>
  <c r="AK127" i="11"/>
  <c r="AA127" i="11"/>
  <c r="AH127" i="11" s="1"/>
  <c r="AK62" i="11"/>
  <c r="AA62" i="11"/>
  <c r="AH62" i="11" s="1"/>
  <c r="AK46" i="11"/>
  <c r="AA46" i="11"/>
  <c r="AH46" i="11" s="1"/>
  <c r="AK156" i="11"/>
  <c r="AA156" i="11"/>
  <c r="AH156" i="11" s="1"/>
  <c r="W514" i="17"/>
  <c r="AK97" i="11"/>
  <c r="AA97" i="11"/>
  <c r="AH97" i="11" s="1"/>
  <c r="AK93" i="11"/>
  <c r="AA93" i="11"/>
  <c r="AH93" i="11" s="1"/>
  <c r="AK87" i="11"/>
  <c r="AA87" i="11"/>
  <c r="AH87" i="11" s="1"/>
  <c r="AK145" i="11"/>
  <c r="AA145" i="11"/>
  <c r="AH145" i="11" s="1"/>
  <c r="AK243" i="11"/>
  <c r="AA243" i="11"/>
  <c r="AH243" i="11" s="1"/>
  <c r="AK29" i="11"/>
  <c r="AA29" i="11"/>
  <c r="AH29" i="11" s="1"/>
  <c r="AK150" i="11"/>
  <c r="AA150" i="11"/>
  <c r="AH150" i="11" s="1"/>
  <c r="AK75" i="11"/>
  <c r="AA75" i="11"/>
  <c r="AH75" i="11" s="1"/>
  <c r="AK198" i="11"/>
  <c r="AA198" i="11"/>
  <c r="AH198" i="11" s="1"/>
  <c r="AK64" i="11"/>
  <c r="AA64" i="11"/>
  <c r="AH64" i="11" s="1"/>
  <c r="AK140" i="11"/>
  <c r="AA140" i="11"/>
  <c r="AH140" i="11" s="1"/>
  <c r="AK79" i="11"/>
  <c r="AA79" i="11"/>
  <c r="AH79" i="11" s="1"/>
  <c r="AK103" i="11"/>
  <c r="AA103" i="11"/>
  <c r="AH103" i="11" s="1"/>
  <c r="AK260" i="11"/>
  <c r="AA260" i="11"/>
  <c r="AH260" i="11" s="1"/>
  <c r="AK130" i="11"/>
  <c r="AA130" i="11"/>
  <c r="AH130" i="11" s="1"/>
  <c r="AK188" i="11"/>
  <c r="AA188" i="11"/>
  <c r="AH188" i="11" s="1"/>
  <c r="AK168" i="11"/>
  <c r="AA168" i="11"/>
  <c r="AH168" i="11" s="1"/>
  <c r="AK171" i="11"/>
  <c r="AA171" i="11"/>
  <c r="AH171" i="11" s="1"/>
  <c r="AK42" i="11"/>
  <c r="AA42" i="11"/>
  <c r="AH42" i="11" s="1"/>
  <c r="AA176" i="11"/>
  <c r="AH176" i="11" s="1"/>
  <c r="AK176" i="11"/>
  <c r="AK131" i="11"/>
  <c r="AA131" i="11"/>
  <c r="AH131" i="11" s="1"/>
  <c r="AK184" i="11"/>
  <c r="AA184" i="11"/>
  <c r="AH184" i="11" s="1"/>
  <c r="AK254" i="11"/>
  <c r="AA254" i="11"/>
  <c r="AH254" i="11" s="1"/>
  <c r="AK246" i="11"/>
  <c r="AA246" i="11"/>
  <c r="AH246" i="11" s="1"/>
  <c r="AH204" i="11"/>
  <c r="AK136" i="11"/>
  <c r="AA136" i="11"/>
  <c r="AH136" i="11" s="1"/>
  <c r="AK255" i="11"/>
  <c r="AA255" i="11"/>
  <c r="AH255" i="11" s="1"/>
  <c r="AK199" i="11"/>
  <c r="AA199" i="11"/>
  <c r="AH199" i="11" s="1"/>
  <c r="AK223" i="11"/>
  <c r="AA223" i="11"/>
  <c r="AH223" i="11" s="1"/>
  <c r="AK241" i="11"/>
  <c r="AA241" i="11"/>
  <c r="AH241" i="11" s="1"/>
  <c r="AK266" i="11"/>
  <c r="AA266" i="11"/>
  <c r="AH266" i="11" s="1"/>
  <c r="AK185" i="11"/>
  <c r="AA185" i="11"/>
  <c r="AH185" i="11" s="1"/>
  <c r="AK138" i="11"/>
  <c r="AA138" i="11"/>
  <c r="AH138" i="11" s="1"/>
  <c r="AK40" i="11"/>
  <c r="AA40" i="11"/>
  <c r="AH40" i="11" s="1"/>
  <c r="AK5" i="11"/>
  <c r="AA5" i="11"/>
  <c r="AH5" i="11" s="1"/>
  <c r="AK114" i="11"/>
  <c r="AA114" i="11"/>
  <c r="AH114" i="11" s="1"/>
  <c r="AK224" i="11"/>
  <c r="AA224" i="11"/>
  <c r="AH224" i="11" s="1"/>
  <c r="AK235" i="11"/>
  <c r="AA235" i="11"/>
  <c r="AH235" i="11" s="1"/>
  <c r="AK80" i="11"/>
  <c r="AA80" i="11"/>
  <c r="AH80" i="11" s="1"/>
  <c r="AK47" i="11"/>
  <c r="AA47" i="11"/>
  <c r="AH47" i="11" s="1"/>
  <c r="AK26" i="11"/>
  <c r="AA26" i="11"/>
  <c r="AH26" i="11" s="1"/>
  <c r="AK148" i="11"/>
  <c r="AA148" i="11"/>
  <c r="AH148" i="11" s="1"/>
  <c r="AK59" i="11"/>
  <c r="AA59" i="11"/>
  <c r="AH59" i="11" s="1"/>
  <c r="AK91" i="11"/>
  <c r="AA91" i="11"/>
  <c r="AK139" i="11"/>
  <c r="AA139" i="11"/>
  <c r="AK162" i="11"/>
  <c r="AA162" i="11"/>
  <c r="AH162" i="11" s="1"/>
  <c r="AK259" i="11"/>
  <c r="AA259" i="11"/>
  <c r="AH259" i="11" s="1"/>
  <c r="AK10" i="11"/>
  <c r="AA10" i="11"/>
  <c r="AH10" i="11" s="1"/>
  <c r="AK167" i="11"/>
  <c r="AA167" i="11"/>
  <c r="AH167" i="11" s="1"/>
  <c r="AK182" i="11"/>
  <c r="AA182" i="11"/>
  <c r="AH182" i="11" s="1"/>
  <c r="AK82" i="11"/>
  <c r="AA82" i="11"/>
  <c r="AH82" i="11" s="1"/>
  <c r="AK6" i="11"/>
  <c r="AA6" i="11"/>
  <c r="AH6" i="11" s="1"/>
  <c r="AK96" i="11"/>
  <c r="AA96" i="11"/>
  <c r="AH96" i="11" s="1"/>
  <c r="AK76" i="11"/>
  <c r="AA76" i="11"/>
  <c r="AH76" i="11" s="1"/>
  <c r="AK92" i="11"/>
  <c r="AA92" i="11"/>
  <c r="AH92" i="11" s="1"/>
  <c r="AK112" i="11"/>
  <c r="AA112" i="11"/>
  <c r="AH112" i="11" s="1"/>
  <c r="AK209" i="11"/>
  <c r="AA209" i="11"/>
  <c r="AH209" i="11" s="1"/>
  <c r="AK117" i="11"/>
  <c r="AA117" i="11"/>
  <c r="AH117" i="11" s="1"/>
  <c r="AK63" i="11"/>
  <c r="AA63" i="11"/>
  <c r="AH63" i="11" s="1"/>
  <c r="AK166" i="11"/>
  <c r="AA166" i="11"/>
  <c r="AH166" i="11" s="1"/>
  <c r="AK263" i="11"/>
  <c r="AA263" i="11"/>
  <c r="AH263" i="11" s="1"/>
  <c r="AK25" i="11"/>
  <c r="AA25" i="11"/>
  <c r="AH25" i="11" s="1"/>
  <c r="AK175" i="11"/>
  <c r="AA175" i="11"/>
  <c r="AH175" i="11" s="1"/>
  <c r="AE166" i="17"/>
  <c r="Z172" i="17"/>
  <c r="AI172" i="17" s="1"/>
  <c r="Z312" i="17"/>
  <c r="AI312" i="17" s="1"/>
  <c r="Z112" i="17"/>
  <c r="AI112" i="17" s="1"/>
  <c r="Z178" i="17"/>
  <c r="AI178" i="17" s="1"/>
  <c r="AH91" i="11"/>
  <c r="AK9" i="11"/>
  <c r="AA9" i="11"/>
  <c r="AH9" i="11" s="1"/>
  <c r="AK28" i="11"/>
  <c r="AA28" i="11"/>
  <c r="AH28" i="11" s="1"/>
  <c r="AK34" i="11"/>
  <c r="AA34" i="11"/>
  <c r="AH34" i="11" s="1"/>
  <c r="AK172" i="11"/>
  <c r="AA172" i="11"/>
  <c r="AH172" i="11" s="1"/>
  <c r="AK217" i="11"/>
  <c r="AA217" i="11"/>
  <c r="AH217" i="11" s="1"/>
  <c r="AK65" i="11"/>
  <c r="AA65" i="11"/>
  <c r="AH65" i="11" s="1"/>
  <c r="AK258" i="11"/>
  <c r="AA258" i="11"/>
  <c r="AH258" i="11" s="1"/>
  <c r="AK118" i="11"/>
  <c r="AA118" i="11"/>
  <c r="AH118" i="11" s="1"/>
  <c r="AK155" i="11"/>
  <c r="AA155" i="11"/>
  <c r="AH155" i="11" s="1"/>
  <c r="AK147" i="11"/>
  <c r="AA147" i="11"/>
  <c r="AH147" i="11" s="1"/>
  <c r="AK240" i="11"/>
  <c r="AA240" i="11"/>
  <c r="AH240" i="11" s="1"/>
  <c r="AK60" i="11"/>
  <c r="AA60" i="11"/>
  <c r="AH60" i="11" s="1"/>
  <c r="AK109" i="11"/>
  <c r="AA109" i="11"/>
  <c r="AH109" i="11" s="1"/>
  <c r="AK14" i="11"/>
  <c r="AA14" i="11"/>
  <c r="AH14" i="11" s="1"/>
  <c r="AH218" i="11"/>
  <c r="AK31" i="11"/>
  <c r="AA31" i="11"/>
  <c r="AH31" i="11" s="1"/>
  <c r="AK43" i="11"/>
  <c r="AA43" i="11"/>
  <c r="AH43" i="11" s="1"/>
  <c r="AK129" i="11"/>
  <c r="AA129" i="11"/>
  <c r="AH129" i="11" s="1"/>
  <c r="AK186" i="11"/>
  <c r="AA186" i="11"/>
  <c r="AH186" i="11" s="1"/>
  <c r="AK119" i="11"/>
  <c r="AA119" i="11"/>
  <c r="AH119" i="11" s="1"/>
  <c r="AK157" i="11"/>
  <c r="AA157" i="11"/>
  <c r="AH157" i="11" s="1"/>
  <c r="AK137" i="11"/>
  <c r="AA137" i="11"/>
  <c r="AH137" i="11" s="1"/>
  <c r="AK212" i="11"/>
  <c r="AA212" i="11"/>
  <c r="AH212" i="11" s="1"/>
  <c r="AK203" i="11"/>
  <c r="AA203" i="11"/>
  <c r="AH203" i="11" s="1"/>
  <c r="AK227" i="11"/>
  <c r="AA227" i="11"/>
  <c r="AH227" i="11" s="1"/>
  <c r="AK262" i="11"/>
  <c r="AA262" i="11"/>
  <c r="AH262" i="11" s="1"/>
  <c r="AK169" i="11"/>
  <c r="AA169" i="11"/>
  <c r="AH169" i="11" s="1"/>
  <c r="AK7" i="11"/>
  <c r="AA7" i="11"/>
  <c r="AH7" i="11" s="1"/>
  <c r="AK191" i="11"/>
  <c r="AA191" i="11"/>
  <c r="AH191" i="11" s="1"/>
  <c r="AK206" i="11"/>
  <c r="AA206" i="11"/>
  <c r="AH206" i="11" s="1"/>
  <c r="AK74" i="11"/>
  <c r="AA74" i="11"/>
  <c r="AH74" i="11" s="1"/>
  <c r="AK115" i="11"/>
  <c r="AA115" i="11"/>
  <c r="AH115" i="11" s="1"/>
  <c r="W674" i="17"/>
  <c r="AK101" i="11"/>
  <c r="AA101" i="11"/>
  <c r="AH101" i="11" s="1"/>
  <c r="AK128" i="11"/>
  <c r="AA128" i="11"/>
  <c r="AH128" i="11" s="1"/>
  <c r="AK225" i="11"/>
  <c r="AA225" i="11"/>
  <c r="AH225" i="11" s="1"/>
  <c r="AK49" i="11"/>
  <c r="AA49" i="11"/>
  <c r="AH49" i="11" s="1"/>
  <c r="AK133" i="11"/>
  <c r="AA133" i="11"/>
  <c r="AH133" i="11" s="1"/>
  <c r="AK81" i="11"/>
  <c r="AA81" i="11"/>
  <c r="AH81" i="11" s="1"/>
  <c r="AK149" i="11"/>
  <c r="AA149" i="11"/>
  <c r="AH149" i="11" s="1"/>
  <c r="AK248" i="11"/>
  <c r="AA248" i="11"/>
  <c r="AH248" i="11" s="1"/>
  <c r="AK45" i="11"/>
  <c r="AA45" i="11"/>
  <c r="AH45" i="11" s="1"/>
  <c r="AK66" i="11"/>
  <c r="AA66" i="11"/>
  <c r="AH66" i="11" s="1"/>
  <c r="AK67" i="11"/>
  <c r="AA67" i="11"/>
  <c r="AH67" i="11" s="1"/>
  <c r="AK95" i="11"/>
  <c r="AA95" i="11"/>
  <c r="AH95" i="11" s="1"/>
  <c r="AK61" i="11"/>
  <c r="AA61" i="11"/>
  <c r="AH61" i="11" s="1"/>
  <c r="W613" i="17"/>
  <c r="AK220" i="11"/>
  <c r="AA220" i="11"/>
  <c r="AH220" i="11" s="1"/>
  <c r="AK30" i="11"/>
  <c r="AA30" i="11"/>
  <c r="AH30" i="11" s="1"/>
  <c r="AK144" i="11"/>
  <c r="AA144" i="11"/>
  <c r="AH144" i="11" s="1"/>
  <c r="AK39" i="11"/>
  <c r="AA39" i="11"/>
  <c r="AH39" i="11" s="1"/>
  <c r="AK132" i="11"/>
  <c r="AA132" i="11"/>
  <c r="AH132" i="11" s="1"/>
  <c r="AK205" i="11"/>
  <c r="AA205" i="11"/>
  <c r="AH205" i="11" s="1"/>
  <c r="AK84" i="11"/>
  <c r="AA84" i="11"/>
  <c r="AH84" i="11" s="1"/>
  <c r="AA85" i="11"/>
  <c r="AH85" i="11" s="1"/>
  <c r="AK85" i="11"/>
  <c r="W668" i="17"/>
  <c r="AK94" i="11"/>
  <c r="AA94" i="11"/>
  <c r="AH94" i="11" s="1"/>
  <c r="AK230" i="11"/>
  <c r="AA230" i="11"/>
  <c r="AH230" i="11" s="1"/>
  <c r="AH139" i="11"/>
  <c r="AK252" i="11"/>
  <c r="AA252" i="11"/>
  <c r="AH252" i="11" s="1"/>
  <c r="AK146" i="11"/>
  <c r="AA146" i="11"/>
  <c r="AH146" i="11" s="1"/>
  <c r="AK187" i="11"/>
  <c r="AA187" i="11"/>
  <c r="AH187" i="11" s="1"/>
  <c r="AK207" i="11"/>
  <c r="AA207" i="11"/>
  <c r="AH207" i="11" s="1"/>
  <c r="AK253" i="11"/>
  <c r="AA253" i="11"/>
  <c r="AH253" i="11" s="1"/>
  <c r="AK152" i="11"/>
  <c r="AA152" i="11"/>
  <c r="AH152" i="11" s="1"/>
  <c r="AK222" i="11"/>
  <c r="AA222" i="11"/>
  <c r="AH222" i="11" s="1"/>
  <c r="AK48" i="11"/>
  <c r="AA48" i="11"/>
  <c r="AH48" i="11" s="1"/>
  <c r="AK245" i="11"/>
  <c r="AA245" i="11"/>
  <c r="AH245" i="11" s="1"/>
  <c r="AH44" i="11"/>
  <c r="AK261" i="11"/>
  <c r="AA261" i="11"/>
  <c r="AH261" i="11" s="1"/>
  <c r="AK24" i="11"/>
  <c r="AA24" i="11"/>
  <c r="AH24" i="11" s="1"/>
  <c r="AK201" i="11"/>
  <c r="AA201" i="11"/>
  <c r="AH201" i="11" s="1"/>
  <c r="AK3" i="11"/>
  <c r="AA3" i="11"/>
  <c r="AH3" i="11" s="1"/>
  <c r="AK164" i="11"/>
  <c r="AA164" i="11"/>
  <c r="AH164" i="11" s="1"/>
  <c r="AK242" i="11"/>
  <c r="AA242" i="11"/>
  <c r="AH242" i="11" s="1"/>
  <c r="AK200" i="11"/>
  <c r="AA200" i="11"/>
  <c r="AH200" i="11" s="1"/>
  <c r="AK126" i="11"/>
  <c r="AA126" i="11"/>
  <c r="AH126" i="11" s="1"/>
  <c r="AK120" i="11"/>
  <c r="AA120" i="11"/>
  <c r="AH120" i="11" s="1"/>
  <c r="AK221" i="11"/>
  <c r="AA221" i="11"/>
  <c r="AH221" i="11" s="1"/>
  <c r="AK216" i="11"/>
  <c r="AA216" i="11"/>
  <c r="AH216" i="11" s="1"/>
  <c r="AK256" i="11"/>
  <c r="AA256" i="11"/>
  <c r="AH256" i="11" s="1"/>
  <c r="AK236" i="11"/>
  <c r="AA236" i="11"/>
  <c r="AH236" i="11" s="1"/>
  <c r="AK12" i="11"/>
  <c r="AA12" i="11"/>
  <c r="AH12" i="11" s="1"/>
  <c r="AK170" i="11"/>
  <c r="AA170" i="11"/>
  <c r="AH170" i="11" s="1"/>
  <c r="AK21" i="11"/>
  <c r="AA21" i="11"/>
  <c r="AH21" i="11" s="1"/>
  <c r="AK165" i="11"/>
  <c r="AA165" i="11"/>
  <c r="AH165" i="11" s="1"/>
  <c r="AK158" i="11"/>
  <c r="AA158" i="11"/>
  <c r="AH158" i="11" s="1"/>
  <c r="AK83" i="11"/>
  <c r="AA83" i="11"/>
  <c r="AH83" i="11" s="1"/>
  <c r="AK174" i="11"/>
  <c r="AA174" i="11"/>
  <c r="AH174" i="11" s="1"/>
  <c r="AK239" i="11"/>
  <c r="AA239" i="11"/>
  <c r="AH239" i="11" s="1"/>
  <c r="AK35" i="11"/>
  <c r="AA35" i="11"/>
  <c r="AH35" i="11" s="1"/>
  <c r="AK100" i="11"/>
  <c r="AA100" i="11"/>
  <c r="AH100" i="11" s="1"/>
  <c r="AK23" i="11"/>
  <c r="AA23" i="11"/>
  <c r="AH23" i="11" s="1"/>
  <c r="AK11" i="11"/>
  <c r="AA11" i="11"/>
  <c r="AH11" i="11" s="1"/>
  <c r="AK194" i="11"/>
  <c r="AA194" i="11"/>
  <c r="AH194" i="11" s="1"/>
  <c r="AK17" i="11"/>
  <c r="AA17" i="11"/>
  <c r="AH17" i="11" s="1"/>
  <c r="AK57" i="11"/>
  <c r="AA57" i="11"/>
  <c r="AH57" i="11" s="1"/>
  <c r="AK116" i="11"/>
  <c r="AA116" i="11"/>
  <c r="AH116" i="11" s="1"/>
  <c r="AK189" i="11"/>
  <c r="AA189" i="11"/>
  <c r="AH189" i="11" s="1"/>
  <c r="AK102" i="11"/>
  <c r="AA102" i="11"/>
  <c r="AH102" i="11" s="1"/>
  <c r="AK121" i="11"/>
  <c r="AA121" i="11"/>
  <c r="AH121" i="11" s="1"/>
  <c r="AK77" i="11"/>
  <c r="AA77" i="11"/>
  <c r="AH77" i="11" s="1"/>
  <c r="W436" i="17"/>
  <c r="AK98" i="11"/>
  <c r="AA98" i="11"/>
  <c r="AH98" i="11" s="1"/>
  <c r="AK229" i="11"/>
  <c r="AA229" i="11"/>
  <c r="AH229" i="11" s="1"/>
  <c r="AK210" i="11"/>
  <c r="AA210" i="11"/>
  <c r="AH210" i="11" s="1"/>
  <c r="AK78" i="11"/>
  <c r="AA78" i="11"/>
  <c r="AH78" i="11" s="1"/>
  <c r="AK111" i="11"/>
  <c r="AA111" i="11"/>
  <c r="AH111" i="11" s="1"/>
  <c r="AK183" i="11"/>
  <c r="AA183" i="11"/>
  <c r="AH183" i="11" s="1"/>
  <c r="AK15" i="11"/>
  <c r="AA15" i="11"/>
  <c r="AH15" i="11" s="1"/>
  <c r="AK173" i="11"/>
  <c r="AA173" i="11"/>
  <c r="AH173" i="11" s="1"/>
  <c r="Z130" i="17"/>
  <c r="AI130" i="17" s="1"/>
  <c r="Z16" i="17"/>
  <c r="AI16" i="17" s="1"/>
  <c r="W190" i="17"/>
  <c r="AH190" i="17" s="1"/>
  <c r="Z166" i="17"/>
  <c r="AI166" i="17" s="1"/>
  <c r="Z216" i="17"/>
  <c r="AI216" i="17" s="1"/>
  <c r="W94" i="17"/>
  <c r="AH94" i="17" s="1"/>
  <c r="W106" i="17"/>
  <c r="AH106" i="17" s="1"/>
  <c r="AE28" i="17"/>
  <c r="Z270" i="17"/>
  <c r="AI270" i="17" s="1"/>
  <c r="W76" i="17"/>
  <c r="AH76" i="17" s="1"/>
  <c r="W222" i="17"/>
  <c r="AH222" i="17" s="1"/>
  <c r="W196" i="17"/>
  <c r="AH196" i="17" s="1"/>
  <c r="Z52" i="17"/>
  <c r="AI52" i="17" s="1"/>
  <c r="W178" i="17"/>
  <c r="AH178" i="17" s="1"/>
  <c r="Z106" i="17"/>
  <c r="AI106" i="17" s="1"/>
  <c r="W130" i="17"/>
  <c r="AH130" i="17" s="1"/>
  <c r="W300" i="17"/>
  <c r="AH300" i="17" s="1"/>
  <c r="W306" i="17"/>
  <c r="AH306" i="17" s="1"/>
  <c r="Z276" i="17"/>
  <c r="AI276" i="17" s="1"/>
  <c r="W172" i="17"/>
  <c r="AH172" i="17" s="1"/>
  <c r="W34" i="17"/>
  <c r="AH34" i="17" s="1"/>
  <c r="W148" i="17"/>
  <c r="AH148" i="17" s="1"/>
  <c r="Z204" i="17"/>
  <c r="AI204" i="17" s="1"/>
  <c r="W276" i="17"/>
  <c r="AH276" i="17" s="1"/>
  <c r="W330" i="17"/>
  <c r="AH330" i="17" s="1"/>
  <c r="W184" i="17"/>
  <c r="AH184" i="17" s="1"/>
  <c r="W58" i="17"/>
  <c r="AH58" i="17" s="1"/>
  <c r="W204" i="17"/>
  <c r="AH204" i="17" s="1"/>
  <c r="Z330" i="17"/>
  <c r="AI330" i="17" s="1"/>
  <c r="Z184" i="17"/>
  <c r="AI184" i="17" s="1"/>
  <c r="Z64" i="17"/>
  <c r="AI64" i="17" s="1"/>
  <c r="AE306" i="17"/>
  <c r="AE178" i="17"/>
  <c r="AE264" i="17"/>
  <c r="AE172" i="17"/>
  <c r="AE318" i="17"/>
  <c r="AE64" i="17"/>
  <c r="AE34" i="17"/>
  <c r="AE330" i="17"/>
  <c r="AE58" i="17"/>
  <c r="AE106" i="17"/>
  <c r="AE324" i="17"/>
  <c r="AE100" i="17"/>
  <c r="AE184" i="17"/>
  <c r="AE94" i="17"/>
  <c r="AE130" i="17"/>
  <c r="AE190" i="17"/>
</calcChain>
</file>

<file path=xl/sharedStrings.xml><?xml version="1.0" encoding="utf-8"?>
<sst xmlns="http://schemas.openxmlformats.org/spreadsheetml/2006/main" count="16032" uniqueCount="1636">
  <si>
    <t>100 game season</t>
  </si>
  <si>
    <t>Lyme Bees</t>
  </si>
  <si>
    <t>BBA</t>
  </si>
  <si>
    <t>BB Rating</t>
  </si>
  <si>
    <t>BB Adjust</t>
  </si>
  <si>
    <t>HRA</t>
  </si>
  <si>
    <t>HR Rating</t>
  </si>
  <si>
    <t>HR Adjust</t>
  </si>
  <si>
    <t>Base</t>
  </si>
  <si>
    <t>H/IP</t>
  </si>
  <si>
    <t>Sum</t>
  </si>
  <si>
    <t>Final</t>
  </si>
  <si>
    <t>Control</t>
  </si>
  <si>
    <t>Power</t>
  </si>
  <si>
    <t>15</t>
  </si>
  <si>
    <t>-11</t>
  </si>
  <si>
    <t>13</t>
  </si>
  <si>
    <t>+52</t>
  </si>
  <si>
    <t>-26</t>
  </si>
  <si>
    <t>5</t>
  </si>
  <si>
    <t>+22</t>
  </si>
  <si>
    <t>14</t>
  </si>
  <si>
    <t>+13</t>
  </si>
  <si>
    <t>+31</t>
  </si>
  <si>
    <t>6</t>
  </si>
  <si>
    <t>-15</t>
  </si>
  <si>
    <t>1</t>
  </si>
  <si>
    <t>+66</t>
  </si>
  <si>
    <t>21</t>
  </si>
  <si>
    <t>-12</t>
  </si>
  <si>
    <t>+14</t>
  </si>
  <si>
    <t>16</t>
  </si>
  <si>
    <t>-43</t>
  </si>
  <si>
    <t>+45</t>
  </si>
  <si>
    <t>9</t>
  </si>
  <si>
    <t>-21</t>
  </si>
  <si>
    <t>+32</t>
  </si>
  <si>
    <t>-25</t>
  </si>
  <si>
    <t>+16</t>
  </si>
  <si>
    <t>10</t>
  </si>
  <si>
    <t>+21</t>
  </si>
  <si>
    <t>-33</t>
  </si>
  <si>
    <t>-31</t>
  </si>
  <si>
    <t>-32</t>
  </si>
  <si>
    <t>-16</t>
  </si>
  <si>
    <t>0</t>
  </si>
  <si>
    <t>-22</t>
  </si>
  <si>
    <t>+15</t>
  </si>
  <si>
    <t>+26</t>
  </si>
  <si>
    <t>+34</t>
  </si>
  <si>
    <t>2</t>
  </si>
  <si>
    <t>-23</t>
  </si>
  <si>
    <t>-36</t>
  </si>
  <si>
    <t>17</t>
  </si>
  <si>
    <t>+36</t>
  </si>
  <si>
    <t>8</t>
  </si>
  <si>
    <t>+12</t>
  </si>
  <si>
    <t>+11</t>
  </si>
  <si>
    <t>+25</t>
  </si>
  <si>
    <t>12</t>
  </si>
  <si>
    <t>4</t>
  </si>
  <si>
    <t>-66</t>
  </si>
  <si>
    <t>+23</t>
  </si>
  <si>
    <t>18</t>
  </si>
  <si>
    <t>-55</t>
  </si>
  <si>
    <t>+24</t>
  </si>
  <si>
    <t>7</t>
  </si>
  <si>
    <t>19</t>
  </si>
  <si>
    <t>11</t>
  </si>
  <si>
    <t>-13</t>
  </si>
  <si>
    <t>-44</t>
  </si>
  <si>
    <t>-14</t>
  </si>
  <si>
    <t>20</t>
  </si>
  <si>
    <t>+46</t>
  </si>
  <si>
    <t>22</t>
  </si>
  <si>
    <t>+43</t>
  </si>
  <si>
    <t>+42</t>
  </si>
  <si>
    <t>-56</t>
  </si>
  <si>
    <t>3</t>
  </si>
  <si>
    <t>Control Adjustments</t>
  </si>
  <si>
    <t>Power Adjustments</t>
  </si>
  <si>
    <t>Base&lt;4</t>
  </si>
  <si>
    <t>25</t>
  </si>
  <si>
    <t>OOTL IP</t>
  </si>
  <si>
    <t>OOTL GS</t>
  </si>
  <si>
    <t>W</t>
  </si>
  <si>
    <t>L</t>
  </si>
  <si>
    <t>ERA</t>
  </si>
  <si>
    <t>GS</t>
  </si>
  <si>
    <t>CG</t>
  </si>
  <si>
    <t>SV</t>
  </si>
  <si>
    <t>IP</t>
  </si>
  <si>
    <t>H</t>
  </si>
  <si>
    <t>R</t>
  </si>
  <si>
    <t>ER</t>
  </si>
  <si>
    <t>HR</t>
  </si>
  <si>
    <t>BB</t>
  </si>
  <si>
    <t>SO</t>
  </si>
  <si>
    <t>IBB</t>
  </si>
  <si>
    <t>OOTL G</t>
  </si>
  <si>
    <t xml:space="preserve">Birds of Pray </t>
  </si>
  <si>
    <t>Eliminators</t>
  </si>
  <si>
    <t>Speakers</t>
  </si>
  <si>
    <t>Lemonheads</t>
  </si>
  <si>
    <t>The Plague</t>
  </si>
  <si>
    <t>RK</t>
  </si>
  <si>
    <t>Player</t>
  </si>
  <si>
    <t>ERA▲</t>
  </si>
  <si>
    <t>G</t>
  </si>
  <si>
    <t>TBF</t>
  </si>
  <si>
    <t>Villarreal, B</t>
  </si>
  <si>
    <t>Zagurski, M</t>
  </si>
  <si>
    <t>League</t>
  </si>
  <si>
    <t>Los Angeles Angels</t>
  </si>
  <si>
    <t>Tampa Bay Rays</t>
  </si>
  <si>
    <t>Oakland Athletics</t>
  </si>
  <si>
    <t>New York Yankees</t>
  </si>
  <si>
    <t>Texas Rangers</t>
  </si>
  <si>
    <t>Seattle Mariners</t>
  </si>
  <si>
    <t>Detroit Tigers</t>
  </si>
  <si>
    <t>Chicago White Sox</t>
  </si>
  <si>
    <t>Boston Red Sox</t>
  </si>
  <si>
    <t>Cleveland Indians</t>
  </si>
  <si>
    <t>Toronto Blue Jays</t>
  </si>
  <si>
    <t>Kansas City Royals</t>
  </si>
  <si>
    <t>Minnesota Twins</t>
  </si>
  <si>
    <t>Baltimore Orioles</t>
  </si>
  <si>
    <t>Philadelphia Phillies</t>
  </si>
  <si>
    <t>San Francisco Giants</t>
  </si>
  <si>
    <t>San Diego Padres</t>
  </si>
  <si>
    <t>Atlanta Braves</t>
  </si>
  <si>
    <t>Los Angeles Dodgers</t>
  </si>
  <si>
    <t>Washington Nationals</t>
  </si>
  <si>
    <t>Milwaukee Brewers</t>
  </si>
  <si>
    <t>St. Louis Cardinals</t>
  </si>
  <si>
    <t>Arizona Diamondbacks</t>
  </si>
  <si>
    <t>Pittsburgh Pirates</t>
  </si>
  <si>
    <t>Cincinnati Reds</t>
  </si>
  <si>
    <t>New York Mets</t>
  </si>
  <si>
    <t>Chicago Cubs</t>
  </si>
  <si>
    <t>Colorado Rockies</t>
  </si>
  <si>
    <t>Houston Astros</t>
  </si>
  <si>
    <t>27</t>
  </si>
  <si>
    <t>LAA</t>
  </si>
  <si>
    <t>TB</t>
  </si>
  <si>
    <t>BAL</t>
  </si>
  <si>
    <t>BOS</t>
  </si>
  <si>
    <t>CWS</t>
  </si>
  <si>
    <t>CLE</t>
  </si>
  <si>
    <t>DET</t>
  </si>
  <si>
    <t>KC</t>
  </si>
  <si>
    <t>MIN</t>
  </si>
  <si>
    <t>NYY</t>
  </si>
  <si>
    <t>OAK</t>
  </si>
  <si>
    <t>SEA</t>
  </si>
  <si>
    <t>TEX</t>
  </si>
  <si>
    <t>TOR</t>
  </si>
  <si>
    <t>Team</t>
  </si>
  <si>
    <t>SVO</t>
  </si>
  <si>
    <t>ARI</t>
  </si>
  <si>
    <t>ATL</t>
  </si>
  <si>
    <t>CHC</t>
  </si>
  <si>
    <t>CIN</t>
  </si>
  <si>
    <t>COL</t>
  </si>
  <si>
    <t>HOU</t>
  </si>
  <si>
    <t>LAD</t>
  </si>
  <si>
    <t>MIL</t>
  </si>
  <si>
    <t>NYM</t>
  </si>
  <si>
    <t>PHI</t>
  </si>
  <si>
    <t>PIT</t>
  </si>
  <si>
    <t>SD</t>
  </si>
  <si>
    <t>SF</t>
  </si>
  <si>
    <t>STL</t>
  </si>
  <si>
    <t>WSH</t>
  </si>
  <si>
    <t>AL</t>
  </si>
  <si>
    <t>LHR</t>
  </si>
  <si>
    <t>L2B</t>
  </si>
  <si>
    <t>LTBB</t>
  </si>
  <si>
    <t>LTIBB</t>
  </si>
  <si>
    <t>LBF</t>
  </si>
  <si>
    <t xml:space="preserve">IP </t>
  </si>
  <si>
    <t>League ERA</t>
  </si>
  <si>
    <t>NL</t>
  </si>
  <si>
    <t>AHR</t>
  </si>
  <si>
    <t>A2B</t>
  </si>
  <si>
    <t>ABB</t>
  </si>
  <si>
    <t>2BC</t>
  </si>
  <si>
    <t>Asian Tsunamis</t>
  </si>
  <si>
    <t>McCann</t>
  </si>
  <si>
    <t>Mauer</t>
  </si>
  <si>
    <t>Holliday</t>
  </si>
  <si>
    <t>OOTL BF</t>
  </si>
  <si>
    <t xml:space="preserve">Pitchers Carded by APBA </t>
  </si>
  <si>
    <t>E. Aybar</t>
  </si>
  <si>
    <t>Greinke</t>
  </si>
  <si>
    <t>Shooting Stars II</t>
  </si>
  <si>
    <t>Cuddyer</t>
  </si>
  <si>
    <t>Cueto</t>
  </si>
  <si>
    <t>Latos</t>
  </si>
  <si>
    <t>Cashner</t>
  </si>
  <si>
    <t>Hamels</t>
  </si>
  <si>
    <t>J. Reyes</t>
  </si>
  <si>
    <t>Ackley</t>
  </si>
  <si>
    <t>Kershaw</t>
  </si>
  <si>
    <t>Britton</t>
  </si>
  <si>
    <t>Hanigan</t>
  </si>
  <si>
    <t>H. Kendrick **</t>
  </si>
  <si>
    <t>Verlander</t>
  </si>
  <si>
    <t>L▼</t>
  </si>
  <si>
    <t>G▼</t>
  </si>
  <si>
    <t>GS▼</t>
  </si>
  <si>
    <t>SV▼</t>
  </si>
  <si>
    <t>SVO▼</t>
  </si>
  <si>
    <t>IP▼</t>
  </si>
  <si>
    <t>H▼</t>
  </si>
  <si>
    <t>R▼</t>
  </si>
  <si>
    <t>ER▼</t>
  </si>
  <si>
    <t>HR▼</t>
  </si>
  <si>
    <t>BB▼</t>
  </si>
  <si>
    <t>SO▼</t>
  </si>
  <si>
    <t>AVG▲</t>
  </si>
  <si>
    <t>WHIP▲</t>
  </si>
  <si>
    <t>CG▼</t>
  </si>
  <si>
    <t>SHO▼</t>
  </si>
  <si>
    <t>HB▼</t>
  </si>
  <si>
    <t>IBB▼</t>
  </si>
  <si>
    <t>GF▼</t>
  </si>
  <si>
    <t>HLD▼</t>
  </si>
  <si>
    <t>GIDP▼</t>
  </si>
  <si>
    <t>GO▼</t>
  </si>
  <si>
    <t>AO▼</t>
  </si>
  <si>
    <t>WP▼</t>
  </si>
  <si>
    <t>BK▼</t>
  </si>
  <si>
    <t>SB▼</t>
  </si>
  <si>
    <t>CS▼</t>
  </si>
  <si>
    <t>PK▼</t>
  </si>
  <si>
    <t>TBF▼</t>
  </si>
  <si>
    <t>NP▼</t>
  </si>
  <si>
    <t>WPCT▼</t>
  </si>
  <si>
    <t>GO_AO▼</t>
  </si>
  <si>
    <t>OBP▲</t>
  </si>
  <si>
    <t>SLG▼</t>
  </si>
  <si>
    <t>OPS▲</t>
  </si>
  <si>
    <t>-</t>
  </si>
  <si>
    <t>MIA</t>
  </si>
  <si>
    <t>Miami Marlins</t>
  </si>
  <si>
    <t>hou</t>
  </si>
  <si>
    <t>Compatibility Report for 2012PitchingStatsbyTeam-90.xls</t>
  </si>
  <si>
    <t>Run on 10/13/2012 12:05</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</si>
  <si>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</si>
  <si>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</si>
  <si>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</si>
  <si>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</si>
  <si>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formulas in this workbook are linked to other workbooks that are closed. When these formulas are recalculated in earlier versions of Excel without opening the linked workbooks, characters beyond the 255-character limit cannot be returned.</t>
  </si>
  <si>
    <t>AL2011'!W26:W32</t>
  </si>
  <si>
    <t>AL2011'!Z26:Z32</t>
  </si>
  <si>
    <t>AL2011'!AB26:AB32</t>
  </si>
  <si>
    <t>AL2011'!AJ26:AM32</t>
  </si>
  <si>
    <t>AL2011'!W34:W35</t>
  </si>
  <si>
    <t>AL2011'!Z34:Z35</t>
  </si>
  <si>
    <t>AL2011'!AB34:AB35</t>
  </si>
  <si>
    <t>AL2011'!AJ34:AM35</t>
  </si>
  <si>
    <t>AL2011'!W312</t>
  </si>
  <si>
    <t>AL2011'!Z312</t>
  </si>
  <si>
    <t>AL2011'!AB312</t>
  </si>
  <si>
    <t>AL2011'!AJ312:AM312</t>
  </si>
  <si>
    <t>AL2011'!W318</t>
  </si>
  <si>
    <t>AL2011'!Z318</t>
  </si>
  <si>
    <t>AL2011'!AB318</t>
  </si>
  <si>
    <t>AL2011'!AJ318:AM318</t>
  </si>
  <si>
    <t>Excel 97-2003</t>
  </si>
  <si>
    <t>tb</t>
  </si>
  <si>
    <t>oak</t>
  </si>
  <si>
    <t>det</t>
  </si>
  <si>
    <t>sea</t>
  </si>
  <si>
    <t>nyy</t>
  </si>
  <si>
    <t>bal</t>
  </si>
  <si>
    <t>tex</t>
  </si>
  <si>
    <t>ana</t>
  </si>
  <si>
    <t>cws</t>
  </si>
  <si>
    <t>kc</t>
  </si>
  <si>
    <t>tor</t>
  </si>
  <si>
    <t>bos</t>
  </si>
  <si>
    <t>min</t>
  </si>
  <si>
    <t>cle</t>
  </si>
  <si>
    <t>AB▼</t>
  </si>
  <si>
    <t>2B▼</t>
  </si>
  <si>
    <t>3B▼</t>
  </si>
  <si>
    <t>RBI▼</t>
  </si>
  <si>
    <t>AVG▼</t>
  </si>
  <si>
    <t>OBP▼</t>
  </si>
  <si>
    <t>OPS▼</t>
  </si>
  <si>
    <t>HBP▼</t>
  </si>
  <si>
    <t>SAC▼</t>
  </si>
  <si>
    <t>SF▼</t>
  </si>
  <si>
    <t>TB▼</t>
  </si>
  <si>
    <t>XBH▼</t>
  </si>
  <si>
    <t>GDP▼</t>
  </si>
  <si>
    <t>PA▼</t>
  </si>
  <si>
    <t>Prado</t>
  </si>
  <si>
    <t>Heyward</t>
  </si>
  <si>
    <t>Rizzo</t>
  </si>
  <si>
    <t>Frazier</t>
  </si>
  <si>
    <t>Tulowitzki</t>
  </si>
  <si>
    <t>Bailey</t>
  </si>
  <si>
    <t>Victorino</t>
  </si>
  <si>
    <t>Lucroy</t>
  </si>
  <si>
    <t>Segura</t>
  </si>
  <si>
    <t>Grandal</t>
  </si>
  <si>
    <t>Lohse</t>
  </si>
  <si>
    <t>Zimmermann</t>
  </si>
  <si>
    <t>Strop</t>
  </si>
  <si>
    <t>O'Day</t>
  </si>
  <si>
    <t>Span</t>
  </si>
  <si>
    <t>Masterson</t>
  </si>
  <si>
    <t>Scherzer</t>
  </si>
  <si>
    <t>Ogando</t>
  </si>
  <si>
    <t>ShO</t>
  </si>
  <si>
    <t>24</t>
  </si>
  <si>
    <t>IP Roundup</t>
  </si>
  <si>
    <t> Ziegler, B</t>
  </si>
  <si>
    <t> Harris, W</t>
  </si>
  <si>
    <t> Collmenter, J</t>
  </si>
  <si>
    <t> Miley, W</t>
  </si>
  <si>
    <t> Cahill, T</t>
  </si>
  <si>
    <t> Roe, C</t>
  </si>
  <si>
    <t> Delgado, R</t>
  </si>
  <si>
    <t> McCarthy, B</t>
  </si>
  <si>
    <t> Sipp, T</t>
  </si>
  <si>
    <t> Kennedy, I</t>
  </si>
  <si>
    <t> Thatcher, J</t>
  </si>
  <si>
    <t> Hale, D</t>
  </si>
  <si>
    <t> Kimbrel, C</t>
  </si>
  <si>
    <t> Avilan, L</t>
  </si>
  <si>
    <t> Carpenter, D</t>
  </si>
  <si>
    <t> O'Flaherty, E</t>
  </si>
  <si>
    <t> Wood, A</t>
  </si>
  <si>
    <t> Teheran, J</t>
  </si>
  <si>
    <t> Downs, S</t>
  </si>
  <si>
    <t> Martinez, C</t>
  </si>
  <si>
    <t> Rasmus, C</t>
  </si>
  <si>
    <t> Grimm, J</t>
  </si>
  <si>
    <t> Strop, P</t>
  </si>
  <si>
    <t> Wood, T</t>
  </si>
  <si>
    <t> Garza, M</t>
  </si>
  <si>
    <t> Feldman, S</t>
  </si>
  <si>
    <t> Russell, J</t>
  </si>
  <si>
    <t> Arrieta, J</t>
  </si>
  <si>
    <t> Rusin, C</t>
  </si>
  <si>
    <t> Villanueva, C</t>
  </si>
  <si>
    <t> Samardzija, J</t>
  </si>
  <si>
    <t> Rondon, H</t>
  </si>
  <si>
    <t> Jackson, E</t>
  </si>
  <si>
    <t> Putnam, Z</t>
  </si>
  <si>
    <t> Duke, Z</t>
  </si>
  <si>
    <t> Chapman, A</t>
  </si>
  <si>
    <t> Cueto, J</t>
  </si>
  <si>
    <t> Hoover, J</t>
  </si>
  <si>
    <t> Simon, A</t>
  </si>
  <si>
    <t> Cingrani, T</t>
  </si>
  <si>
    <t> Latos, M</t>
  </si>
  <si>
    <t> Leake, M</t>
  </si>
  <si>
    <t> Bailey, H</t>
  </si>
  <si>
    <t> Broxton, J</t>
  </si>
  <si>
    <t> Ottavino, A</t>
  </si>
  <si>
    <t> Chacin, J</t>
  </si>
  <si>
    <t> De La Rosa, J</t>
  </si>
  <si>
    <t> Belisle, M</t>
  </si>
  <si>
    <t> Outman, J</t>
  </si>
  <si>
    <t> Scahill, R</t>
  </si>
  <si>
    <t> Nicasio, J</t>
  </si>
  <si>
    <t> Bettis, C</t>
  </si>
  <si>
    <t> Pomeranz, D</t>
  </si>
  <si>
    <t> Manship, J</t>
  </si>
  <si>
    <t> McHugh, C</t>
  </si>
  <si>
    <t> Kershaw, C</t>
  </si>
  <si>
    <t> Jansen, K</t>
  </si>
  <si>
    <t> Howell, J</t>
  </si>
  <si>
    <t> Dominguez, J</t>
  </si>
  <si>
    <t> Greinke, Z</t>
  </si>
  <si>
    <t> Nolasco, R</t>
  </si>
  <si>
    <t> Volquez, E</t>
  </si>
  <si>
    <t> Capuano, C</t>
  </si>
  <si>
    <t> Guerra, J</t>
  </si>
  <si>
    <t> Tolleson, S</t>
  </si>
  <si>
    <t> Fernandez, J</t>
  </si>
  <si>
    <t> Cishek, S</t>
  </si>
  <si>
    <t> Qualls, C</t>
  </si>
  <si>
    <t> Dunn, M</t>
  </si>
  <si>
    <t> Caminero, A</t>
  </si>
  <si>
    <t> Webb, R</t>
  </si>
  <si>
    <t> Hand, B</t>
  </si>
  <si>
    <t> Ramos, A</t>
  </si>
  <si>
    <t> Eovaldi, N</t>
  </si>
  <si>
    <t> Turner, J</t>
  </si>
  <si>
    <t> Jennings, D</t>
  </si>
  <si>
    <t> Koehler, T</t>
  </si>
  <si>
    <t> Dyson, S</t>
  </si>
  <si>
    <t> Hatcher, C</t>
  </si>
  <si>
    <t> Nelson, J</t>
  </si>
  <si>
    <t> Rodriguez, F</t>
  </si>
  <si>
    <t> Thornburg, T</t>
  </si>
  <si>
    <t> Kintzler, B</t>
  </si>
  <si>
    <t> Lohse, K</t>
  </si>
  <si>
    <t> Estrada, M</t>
  </si>
  <si>
    <t> Gorzelanny, T</t>
  </si>
  <si>
    <t> Gallardo, Y</t>
  </si>
  <si>
    <t> Peralta, W</t>
  </si>
  <si>
    <t> Axford, J</t>
  </si>
  <si>
    <t> Gonzalez, M</t>
  </si>
  <si>
    <t> Fiers, M</t>
  </si>
  <si>
    <t> Parnell, B</t>
  </si>
  <si>
    <t> Hawkins, L</t>
  </si>
  <si>
    <t> Torres, C</t>
  </si>
  <si>
    <t> Gee, D</t>
  </si>
  <si>
    <t> Niese, J</t>
  </si>
  <si>
    <t> Germen, G</t>
  </si>
  <si>
    <t> Familia, J</t>
  </si>
  <si>
    <t> Bastardo, A</t>
  </si>
  <si>
    <t> Diekman, J</t>
  </si>
  <si>
    <t> Papelbon, J</t>
  </si>
  <si>
    <t> Hamels, C</t>
  </si>
  <si>
    <t> Jimenez, C</t>
  </si>
  <si>
    <t> Garcia, L</t>
  </si>
  <si>
    <t> Ramirez, J</t>
  </si>
  <si>
    <t> Melancon, M</t>
  </si>
  <si>
    <t> Wilson, J</t>
  </si>
  <si>
    <t> Watson, T</t>
  </si>
  <si>
    <t> Grilli, J</t>
  </si>
  <si>
    <t> Mazzaro, V</t>
  </si>
  <si>
    <t> Liriano, F</t>
  </si>
  <si>
    <t> Cole, G</t>
  </si>
  <si>
    <t> Morton, C</t>
  </si>
  <si>
    <t> Gomez, J</t>
  </si>
  <si>
    <t> Morris, B</t>
  </si>
  <si>
    <t> Locke, J</t>
  </si>
  <si>
    <t> Hughes, J</t>
  </si>
  <si>
    <t> Layne, T</t>
  </si>
  <si>
    <t> Vincent, N</t>
  </si>
  <si>
    <t> Street, H</t>
  </si>
  <si>
    <t> Gregerson, L</t>
  </si>
  <si>
    <t> Boxberger, B</t>
  </si>
  <si>
    <t> Cashner, A</t>
  </si>
  <si>
    <t> Ross, T</t>
  </si>
  <si>
    <t> Brach, B</t>
  </si>
  <si>
    <t> O'Sullivan, S</t>
  </si>
  <si>
    <t> Erlin, R</t>
  </si>
  <si>
    <t> Hembree, H</t>
  </si>
  <si>
    <t> Lopez, J</t>
  </si>
  <si>
    <t> Casilla, S</t>
  </si>
  <si>
    <t> Machi, J</t>
  </si>
  <si>
    <t> Romo, S</t>
  </si>
  <si>
    <t> Bumgarner, M</t>
  </si>
  <si>
    <t> Petit, Y</t>
  </si>
  <si>
    <t> Cain, M</t>
  </si>
  <si>
    <t> Lincecum, T</t>
  </si>
  <si>
    <t> Kontos, G</t>
  </si>
  <si>
    <t> Vogelsong, R</t>
  </si>
  <si>
    <t> Surkamp, E</t>
  </si>
  <si>
    <t> Siegrist, K</t>
  </si>
  <si>
    <t> Freeman, S</t>
  </si>
  <si>
    <t> Maness, S</t>
  </si>
  <si>
    <t> Rosenthal, T</t>
  </si>
  <si>
    <t> Kelly, J</t>
  </si>
  <si>
    <t> Mujica, E</t>
  </si>
  <si>
    <t> Wacha, M</t>
  </si>
  <si>
    <t> Wainwright, A</t>
  </si>
  <si>
    <t> Miller, S</t>
  </si>
  <si>
    <t> Garcia, J</t>
  </si>
  <si>
    <t> Salas, F</t>
  </si>
  <si>
    <t> Lyons, T</t>
  </si>
  <si>
    <t> Rzepczynski, M</t>
  </si>
  <si>
    <t> Cedeno, X</t>
  </si>
  <si>
    <t> Roark, T</t>
  </si>
  <si>
    <t> Clippard, T</t>
  </si>
  <si>
    <t> Strasburg, S</t>
  </si>
  <si>
    <t> Zimmermann, J</t>
  </si>
  <si>
    <t> Abad, F</t>
  </si>
  <si>
    <t> Gonzalez, G</t>
  </si>
  <si>
    <t> Krol, I</t>
  </si>
  <si>
    <t> Detwiler, R</t>
  </si>
  <si>
    <t> Storen, D</t>
  </si>
  <si>
    <t> Haren, D</t>
  </si>
  <si>
    <t> Mattheus, R</t>
  </si>
  <si>
    <t> Karns, N</t>
  </si>
  <si>
    <t> O'Day, D</t>
  </si>
  <si>
    <t> Hunter, T</t>
  </si>
  <si>
    <t> Johnson, J</t>
  </si>
  <si>
    <t> Matusz, B</t>
  </si>
  <si>
    <t> Tillman, C</t>
  </si>
  <si>
    <t> Chen, W</t>
  </si>
  <si>
    <t> McFarland, T</t>
  </si>
  <si>
    <t> Norris, B</t>
  </si>
  <si>
    <t> Britton, Z</t>
  </si>
  <si>
    <t> Hammel, J</t>
  </si>
  <si>
    <t> Gausman, K</t>
  </si>
  <si>
    <t> Uehara, K</t>
  </si>
  <si>
    <t> Buchholz, C</t>
  </si>
  <si>
    <t> Breslow, C</t>
  </si>
  <si>
    <t> Miller, A</t>
  </si>
  <si>
    <t> Tazawa, J</t>
  </si>
  <si>
    <t> Lackey, J</t>
  </si>
  <si>
    <t> Thornton, M</t>
  </si>
  <si>
    <t> Lester, J</t>
  </si>
  <si>
    <t> Peavy, J</t>
  </si>
  <si>
    <t> Doubront, F</t>
  </si>
  <si>
    <t> Morales, F</t>
  </si>
  <si>
    <t> Wilson, A</t>
  </si>
  <si>
    <t> Wright, S</t>
  </si>
  <si>
    <t> De La Rosa, R</t>
  </si>
  <si>
    <t> Sale, C</t>
  </si>
  <si>
    <t> Webb, D</t>
  </si>
  <si>
    <t> Johnson, E</t>
  </si>
  <si>
    <t> Petricka, J</t>
  </si>
  <si>
    <t> Quintana, J</t>
  </si>
  <si>
    <t> Santiago, H</t>
  </si>
  <si>
    <t> Reed, A</t>
  </si>
  <si>
    <t> Jones, N</t>
  </si>
  <si>
    <t> Danks, J</t>
  </si>
  <si>
    <t> Floyd, G</t>
  </si>
  <si>
    <t> Tomlin, J</t>
  </si>
  <si>
    <t> Smith, J</t>
  </si>
  <si>
    <t> Allen, C</t>
  </si>
  <si>
    <t> Salazar, D</t>
  </si>
  <si>
    <t> Albers, M</t>
  </si>
  <si>
    <t> Shaw, B</t>
  </si>
  <si>
    <t> Jimenez, U</t>
  </si>
  <si>
    <t> Masterson, J</t>
  </si>
  <si>
    <t> McAllister, Z</t>
  </si>
  <si>
    <t> Kluber, C</t>
  </si>
  <si>
    <t> Kazmir, S</t>
  </si>
  <si>
    <t> Bauer, T</t>
  </si>
  <si>
    <t> Hill, R</t>
  </si>
  <si>
    <t> Carrasco, C</t>
  </si>
  <si>
    <t> Huff, D</t>
  </si>
  <si>
    <t> Benoit, J</t>
  </si>
  <si>
    <t> Smyly, D</t>
  </si>
  <si>
    <t> Sanchez, A</t>
  </si>
  <si>
    <t> Scherzer, M</t>
  </si>
  <si>
    <t> Veras, J</t>
  </si>
  <si>
    <t> Verlander, J</t>
  </si>
  <si>
    <t> Fister, D</t>
  </si>
  <si>
    <t> Porcello, R</t>
  </si>
  <si>
    <t> Alburquerque, A</t>
  </si>
  <si>
    <t> Coke, P</t>
  </si>
  <si>
    <t> Alvarez, J</t>
  </si>
  <si>
    <t> Chapman, K</t>
  </si>
  <si>
    <t> Cosart, J</t>
  </si>
  <si>
    <t> Oberholtzer, B</t>
  </si>
  <si>
    <t> Wright, W</t>
  </si>
  <si>
    <t> Fields, J</t>
  </si>
  <si>
    <t> Keuchel, D</t>
  </si>
  <si>
    <t> Peacock, B</t>
  </si>
  <si>
    <t> Lyles, J</t>
  </si>
  <si>
    <t> Coleman, L</t>
  </si>
  <si>
    <t> Duffy, D</t>
  </si>
  <si>
    <t> Shields, J</t>
  </si>
  <si>
    <t> Smith, W</t>
  </si>
  <si>
    <t> Santana, E</t>
  </si>
  <si>
    <t> Ventura, Y</t>
  </si>
  <si>
    <t> Herrera, K</t>
  </si>
  <si>
    <t> Davis, W</t>
  </si>
  <si>
    <t> Shoemaker, M</t>
  </si>
  <si>
    <t> Weaver, J</t>
  </si>
  <si>
    <t> Frieri, E</t>
  </si>
  <si>
    <t> Vargas, J</t>
  </si>
  <si>
    <t> Richards, G</t>
  </si>
  <si>
    <t> Jepsen, K</t>
  </si>
  <si>
    <t> Williams, J</t>
  </si>
  <si>
    <t> Lowe, M</t>
  </si>
  <si>
    <t> Tonkin, M</t>
  </si>
  <si>
    <t> Perkins, G</t>
  </si>
  <si>
    <t> Swarzak, A</t>
  </si>
  <si>
    <t> Deduno, S</t>
  </si>
  <si>
    <t> Pressly, R</t>
  </si>
  <si>
    <t> Fien, C</t>
  </si>
  <si>
    <t> Duensing, B</t>
  </si>
  <si>
    <t> Correia, K</t>
  </si>
  <si>
    <t> Pelfrey, M</t>
  </si>
  <si>
    <t> Gibson, K</t>
  </si>
  <si>
    <t> Hendriks, L</t>
  </si>
  <si>
    <t> Worley, V</t>
  </si>
  <si>
    <t> Robertson, D</t>
  </si>
  <si>
    <t> Nuno, V</t>
  </si>
  <si>
    <t> Nova, I</t>
  </si>
  <si>
    <t> Logan, B</t>
  </si>
  <si>
    <t> Warren, A</t>
  </si>
  <si>
    <t> Kelley, S</t>
  </si>
  <si>
    <t> Sabathia, C</t>
  </si>
  <si>
    <t> Chamberlain, J</t>
  </si>
  <si>
    <t> Phelps, D</t>
  </si>
  <si>
    <t> Hughes, P</t>
  </si>
  <si>
    <t> Betances, D</t>
  </si>
  <si>
    <t> Miller, J</t>
  </si>
  <si>
    <t> Otero, D</t>
  </si>
  <si>
    <t> Colon, B</t>
  </si>
  <si>
    <t> Gray, S</t>
  </si>
  <si>
    <t> Doolittle, S</t>
  </si>
  <si>
    <t> Blevins, J</t>
  </si>
  <si>
    <t> Neshek, P</t>
  </si>
  <si>
    <t> Chavez, J</t>
  </si>
  <si>
    <t> Straily, D</t>
  </si>
  <si>
    <t> Milone, T</t>
  </si>
  <si>
    <t> Scribner, E</t>
  </si>
  <si>
    <t> Anderson, B</t>
  </si>
  <si>
    <t> Paxton, J</t>
  </si>
  <si>
    <t> Iwakuma, H</t>
  </si>
  <si>
    <t> Hernandez, F</t>
  </si>
  <si>
    <t> Walker, T</t>
  </si>
  <si>
    <t> Perez, O</t>
  </si>
  <si>
    <t> Wilhelmsen, T</t>
  </si>
  <si>
    <t> Farquhar, D</t>
  </si>
  <si>
    <t> Ramirez, E</t>
  </si>
  <si>
    <t> Maurer, B</t>
  </si>
  <si>
    <t> Noesi, H</t>
  </si>
  <si>
    <t> Jeffress, J</t>
  </si>
  <si>
    <t> McGowan, D</t>
  </si>
  <si>
    <t> Loup, A</t>
  </si>
  <si>
    <t> Cecil, B</t>
  </si>
  <si>
    <t> Delabar, S</t>
  </si>
  <si>
    <t> Dickey, R</t>
  </si>
  <si>
    <t> Happ, J</t>
  </si>
  <si>
    <t> Rogers, E</t>
  </si>
  <si>
    <t> Morrow, B</t>
  </si>
  <si>
    <t> Drabek, K</t>
  </si>
  <si>
    <t> Colome, A</t>
  </si>
  <si>
    <t> Archer, C</t>
  </si>
  <si>
    <t> Moore, M</t>
  </si>
  <si>
    <t> Price, D</t>
  </si>
  <si>
    <t> Rodney, F</t>
  </si>
  <si>
    <t> Peralta, J</t>
  </si>
  <si>
    <t> Odorizzi, J</t>
  </si>
  <si>
    <t> McGee, J</t>
  </si>
  <si>
    <t> Ramos, C</t>
  </si>
  <si>
    <t> Hernandez, R</t>
  </si>
  <si>
    <t> Hellickson, J</t>
  </si>
  <si>
    <t> Feliz, N</t>
  </si>
  <si>
    <t> Cotts, N</t>
  </si>
  <si>
    <t> Nathan, J</t>
  </si>
  <si>
    <t> Scheppers, T</t>
  </si>
  <si>
    <t> Frasor, J</t>
  </si>
  <si>
    <t> Ogando, A</t>
  </si>
  <si>
    <t> Holland, D</t>
  </si>
  <si>
    <t> Perez, M</t>
  </si>
  <si>
    <t> Soria, J</t>
  </si>
  <si>
    <t>Arrogant Bastards</t>
  </si>
  <si>
    <t>A. Jackson</t>
  </si>
  <si>
    <t>W. Ramos</t>
  </si>
  <si>
    <t>E. Young</t>
  </si>
  <si>
    <t>Howard **</t>
  </si>
  <si>
    <t>Utley **</t>
  </si>
  <si>
    <t>Jimenez **</t>
  </si>
  <si>
    <t>Profar</t>
  </si>
  <si>
    <t>Gyorko</t>
  </si>
  <si>
    <t>B. Hamilton</t>
  </si>
  <si>
    <t>Zunino</t>
  </si>
  <si>
    <t>J. Kelly</t>
  </si>
  <si>
    <t>Unhinged Wahoos</t>
  </si>
  <si>
    <t>Bauer</t>
  </si>
  <si>
    <t>Devil Dogs</t>
  </si>
  <si>
    <t>Skaggs</t>
  </si>
  <si>
    <t>Ziegler **</t>
  </si>
  <si>
    <t>H. Ramirez</t>
  </si>
  <si>
    <t>T. d'Arnaud</t>
  </si>
  <si>
    <t>D. Wright</t>
  </si>
  <si>
    <t>WAS</t>
  </si>
  <si>
    <t>Rodriguez, H</t>
  </si>
  <si>
    <t>Weber, T</t>
  </si>
  <si>
    <t>23</t>
  </si>
  <si>
    <t>Instructions for applying the pitching formula to OOTL</t>
  </si>
  <si>
    <t>Paste each NL team to NLRaw worksheet.</t>
  </si>
  <si>
    <t>Paste each AL team to ALRaw worksheet.</t>
  </si>
  <si>
    <t>Copy previous regular season AL Team hitting stats (with headers) from mlb.com.</t>
  </si>
  <si>
    <t>Copy previous regular season AL Team pitching stats (with headers) from mlb.com.</t>
  </si>
  <si>
    <t>Convert AL Team IP (column L) from .1 &amp; .2 to .33 &amp; .67, respectively.</t>
  </si>
  <si>
    <t>Below column G (ERA), divide sum column O*9 by sum column L. Formula bar should look like this: =(O419*9)/L419 (where '419' represents whatever row holds the sums).</t>
  </si>
  <si>
    <t>Copy previous regular season NL Team pitching stats (with headers) from mlb.com.</t>
  </si>
  <si>
    <t>Copy previous regular season NL Team hitting stats (with headers) from mlb.com.</t>
  </si>
  <si>
    <t>Convert NL Team IP (column L) from .1 &amp; .2 to .33 &amp; .67, respectively.</t>
  </si>
  <si>
    <t>Stage 1 - Copy stats</t>
  </si>
  <si>
    <t>Stage 2 - Copy pitchers</t>
  </si>
  <si>
    <t>Copy column A to column AF.</t>
  </si>
  <si>
    <t>Column Z represents each carded pitcher's Power rating. Use the chart on PAdj worksheet to apply each matching Grade Adjustment calculation into Column AA. (All positive ratings will result in a negative adjustment and vice versa.)</t>
  </si>
  <si>
    <t>Column W represents each carded pitcher's Control rating. Use the chart on CAdj worksheet to apply each matching Grade Adjustment calculation into Column Y. (All positive ratings will result in a negative adjustment and vice versa.)</t>
  </si>
  <si>
    <t>Stage 3 - Apply Control &amp; Power</t>
  </si>
  <si>
    <t>Stage 4 - Compute Carded Pitcher Grades</t>
  </si>
  <si>
    <t>Once Control &amp; Power Grade Adjustments have been applied, Columns AB-AE auto-calculate.</t>
  </si>
  <si>
    <t>Each carded pitcher's raw grade displays in Column AE.</t>
  </si>
  <si>
    <t xml:space="preserve">If Column AE result is 0.00 to 7.99, ADD .50; </t>
  </si>
  <si>
    <t>If result is 8.00 to 12.49, ADD .33;</t>
  </si>
  <si>
    <t>If result is 12.50 or greater, add nothing.</t>
  </si>
  <si>
    <t>Round result to the nearest whole number. Type this final OOTL grade in Column AG.</t>
  </si>
  <si>
    <t>Stage 5 - Convert Control &amp; Power Ratings to Dice Rolls</t>
  </si>
  <si>
    <r>
      <t xml:space="preserve">11 –  </t>
    </r>
    <r>
      <rPr>
        <b/>
        <sz val="14"/>
        <color rgb="FF000000"/>
        <rFont val="Times New Roman"/>
        <family val="1"/>
      </rPr>
      <t xml:space="preserve">  </t>
    </r>
    <r>
      <rPr>
        <b/>
        <sz val="14"/>
        <color rgb="FFFF6600"/>
        <rFont val="Times New Roman"/>
        <family val="1"/>
      </rPr>
      <t>1</t>
    </r>
  </si>
  <si>
    <r>
      <t xml:space="preserve">31 –  </t>
    </r>
    <r>
      <rPr>
        <b/>
        <sz val="14"/>
        <color rgb="FFFF6600"/>
        <rFont val="Times New Roman"/>
        <family val="1"/>
      </rPr>
      <t>13</t>
    </r>
  </si>
  <si>
    <r>
      <t xml:space="preserve">51 –  </t>
    </r>
    <r>
      <rPr>
        <b/>
        <sz val="14"/>
        <color rgb="FFFF6600"/>
        <rFont val="Times New Roman"/>
        <family val="1"/>
      </rPr>
      <t>25</t>
    </r>
  </si>
  <si>
    <r>
      <t xml:space="preserve">12 –  </t>
    </r>
    <r>
      <rPr>
        <b/>
        <sz val="14"/>
        <color rgb="FF000000"/>
        <rFont val="Times New Roman"/>
        <family val="1"/>
      </rPr>
      <t xml:space="preserve">  </t>
    </r>
    <r>
      <rPr>
        <b/>
        <sz val="14"/>
        <color rgb="FFFF6600"/>
        <rFont val="Times New Roman"/>
        <family val="1"/>
      </rPr>
      <t>2</t>
    </r>
  </si>
  <si>
    <r>
      <t xml:space="preserve">32 –  </t>
    </r>
    <r>
      <rPr>
        <b/>
        <sz val="14"/>
        <color rgb="FFFF6600"/>
        <rFont val="Times New Roman"/>
        <family val="1"/>
      </rPr>
      <t>14</t>
    </r>
  </si>
  <si>
    <r>
      <t xml:space="preserve">52 –  </t>
    </r>
    <r>
      <rPr>
        <b/>
        <sz val="14"/>
        <color rgb="FFFF6600"/>
        <rFont val="Times New Roman"/>
        <family val="1"/>
      </rPr>
      <t>26</t>
    </r>
  </si>
  <si>
    <r>
      <t xml:space="preserve">13 –  </t>
    </r>
    <r>
      <rPr>
        <b/>
        <sz val="14"/>
        <color rgb="FF000000"/>
        <rFont val="Times New Roman"/>
        <family val="1"/>
      </rPr>
      <t xml:space="preserve">  </t>
    </r>
    <r>
      <rPr>
        <b/>
        <sz val="14"/>
        <color rgb="FFFF6600"/>
        <rFont val="Times New Roman"/>
        <family val="1"/>
      </rPr>
      <t>3</t>
    </r>
  </si>
  <si>
    <r>
      <t xml:space="preserve">33 –  </t>
    </r>
    <r>
      <rPr>
        <b/>
        <sz val="14"/>
        <color rgb="FFFF6600"/>
        <rFont val="Times New Roman"/>
        <family val="1"/>
      </rPr>
      <t>15</t>
    </r>
  </si>
  <si>
    <r>
      <t xml:space="preserve">53 –  </t>
    </r>
    <r>
      <rPr>
        <b/>
        <sz val="14"/>
        <color rgb="FFFF6600"/>
        <rFont val="Times New Roman"/>
        <family val="1"/>
      </rPr>
      <t>27</t>
    </r>
  </si>
  <si>
    <r>
      <t xml:space="preserve">14 – </t>
    </r>
    <r>
      <rPr>
        <b/>
        <sz val="14"/>
        <color rgb="FF000000"/>
        <rFont val="Times New Roman"/>
        <family val="1"/>
      </rPr>
      <t xml:space="preserve">   </t>
    </r>
    <r>
      <rPr>
        <b/>
        <sz val="14"/>
        <color rgb="FFFF6600"/>
        <rFont val="Times New Roman"/>
        <family val="1"/>
      </rPr>
      <t>4</t>
    </r>
  </si>
  <si>
    <r>
      <t xml:space="preserve">34 –  </t>
    </r>
    <r>
      <rPr>
        <b/>
        <sz val="14"/>
        <color rgb="FFFF6600"/>
        <rFont val="Times New Roman"/>
        <family val="1"/>
      </rPr>
      <t>16</t>
    </r>
  </si>
  <si>
    <r>
      <t xml:space="preserve">15 –    </t>
    </r>
    <r>
      <rPr>
        <b/>
        <sz val="14"/>
        <color rgb="FFFF6600"/>
        <rFont val="Times New Roman"/>
        <family val="1"/>
      </rPr>
      <t>5</t>
    </r>
  </si>
  <si>
    <r>
      <t xml:space="preserve">35 –  </t>
    </r>
    <r>
      <rPr>
        <b/>
        <sz val="14"/>
        <color rgb="FFFF6600"/>
        <rFont val="Times New Roman"/>
        <family val="1"/>
      </rPr>
      <t>17</t>
    </r>
  </si>
  <si>
    <r>
      <t xml:space="preserve">55 –  </t>
    </r>
    <r>
      <rPr>
        <b/>
        <sz val="14"/>
        <color rgb="FFFF6600"/>
        <rFont val="Times New Roman"/>
        <family val="1"/>
      </rPr>
      <t>29</t>
    </r>
  </si>
  <si>
    <r>
      <t xml:space="preserve">16 –    </t>
    </r>
    <r>
      <rPr>
        <b/>
        <sz val="14"/>
        <color rgb="FFFF6600"/>
        <rFont val="Times New Roman"/>
        <family val="1"/>
      </rPr>
      <t>6</t>
    </r>
  </si>
  <si>
    <r>
      <t xml:space="preserve">36 –  </t>
    </r>
    <r>
      <rPr>
        <b/>
        <sz val="14"/>
        <color rgb="FFFF6600"/>
        <rFont val="Times New Roman"/>
        <family val="1"/>
      </rPr>
      <t>18</t>
    </r>
  </si>
  <si>
    <r>
      <t xml:space="preserve">56 –  </t>
    </r>
    <r>
      <rPr>
        <b/>
        <sz val="14"/>
        <color rgb="FFFF6600"/>
        <rFont val="Times New Roman"/>
        <family val="1"/>
      </rPr>
      <t>30</t>
    </r>
  </si>
  <si>
    <r>
      <t xml:space="preserve">21 –  </t>
    </r>
    <r>
      <rPr>
        <b/>
        <sz val="14"/>
        <color rgb="FF000000"/>
        <rFont val="Times New Roman"/>
        <family val="1"/>
      </rPr>
      <t xml:space="preserve">  </t>
    </r>
    <r>
      <rPr>
        <b/>
        <sz val="14"/>
        <color rgb="FFFF6600"/>
        <rFont val="Times New Roman"/>
        <family val="1"/>
      </rPr>
      <t>7</t>
    </r>
  </si>
  <si>
    <r>
      <t xml:space="preserve">41 –  </t>
    </r>
    <r>
      <rPr>
        <b/>
        <sz val="14"/>
        <color rgb="FFFF6600"/>
        <rFont val="Times New Roman"/>
        <family val="1"/>
      </rPr>
      <t>19</t>
    </r>
  </si>
  <si>
    <r>
      <t xml:space="preserve">61 –  </t>
    </r>
    <r>
      <rPr>
        <b/>
        <sz val="14"/>
        <color rgb="FFFF6600"/>
        <rFont val="Times New Roman"/>
        <family val="1"/>
      </rPr>
      <t>31</t>
    </r>
  </si>
  <si>
    <r>
      <t xml:space="preserve">22 –  </t>
    </r>
    <r>
      <rPr>
        <b/>
        <sz val="14"/>
        <color rgb="FF000000"/>
        <rFont val="Times New Roman"/>
        <family val="1"/>
      </rPr>
      <t xml:space="preserve">  </t>
    </r>
    <r>
      <rPr>
        <b/>
        <sz val="14"/>
        <color rgb="FFFF6600"/>
        <rFont val="Times New Roman"/>
        <family val="1"/>
      </rPr>
      <t>8</t>
    </r>
  </si>
  <si>
    <r>
      <t xml:space="preserve">42 –  </t>
    </r>
    <r>
      <rPr>
        <b/>
        <sz val="14"/>
        <color rgb="FFFF6600"/>
        <rFont val="Times New Roman"/>
        <family val="1"/>
      </rPr>
      <t>20</t>
    </r>
  </si>
  <si>
    <r>
      <t xml:space="preserve">62 –  </t>
    </r>
    <r>
      <rPr>
        <b/>
        <sz val="14"/>
        <color rgb="FFFF6600"/>
        <rFont val="Times New Roman"/>
        <family val="1"/>
      </rPr>
      <t>32</t>
    </r>
  </si>
  <si>
    <r>
      <t xml:space="preserve">23 –  </t>
    </r>
    <r>
      <rPr>
        <b/>
        <sz val="14"/>
        <color rgb="FF000000"/>
        <rFont val="Times New Roman"/>
        <family val="1"/>
      </rPr>
      <t xml:space="preserve">  </t>
    </r>
    <r>
      <rPr>
        <b/>
        <sz val="14"/>
        <color rgb="FFFF6600"/>
        <rFont val="Times New Roman"/>
        <family val="1"/>
      </rPr>
      <t>9</t>
    </r>
  </si>
  <si>
    <r>
      <t xml:space="preserve">63 –  </t>
    </r>
    <r>
      <rPr>
        <b/>
        <sz val="14"/>
        <color rgb="FFFF6600"/>
        <rFont val="Times New Roman"/>
        <family val="1"/>
      </rPr>
      <t>33</t>
    </r>
  </si>
  <si>
    <r>
      <t xml:space="preserve">24 –  </t>
    </r>
    <r>
      <rPr>
        <b/>
        <sz val="14"/>
        <color rgb="FFFF6600"/>
        <rFont val="Times New Roman"/>
        <family val="1"/>
      </rPr>
      <t>10</t>
    </r>
  </si>
  <si>
    <r>
      <t xml:space="preserve">64 –  </t>
    </r>
    <r>
      <rPr>
        <b/>
        <sz val="14"/>
        <color rgb="FFFF6600"/>
        <rFont val="Times New Roman"/>
        <family val="1"/>
      </rPr>
      <t>34</t>
    </r>
  </si>
  <si>
    <r>
      <t xml:space="preserve">25 –  </t>
    </r>
    <r>
      <rPr>
        <b/>
        <sz val="14"/>
        <color rgb="FFFF6600"/>
        <rFont val="Times New Roman"/>
        <family val="1"/>
      </rPr>
      <t>11</t>
    </r>
  </si>
  <si>
    <r>
      <t xml:space="preserve">65 –  </t>
    </r>
    <r>
      <rPr>
        <b/>
        <sz val="14"/>
        <color rgb="FFFF6600"/>
        <rFont val="Times New Roman"/>
        <family val="1"/>
      </rPr>
      <t>35</t>
    </r>
  </si>
  <si>
    <r>
      <t xml:space="preserve">46 –  </t>
    </r>
    <r>
      <rPr>
        <b/>
        <sz val="14"/>
        <color rgb="FFFF6600"/>
        <rFont val="Times New Roman"/>
        <family val="1"/>
      </rPr>
      <t>24</t>
    </r>
  </si>
  <si>
    <r>
      <t xml:space="preserve">66 –  </t>
    </r>
    <r>
      <rPr>
        <b/>
        <sz val="14"/>
        <color rgb="FFFF6600"/>
        <rFont val="Times New Roman"/>
        <family val="1"/>
      </rPr>
      <t>36</t>
    </r>
  </si>
  <si>
    <r>
      <t xml:space="preserve">26 –  </t>
    </r>
    <r>
      <rPr>
        <b/>
        <sz val="14"/>
        <color rgb="FFFF6600"/>
        <rFont val="Times New Roman"/>
        <family val="1"/>
      </rPr>
      <t>12</t>
    </r>
  </si>
  <si>
    <r>
      <t xml:space="preserve">45 –  </t>
    </r>
    <r>
      <rPr>
        <b/>
        <sz val="14"/>
        <color rgb="FFFF6600"/>
        <rFont val="Times New Roman"/>
        <family val="1"/>
      </rPr>
      <t>23</t>
    </r>
  </si>
  <si>
    <r>
      <t xml:space="preserve">44 –  </t>
    </r>
    <r>
      <rPr>
        <b/>
        <sz val="14"/>
        <color rgb="FFFF6600"/>
        <rFont val="Times New Roman"/>
        <family val="1"/>
      </rPr>
      <t>22</t>
    </r>
  </si>
  <si>
    <r>
      <t xml:space="preserve">43 –  </t>
    </r>
    <r>
      <rPr>
        <b/>
        <sz val="14"/>
        <color rgb="FFFF6600"/>
        <rFont val="Times New Roman"/>
        <family val="1"/>
      </rPr>
      <t>21</t>
    </r>
  </si>
  <si>
    <r>
      <t xml:space="preserve">54 –  </t>
    </r>
    <r>
      <rPr>
        <b/>
        <sz val="14"/>
        <color rgb="FFFF6600"/>
        <rFont val="Times New Roman"/>
        <family val="1"/>
      </rPr>
      <t>28</t>
    </r>
  </si>
  <si>
    <t>Dice Roll Conversion</t>
  </si>
  <si>
    <t>Using the Dice Roll Conversion chart on the LeagueRatings worksheet, convert each carded pitcher's Column W. Type the Control dice roll result in Column AH.</t>
  </si>
  <si>
    <t>Using the Dice Roll Conversion chart on the LeagueRatings worksheet, convert each carded pitcher's Column Z. Type the Control dice roll result in Column AI.</t>
  </si>
  <si>
    <t>Stage 6 - Copy Final Numbers to Publisher Tables</t>
  </si>
  <si>
    <t>Copy each team's carded pitchers. Paste into its respective team table in Microsoft Publisher template.</t>
  </si>
  <si>
    <t>Stage 7 - Recompute All Traded Carded Pitchers</t>
  </si>
  <si>
    <t>Go to ESPN's Sortable Pitching Stats for the previous Regular Season.</t>
  </si>
  <si>
    <t>Note all traded carded pitchers.</t>
  </si>
  <si>
    <t>Be sure to leave 4 rows between pitcher stat rows. If a traded carded pitcher pitched for more than two teams, leave one additional row for each team.</t>
  </si>
  <si>
    <t>Each of the two rows below each pitcher's stat lines represents the percentage of time spent with each team. This weighs the new Final Pitching Grade, Control &amp; Power; and, combines Games, Starts, IP &amp; BF relative to the number of OOTL games.</t>
  </si>
  <si>
    <t>Each traded carded pitcher's weighted, summed raw grade displays in Column AE.</t>
  </si>
  <si>
    <t>Stage 8 - Copy Final Traded Carded Pitcher Numbers to Publisher Tables</t>
  </si>
  <si>
    <t>Copy each traded carded pitcher's complete stat line from the Multi-teamPitchers worksheet Columns AG-AM to the corresponding pitcher's complete stat line in the Microsoft Publisher template.</t>
  </si>
  <si>
    <t>Stage 9 - Convert Microsoft Publisher File to PDF</t>
  </si>
  <si>
    <t>Print the final Microsoft Publisher file to PDF. Distribute the PDF to all managers.</t>
  </si>
  <si>
    <t>=</t>
  </si>
  <si>
    <t> Marshall, E</t>
  </si>
  <si>
    <t> Chafin, A</t>
  </si>
  <si>
    <t> Anderson, C</t>
  </si>
  <si>
    <t> Bolsinger, M</t>
  </si>
  <si>
    <t> Schultz, B</t>
  </si>
  <si>
    <t> Hudson, D</t>
  </si>
  <si>
    <t> Shreve, C</t>
  </si>
  <si>
    <t> Ramirez, N</t>
  </si>
  <si>
    <t> Hendricks, K</t>
  </si>
  <si>
    <t> Vizcaino, A</t>
  </si>
  <si>
    <t> Diaz, J</t>
  </si>
  <si>
    <t> Kahnle, T</t>
  </si>
  <si>
    <t> Flande, Y</t>
  </si>
  <si>
    <t> Friedrich, C</t>
  </si>
  <si>
    <t> Bergman, C</t>
  </si>
  <si>
    <t> Butler, E</t>
  </si>
  <si>
    <t> Martin, C</t>
  </si>
  <si>
    <t> Garcia, Y</t>
  </si>
  <si>
    <t> Baez, P</t>
  </si>
  <si>
    <t> Coulombe, D</t>
  </si>
  <si>
    <t> Frias, C</t>
  </si>
  <si>
    <t> Heaney, A</t>
  </si>
  <si>
    <t> DeSclafani, A</t>
  </si>
  <si>
    <t> Eveland, D</t>
  </si>
  <si>
    <t> deGrom, J</t>
  </si>
  <si>
    <t> Goeddel, E</t>
  </si>
  <si>
    <t> Montero, R</t>
  </si>
  <si>
    <t> Alvarez, D</t>
  </si>
  <si>
    <t> Neris, H</t>
  </si>
  <si>
    <t> Giles, K</t>
  </si>
  <si>
    <t> Quackenbush, K</t>
  </si>
  <si>
    <t> Hahn, J</t>
  </si>
  <si>
    <t> Despaigne, O</t>
  </si>
  <si>
    <t> Boyer, B</t>
  </si>
  <si>
    <t> Roach, D</t>
  </si>
  <si>
    <t> Campos, L</t>
  </si>
  <si>
    <t> Wieland, J</t>
  </si>
  <si>
    <t> Strickland, H</t>
  </si>
  <si>
    <t> Heston, C</t>
  </si>
  <si>
    <t> Rondon, J</t>
  </si>
  <si>
    <t> Motte, J</t>
  </si>
  <si>
    <t> Tuivailala, S</t>
  </si>
  <si>
    <t> Treinen, B</t>
  </si>
  <si>
    <t> Barnes, M</t>
  </si>
  <si>
    <t> Ranaudo, A</t>
  </si>
  <si>
    <t> Bassitt, C</t>
  </si>
  <si>
    <t> Carroll, S</t>
  </si>
  <si>
    <t> Crockett, K</t>
  </si>
  <si>
    <t> House, T</t>
  </si>
  <si>
    <t> Adams, A</t>
  </si>
  <si>
    <t> Hardy, B</t>
  </si>
  <si>
    <t> Ryan, K</t>
  </si>
  <si>
    <t> Lobstein, K</t>
  </si>
  <si>
    <t> Smith, C</t>
  </si>
  <si>
    <t> VerHagen, D</t>
  </si>
  <si>
    <t> Knebel, C</t>
  </si>
  <si>
    <t> Ray, R</t>
  </si>
  <si>
    <t> Farmer, B</t>
  </si>
  <si>
    <t> Tropeano, N</t>
  </si>
  <si>
    <t> Buchanan, J</t>
  </si>
  <si>
    <t> Foltynewicz, M</t>
  </si>
  <si>
    <t> Finnegan, B</t>
  </si>
  <si>
    <t> Mariot, M</t>
  </si>
  <si>
    <t> Brooks, A</t>
  </si>
  <si>
    <t> Morin, M</t>
  </si>
  <si>
    <t> Bedrosian, C</t>
  </si>
  <si>
    <t> Achter, A</t>
  </si>
  <si>
    <t> May, T</t>
  </si>
  <si>
    <t> Pineda, M</t>
  </si>
  <si>
    <t> Mitchell, B</t>
  </si>
  <si>
    <t> Tanaka, M</t>
  </si>
  <si>
    <t> Greene, S</t>
  </si>
  <si>
    <t> Whitley, C</t>
  </si>
  <si>
    <t> Leone, D</t>
  </si>
  <si>
    <t> Young, C</t>
  </si>
  <si>
    <t> Elias, R</t>
  </si>
  <si>
    <t> Geltz, S</t>
  </si>
  <si>
    <t> Yates, K</t>
  </si>
  <si>
    <t> Patton, S</t>
  </si>
  <si>
    <t> Klein, P</t>
  </si>
  <si>
    <t> Claudio, A</t>
  </si>
  <si>
    <t> Martinez, N</t>
  </si>
  <si>
    <t> Lewis, C</t>
  </si>
  <si>
    <t> Stroman, M</t>
  </si>
  <si>
    <t> Graveman, K</t>
  </si>
  <si>
    <t> Hutchison, D</t>
  </si>
  <si>
    <t> Norris, D</t>
  </si>
  <si>
    <t>Sergio Santos</t>
  </si>
  <si>
    <t>Roman Mendez</t>
  </si>
  <si>
    <t>Neftali Feliz</t>
  </si>
  <si>
    <t>Neal Cotts</t>
  </si>
  <si>
    <t>Eric O'Flaherty</t>
  </si>
  <si>
    <t>Dominic Leone</t>
  </si>
  <si>
    <t>Ryan Cook</t>
  </si>
  <si>
    <t>Yoervis Medina</t>
  </si>
  <si>
    <t>Fernando Rodney</t>
  </si>
  <si>
    <t>Scott Kazmir</t>
  </si>
  <si>
    <t>Masahiro Tanaka</t>
  </si>
  <si>
    <t>Yunel Escobar</t>
  </si>
  <si>
    <t>Kendrys Morales</t>
  </si>
  <si>
    <t>Cory Rasmus</t>
  </si>
  <si>
    <t>Jason Frasor</t>
  </si>
  <si>
    <t>Kevin Jepsen</t>
  </si>
  <si>
    <t>Brad Peacock</t>
  </si>
  <si>
    <t>Yordano Ventura</t>
  </si>
  <si>
    <t>Marwin Gonzalez</t>
  </si>
  <si>
    <t>Joakim Soria</t>
  </si>
  <si>
    <t>Edward Mujica</t>
  </si>
  <si>
    <t>Jim Johnson</t>
  </si>
  <si>
    <t>Phil Coke</t>
  </si>
  <si>
    <t>Joba Chamberlain</t>
  </si>
  <si>
    <t>David Price</t>
  </si>
  <si>
    <t>Will Middlebrooks</t>
  </si>
  <si>
    <t>Jose Ramirez</t>
  </si>
  <si>
    <t>Xander Bogaerts</t>
  </si>
  <si>
    <t>Nick Castellanos</t>
  </si>
  <si>
    <t>Jose Abreu</t>
  </si>
  <si>
    <t>Ross Detwiler</t>
  </si>
  <si>
    <t>Tim Stauffer</t>
  </si>
  <si>
    <t>Tommy Hunter</t>
  </si>
  <si>
    <t>Tyler Clippard</t>
  </si>
  <si>
    <t>Jean Machi</t>
  </si>
  <si>
    <t>Gio Gonzalez</t>
  </si>
  <si>
    <t>Bud Norris</t>
  </si>
  <si>
    <t>Everth Cabrera</t>
  </si>
  <si>
    <t>Cesar Jimenez</t>
  </si>
  <si>
    <t>Carlos Martinez</t>
  </si>
  <si>
    <t>Jake Diekman</t>
  </si>
  <si>
    <t>Cole Hamels</t>
  </si>
  <si>
    <t>Oscar Taveras</t>
  </si>
  <si>
    <t>Gregory Polanco</t>
  </si>
  <si>
    <t>Sam Dyson</t>
  </si>
  <si>
    <t>Dan Jennings</t>
  </si>
  <si>
    <t>LaTroy Hawkins</t>
  </si>
  <si>
    <t>Steve Cishek</t>
  </si>
  <si>
    <t>Mike Fiers</t>
  </si>
  <si>
    <t>Dan Haren</t>
  </si>
  <si>
    <t>Khris Davis</t>
  </si>
  <si>
    <t>Ian Thomas</t>
  </si>
  <si>
    <t>Neil Ramirez</t>
  </si>
  <si>
    <t>Wesley Wright</t>
  </si>
  <si>
    <t>Hector Rondon</t>
  </si>
  <si>
    <t>Addison Reed</t>
  </si>
  <si>
    <t>Luis Avilan</t>
  </si>
  <si>
    <t>Oliver Perez</t>
  </si>
  <si>
    <t>David Carpenter</t>
  </si>
  <si>
    <t>Felix Doubront</t>
  </si>
  <si>
    <t>Trevor Cahill</t>
  </si>
  <si>
    <t>Alex Wood</t>
  </si>
  <si>
    <t>Vidal Nuno</t>
  </si>
  <si>
    <t>Mike Leake</t>
  </si>
  <si>
    <t>Edwin Jackson</t>
  </si>
  <si>
    <t>Johnny Cueto</t>
  </si>
  <si>
    <t>Javier Baez</t>
  </si>
  <si>
    <t>2014 Accumulated Minor League Time</t>
  </si>
  <si>
    <t>Bourgos **</t>
  </si>
  <si>
    <t>Frasor</t>
  </si>
  <si>
    <t>Otero</t>
  </si>
  <si>
    <t>Allen</t>
  </si>
  <si>
    <t>Addison Russell</t>
  </si>
  <si>
    <t>Kyle Zimmer</t>
  </si>
  <si>
    <t>Revere</t>
  </si>
  <si>
    <t>Beachy &amp; IR</t>
  </si>
  <si>
    <t>Medlen</t>
  </si>
  <si>
    <t>Santiago</t>
  </si>
  <si>
    <t>Chatwood</t>
  </si>
  <si>
    <t>Bastardo</t>
  </si>
  <si>
    <t>Machi</t>
  </si>
  <si>
    <t>Hoover</t>
  </si>
  <si>
    <t>Springer</t>
  </si>
  <si>
    <t>Dickey</t>
  </si>
  <si>
    <t>Parker</t>
  </si>
  <si>
    <t>Matusz **</t>
  </si>
  <si>
    <t>Rivera</t>
  </si>
  <si>
    <t>R. Webb</t>
  </si>
  <si>
    <t>Dylan Bundy</t>
  </si>
  <si>
    <t>Jameson Taillon</t>
  </si>
  <si>
    <t>Martin Perez</t>
  </si>
  <si>
    <t>Collins **</t>
  </si>
  <si>
    <t>W. Castillo</t>
  </si>
  <si>
    <t>Bonifacio</t>
  </si>
  <si>
    <t>Carlos Correa</t>
  </si>
  <si>
    <t>Gausman</t>
  </si>
  <si>
    <t>Griffin</t>
  </si>
  <si>
    <t>D. Holland</t>
  </si>
  <si>
    <t>Straily</t>
  </si>
  <si>
    <t>Turner</t>
  </si>
  <si>
    <t>Doolittle</t>
  </si>
  <si>
    <t>Parnell</t>
  </si>
  <si>
    <t>Qualls</t>
  </si>
  <si>
    <t>B. Pena</t>
  </si>
  <si>
    <t>Arencibia</t>
  </si>
  <si>
    <t>Sandoval **</t>
  </si>
  <si>
    <t>Cahill **</t>
  </si>
  <si>
    <t>Billingsley IR only</t>
  </si>
  <si>
    <t>D. Carpenter</t>
  </si>
  <si>
    <t>J. Lopez</t>
  </si>
  <si>
    <t>Stammen</t>
  </si>
  <si>
    <t>Braun</t>
  </si>
  <si>
    <t>Yelich</t>
  </si>
  <si>
    <t>AJ Burnett **</t>
  </si>
  <si>
    <t>Wheeler</t>
  </si>
  <si>
    <t>Kuroda</t>
  </si>
  <si>
    <t>Noah Syndergaard</t>
  </si>
  <si>
    <t>Avilan</t>
  </si>
  <si>
    <t>Maness</t>
  </si>
  <si>
    <t>Romo</t>
  </si>
  <si>
    <t>Harrison IR only</t>
  </si>
  <si>
    <t>McCarthy</t>
  </si>
  <si>
    <t>Quintana</t>
  </si>
  <si>
    <t>R. Ross</t>
  </si>
  <si>
    <t>Veras</t>
  </si>
  <si>
    <t>Robert Stephenson</t>
  </si>
  <si>
    <t>Taijuan Walker</t>
  </si>
  <si>
    <t>Pujols</t>
  </si>
  <si>
    <t>Wong</t>
  </si>
  <si>
    <t>Owings</t>
  </si>
  <si>
    <t>Cespedes</t>
  </si>
  <si>
    <t>Cain</t>
  </si>
  <si>
    <t>Salazar</t>
  </si>
  <si>
    <t>N. Feliz &amp; IR</t>
  </si>
  <si>
    <t>Archie Bradley</t>
  </si>
  <si>
    <t>J. Hamilton</t>
  </si>
  <si>
    <t>Francisco Lindor</t>
  </si>
  <si>
    <t>Byron Buxton</t>
  </si>
  <si>
    <t>Erlin</t>
  </si>
  <si>
    <t>Hellickson</t>
  </si>
  <si>
    <t>Sabathia</t>
  </si>
  <si>
    <t>Stults</t>
  </si>
  <si>
    <t>Alvarez</t>
  </si>
  <si>
    <t>Dominguez</t>
  </si>
  <si>
    <t>A. Garcia</t>
  </si>
  <si>
    <t>Jonathon Gray</t>
  </si>
  <si>
    <t>Cole</t>
  </si>
  <si>
    <t>Hochevar</t>
  </si>
  <si>
    <t>M. Reynolds</t>
  </si>
  <si>
    <t>Scutaro</t>
  </si>
  <si>
    <t>S. Miller</t>
  </si>
  <si>
    <t>Choate</t>
  </si>
  <si>
    <t>Brown **</t>
  </si>
  <si>
    <t>Thielbar</t>
  </si>
  <si>
    <t>Gattis</t>
  </si>
  <si>
    <t>Alcantara</t>
  </si>
  <si>
    <t>Paco Rodriguez-u</t>
  </si>
  <si>
    <t>Rosario</t>
  </si>
  <si>
    <t>Profar &amp; IR</t>
  </si>
  <si>
    <t>Baez</t>
  </si>
  <si>
    <t>Cosart</t>
  </si>
  <si>
    <t>Casilla</t>
  </si>
  <si>
    <t>Strop **</t>
  </si>
  <si>
    <t>Bethancourt</t>
  </si>
  <si>
    <t>Parker &amp; IR</t>
  </si>
  <si>
    <t>Matt Moore</t>
  </si>
  <si>
    <t>Perkins</t>
  </si>
  <si>
    <t>Cishek</t>
  </si>
  <si>
    <t>2015 Accumulated Minor League Time</t>
  </si>
  <si>
    <t>F. Liriano</t>
  </si>
  <si>
    <t>Iwakuma</t>
  </si>
  <si>
    <t>Buchholz</t>
  </si>
  <si>
    <t>O'Day **</t>
  </si>
  <si>
    <t>Rodney</t>
  </si>
  <si>
    <t>Valbuena</t>
  </si>
  <si>
    <t>Arrieta</t>
  </si>
  <si>
    <t>Edgin</t>
  </si>
  <si>
    <t>Gregerson</t>
  </si>
  <si>
    <t>Holland</t>
  </si>
  <si>
    <t>Blake Swihart</t>
  </si>
  <si>
    <t>Tyler Kolek</t>
  </si>
  <si>
    <t>Joc Pederson</t>
  </si>
  <si>
    <t>Kris Bryant</t>
  </si>
  <si>
    <t>Jonathon Schoop</t>
  </si>
  <si>
    <t>Joey Gallo</t>
  </si>
  <si>
    <t>Lucas Giolito</t>
  </si>
  <si>
    <t>Crisp</t>
  </si>
  <si>
    <t>Beckett</t>
  </si>
  <si>
    <t>Cingrani</t>
  </si>
  <si>
    <t>DeSclafani</t>
  </si>
  <si>
    <t>AJ Ramos</t>
  </si>
  <si>
    <t>Singleton</t>
  </si>
  <si>
    <t>Miguel Sano</t>
  </si>
  <si>
    <t>Corey Seager</t>
  </si>
  <si>
    <t>Jon Gray</t>
  </si>
  <si>
    <t>Fielder</t>
  </si>
  <si>
    <t>Gentry</t>
  </si>
  <si>
    <t>Jorge Alfaro</t>
  </si>
  <si>
    <t>Hutchison</t>
  </si>
  <si>
    <t>Black</t>
  </si>
  <si>
    <t>Cecil</t>
  </si>
  <si>
    <t>D. Holland IR</t>
  </si>
  <si>
    <t>Trumbo</t>
  </si>
  <si>
    <t>Simon</t>
  </si>
  <si>
    <t>Ryu</t>
  </si>
  <si>
    <t>Collmenter</t>
  </si>
  <si>
    <t>McFarland</t>
  </si>
  <si>
    <t>W. Wright</t>
  </si>
  <si>
    <t>Julio Urias</t>
  </si>
  <si>
    <t>Hammel</t>
  </si>
  <si>
    <t>red = 2015, amber = in-season move</t>
  </si>
  <si>
    <t>Putnam</t>
  </si>
  <si>
    <t>R. Castillo</t>
  </si>
  <si>
    <t>O. Arcia</t>
  </si>
  <si>
    <t>Souza</t>
  </si>
  <si>
    <t>Iglesias (IR)</t>
  </si>
  <si>
    <t>T. Watson</t>
  </si>
  <si>
    <t>Martin Perez **</t>
  </si>
  <si>
    <t>R. Cook</t>
  </si>
  <si>
    <t>J. Veras</t>
  </si>
  <si>
    <t>Carlos Rodon</t>
  </si>
  <si>
    <t>AB</t>
  </si>
  <si>
    <t>2B</t>
  </si>
  <si>
    <t>3B</t>
  </si>
  <si>
    <t>RBI</t>
  </si>
  <si>
    <t>SB</t>
  </si>
  <si>
    <t>CS</t>
  </si>
  <si>
    <t>OBP</t>
  </si>
  <si>
    <t>SLG</t>
  </si>
  <si>
    <t>OPS</t>
  </si>
  <si>
    <t>HBP</t>
  </si>
  <si>
    <t>SAC</t>
  </si>
  <si>
    <t>XBH</t>
  </si>
  <si>
    <t>GDP</t>
  </si>
  <si>
    <t>GO</t>
  </si>
  <si>
    <t>AO</t>
  </si>
  <si>
    <t>GO_AO</t>
  </si>
  <si>
    <t>NP</t>
  </si>
  <si>
    <t>PA</t>
  </si>
  <si>
    <t>AVG</t>
  </si>
  <si>
    <t>WHIP</t>
  </si>
  <si>
    <t>SHO</t>
  </si>
  <si>
    <t>HB</t>
  </si>
  <si>
    <t>GF</t>
  </si>
  <si>
    <t>HLD</t>
  </si>
  <si>
    <t>GIDP</t>
  </si>
  <si>
    <t>WP</t>
  </si>
  <si>
    <t>BK</t>
  </si>
  <si>
    <t>PK</t>
  </si>
  <si>
    <t>WPCT</t>
  </si>
  <si>
    <t>Season</t>
  </si>
  <si>
    <t> Bracho, S</t>
  </si>
  <si>
    <t> Godley, Z</t>
  </si>
  <si>
    <t> Corbin, P</t>
  </si>
  <si>
    <t> Hernandez, D</t>
  </si>
  <si>
    <t> Reynolds, M</t>
  </si>
  <si>
    <t> Burgos, E</t>
  </si>
  <si>
    <t> Schugel, A</t>
  </si>
  <si>
    <t> Bradley, A</t>
  </si>
  <si>
    <t> Hessler, K</t>
  </si>
  <si>
    <t>K_9</t>
  </si>
  <si>
    <t>BB_9</t>
  </si>
  <si>
    <t>H_9</t>
  </si>
  <si>
    <t>K_BB</t>
  </si>
  <si>
    <t>P_IP</t>
  </si>
  <si>
    <t> Moylan, P</t>
  </si>
  <si>
    <t> Cunniff, B</t>
  </si>
  <si>
    <t> Wisler, M</t>
  </si>
  <si>
    <t> Weber, R</t>
  </si>
  <si>
    <t> Perez, W</t>
  </si>
  <si>
    <t> Marksberry, M</t>
  </si>
  <si>
    <t> Winkler, D</t>
  </si>
  <si>
    <t> Richard, C</t>
  </si>
  <si>
    <t> Edwards, C</t>
  </si>
  <si>
    <t> Iglesias, R</t>
  </si>
  <si>
    <t> Moscot, J</t>
  </si>
  <si>
    <t> Lorenzen, M</t>
  </si>
  <si>
    <t> Lamb, J</t>
  </si>
  <si>
    <t> Sampson, K</t>
  </si>
  <si>
    <t> Oberg, S</t>
  </si>
  <si>
    <t> Gray, J</t>
  </si>
  <si>
    <t> Roberts, K</t>
  </si>
  <si>
    <t> Gurka, J</t>
  </si>
  <si>
    <t> Castro, M</t>
  </si>
  <si>
    <t> Liberatore, A</t>
  </si>
  <si>
    <t> Ravin, J</t>
  </si>
  <si>
    <t> Tsao, C</t>
  </si>
  <si>
    <t> Barraclough, K</t>
  </si>
  <si>
    <t> Ellington, B</t>
  </si>
  <si>
    <t> Conley, A</t>
  </si>
  <si>
    <t> Nicolino, J</t>
  </si>
  <si>
    <t> Narveson, C</t>
  </si>
  <si>
    <t> Reed, C</t>
  </si>
  <si>
    <t> Flores, K</t>
  </si>
  <si>
    <t> Urena, J</t>
  </si>
  <si>
    <t> Blazek, M</t>
  </si>
  <si>
    <t> Davies, Z</t>
  </si>
  <si>
    <t> Jungmann, T</t>
  </si>
  <si>
    <t> Goforth, D</t>
  </si>
  <si>
    <t> Pena, A</t>
  </si>
  <si>
    <t> Cravy, T</t>
  </si>
  <si>
    <t> Wagner, T</t>
  </si>
  <si>
    <t> Matz, S</t>
  </si>
  <si>
    <t> Gilmartin, S</t>
  </si>
  <si>
    <t> Harvey, M</t>
  </si>
  <si>
    <t> Verrett, L</t>
  </si>
  <si>
    <t> Syndergaard, N</t>
  </si>
  <si>
    <t> Robles, H</t>
  </si>
  <si>
    <t> Morris, A</t>
  </si>
  <si>
    <t> Hinojosa, D</t>
  </si>
  <si>
    <t> Eickhoff, J</t>
  </si>
  <si>
    <t> Araujo, E</t>
  </si>
  <si>
    <t> Nola, A</t>
  </si>
  <si>
    <t> Morgan, A</t>
  </si>
  <si>
    <t> Murray, C</t>
  </si>
  <si>
    <t> Loewen, A</t>
  </si>
  <si>
    <t> Gonzalez, S</t>
  </si>
  <si>
    <t> Ogando, N</t>
  </si>
  <si>
    <t> Asher, A</t>
  </si>
  <si>
    <t> Blanton, J</t>
  </si>
  <si>
    <t> Guerra, D</t>
  </si>
  <si>
    <t> Amarista, A</t>
  </si>
  <si>
    <t> Rea, C</t>
  </si>
  <si>
    <t> Kelly, C</t>
  </si>
  <si>
    <t> Osich, J</t>
  </si>
  <si>
    <t> Gearrin, C</t>
  </si>
  <si>
    <t> Broadway, M</t>
  </si>
  <si>
    <t> Hall, C</t>
  </si>
  <si>
    <t> Socolovich, M</t>
  </si>
  <si>
    <t> Rivero, F</t>
  </si>
  <si>
    <t> Solis, S</t>
  </si>
  <si>
    <t> Ross, J</t>
  </si>
  <si>
    <t> Grace, M</t>
  </si>
  <si>
    <t> Martin, R</t>
  </si>
  <si>
    <t> De Los Santos, A</t>
  </si>
  <si>
    <t> Cole, A</t>
  </si>
  <si>
    <t> Givens, M</t>
  </si>
  <si>
    <t> Drake, O</t>
  </si>
  <si>
    <t> Wilson, T</t>
  </si>
  <si>
    <t> Wright, M</t>
  </si>
  <si>
    <t> Johnson, S</t>
  </si>
  <si>
    <t> Rodriguez, E</t>
  </si>
  <si>
    <t> Ross, R</t>
  </si>
  <si>
    <t> Owens, H</t>
  </si>
  <si>
    <t> Aro, J</t>
  </si>
  <si>
    <t> Rodon, C</t>
  </si>
  <si>
    <t> Beck, C</t>
  </si>
  <si>
    <t> Armstrong, S</t>
  </si>
  <si>
    <t> Valdez, J</t>
  </si>
  <si>
    <t> Rondon, B</t>
  </si>
  <si>
    <t> Boyd, M</t>
  </si>
  <si>
    <t> McCullers, L</t>
  </si>
  <si>
    <t> Velasquez, V</t>
  </si>
  <si>
    <t> Feliz, M</t>
  </si>
  <si>
    <t> Madson, R</t>
  </si>
  <si>
    <t> Hochevar, L</t>
  </si>
  <si>
    <t> Medlen, K</t>
  </si>
  <si>
    <t> Alexander, S</t>
  </si>
  <si>
    <t> Reyes, J</t>
  </si>
  <si>
    <t> Gott, T</t>
  </si>
  <si>
    <t> Duffey, T</t>
  </si>
  <si>
    <t> Graham, J</t>
  </si>
  <si>
    <t> O'Rourke, R</t>
  </si>
  <si>
    <t> Meyer, A</t>
  </si>
  <si>
    <t> Pazos, J</t>
  </si>
  <si>
    <t> Severino, L</t>
  </si>
  <si>
    <t> Pinder, B</t>
  </si>
  <si>
    <t> Goody, N</t>
  </si>
  <si>
    <t> Cotham, C</t>
  </si>
  <si>
    <t> Bailey, A</t>
  </si>
  <si>
    <t> Dull, R</t>
  </si>
  <si>
    <t> Leon, A</t>
  </si>
  <si>
    <t> Venditte, P</t>
  </si>
  <si>
    <t> Zych, T</t>
  </si>
  <si>
    <t> Montgomery, M</t>
  </si>
  <si>
    <t> Guaipe, M</t>
  </si>
  <si>
    <t> Olson, T</t>
  </si>
  <si>
    <t> Kensing, L</t>
  </si>
  <si>
    <t> Rollins, D</t>
  </si>
  <si>
    <t> Andriese, M</t>
  </si>
  <si>
    <t> Romero, E</t>
  </si>
  <si>
    <t> Kela, K</t>
  </si>
  <si>
    <t> Faulkner, A</t>
  </si>
  <si>
    <t> Ohlendorf, R</t>
  </si>
  <si>
    <t> Gonzalez, C</t>
  </si>
  <si>
    <t> Jackson, L</t>
  </si>
  <si>
    <t> Osuna, R</t>
  </si>
  <si>
    <t> Tepera, R</t>
  </si>
  <si>
    <t> Albers, A</t>
  </si>
  <si>
    <t>who played for more than one team during the MLB season.</t>
  </si>
  <si>
    <t>Copy all ALRaw stats to AL2 worksheet.</t>
  </si>
  <si>
    <t>Delete AL2 column A (Ranking).</t>
  </si>
  <si>
    <t>Copy all NLRaw stats to NL2 worksheet.</t>
  </si>
  <si>
    <t>Delete NL2 column A (Ranking).</t>
  </si>
  <si>
    <t>Paste in LeagueTotals worksheet.</t>
  </si>
  <si>
    <t>Sum AL Team pitching stats IP column; sum ER column; sum HR column; sum BB column; sum IBB column; sum TBF column.</t>
  </si>
  <si>
    <t>(If pasted correctly, these should total automatically and display on the LeagueRatings worksheet.)</t>
  </si>
  <si>
    <t>Sum AL Team hitting stats 2B column.</t>
  </si>
  <si>
    <t>(If pasted correctly, this should total automatically and display on the LeagueRatings worksheet.)</t>
  </si>
  <si>
    <t>Sum NL Team pitching stats IP column; sum ER column; sum HR column; sum BB column; sum IBB column; sum TBF column.</t>
  </si>
  <si>
    <t>Sum NL Team hitting stats 2B column.</t>
  </si>
  <si>
    <t>All LeagueRatings should automatically calculate.</t>
  </si>
  <si>
    <t>Copy previous regular season pitching stats (with headers) team by team from mlb.com. This currently consists of three pages of pitching stats for each team.</t>
  </si>
  <si>
    <t>Once APBA releases the carded players list, BOLD each carded pitcher's name on the AL2 worksheet.</t>
  </si>
  <si>
    <t>Format ERA column and IP column as numbers with two decimal points. (Highlight both columns, right-click, select Format Cells, click Number, set to two decimal points, and click Ok.)</t>
  </si>
  <si>
    <t>Manually convert each AL carded pitcher's IP from .10 &amp; .20 to .33 &amp; .67, respectively.</t>
  </si>
  <si>
    <t>Once APBA releases the carded players list, BOLD each carded pitcher's name on the NL2 worksheet.</t>
  </si>
  <si>
    <t>All remaining work will be performed on ALfinal worksheet, (except traded carded pitchers).</t>
  </si>
  <si>
    <t>Copy each AL team's carded pitcher, (columns A-T), from AL2 worksheet to ALfinal worksheet. Carded pitchers in consecutive rows may be copied and pasted together.</t>
  </si>
  <si>
    <t>All remaining work will be performed on NLfinal worksheet, (except traded carded pitchers).</t>
  </si>
  <si>
    <t>JA Happ</t>
  </si>
  <si>
    <t>Dalier Hinojosa</t>
  </si>
  <si>
    <t>Mark Lowe</t>
  </si>
  <si>
    <t>Jonathon Papelbon</t>
  </si>
  <si>
    <t>Xavier Cedeno</t>
  </si>
  <si>
    <t>Joe Blanton</t>
  </si>
  <si>
    <t>Brandon Finnegan</t>
  </si>
  <si>
    <t>Logan Verrett</t>
  </si>
  <si>
    <t>Daniel Norris</t>
  </si>
  <si>
    <t>Rayn Mattheus</t>
  </si>
  <si>
    <t>Jon Edwards</t>
  </si>
  <si>
    <t>Gonzalez German</t>
  </si>
  <si>
    <t>Jonathon Broxton</t>
  </si>
  <si>
    <t>Nick Massett</t>
  </si>
  <si>
    <t>Matt Latos</t>
  </si>
  <si>
    <t>JC Ramirez</t>
  </si>
  <si>
    <t>Daniel Coulombe</t>
  </si>
  <si>
    <t>Mark Rzepczynski</t>
  </si>
  <si>
    <t>Miguel Castro</t>
  </si>
  <si>
    <t>Danny Burawa</t>
  </si>
  <si>
    <t>Aaron Brooks</t>
  </si>
  <si>
    <t>Kenny Roberts</t>
  </si>
  <si>
    <t>Matt Boyd</t>
  </si>
  <si>
    <t>Cody Martin</t>
  </si>
  <si>
    <t>Rob Rasmussen</t>
  </si>
  <si>
    <t>Preston Guilmet</t>
  </si>
  <si>
    <t>Jorge Rondon</t>
  </si>
  <si>
    <t>Copy IBB column from ALRaw.</t>
  </si>
  <si>
    <t>Right-click SO column in AL2 and Insert Copied Cells.</t>
  </si>
  <si>
    <t>Copy CG and SHO columns from ALRaw.</t>
  </si>
  <si>
    <t>Right-click SV column in AL2 and Insert Copied Cells.</t>
  </si>
  <si>
    <t>Copy TBF column from ALRaw.</t>
  </si>
  <si>
    <t>Right-click AVG column in AL2 and Insert Copied Cells.</t>
  </si>
  <si>
    <t>Copy CG and SHO columns from NLRaw.</t>
  </si>
  <si>
    <t>Right-click SV column in NL2 and Insert Copied Cells.</t>
  </si>
  <si>
    <t>Copy IBB column from NLRaw.</t>
  </si>
  <si>
    <t>Right-click SOcolumn in NL2 and Insert Copied Cells.</t>
  </si>
  <si>
    <t>Copy AJ column from NLRaw.</t>
  </si>
  <si>
    <t>Right-click AVG column in NL2 and Insert Copied Cells.</t>
  </si>
  <si>
    <t>C/P Rating</t>
  </si>
  <si>
    <t>Roll</t>
  </si>
  <si>
    <t>26</t>
  </si>
  <si>
    <t>30</t>
  </si>
  <si>
    <t>Column1</t>
  </si>
  <si>
    <t>Column2</t>
  </si>
  <si>
    <t>Column3</t>
  </si>
  <si>
    <t>Column4</t>
  </si>
  <si>
    <t>Column5</t>
  </si>
  <si>
    <t>Column6</t>
  </si>
  <si>
    <t>Column7</t>
  </si>
  <si>
    <t>Column8</t>
  </si>
  <si>
    <t>Column9</t>
  </si>
  <si>
    <t>Column10</t>
  </si>
  <si>
    <t>Column11</t>
  </si>
  <si>
    <t>2015 Update: we now have a formula that will calculate the accurate Control &amp; Power dice roll columns. Continue to use the instructions below for "out of range" ratings, such as "-43" or "-77".</t>
  </si>
  <si>
    <t> Aquino, J</t>
  </si>
  <si>
    <t> Hart, D</t>
  </si>
  <si>
    <t> Bundy, D</t>
  </si>
  <si>
    <t> Tolliver, A</t>
  </si>
  <si>
    <t> Ondrusek, L</t>
  </si>
  <si>
    <t> Bridwell, P</t>
  </si>
  <si>
    <t> Miranda, A</t>
  </si>
  <si>
    <t> Flaherty, R</t>
  </si>
  <si>
    <t> LaMarre, R</t>
  </si>
  <si>
    <t> Scott, R</t>
  </si>
  <si>
    <t> Cuevas, W</t>
  </si>
  <si>
    <t> Light, P</t>
  </si>
  <si>
    <t> Ynoa, M</t>
  </si>
  <si>
    <t> Minaya, J</t>
  </si>
  <si>
    <t> Purke, M</t>
  </si>
  <si>
    <t> Smith, B</t>
  </si>
  <si>
    <t> Fulmer, C</t>
  </si>
  <si>
    <t> Shuck, J</t>
  </si>
  <si>
    <t> Danish, T</t>
  </si>
  <si>
    <t> Merritt, R</t>
  </si>
  <si>
    <t> Garner, P</t>
  </si>
  <si>
    <t> Clevinger, M</t>
  </si>
  <si>
    <t> Colon, J</t>
  </si>
  <si>
    <t> Plutko, A</t>
  </si>
  <si>
    <t> Morimando, S</t>
  </si>
  <si>
    <t> Gimenez, C</t>
  </si>
  <si>
    <t> Romine, A</t>
  </si>
  <si>
    <t> Fulmer, M</t>
  </si>
  <si>
    <t> Molleken, D</t>
  </si>
  <si>
    <t> Saupold, W</t>
  </si>
  <si>
    <t> Mantiply, J</t>
  </si>
  <si>
    <t> Devenski, C</t>
  </si>
  <si>
    <t> Gustave, J</t>
  </si>
  <si>
    <t> Musgrove, J</t>
  </si>
  <si>
    <t> Hoyt, J</t>
  </si>
  <si>
    <t> Paulino, D</t>
  </si>
  <si>
    <t> Kratz, E</t>
  </si>
  <si>
    <t> White, T</t>
  </si>
  <si>
    <t> Rodgers, B</t>
  </si>
  <si>
    <t> Butera, D</t>
  </si>
  <si>
    <t> Strahm, M</t>
  </si>
  <si>
    <t> Flynn, B</t>
  </si>
  <si>
    <t> Wang, C</t>
  </si>
  <si>
    <t> McCarthy, K</t>
  </si>
  <si>
    <t> Pounders, B</t>
  </si>
  <si>
    <t> Mills, A</t>
  </si>
  <si>
    <t> Ege, C</t>
  </si>
  <si>
    <t> Skaggs, T</t>
  </si>
  <si>
    <t> Mahle, G</t>
  </si>
  <si>
    <t> Wright, D</t>
  </si>
  <si>
    <t> Escobar, E</t>
  </si>
  <si>
    <t> Rogers, T</t>
  </si>
  <si>
    <t> Wimmers, A</t>
  </si>
  <si>
    <t> Boshers, B</t>
  </si>
  <si>
    <t> Chargois, J</t>
  </si>
  <si>
    <t> Dean, P</t>
  </si>
  <si>
    <t> Mejia, A</t>
  </si>
  <si>
    <t> Berrios, J</t>
  </si>
  <si>
    <t> Bleier, R</t>
  </si>
  <si>
    <t> Mullee, C</t>
  </si>
  <si>
    <t> Cessa, L</t>
  </si>
  <si>
    <t> Green, C</t>
  </si>
  <si>
    <t> Parker, B</t>
  </si>
  <si>
    <t> Holder, J</t>
  </si>
  <si>
    <t> Heller, B</t>
  </si>
  <si>
    <t> Barbato, J</t>
  </si>
  <si>
    <t> Ladendorf, T</t>
  </si>
  <si>
    <t> Phegley, J</t>
  </si>
  <si>
    <t> Cotton, J</t>
  </si>
  <si>
    <t> Manaea, S</t>
  </si>
  <si>
    <t> Neal, Z</t>
  </si>
  <si>
    <t> Triggs, A</t>
  </si>
  <si>
    <t> Mengden, D</t>
  </si>
  <si>
    <t> Alcantara, R</t>
  </si>
  <si>
    <t> Wendelken, J</t>
  </si>
  <si>
    <t> Schuster, P</t>
  </si>
  <si>
    <t> Overton, D</t>
  </si>
  <si>
    <t> Sardinas, L</t>
  </si>
  <si>
    <t> Altavilla, D</t>
  </si>
  <si>
    <t> Diaz, E</t>
  </si>
  <si>
    <t> LeBlanc, W</t>
  </si>
  <si>
    <t> Sampson, A</t>
  </si>
  <si>
    <t> Motter, T</t>
  </si>
  <si>
    <t> Marks, J</t>
  </si>
  <si>
    <t> Gamboa, E</t>
  </si>
  <si>
    <t> Marinez, J</t>
  </si>
  <si>
    <t> Snell, B</t>
  </si>
  <si>
    <t> Sturdevant, T</t>
  </si>
  <si>
    <t> Floro, D</t>
  </si>
  <si>
    <t> Garton, R</t>
  </si>
  <si>
    <t> Cobb, A</t>
  </si>
  <si>
    <t> Holaday, B</t>
  </si>
  <si>
    <t> Leclerc, J</t>
  </si>
  <si>
    <t> Barnette, T</t>
  </si>
  <si>
    <t> Bush, M</t>
  </si>
  <si>
    <t> Darvish, Y</t>
  </si>
  <si>
    <t> Griffin, A</t>
  </si>
  <si>
    <t> Harrell, L</t>
  </si>
  <si>
    <t> Hoying, J</t>
  </si>
  <si>
    <t> Roth, M</t>
  </si>
  <si>
    <t> Mendez, Y</t>
  </si>
  <si>
    <t> Goins, R</t>
  </si>
  <si>
    <t> Biagini, J</t>
  </si>
  <si>
    <t> Barnes, D</t>
  </si>
  <si>
    <t> Girodo, C</t>
  </si>
  <si>
    <t> Barney, D</t>
  </si>
  <si>
    <t> Dermody, M</t>
  </si>
  <si>
    <t> Antolin, D</t>
  </si>
  <si>
    <t> Diamond, S</t>
  </si>
  <si>
    <t> Koch, M</t>
  </si>
  <si>
    <t> Buschmann, M</t>
  </si>
  <si>
    <t> Campos, V</t>
  </si>
  <si>
    <t> Barrett, J</t>
  </si>
  <si>
    <t> Hathaway, S</t>
  </si>
  <si>
    <t> Shipley, B</t>
  </si>
  <si>
    <t> Curtis, Z</t>
  </si>
  <si>
    <t> Simmons, S</t>
  </si>
  <si>
    <t> Cabrera, M</t>
  </si>
  <si>
    <t> Cervenka, H</t>
  </si>
  <si>
    <t> Withrow, C</t>
  </si>
  <si>
    <t> Gant, J</t>
  </si>
  <si>
    <t> De La Cruz, J</t>
  </si>
  <si>
    <t> Bradley, J</t>
  </si>
  <si>
    <t> Jenkins, T</t>
  </si>
  <si>
    <t> Younginer, M</t>
  </si>
  <si>
    <t> Whalen, R</t>
  </si>
  <si>
    <t> Blair, A</t>
  </si>
  <si>
    <t> Hursh, J</t>
  </si>
  <si>
    <t> Zastryzny, R</t>
  </si>
  <si>
    <t> Concepcion, G</t>
  </si>
  <si>
    <t> Pena, F</t>
  </si>
  <si>
    <t> Montero, M</t>
  </si>
  <si>
    <t> Holt, T</t>
  </si>
  <si>
    <t> Wood, B</t>
  </si>
  <si>
    <t> Adleman, T</t>
  </si>
  <si>
    <t> Stephenson, R</t>
  </si>
  <si>
    <t> Magill, M</t>
  </si>
  <si>
    <t> Hayes, D</t>
  </si>
  <si>
    <t> Diaz, D</t>
  </si>
  <si>
    <t> Melville, T</t>
  </si>
  <si>
    <t> Somsen, L</t>
  </si>
  <si>
    <t> Anderson, T</t>
  </si>
  <si>
    <t> Chatwood, T</t>
  </si>
  <si>
    <t> Hoffman, J</t>
  </si>
  <si>
    <t> Marquez, G</t>
  </si>
  <si>
    <t> Estevez, C</t>
  </si>
  <si>
    <t> Carasiti, M</t>
  </si>
  <si>
    <t> Dayton, G</t>
  </si>
  <si>
    <t> Urias, J</t>
  </si>
  <si>
    <t> Maeda, K</t>
  </si>
  <si>
    <t> Stripling, R</t>
  </si>
  <si>
    <t> Stewart, B</t>
  </si>
  <si>
    <t> De Leon, J</t>
  </si>
  <si>
    <t> Tepesch, N</t>
  </si>
  <si>
    <t> Ryu, H</t>
  </si>
  <si>
    <t> Wittgren, N</t>
  </si>
  <si>
    <t> Esch, J</t>
  </si>
  <si>
    <t> Clemens, P</t>
  </si>
  <si>
    <t> Brice, A</t>
  </si>
  <si>
    <t> Barnes, J</t>
  </si>
  <si>
    <t> Suter, B</t>
  </si>
  <si>
    <t> Magnifico, D</t>
  </si>
  <si>
    <t> Kirkman, M</t>
  </si>
  <si>
    <t> Rowen, B</t>
  </si>
  <si>
    <t> Gsellman, R</t>
  </si>
  <si>
    <t> Lugo, S</t>
  </si>
  <si>
    <t> Henderson, J</t>
  </si>
  <si>
    <t> Smoker, J</t>
  </si>
  <si>
    <t> Edgin, J</t>
  </si>
  <si>
    <t> Ynoa, G</t>
  </si>
  <si>
    <t> Rodriguez, J</t>
  </si>
  <si>
    <t> Ramos, E</t>
  </si>
  <si>
    <t> Eflin, Z</t>
  </si>
  <si>
    <t> Thompson, J</t>
  </si>
  <si>
    <t> Herrmann, F</t>
  </si>
  <si>
    <t> Stumpf, D</t>
  </si>
  <si>
    <t> Marte, K</t>
  </si>
  <si>
    <t> Phillips, Z</t>
  </si>
  <si>
    <t> Taillon, J</t>
  </si>
  <si>
    <t> Kuhl, C</t>
  </si>
  <si>
    <t> Glasnow, T</t>
  </si>
  <si>
    <t> Brault, S</t>
  </si>
  <si>
    <t> Boscan, W</t>
  </si>
  <si>
    <t> Williams, T</t>
  </si>
  <si>
    <t> Luebke, C</t>
  </si>
  <si>
    <t> Partch, C</t>
  </si>
  <si>
    <t> Bethancourt, C</t>
  </si>
  <si>
    <t> Torres, J</t>
  </si>
  <si>
    <t> Buchter, R</t>
  </si>
  <si>
    <t> Baumann, B</t>
  </si>
  <si>
    <t> Guerrero, T</t>
  </si>
  <si>
    <t> Vargas, C</t>
  </si>
  <si>
    <t> Perdomo, L</t>
  </si>
  <si>
    <t> Blach, T</t>
  </si>
  <si>
    <t> Law, D</t>
  </si>
  <si>
    <t> Okert, S</t>
  </si>
  <si>
    <t> Stratton, C</t>
  </si>
  <si>
    <t> Suarez, A</t>
  </si>
  <si>
    <t> Reyes, A</t>
  </si>
  <si>
    <t> Oh, S</t>
  </si>
  <si>
    <t> Bowman, M</t>
  </si>
  <si>
    <t> Kiekhefer, D</t>
  </si>
  <si>
    <t> Weaver, L</t>
  </si>
  <si>
    <t> Tejada, R</t>
  </si>
  <si>
    <t> Mayers, M</t>
  </si>
  <si>
    <t> Burnett, S</t>
  </si>
  <si>
    <t> Lopez, R</t>
  </si>
  <si>
    <t> Glover, K</t>
  </si>
  <si>
    <t> Giolito, L</t>
  </si>
  <si>
    <t>Column12</t>
  </si>
  <si>
    <t>Column13</t>
  </si>
  <si>
    <t>Control/Power Roll</t>
  </si>
  <si>
    <t>Inning Conversion</t>
  </si>
  <si>
    <t xml:space="preserve">Manually convert each NL carded pitcher's IP from .10 &amp; .20 to .33 &amp; .67, respectively. </t>
  </si>
  <si>
    <t>Copy each NL team's carded pitcher, (columns B-W), from NL2 worksheet to NLfinal worksheet (columns A-V). Carded pitchers in consecutive rows may be copied and pasted together.</t>
  </si>
  <si>
    <t>Format column E (ERA) as numbers with two decimal points. (Highlight column E, right-click, select Format Cells, click Number, set to two decimal points, and click Ok.)</t>
  </si>
  <si>
    <t>Round result to the nearest whole number. Type this final OOTL grade in Column AJ.</t>
  </si>
  <si>
    <t>2016 Update: we now have a formula that will calculate the accurate IP. Drag down from L2 to display the proper IP decimal for each pitcher. For succeeding teams, copy the last pitcher displaying .00, .33 or .67 from the previous team. Paste to the first pitcher on the next team. Drag down from L*. Repeat.</t>
  </si>
  <si>
    <t>Copy column A (Name) for each team to column AI.</t>
  </si>
  <si>
    <t>Copy each traded carded pitcher's complete stat line from AL2 and NL2 worksheets (Columns B-W) to Multi-TeamPitchers worksheet in the format provided.</t>
  </si>
  <si>
    <t>Avg</t>
  </si>
  <si>
    <t>28</t>
  </si>
  <si>
    <t>29</t>
  </si>
  <si>
    <t>Be sure each traded carded pitcher's stat line represents the league in which he pitched (Columns Z &amp; AC). Carefully check the formula in those columns. AL is represented by Row 10 (Control) and Row 8 (Power). NL is represented by Row 21 (Control) and Row 19 (Power).</t>
  </si>
  <si>
    <t>Copy any pitcher's IP (Column L) from either ALfinal or NLfinal worksheet. Paste to the first pitcher's first IP row (Column L). This will compute IP to correct 2 decimal places.</t>
  </si>
  <si>
    <t>Click inside the first pitcher's just converted first IP row (Column L). When the cursor displays the black cross, drag the cursor through the pitcher's next row to accurately convert that IP row to 2 decimal places. (If the pitcher pitched for three or more teams during the season, drag through as many rows as needed in Column L to cover the number of teams for which the pitcher pitched.</t>
  </si>
  <si>
    <t>Copy the pitcher's Name (Column A) from the bolded row (team with which the pitcher will be carded). Paste to the pitcher's Name row (Column AI) next to the pitcher's Final Grade.</t>
  </si>
  <si>
    <t>After copying over the second pitcher from ALfinal or NLfinal, copy the first pitcher's first IP row (Column L). Paste to the next pitcher's first IP row (Column L). This will compute IP to correct 2 decimal places. Repeat for every traded carded pitcher.</t>
  </si>
  <si>
    <t>Accumulated Minor League Time</t>
  </si>
  <si>
    <t>C. Santana</t>
  </si>
  <si>
    <t>Hunter</t>
  </si>
  <si>
    <t>Hardy</t>
  </si>
  <si>
    <t>Joe Smith</t>
  </si>
  <si>
    <t>Darvish - IR</t>
  </si>
  <si>
    <t>H. Alvarez - IR</t>
  </si>
  <si>
    <t>Ortiz</t>
  </si>
  <si>
    <t>Gardner</t>
  </si>
  <si>
    <t>Ozuna</t>
  </si>
  <si>
    <t>JP Crawford</t>
  </si>
  <si>
    <t>Gary Sanchez</t>
  </si>
  <si>
    <t>Cosart **</t>
  </si>
  <si>
    <t>Hammel **</t>
  </si>
  <si>
    <t>S. Miller **</t>
  </si>
  <si>
    <t>Brach</t>
  </si>
  <si>
    <t>Cedeno</t>
  </si>
  <si>
    <t>Jansen</t>
  </si>
  <si>
    <t>Thornton</t>
  </si>
  <si>
    <t>Karns</t>
  </si>
  <si>
    <t>Parra</t>
  </si>
  <si>
    <t>C. Young</t>
  </si>
  <si>
    <t>Mesoraco - IR</t>
  </si>
  <si>
    <t>S. Castro</t>
  </si>
  <si>
    <t>Conforto</t>
  </si>
  <si>
    <t>Cobb - IR</t>
  </si>
  <si>
    <t>Wainwright - IR</t>
  </si>
  <si>
    <t>Jose Berrios</t>
  </si>
  <si>
    <t>Tyler Glasnow</t>
  </si>
  <si>
    <t>Avila</t>
  </si>
  <si>
    <t>Zunino **</t>
  </si>
  <si>
    <t>Valbuena **</t>
  </si>
  <si>
    <t>Pederson</t>
  </si>
  <si>
    <t>Gregory Polanco **</t>
  </si>
  <si>
    <t>Orlando Arcia</t>
  </si>
  <si>
    <t>Blake Snell</t>
  </si>
  <si>
    <t>Bumgarner</t>
  </si>
  <si>
    <t>S. Gray</t>
  </si>
  <si>
    <t>Kimbrel</t>
  </si>
  <si>
    <t>VerHagen</t>
  </si>
  <si>
    <t>Morales</t>
  </si>
  <si>
    <t>Castellanos</t>
  </si>
  <si>
    <t>Wright</t>
  </si>
  <si>
    <t>Segura **</t>
  </si>
  <si>
    <t>H. Ramirez **</t>
  </si>
  <si>
    <t>Colby Rasmus</t>
  </si>
  <si>
    <t>Lourdes Gurriel, Jr.</t>
  </si>
  <si>
    <t>Gallardo</t>
  </si>
  <si>
    <t>Paxton</t>
  </si>
  <si>
    <t>Rodon</t>
  </si>
  <si>
    <t>Shields</t>
  </si>
  <si>
    <t>Furbush</t>
  </si>
  <si>
    <t>Belt</t>
  </si>
  <si>
    <t>Lewis Brinson</t>
  </si>
  <si>
    <t>McHugh</t>
  </si>
  <si>
    <t>Stroman - IR</t>
  </si>
  <si>
    <t>Kelley</t>
  </si>
  <si>
    <t>Walden</t>
  </si>
  <si>
    <t>Casali</t>
  </si>
  <si>
    <t>Rupp</t>
  </si>
  <si>
    <t>Teixeira</t>
  </si>
  <si>
    <t>Pagan</t>
  </si>
  <si>
    <t>DeSclafani **</t>
  </si>
  <si>
    <t>Lackey</t>
  </si>
  <si>
    <t>Quintana **</t>
  </si>
  <si>
    <t>Hughes</t>
  </si>
  <si>
    <t>C. Smith</t>
  </si>
  <si>
    <t>Tolleson</t>
  </si>
  <si>
    <t>Spangenberg</t>
  </si>
  <si>
    <t>Bruce **</t>
  </si>
  <si>
    <t>Josh Bell</t>
  </si>
  <si>
    <t>Nelson</t>
  </si>
  <si>
    <t>Pineda</t>
  </si>
  <si>
    <t>Volquez</t>
  </si>
  <si>
    <t>Gott</t>
  </si>
  <si>
    <t>Kontos</t>
  </si>
  <si>
    <t>Wilhelmsen</t>
  </si>
  <si>
    <t>Shartlesville</t>
  </si>
  <si>
    <t>Browns</t>
  </si>
  <si>
    <t>Unhinged</t>
  </si>
  <si>
    <t>Wahoos</t>
  </si>
  <si>
    <t>90-game season</t>
  </si>
  <si>
    <t>For negative "out of range" ratings, such as "-43" or "-77", type 5.440 for BB Adjust or 4.860 for HR Adjust. Highlight each of those manually adjusted cells with a yellow background so they can be readjusted on next season's spreadsheet.</t>
  </si>
  <si>
    <t>2015 Update: we now have a formula that will calculate the accurate BB &amp; HR Adjust columns.</t>
  </si>
  <si>
    <t>Byung Ho Park</t>
  </si>
  <si>
    <t>Pujols **</t>
  </si>
  <si>
    <t>Odor</t>
  </si>
  <si>
    <t>Rendon</t>
  </si>
  <si>
    <t>Wong **</t>
  </si>
  <si>
    <t>Nomar Mazara</t>
  </si>
  <si>
    <t>Yoan Moncada</t>
  </si>
  <si>
    <t>Matt Harvey</t>
  </si>
  <si>
    <t>Joe Ross</t>
  </si>
  <si>
    <t>Jeremy Jeffress</t>
  </si>
  <si>
    <t>Jesse Hahn **</t>
  </si>
  <si>
    <t>Goldschmidt</t>
  </si>
  <si>
    <t>Gregerson **</t>
  </si>
  <si>
    <t>Paulsen</t>
  </si>
  <si>
    <t>Valencia</t>
  </si>
  <si>
    <t>Gutierrez</t>
  </si>
  <si>
    <t>Chen</t>
  </si>
  <si>
    <t>G. Gonzalez</t>
  </si>
  <si>
    <t>Nola</t>
  </si>
  <si>
    <t>Goeddel</t>
  </si>
  <si>
    <t>Hendricks</t>
  </si>
  <si>
    <t>Howell</t>
  </si>
  <si>
    <t>H. Rondon</t>
  </si>
  <si>
    <t>McGee</t>
  </si>
  <si>
    <t>Storen</t>
  </si>
  <si>
    <t>2016 update: Search for both "-66" and "66" values in Control and Power columns of the Multi-teamPitchers worksheet. Be sure that all of these cells contain a consistent formula; or, be sure that the corresponding BBAdjust or HRAdjust cell has a yellow background.</t>
  </si>
  <si>
    <t>2016 update: Search for both "-66" and "66" values in Control and Power columns of Alfinal and Nlfinal worksheets. Be sure that all of these cells contain a consistent formula; or, be sure that the corresponding BBAdjust or HRAdjust cell has a yellow background.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</si>
</sst>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_);[Red]\(0.000\)"/>
    <numFmt numFmtId="166" formatCode="0.000000"/>
    <numFmt numFmtId="167" formatCode="0.00000"/>
  </numFmts>
  <fonts count="46" x14ac:knownFonts="1">
    <font>
      <sz val="10"/>
      <name val="Arial"/>
    </font>
    <font>
      <sz val="10"/>
      <name val="Arial"/>
      <family val="2"/>
    </font>
    <font>
      <u/>
      <sz val="10"/>
      <color indexed="12"/>
      <name val="Arial"/>
      <family val="2"/>
    </font>
    <font>
      <b/>
      <u/>
      <sz val="8"/>
      <name val="Verdana"/>
      <family val="2"/>
    </font>
    <font>
      <sz val="10"/>
      <name val="Arial"/>
      <family val="2"/>
    </font>
    <font>
      <sz val="10"/>
      <color indexed="10"/>
      <name val="Arial"/>
      <family val="2"/>
    </font>
    <font>
      <b/>
      <sz val="10"/>
      <name val="Arial"/>
      <family val="2"/>
    </font>
    <font>
      <b/>
      <sz val="9"/>
      <name val="Arial"/>
      <family val="2"/>
    </font>
    <font>
      <sz val="9"/>
      <name val="Arial"/>
      <family val="2"/>
    </font>
    <font>
      <sz val="10"/>
      <color indexed="55"/>
      <name val="Arial"/>
      <family val="2"/>
    </font>
    <font>
      <sz val="10"/>
      <color indexed="55"/>
      <name val="Arial"/>
      <family val="2"/>
    </font>
    <font>
      <sz val="10"/>
      <color indexed="10"/>
      <name val="Arial"/>
      <family val="2"/>
    </font>
    <font>
      <sz val="8"/>
      <name val="Arial"/>
      <family val="2"/>
    </font>
    <font>
      <sz val="8.5"/>
      <color indexed="8"/>
      <name val="Arial"/>
      <family val="2"/>
    </font>
    <font>
      <sz val="9"/>
      <name val="Arial"/>
      <family val="2"/>
    </font>
    <font>
      <sz val="9"/>
      <color indexed="10"/>
      <name val="Arial"/>
      <family val="2"/>
    </font>
    <font>
      <b/>
      <sz val="10"/>
      <name val="Tahoma"/>
      <family val="2"/>
    </font>
    <font>
      <b/>
      <sz val="10"/>
      <color indexed="10"/>
      <name val="Tahoma"/>
      <family val="2"/>
    </font>
    <font>
      <sz val="10"/>
      <name val="Tahoma"/>
      <family val="2"/>
    </font>
    <font>
      <sz val="10"/>
      <color indexed="55"/>
      <name val="Tahoma"/>
      <family val="2"/>
    </font>
    <font>
      <b/>
      <u/>
      <sz val="10"/>
      <color indexed="55"/>
      <name val="Tahoma"/>
      <family val="2"/>
    </font>
    <font>
      <b/>
      <u/>
      <sz val="10"/>
      <name val="Tahoma"/>
      <family val="2"/>
    </font>
    <font>
      <b/>
      <sz val="9"/>
      <color indexed="10"/>
      <name val="Tahoma"/>
      <family val="2"/>
    </font>
    <font>
      <sz val="9"/>
      <name val="Tahoma"/>
      <family val="2"/>
    </font>
    <font>
      <sz val="9"/>
      <color indexed="55"/>
      <name val="Tahoma"/>
      <family val="2"/>
    </font>
    <font>
      <sz val="10"/>
      <color indexed="17"/>
      <name val="Tahoma"/>
      <family val="2"/>
    </font>
    <font>
      <sz val="10"/>
      <color indexed="8"/>
      <name val="Arial"/>
      <family val="2"/>
    </font>
    <font>
      <b/>
      <sz val="10"/>
      <color indexed="10"/>
      <name val="Arial"/>
      <family val="2"/>
    </font>
    <font>
      <b/>
      <sz val="10"/>
      <name val="Arial"/>
      <family val="2"/>
    </font>
    <font>
      <sz val="10"/>
      <color rgb="FF000000"/>
      <name val="Arial"/>
      <family val="2"/>
    </font>
    <font>
      <sz val="14"/>
      <color rgb="FF000000"/>
      <name val="Times New Roman"/>
      <family val="1"/>
    </font>
    <font>
      <b/>
      <sz val="14"/>
      <color rgb="FF000000"/>
      <name val="Times New Roman"/>
      <family val="1"/>
    </font>
    <font>
      <b/>
      <sz val="14"/>
      <color rgb="FFFF6600"/>
      <name val="Times New Roman"/>
      <family val="1"/>
    </font>
    <font>
      <sz val="10"/>
      <color rgb="FFFF0000"/>
      <name val="Arial"/>
      <family val="2"/>
    </font>
    <font>
      <sz val="10"/>
      <color theme="5"/>
      <name val="Arial"/>
      <family val="2"/>
    </font>
    <font>
      <b/>
      <sz val="10"/>
      <name val="Arial"/>
      <family val="2"/>
    </font>
    <font>
      <sz val="9"/>
      <color indexed="10"/>
      <name val="Tahoma"/>
      <family val="2"/>
    </font>
    <font>
      <sz val="10"/>
      <color theme="0"/>
      <name val="Arial"/>
      <family val="2"/>
    </font>
    <font>
      <b/>
      <sz val="10"/>
      <color theme="0"/>
      <name val="Arial"/>
      <family val="2"/>
    </font>
    <font>
      <sz val="10"/>
      <color theme="0" tint="-0.34998626667073579"/>
      <name val="Arial"/>
      <family val="2"/>
    </font>
    <font>
      <sz val="10"/>
      <color theme="0" tint="-0.34998626667073579"/>
      <name val="Tahoma"/>
      <family val="2"/>
    </font>
    <font>
      <b/>
      <sz val="10"/>
      <name val="Arial"/>
    </font>
    <font>
      <strike/>
      <sz val="10"/>
      <name val="Arial"/>
      <family val="2"/>
    </font>
    <font>
      <strike/>
      <sz val="10"/>
      <color rgb="FF000000"/>
      <name val="Arial"/>
      <family val="2"/>
    </font>
    <font>
      <b/>
      <sz val="10"/>
      <color theme="0" tint="-0.249977111117893"/>
      <name val="Arial"/>
      <family val="2"/>
    </font>
    <font>
      <sz val="10"/>
      <color theme="0" tint="-0.249977111117893"/>
      <name val="Arial"/>
      <family val="2"/>
    </font>
  </fonts>
  <fills count="6">
    <fill>
      <patternFill patternType="none"/>
    </fill>
    <fill>
      <patternFill patternType="gray125"/>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s>
  <borders count="11">
    <border>
      <left/>
      <right/>
      <top/>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302">
    <xf numFmtId="0" fontId="0" fillId="0" borderId="0" xfId="0"/>
    <xf numFmtId="0" fontId="3" fillId="0" borderId="0" xfId="0" applyFont="1" applyFill="1" applyAlignment="1">
      <alignment horizontal="center"/>
    </xf>
    <xf numFmtId="164" fontId="0" fillId="0" borderId="0" xfId="0" applyNumberFormat="1"/>
    <xf numFmtId="2" fontId="0" fillId="0" borderId="0" xfId="0" applyNumberFormat="1"/>
    <xf numFmtId="164" fontId="5" fillId="0" borderId="0" xfId="0" applyNumberFormat="1" applyFont="1"/>
    <xf numFmtId="49" fontId="6" fillId="0" borderId="0" xfId="0" applyNumberFormat="1" applyFont="1" applyAlignment="1">
      <alignment horizontal="center"/>
    </xf>
    <xf numFmtId="1" fontId="5" fillId="0" borderId="0" xfId="0" applyNumberFormat="1" applyFont="1"/>
    <xf numFmtId="49" fontId="6" fillId="0" borderId="0" xfId="0" applyNumberFormat="1" applyFont="1" applyFill="1" applyBorder="1" applyAlignment="1">
      <alignment horizontal="center"/>
    </xf>
    <xf numFmtId="0" fontId="0" fillId="0" borderId="0" xfId="0" applyFill="1"/>
    <xf numFmtId="49" fontId="6" fillId="0" borderId="0" xfId="0" applyNumberFormat="1" applyFont="1" applyFill="1" applyAlignment="1">
      <alignment horizontal="center"/>
    </xf>
    <xf numFmtId="0" fontId="8" fillId="0" borderId="0" xfId="0" applyFont="1"/>
    <xf numFmtId="0" fontId="9" fillId="0" borderId="0" xfId="0" applyFont="1"/>
    <xf numFmtId="0" fontId="10" fillId="0" borderId="0" xfId="0" applyFont="1"/>
    <xf numFmtId="0" fontId="10" fillId="0" borderId="0" xfId="0" applyFont="1" applyFill="1"/>
    <xf numFmtId="1" fontId="4" fillId="0" borderId="0" xfId="0" applyNumberFormat="1" applyFont="1" applyAlignment="1">
      <alignment horizontal="center"/>
    </xf>
    <xf numFmtId="0" fontId="11" fillId="0" borderId="0" xfId="0" applyFont="1"/>
    <xf numFmtId="164" fontId="4" fillId="0" borderId="0" xfId="0" applyNumberFormat="1" applyFont="1"/>
    <xf numFmtId="2" fontId="4" fillId="0" borderId="0" xfId="0" applyNumberFormat="1" applyFont="1"/>
    <xf numFmtId="0" fontId="4" fillId="0" borderId="0" xfId="0" applyFont="1" applyAlignment="1">
      <alignment horizontal="center"/>
    </xf>
    <xf numFmtId="49" fontId="4" fillId="0" borderId="0" xfId="0" applyNumberFormat="1" applyFont="1" applyFill="1"/>
    <xf numFmtId="1" fontId="15" fillId="0" borderId="0" xfId="0" applyNumberFormat="1" applyFont="1"/>
    <xf numFmtId="164" fontId="8" fillId="0" borderId="0" xfId="0" applyNumberFormat="1" applyFont="1"/>
    <xf numFmtId="49" fontId="7" fillId="0" borderId="0" xfId="0" applyNumberFormat="1" applyFont="1" applyAlignment="1">
      <alignment horizontal="center"/>
    </xf>
    <xf numFmtId="0" fontId="14" fillId="0" borderId="0" xfId="0" applyFont="1"/>
    <xf numFmtId="0" fontId="18" fillId="0" borderId="0" xfId="0" applyFont="1"/>
    <xf numFmtId="2" fontId="18" fillId="0" borderId="0" xfId="0" applyNumberFormat="1" applyFont="1"/>
    <xf numFmtId="0" fontId="19" fillId="0" borderId="0" xfId="0" applyFont="1"/>
    <xf numFmtId="0" fontId="20" fillId="0" borderId="0" xfId="0" applyFont="1" applyFill="1" applyAlignment="1">
      <alignment horizontal="center"/>
    </xf>
    <xf numFmtId="0" fontId="18" fillId="0" borderId="0" xfId="0" applyFont="1" applyFill="1"/>
    <xf numFmtId="0" fontId="21" fillId="0" borderId="0" xfId="0" applyFont="1" applyFill="1" applyAlignment="1">
      <alignment horizontal="center"/>
    </xf>
    <xf numFmtId="0" fontId="18" fillId="0" borderId="0" xfId="0" applyFont="1" applyAlignment="1">
      <alignment horizontal="center"/>
    </xf>
    <xf numFmtId="0" fontId="16" fillId="0" borderId="0" xfId="0" applyFont="1" applyAlignment="1">
      <alignment horizontal="center"/>
    </xf>
    <xf numFmtId="0" fontId="22" fillId="2" borderId="0" xfId="0" applyFont="1" applyFill="1" applyBorder="1" applyAlignment="1">
      <alignment horizontal="center"/>
    </xf>
    <xf numFmtId="0" fontId="23" fillId="0" borderId="0" xfId="0" applyFont="1"/>
    <xf numFmtId="0" fontId="24" fillId="0" borderId="0" xfId="0" applyFont="1"/>
    <xf numFmtId="2" fontId="16" fillId="0" borderId="0" xfId="0" applyNumberFormat="1" applyFont="1" applyAlignment="1">
      <alignment horizontal="center"/>
    </xf>
    <xf numFmtId="2" fontId="17" fillId="0" borderId="0" xfId="0" applyNumberFormat="1" applyFont="1" applyAlignment="1">
      <alignment horizontal="center"/>
    </xf>
    <xf numFmtId="2" fontId="25" fillId="0" borderId="0" xfId="0" applyNumberFormat="1" applyFont="1" applyAlignment="1">
      <alignment horizontal="center"/>
    </xf>
    <xf numFmtId="0" fontId="17" fillId="0" borderId="0" xfId="0" applyFont="1" applyAlignment="1">
      <alignment horizontal="center"/>
    </xf>
    <xf numFmtId="166" fontId="25" fillId="0" borderId="0" xfId="0" applyNumberFormat="1" applyFont="1"/>
    <xf numFmtId="166" fontId="18" fillId="0" borderId="0" xfId="0" applyNumberFormat="1" applyFont="1"/>
    <xf numFmtId="0" fontId="6" fillId="0" borderId="0" xfId="0" applyFont="1"/>
    <xf numFmtId="0" fontId="4" fillId="0" borderId="0" xfId="0" applyFont="1" applyFill="1"/>
    <xf numFmtId="0" fontId="4" fillId="0" borderId="0" xfId="0" applyFont="1"/>
    <xf numFmtId="0" fontId="26" fillId="0" borderId="0" xfId="0" applyFont="1" applyAlignment="1">
      <alignment horizontal="center" wrapText="1"/>
    </xf>
    <xf numFmtId="0" fontId="13" fillId="0" borderId="0" xfId="0" applyFont="1" applyAlignment="1">
      <alignment horizontal="center"/>
    </xf>
    <xf numFmtId="164" fontId="6"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0" fontId="6" fillId="2" borderId="0" xfId="0" applyFont="1" applyFill="1" applyBorder="1" applyAlignment="1">
      <alignment horizontal="center"/>
    </xf>
    <xf numFmtId="2" fontId="6" fillId="2" borderId="0" xfId="0" applyNumberFormat="1" applyFont="1" applyFill="1" applyBorder="1" applyAlignment="1">
      <alignment horizontal="center"/>
    </xf>
    <xf numFmtId="165" fontId="4" fillId="0" borderId="0" xfId="0" applyNumberFormat="1" applyFont="1"/>
    <xf numFmtId="165" fontId="6" fillId="2" borderId="0" xfId="0" applyNumberFormat="1" applyFont="1" applyFill="1" applyBorder="1" applyAlignment="1">
      <alignment horizontal="center"/>
    </xf>
    <xf numFmtId="165" fontId="4" fillId="0" borderId="0" xfId="0" applyNumberFormat="1" applyFont="1" applyFill="1"/>
    <xf numFmtId="1" fontId="5" fillId="0" borderId="0" xfId="0" applyNumberFormat="1" applyFont="1" applyFill="1"/>
    <xf numFmtId="164" fontId="4" fillId="0" borderId="0" xfId="0" applyNumberFormat="1" applyFont="1" applyFill="1"/>
    <xf numFmtId="2" fontId="4" fillId="0" borderId="0" xfId="0" applyNumberFormat="1" applyFont="1" applyFill="1"/>
    <xf numFmtId="164" fontId="5" fillId="0" borderId="0" xfId="0" applyNumberFormat="1" applyFont="1" applyFill="1"/>
    <xf numFmtId="1" fontId="6" fillId="2" borderId="0" xfId="0" applyNumberFormat="1" applyFont="1" applyFill="1" applyAlignment="1">
      <alignment horizontal="center"/>
    </xf>
    <xf numFmtId="0" fontId="6" fillId="0" borderId="0" xfId="0" applyFont="1" applyAlignment="1">
      <alignment horizontal="center"/>
    </xf>
    <xf numFmtId="49" fontId="6" fillId="2" borderId="0" xfId="0" applyNumberFormat="1" applyFont="1" applyFill="1" applyBorder="1" applyAlignment="1">
      <alignment horizontal="center"/>
    </xf>
    <xf numFmtId="49" fontId="6" fillId="0" borderId="0" xfId="0" applyNumberFormat="1" applyFont="1" applyBorder="1" applyAlignment="1">
      <alignment horizontal="center"/>
    </xf>
    <xf numFmtId="1" fontId="4" fillId="0" borderId="0" xfId="0" applyNumberFormat="1" applyFont="1" applyFill="1"/>
    <xf numFmtId="1" fontId="0" fillId="0" borderId="0" xfId="0" applyNumberFormat="1"/>
    <xf numFmtId="0" fontId="26" fillId="0" borderId="0" xfId="0" applyFont="1" applyAlignment="1">
      <alignment wrapText="1"/>
    </xf>
    <xf numFmtId="2" fontId="26" fillId="0" borderId="0" xfId="0" applyNumberFormat="1" applyFont="1" applyAlignment="1">
      <alignment wrapText="1"/>
    </xf>
    <xf numFmtId="1" fontId="26" fillId="0" borderId="0" xfId="0" applyNumberFormat="1" applyFont="1" applyAlignment="1">
      <alignment horizontal="center" wrapText="1"/>
    </xf>
    <xf numFmtId="1" fontId="26" fillId="0" borderId="0" xfId="0" applyNumberFormat="1" applyFont="1" applyAlignment="1">
      <alignment wrapText="1"/>
    </xf>
    <xf numFmtId="2" fontId="26" fillId="0" borderId="0" xfId="0" applyNumberFormat="1" applyFont="1" applyAlignment="1">
      <alignment horizontal="center" wrapText="1"/>
    </xf>
    <xf numFmtId="1" fontId="4" fillId="0" borderId="0" xfId="0" applyNumberFormat="1" applyFont="1"/>
    <xf numFmtId="49" fontId="4" fillId="0" borderId="0" xfId="0" applyNumberFormat="1" applyFont="1" applyFill="1" applyAlignment="1">
      <alignment horizontal="center"/>
    </xf>
    <xf numFmtId="0" fontId="4" fillId="0" borderId="0" xfId="0" applyFont="1" applyFill="1" applyAlignment="1">
      <alignment horizontal="center"/>
    </xf>
    <xf numFmtId="2" fontId="4" fillId="0" borderId="0" xfId="0" applyNumberFormat="1" applyFont="1" applyFill="1" applyAlignment="1">
      <alignment horizontal="center"/>
    </xf>
    <xf numFmtId="1" fontId="4" fillId="0" borderId="0" xfId="0" applyNumberFormat="1" applyFont="1" applyFill="1" applyAlignment="1">
      <alignment horizontal="center"/>
    </xf>
    <xf numFmtId="0" fontId="1" fillId="0" borderId="0" xfId="0" applyFont="1"/>
    <xf numFmtId="0" fontId="27" fillId="0" borderId="0" xfId="0" applyFont="1"/>
    <xf numFmtId="0" fontId="28" fillId="0" borderId="0" xfId="0" applyFont="1" applyAlignment="1">
      <alignment horizontal="center" vertical="center" wrapText="1"/>
    </xf>
    <xf numFmtId="0" fontId="0" fillId="0" borderId="0" xfId="0" applyAlignment="1">
      <alignment vertical="center" wrapText="1"/>
    </xf>
    <xf numFmtId="0" fontId="2" fillId="0" borderId="0" xfId="1" applyAlignment="1" applyProtection="1">
      <alignment vertical="center" wrapText="1"/>
    </xf>
    <xf numFmtId="0" fontId="28" fillId="0" borderId="0" xfId="0" applyNumberFormat="1" applyFont="1" applyAlignment="1">
      <alignment vertical="top" wrapText="1"/>
    </xf>
    <xf numFmtId="0" fontId="0" fillId="0" borderId="0" xfId="0" applyNumberFormat="1" applyAlignment="1">
      <alignment vertical="top" wrapText="1"/>
    </xf>
    <xf numFmtId="0" fontId="0" fillId="0" borderId="4" xfId="0" applyNumberFormat="1" applyBorder="1" applyAlignment="1">
      <alignment vertical="top" wrapText="1"/>
    </xf>
    <xf numFmtId="0" fontId="0" fillId="0" borderId="3" xfId="0" applyNumberFormat="1" applyBorder="1" applyAlignment="1">
      <alignment vertical="top" wrapText="1"/>
    </xf>
    <xf numFmtId="0" fontId="0" fillId="0" borderId="1" xfId="0" applyNumberFormat="1" applyBorder="1" applyAlignment="1">
      <alignment vertical="top" wrapText="1"/>
    </xf>
    <xf numFmtId="0" fontId="0" fillId="0" borderId="7" xfId="0" applyNumberFormat="1" applyBorder="1" applyAlignment="1">
      <alignment vertical="top" wrapText="1"/>
    </xf>
    <xf numFmtId="0" fontId="0" fillId="0" borderId="6" xfId="0" applyNumberFormat="1" applyBorder="1" applyAlignment="1">
      <alignment vertical="top" wrapText="1"/>
    </xf>
    <xf numFmtId="0" fontId="28"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 xfId="0" applyNumberFormat="1" applyBorder="1" applyAlignment="1">
      <alignment horizontal="center" vertical="top" wrapText="1"/>
    </xf>
    <xf numFmtId="0" fontId="0" fillId="0" borderId="5" xfId="0" applyNumberFormat="1" applyBorder="1" applyAlignment="1">
      <alignment horizontal="center" vertical="top" wrapText="1"/>
    </xf>
    <xf numFmtId="0" fontId="2" fillId="0" borderId="0" xfId="1" quotePrefix="1" applyNumberFormat="1" applyAlignment="1" applyProtection="1">
      <alignment horizontal="center" vertical="top" wrapText="1"/>
    </xf>
    <xf numFmtId="0" fontId="0" fillId="0" borderId="2" xfId="0" applyNumberFormat="1" applyBorder="1" applyAlignment="1">
      <alignment horizontal="center" vertical="top" wrapText="1"/>
    </xf>
    <xf numFmtId="0" fontId="0" fillId="0" borderId="6" xfId="0" applyNumberFormat="1" applyBorder="1" applyAlignment="1">
      <alignment horizontal="center" vertical="top" wrapText="1"/>
    </xf>
    <xf numFmtId="0" fontId="2" fillId="0" borderId="6" xfId="1" quotePrefix="1" applyNumberFormat="1" applyBorder="1" applyAlignment="1" applyProtection="1">
      <alignment horizontal="center" vertical="top" wrapText="1"/>
    </xf>
    <xf numFmtId="0" fontId="0" fillId="0" borderId="8" xfId="0" applyNumberFormat="1" applyBorder="1" applyAlignment="1">
      <alignment horizontal="center" vertical="top" wrapText="1"/>
    </xf>
    <xf numFmtId="49" fontId="6" fillId="0" borderId="0" xfId="0" applyNumberFormat="1" applyFont="1" applyAlignment="1">
      <alignment horizontal="center" vertical="center" wrapText="1"/>
    </xf>
    <xf numFmtId="49" fontId="4" fillId="0" borderId="0" xfId="1" applyNumberFormat="1" applyFont="1" applyAlignment="1" applyProtection="1">
      <alignment vertical="center" wrapText="1"/>
    </xf>
    <xf numFmtId="2" fontId="28" fillId="0" borderId="0" xfId="0" applyNumberFormat="1" applyFont="1" applyAlignment="1">
      <alignment horizontal="center" vertical="center" wrapText="1"/>
    </xf>
    <xf numFmtId="2" fontId="0" fillId="0" borderId="0" xfId="0" applyNumberFormat="1" applyAlignment="1">
      <alignment vertical="center" wrapText="1"/>
    </xf>
    <xf numFmtId="0" fontId="4" fillId="0" borderId="0" xfId="0" applyFont="1" applyAlignment="1">
      <alignment vertical="center" wrapText="1"/>
    </xf>
    <xf numFmtId="164" fontId="28" fillId="0" borderId="0" xfId="0" applyNumberFormat="1" applyFont="1" applyAlignment="1">
      <alignment horizontal="center" vertical="center" wrapText="1"/>
    </xf>
    <xf numFmtId="164" fontId="0" fillId="0" borderId="0" xfId="0" applyNumberFormat="1" applyAlignment="1">
      <alignment vertical="center" wrapText="1"/>
    </xf>
    <xf numFmtId="164" fontId="4" fillId="0" borderId="0" xfId="0" applyNumberFormat="1" applyFont="1" applyAlignment="1">
      <alignment vertical="center" wrapText="1"/>
    </xf>
    <xf numFmtId="0" fontId="6" fillId="0" borderId="0" xfId="0" applyFont="1" applyAlignment="1">
      <alignment horizontal="center" vertical="center" wrapText="1"/>
    </xf>
    <xf numFmtId="2" fontId="4" fillId="0" borderId="0" xfId="0" applyNumberFormat="1" applyFont="1" applyAlignment="1">
      <alignment horizontal="center"/>
    </xf>
    <xf numFmtId="49" fontId="26" fillId="0" borderId="0" xfId="0" applyNumberFormat="1" applyFont="1" applyAlignment="1"/>
    <xf numFmtId="49" fontId="4" fillId="0" borderId="0" xfId="1" applyNumberFormat="1" applyFont="1" applyAlignment="1" applyProtection="1">
      <alignment vertical="center"/>
    </xf>
    <xf numFmtId="49" fontId="6" fillId="0" borderId="0" xfId="1" applyNumberFormat="1" applyFont="1" applyAlignment="1" applyProtection="1">
      <alignment vertical="center"/>
    </xf>
    <xf numFmtId="49" fontId="4" fillId="0" borderId="0" xfId="0" applyNumberFormat="1" applyFont="1" applyFill="1" applyAlignment="1"/>
    <xf numFmtId="0" fontId="0" fillId="0" borderId="0" xfId="0" applyAlignment="1"/>
    <xf numFmtId="1" fontId="0" fillId="0" borderId="0" xfId="0" applyNumberFormat="1" applyAlignment="1"/>
    <xf numFmtId="2" fontId="0" fillId="0" borderId="0" xfId="0" applyNumberFormat="1" applyAlignment="1">
      <alignment vertical="center"/>
    </xf>
    <xf numFmtId="2" fontId="0" fillId="0" borderId="0" xfId="0" applyNumberFormat="1" applyAlignment="1"/>
    <xf numFmtId="167" fontId="4" fillId="0" borderId="0" xfId="0" applyNumberFormat="1" applyFont="1" applyAlignment="1">
      <alignment horizontal="center"/>
    </xf>
    <xf numFmtId="167" fontId="4" fillId="0" borderId="0" xfId="0" applyNumberFormat="1" applyFont="1" applyAlignment="1">
      <alignment horizontal="right"/>
    </xf>
    <xf numFmtId="167" fontId="4" fillId="0" borderId="0" xfId="0" applyNumberFormat="1" applyFont="1" applyFill="1" applyAlignment="1">
      <alignment horizontal="right"/>
    </xf>
    <xf numFmtId="165" fontId="6" fillId="0" borderId="0" xfId="0" applyNumberFormat="1" applyFont="1" applyFill="1" applyBorder="1" applyAlignment="1">
      <alignment horizontal="center"/>
    </xf>
    <xf numFmtId="1" fontId="27" fillId="0" borderId="0" xfId="0" applyNumberFormat="1" applyFont="1" applyFill="1" applyBorder="1" applyAlignment="1">
      <alignment horizontal="center"/>
    </xf>
    <xf numFmtId="164" fontId="6" fillId="0" borderId="0" xfId="0" applyNumberFormat="1" applyFont="1" applyFill="1" applyBorder="1" applyAlignment="1">
      <alignment horizontal="center"/>
    </xf>
    <xf numFmtId="0" fontId="6" fillId="0" borderId="0" xfId="0" applyFont="1" applyFill="1" applyBorder="1" applyAlignment="1">
      <alignment horizontal="center"/>
    </xf>
    <xf numFmtId="2" fontId="6" fillId="0" borderId="0" xfId="0" applyNumberFormat="1" applyFont="1" applyFill="1" applyBorder="1" applyAlignment="1">
      <alignment horizontal="center"/>
    </xf>
    <xf numFmtId="0" fontId="22" fillId="0" borderId="0" xfId="0" applyFont="1" applyFill="1" applyBorder="1" applyAlignment="1">
      <alignment horizontal="center"/>
    </xf>
    <xf numFmtId="1" fontId="6" fillId="0" borderId="0" xfId="0" applyNumberFormat="1" applyFont="1" applyFill="1" applyAlignment="1">
      <alignment horizontal="center"/>
    </xf>
    <xf numFmtId="0" fontId="18" fillId="0" borderId="0" xfId="0" applyFont="1" applyFill="1" applyAlignment="1">
      <alignment horizontal="center"/>
    </xf>
    <xf numFmtId="167" fontId="4" fillId="0" borderId="0" xfId="0" applyNumberFormat="1" applyFont="1" applyFill="1" applyAlignment="1">
      <alignment horizontal="center"/>
    </xf>
    <xf numFmtId="49" fontId="4" fillId="0" borderId="0" xfId="1" applyNumberFormat="1" applyFont="1" applyFill="1" applyAlignment="1" applyProtection="1">
      <alignment vertical="center"/>
    </xf>
    <xf numFmtId="0" fontId="0" fillId="0" borderId="0" xfId="0" applyFill="1" applyAlignment="1">
      <alignment vertical="center" wrapText="1"/>
    </xf>
    <xf numFmtId="2" fontId="0" fillId="0" borderId="0" xfId="0" applyNumberFormat="1" applyFill="1" applyAlignment="1">
      <alignment vertical="center" wrapText="1"/>
    </xf>
    <xf numFmtId="0" fontId="0" fillId="0" borderId="0" xfId="0" applyBorder="1"/>
    <xf numFmtId="164" fontId="27" fillId="0" borderId="0" xfId="0" applyNumberFormat="1" applyFont="1" applyFill="1" applyBorder="1" applyAlignment="1">
      <alignment horizontal="center"/>
    </xf>
    <xf numFmtId="0" fontId="6" fillId="0" borderId="0" xfId="0" applyFont="1" applyFill="1" applyAlignment="1">
      <alignment horizontal="center"/>
    </xf>
    <xf numFmtId="164" fontId="22" fillId="0" borderId="0" xfId="0" applyNumberFormat="1" applyFont="1" applyFill="1" applyBorder="1" applyAlignment="1">
      <alignment horizontal="center"/>
    </xf>
    <xf numFmtId="0" fontId="0" fillId="0" borderId="0" xfId="0" applyFill="1" applyAlignment="1"/>
    <xf numFmtId="2" fontId="0" fillId="0" borderId="0" xfId="0" applyNumberFormat="1" applyFill="1"/>
    <xf numFmtId="1" fontId="15" fillId="0" borderId="0" xfId="0" applyNumberFormat="1" applyFont="1" applyFill="1"/>
    <xf numFmtId="164" fontId="8" fillId="0" borderId="0" xfId="0" applyNumberFormat="1" applyFont="1" applyFill="1"/>
    <xf numFmtId="0" fontId="14" fillId="0" borderId="0" xfId="0" applyFont="1" applyFill="1"/>
    <xf numFmtId="0" fontId="8" fillId="0" borderId="0" xfId="0" applyFont="1" applyFill="1"/>
    <xf numFmtId="49" fontId="7" fillId="0" borderId="0" xfId="0" applyNumberFormat="1" applyFont="1" applyFill="1" applyAlignment="1">
      <alignment horizontal="center"/>
    </xf>
    <xf numFmtId="0" fontId="0" fillId="0" borderId="0" xfId="0" applyAlignment="1">
      <alignment horizontal="center" vertical="center" wrapText="1"/>
    </xf>
    <xf numFmtId="1" fontId="18" fillId="0" borderId="0" xfId="0" applyNumberFormat="1" applyFont="1"/>
    <xf numFmtId="2" fontId="6"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2" fontId="4" fillId="0" borderId="0" xfId="0" applyNumberFormat="1" applyFont="1" applyAlignment="1">
      <alignment horizontal="right" vertical="center" wrapText="1"/>
    </xf>
    <xf numFmtId="0" fontId="4" fillId="0" borderId="0" xfId="0" applyFont="1" applyAlignment="1">
      <alignment horizontal="right"/>
    </xf>
    <xf numFmtId="2" fontId="4" fillId="0" borderId="0" xfId="0" applyNumberFormat="1" applyFont="1" applyAlignment="1">
      <alignment vertical="center" wrapText="1"/>
    </xf>
    <xf numFmtId="0" fontId="0" fillId="0" borderId="0" xfId="0" applyAlignment="1">
      <alignment vertical="center"/>
    </xf>
    <xf numFmtId="0" fontId="0" fillId="0" borderId="0" xfId="0" applyAlignment="1">
      <alignment horizontal="center"/>
    </xf>
    <xf numFmtId="0" fontId="4" fillId="0" borderId="0" xfId="0" applyFont="1" applyAlignment="1">
      <alignment horizontal="center" vertical="center" wrapText="1"/>
    </xf>
    <xf numFmtId="2"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vertical="center"/>
    </xf>
    <xf numFmtId="165" fontId="4" fillId="0" borderId="0" xfId="0" applyNumberFormat="1" applyFont="1" applyAlignment="1">
      <alignment horizontal="center"/>
    </xf>
    <xf numFmtId="1" fontId="5" fillId="0" borderId="0" xfId="0" applyNumberFormat="1" applyFont="1" applyAlignment="1">
      <alignment horizontal="center"/>
    </xf>
    <xf numFmtId="164" fontId="4" fillId="0" borderId="0" xfId="0" applyNumberFormat="1" applyFont="1" applyAlignment="1">
      <alignment horizontal="center"/>
    </xf>
    <xf numFmtId="164" fontId="5"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wrapText="1"/>
    </xf>
    <xf numFmtId="2" fontId="0" fillId="0" borderId="0" xfId="0" applyNumberFormat="1" applyAlignment="1">
      <alignment horizontal="center"/>
    </xf>
    <xf numFmtId="0" fontId="0" fillId="0" borderId="0" xfId="0" applyBorder="1" applyAlignment="1">
      <alignment horizontal="center"/>
    </xf>
    <xf numFmtId="2"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65" fontId="4" fillId="0" borderId="0" xfId="0" applyNumberFormat="1" applyFont="1" applyFill="1" applyAlignment="1">
      <alignment horizontal="center"/>
    </xf>
    <xf numFmtId="1" fontId="5" fillId="0" borderId="0" xfId="0" applyNumberFormat="1" applyFont="1" applyFill="1" applyAlignment="1">
      <alignment horizontal="center"/>
    </xf>
    <xf numFmtId="164" fontId="4" fillId="0" borderId="0" xfId="0" applyNumberFormat="1" applyFont="1" applyFill="1" applyAlignment="1">
      <alignment horizontal="center"/>
    </xf>
    <xf numFmtId="164" fontId="5" fillId="0" borderId="0" xfId="0" applyNumberFormat="1" applyFont="1" applyFill="1" applyAlignment="1">
      <alignment horizontal="center"/>
    </xf>
    <xf numFmtId="49" fontId="4" fillId="0" borderId="0" xfId="1" applyNumberFormat="1" applyFont="1" applyAlignment="1" applyProtection="1">
      <alignment horizontal="center" vertical="center" wrapText="1"/>
    </xf>
    <xf numFmtId="2" fontId="6" fillId="0" borderId="0" xfId="0" applyNumberFormat="1" applyFont="1" applyFill="1" applyAlignment="1">
      <alignment horizontal="center"/>
    </xf>
    <xf numFmtId="0" fontId="0" fillId="0" borderId="0" xfId="0" applyAlignment="1">
      <alignment horizontal="left"/>
    </xf>
    <xf numFmtId="49" fontId="6" fillId="0" borderId="0" xfId="0" applyNumberFormat="1" applyFont="1" applyFill="1" applyAlignment="1">
      <alignment horizontal="left"/>
    </xf>
    <xf numFmtId="0" fontId="6" fillId="0" borderId="0" xfId="0" applyFont="1" applyAlignment="1">
      <alignment horizontal="left"/>
    </xf>
    <xf numFmtId="49" fontId="6" fillId="0" borderId="0" xfId="1" applyNumberFormat="1" applyFont="1" applyAlignment="1" applyProtection="1">
      <alignment horizontal="left" vertical="center" wrapText="1"/>
    </xf>
    <xf numFmtId="0" fontId="29" fillId="0" borderId="0" xfId="0" applyFont="1" applyAlignment="1">
      <alignment horizontal="left" vertical="center"/>
    </xf>
    <xf numFmtId="0" fontId="30" fillId="3" borderId="9" xfId="0" applyFont="1" applyFill="1" applyBorder="1" applyAlignment="1">
      <alignment horizontal="left" vertical="center"/>
    </xf>
    <xf numFmtId="2" fontId="6" fillId="0" borderId="0" xfId="0" applyNumberFormat="1" applyFont="1" applyAlignment="1">
      <alignment horizontal="center"/>
    </xf>
    <xf numFmtId="1" fontId="4" fillId="0" borderId="0" xfId="0" applyNumberFormat="1" applyFont="1" applyAlignment="1">
      <alignment horizontal="right"/>
    </xf>
    <xf numFmtId="0" fontId="0" fillId="0" borderId="0" xfId="0" applyAlignment="1">
      <alignment horizontal="right"/>
    </xf>
    <xf numFmtId="0" fontId="0" fillId="0" borderId="0" xfId="0" applyAlignment="1">
      <alignment horizontal="right" vertical="center" wrapText="1"/>
    </xf>
    <xf numFmtId="1" fontId="4" fillId="0" borderId="0" xfId="0" applyNumberFormat="1" applyFont="1" applyFill="1" applyAlignment="1">
      <alignment horizontal="right"/>
    </xf>
    <xf numFmtId="0" fontId="0" fillId="0" borderId="0" xfId="0" applyFill="1" applyAlignment="1">
      <alignment horizontal="right" vertical="center" wrapText="1"/>
    </xf>
    <xf numFmtId="1" fontId="8" fillId="0" borderId="0" xfId="0" applyNumberFormat="1" applyFont="1" applyAlignment="1">
      <alignment horizontal="right"/>
    </xf>
    <xf numFmtId="1" fontId="8" fillId="0" borderId="0" xfId="0" applyNumberFormat="1" applyFont="1" applyFill="1" applyAlignment="1">
      <alignment horizontal="right"/>
    </xf>
    <xf numFmtId="0" fontId="4" fillId="0" borderId="0" xfId="0" applyFont="1" applyFill="1" applyAlignment="1">
      <alignment horizontal="right"/>
    </xf>
    <xf numFmtId="0" fontId="0" fillId="0" borderId="0" xfId="0" applyFill="1" applyAlignment="1">
      <alignment horizontal="right"/>
    </xf>
    <xf numFmtId="2" fontId="0" fillId="0" borderId="0" xfId="0" applyNumberFormat="1" applyFill="1" applyAlignment="1"/>
    <xf numFmtId="2" fontId="1" fillId="0" borderId="0" xfId="0" applyNumberFormat="1" applyFont="1" applyAlignment="1">
      <alignment vertical="center" wrapText="1"/>
    </xf>
    <xf numFmtId="1" fontId="33" fillId="0" borderId="0" xfId="0" applyNumberFormat="1" applyFont="1" applyAlignment="1">
      <alignment horizontal="center"/>
    </xf>
    <xf numFmtId="0" fontId="0" fillId="4" borderId="0" xfId="0" applyFill="1" applyAlignment="1">
      <alignment horizontal="center"/>
    </xf>
    <xf numFmtId="0" fontId="0" fillId="4" borderId="0" xfId="0" applyFill="1" applyAlignment="1">
      <alignment horizontal="left"/>
    </xf>
    <xf numFmtId="2" fontId="4" fillId="4" borderId="0" xfId="0" applyNumberFormat="1" applyFont="1" applyFill="1" applyAlignment="1">
      <alignment horizontal="center"/>
    </xf>
    <xf numFmtId="1" fontId="4" fillId="4" borderId="0" xfId="0" applyNumberFormat="1" applyFont="1" applyFill="1" applyAlignment="1">
      <alignment horizontal="center"/>
    </xf>
    <xf numFmtId="0" fontId="18" fillId="4" borderId="0" xfId="0" applyFont="1" applyFill="1" applyAlignment="1">
      <alignment horizontal="center"/>
    </xf>
    <xf numFmtId="2" fontId="0" fillId="4" borderId="0" xfId="0" applyNumberFormat="1" applyFill="1" applyAlignment="1">
      <alignment horizontal="center"/>
    </xf>
    <xf numFmtId="0" fontId="0" fillId="0" borderId="0" xfId="0" applyFill="1" applyAlignment="1">
      <alignment horizontal="center"/>
    </xf>
    <xf numFmtId="2" fontId="0" fillId="0" borderId="0" xfId="0" applyNumberFormat="1" applyFill="1" applyAlignment="1">
      <alignment horizontal="center"/>
    </xf>
    <xf numFmtId="1" fontId="33" fillId="0" borderId="0" xfId="0"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wrapText="1"/>
    </xf>
    <xf numFmtId="0" fontId="5" fillId="0" borderId="0" xfId="0" applyFont="1"/>
    <xf numFmtId="0" fontId="33" fillId="0" borderId="0" xfId="0" applyFont="1"/>
    <xf numFmtId="0" fontId="34" fillId="0" borderId="0" xfId="0" applyFont="1"/>
    <xf numFmtId="0" fontId="35" fillId="0" borderId="0" xfId="0" applyFont="1" applyAlignment="1">
      <alignment horizontal="center" vertical="center" wrapText="1"/>
    </xf>
    <xf numFmtId="0" fontId="1" fillId="0" borderId="0" xfId="0" applyFont="1" applyAlignment="1">
      <alignment vertical="center" wrapText="1"/>
    </xf>
    <xf numFmtId="2" fontId="1" fillId="0" borderId="0" xfId="0" applyNumberFormat="1" applyFont="1"/>
    <xf numFmtId="49" fontId="1" fillId="0" borderId="0" xfId="0" applyNumberFormat="1" applyFont="1" applyFill="1" applyAlignment="1">
      <alignment horizontal="center"/>
    </xf>
    <xf numFmtId="2" fontId="1" fillId="0" borderId="0" xfId="0" applyNumberFormat="1" applyFont="1" applyFill="1" applyAlignment="1">
      <alignment horizontal="center"/>
    </xf>
    <xf numFmtId="1" fontId="1" fillId="0" borderId="0" xfId="0" applyNumberFormat="1" applyFont="1" applyFill="1" applyAlignment="1">
      <alignment horizontal="center"/>
    </xf>
    <xf numFmtId="165" fontId="1"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1" fillId="0" borderId="0" xfId="0" applyFont="1" applyFill="1" applyBorder="1" applyAlignment="1">
      <alignment horizontal="center"/>
    </xf>
    <xf numFmtId="2" fontId="1" fillId="0" borderId="0" xfId="0" applyNumberFormat="1" applyFont="1" applyFill="1" applyBorder="1" applyAlignment="1">
      <alignment horizontal="center"/>
    </xf>
    <xf numFmtId="0" fontId="36" fillId="0" borderId="0" xfId="0" applyFont="1" applyFill="1" applyBorder="1" applyAlignment="1">
      <alignment horizontal="center"/>
    </xf>
    <xf numFmtId="49" fontId="1" fillId="0" borderId="0" xfId="0" applyNumberFormat="1" applyFont="1" applyFill="1" applyAlignment="1">
      <alignment horizontal="left"/>
    </xf>
    <xf numFmtId="49" fontId="1" fillId="0" borderId="0" xfId="0" applyNumberFormat="1" applyFont="1" applyFill="1" applyBorder="1" applyAlignment="1">
      <alignment horizontal="center"/>
    </xf>
    <xf numFmtId="164" fontId="1" fillId="0" borderId="0" xfId="0" applyNumberFormat="1" applyFont="1"/>
    <xf numFmtId="0" fontId="6" fillId="0" borderId="0" xfId="1" applyFont="1" applyAlignment="1" applyProtection="1">
      <alignment vertical="center" wrapText="1"/>
    </xf>
    <xf numFmtId="0" fontId="33" fillId="3" borderId="9" xfId="0" applyFont="1" applyFill="1" applyBorder="1" applyAlignment="1">
      <alignment horizontal="center" vertical="center"/>
    </xf>
    <xf numFmtId="0" fontId="33" fillId="0" borderId="9" xfId="0" applyFont="1" applyBorder="1" applyAlignment="1">
      <alignment horizontal="center"/>
    </xf>
    <xf numFmtId="1" fontId="6" fillId="0" borderId="0" xfId="0" applyNumberFormat="1" applyFont="1" applyAlignment="1">
      <alignment horizontal="center"/>
    </xf>
    <xf numFmtId="164" fontId="6" fillId="0" borderId="0" xfId="0" applyNumberFormat="1" applyFont="1" applyAlignment="1">
      <alignment horizontal="center"/>
    </xf>
    <xf numFmtId="0" fontId="39" fillId="0" borderId="0" xfId="0" applyFont="1" applyAlignment="1">
      <alignment horizontal="center"/>
    </xf>
    <xf numFmtId="49" fontId="39" fillId="0" borderId="0" xfId="0" applyNumberFormat="1" applyFont="1" applyFill="1" applyAlignment="1">
      <alignment horizontal="center"/>
    </xf>
    <xf numFmtId="0" fontId="39" fillId="0" borderId="0" xfId="0" applyFont="1" applyFill="1" applyAlignment="1">
      <alignment horizontal="center"/>
    </xf>
    <xf numFmtId="0" fontId="40" fillId="0" borderId="0" xfId="0" applyFont="1" applyFill="1" applyAlignment="1">
      <alignment horizontal="center"/>
    </xf>
    <xf numFmtId="0" fontId="41" fillId="0" borderId="0" xfId="0" applyFont="1" applyAlignment="1">
      <alignment horizontal="center" vertical="center" wrapText="1"/>
    </xf>
    <xf numFmtId="0" fontId="29" fillId="3" borderId="0" xfId="0" applyFont="1" applyFill="1" applyBorder="1" applyAlignment="1">
      <alignment horizontal="center" vertical="center"/>
    </xf>
    <xf numFmtId="0" fontId="0" fillId="0" borderId="0" xfId="0" applyFill="1" applyBorder="1"/>
    <xf numFmtId="0" fontId="29" fillId="3" borderId="10" xfId="0" applyFont="1" applyFill="1" applyBorder="1" applyAlignment="1">
      <alignment horizontal="center" vertical="center"/>
    </xf>
    <xf numFmtId="0" fontId="0" fillId="0" borderId="10" xfId="0" applyBorder="1" applyAlignment="1">
      <alignment horizontal="center"/>
    </xf>
    <xf numFmtId="0" fontId="0" fillId="0" borderId="9" xfId="0" applyBorder="1"/>
    <xf numFmtId="164" fontId="6" fillId="0" borderId="9" xfId="0" applyNumberFormat="1" applyFont="1" applyBorder="1"/>
    <xf numFmtId="0" fontId="0" fillId="5" borderId="9" xfId="0" applyFill="1" applyBorder="1"/>
    <xf numFmtId="164" fontId="6" fillId="5" borderId="9" xfId="0" applyNumberFormat="1" applyFont="1" applyFill="1" applyBorder="1"/>
    <xf numFmtId="164" fontId="6" fillId="0" borderId="9" xfId="0" applyNumberFormat="1" applyFont="1" applyBorder="1" applyAlignment="1">
      <alignment horizontal="center"/>
    </xf>
    <xf numFmtId="164" fontId="6" fillId="5" borderId="9" xfId="0" applyNumberFormat="1" applyFont="1" applyFill="1" applyBorder="1" applyAlignment="1">
      <alignment horizontal="center"/>
    </xf>
    <xf numFmtId="1" fontId="37" fillId="0" borderId="9" xfId="0" applyNumberFormat="1" applyFont="1" applyBorder="1"/>
    <xf numFmtId="164" fontId="38" fillId="0" borderId="9" xfId="0" applyNumberFormat="1" applyFont="1" applyBorder="1"/>
    <xf numFmtId="164" fontId="37" fillId="0" borderId="9" xfId="0" applyNumberFormat="1" applyFont="1" applyBorder="1"/>
    <xf numFmtId="0" fontId="37" fillId="5" borderId="9" xfId="0" applyFont="1" applyFill="1" applyBorder="1"/>
    <xf numFmtId="1" fontId="0" fillId="0" borderId="9" xfId="0" applyNumberFormat="1" applyBorder="1"/>
    <xf numFmtId="164" fontId="0" fillId="0" borderId="9" xfId="0" applyNumberFormat="1" applyBorder="1"/>
    <xf numFmtId="164" fontId="6" fillId="0" borderId="9" xfId="0" applyNumberFormat="1" applyFont="1" applyFill="1" applyBorder="1"/>
    <xf numFmtId="1" fontId="0" fillId="5" borderId="9" xfId="0" applyNumberFormat="1" applyFill="1" applyBorder="1"/>
    <xf numFmtId="164" fontId="0" fillId="5" borderId="9" xfId="0" applyNumberFormat="1" applyFill="1" applyBorder="1"/>
    <xf numFmtId="0" fontId="37" fillId="0" borderId="9" xfId="0" applyFont="1" applyBorder="1"/>
    <xf numFmtId="164" fontId="38" fillId="5" borderId="9" xfId="0" applyNumberFormat="1" applyFont="1" applyFill="1" applyBorder="1"/>
    <xf numFmtId="0" fontId="37" fillId="0" borderId="0" xfId="0" applyFont="1"/>
    <xf numFmtId="0" fontId="1" fillId="0" borderId="9" xfId="0" applyFont="1" applyBorder="1" applyAlignment="1">
      <alignment horizontal="center"/>
    </xf>
    <xf numFmtId="0" fontId="1" fillId="5" borderId="9" xfId="0" applyFont="1" applyFill="1" applyBorder="1" applyAlignment="1">
      <alignment horizontal="center"/>
    </xf>
    <xf numFmtId="164" fontId="1" fillId="0" borderId="0" xfId="0" applyNumberFormat="1" applyFont="1" applyAlignment="1">
      <alignment horizontal="center"/>
    </xf>
    <xf numFmtId="0" fontId="1" fillId="0" borderId="9" xfId="0" applyFont="1" applyBorder="1" applyAlignment="1">
      <alignment horizontal="left"/>
    </xf>
    <xf numFmtId="164" fontId="6" fillId="0" borderId="9" xfId="0" applyNumberFormat="1" applyFont="1" applyBorder="1" applyAlignment="1">
      <alignment horizontal="left"/>
    </xf>
    <xf numFmtId="0" fontId="1" fillId="5" borderId="9" xfId="0" applyFont="1" applyFill="1" applyBorder="1" applyAlignment="1">
      <alignment horizontal="left"/>
    </xf>
    <xf numFmtId="164" fontId="6" fillId="5" borderId="9" xfId="0" applyNumberFormat="1" applyFont="1" applyFill="1" applyBorder="1" applyAlignment="1">
      <alignment horizontal="left"/>
    </xf>
    <xf numFmtId="0" fontId="1" fillId="0" borderId="0" xfId="0" applyFont="1" applyAlignment="1">
      <alignment horizontal="left"/>
    </xf>
    <xf numFmtId="164" fontId="6" fillId="0" borderId="0" xfId="0" applyNumberFormat="1" applyFont="1" applyAlignment="1">
      <alignment horizontal="left"/>
    </xf>
    <xf numFmtId="0" fontId="33" fillId="0" borderId="0" xfId="0" applyFont="1" applyFill="1" applyBorder="1" applyAlignment="1">
      <alignment horizontal="center"/>
    </xf>
    <xf numFmtId="2" fontId="1" fillId="0" borderId="0" xfId="0" applyNumberFormat="1" applyFont="1" applyAlignment="1">
      <alignment horizontal="right"/>
    </xf>
    <xf numFmtId="2" fontId="37" fillId="0" borderId="0" xfId="0" applyNumberFormat="1" applyFont="1" applyAlignment="1">
      <alignment horizontal="right"/>
    </xf>
    <xf numFmtId="164" fontId="4" fillId="4" borderId="0" xfId="0" applyNumberFormat="1" applyFont="1" applyFill="1"/>
    <xf numFmtId="0" fontId="1" fillId="4" borderId="0" xfId="0" applyFont="1" applyFill="1" applyAlignment="1">
      <alignment horizontal="center"/>
    </xf>
    <xf numFmtId="1" fontId="1" fillId="0" borderId="0" xfId="0" applyNumberFormat="1" applyFont="1" applyAlignment="1">
      <alignment horizontal="center"/>
    </xf>
    <xf numFmtId="1" fontId="1" fillId="4" borderId="0" xfId="0" applyNumberFormat="1" applyFont="1" applyFill="1" applyAlignment="1">
      <alignment horizontal="center"/>
    </xf>
    <xf numFmtId="0" fontId="6" fillId="4" borderId="0" xfId="0" applyFont="1" applyFill="1"/>
    <xf numFmtId="0" fontId="44" fillId="0" borderId="0" xfId="0" applyFont="1"/>
    <xf numFmtId="0" fontId="45" fillId="0" borderId="0" xfId="0" applyFont="1"/>
    <xf numFmtId="164" fontId="18" fillId="0" borderId="0" xfId="0" applyNumberFormat="1" applyFont="1" applyFill="1" applyAlignment="1">
      <alignment horizontal="center"/>
    </xf>
    <xf numFmtId="164" fontId="19" fillId="0" borderId="0" xfId="0" applyNumberFormat="1" applyFont="1"/>
    <xf numFmtId="164" fontId="18" fillId="0" borderId="0" xfId="0" applyNumberFormat="1" applyFont="1" applyFill="1"/>
    <xf numFmtId="164" fontId="14" fillId="0" borderId="0" xfId="0" applyNumberFormat="1" applyFont="1"/>
    <xf numFmtId="164" fontId="10" fillId="0" borderId="0" xfId="0" applyNumberFormat="1" applyFont="1"/>
    <xf numFmtId="164" fontId="9" fillId="0" borderId="0" xfId="0" applyNumberFormat="1" applyFont="1"/>
    <xf numFmtId="164" fontId="20" fillId="0" borderId="0" xfId="0" applyNumberFormat="1" applyFont="1" applyFill="1" applyAlignment="1">
      <alignment horizontal="center"/>
    </xf>
    <xf numFmtId="164" fontId="0" fillId="0" borderId="0" xfId="0" applyNumberFormat="1" applyFill="1"/>
    <xf numFmtId="164" fontId="41" fillId="0" borderId="0" xfId="0" applyNumberFormat="1" applyFont="1" applyAlignment="1">
      <alignment horizontal="center" vertical="center" wrapText="1"/>
    </xf>
    <xf numFmtId="164" fontId="26" fillId="0" borderId="0" xfId="0" applyNumberFormat="1" applyFont="1" applyAlignment="1">
      <alignment wrapText="1"/>
    </xf>
    <xf numFmtId="164" fontId="1" fillId="0" borderId="0" xfId="0" applyNumberFormat="1" applyFont="1" applyFill="1" applyAlignment="1">
      <alignment horizontal="center"/>
    </xf>
    <xf numFmtId="164" fontId="0" fillId="0" borderId="0" xfId="0" applyNumberFormat="1" applyFill="1" applyAlignment="1">
      <alignment vertical="center" wrapText="1"/>
    </xf>
    <xf numFmtId="164" fontId="18" fillId="0" borderId="0" xfId="0" applyNumberFormat="1" applyFont="1"/>
    <xf numFmtId="164" fontId="0" fillId="0" borderId="0" xfId="0" applyNumberFormat="1" applyAlignment="1">
      <alignment horizontal="center"/>
    </xf>
    <xf numFmtId="164" fontId="6" fillId="0" borderId="0" xfId="0" applyNumberFormat="1" applyFont="1" applyFill="1" applyAlignment="1">
      <alignment horizontal="center"/>
    </xf>
    <xf numFmtId="164" fontId="0" fillId="0" borderId="0" xfId="0" applyNumberFormat="1" applyBorder="1" applyAlignment="1">
      <alignment horizontal="center"/>
    </xf>
    <xf numFmtId="164" fontId="1" fillId="0" borderId="0" xfId="0" applyNumberFormat="1" applyFont="1" applyAlignment="1">
      <alignment vertical="center" wrapText="1"/>
    </xf>
    <xf numFmtId="164" fontId="0" fillId="0" borderId="0" xfId="0" applyNumberFormat="1" applyFill="1" applyAlignment="1">
      <alignment horizontal="center"/>
    </xf>
    <xf numFmtId="164" fontId="0" fillId="4" borderId="0" xfId="0" applyNumberFormat="1" applyFill="1" applyAlignment="1">
      <alignment horizontal="center"/>
    </xf>
    <xf numFmtId="164" fontId="0" fillId="0" borderId="0" xfId="0" applyNumberFormat="1" applyAlignment="1">
      <alignment horizontal="center" vertical="center"/>
    </xf>
    <xf numFmtId="164" fontId="0" fillId="0" borderId="0" xfId="0" applyNumberFormat="1" applyAlignment="1">
      <alignment horizontal="center" vertical="center" wrapText="1"/>
    </xf>
    <xf numFmtId="164" fontId="4"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33" fillId="0" borderId="0" xfId="0" applyFont="1" applyAlignment="1">
      <alignment vertical="center" wrapText="1"/>
    </xf>
    <xf numFmtId="0" fontId="42" fillId="0" borderId="0" xfId="0" applyFont="1" applyAlignment="1">
      <alignment vertical="center" wrapText="1"/>
    </xf>
    <xf numFmtId="0" fontId="29" fillId="0" borderId="0" xfId="0" applyFont="1" applyAlignment="1">
      <alignment vertical="center" wrapText="1"/>
    </xf>
    <xf numFmtId="0" fontId="43" fillId="0" borderId="0" xfId="0" applyFont="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0" fillId="0" borderId="0" xfId="0" applyAlignment="1">
      <alignment horizontal="center"/>
    </xf>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xf numFmtId="0" fontId="33" fillId="0" borderId="0" xfId="0" applyFont="1" applyAlignment="1"/>
    <xf numFmtId="0" fontId="1" fillId="0" borderId="0" xfId="0" applyNumberFormat="1" applyFont="1" applyFill="1" applyAlignment="1">
      <alignment horizontal="left"/>
    </xf>
  </cellXfs>
  <cellStyles count="2">
    <cellStyle name="Hyperlink" xfId="1" builtinId="8"/>
    <cellStyle name="Normal" xfId="0" builtinId="0"/>
  </cellStyles>
  <dxfs count="9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scheme val="none"/>
      </font>
      <numFmt numFmtId="164" formatCode="0.0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style="thin">
          <color indexed="64"/>
        </bottom>
      </border>
    </dxf>
    <dxf>
      <font>
        <b/>
      </font>
      <numFmt numFmtId="164" formatCode="0.00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0.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0</xdr:colOff>
      <xdr:row>354</xdr:row>
      <xdr:rowOff>0</xdr:rowOff>
    </xdr:from>
    <xdr:to>
      <xdr:col>17</xdr:col>
      <xdr:colOff>9525</xdr:colOff>
      <xdr:row>354</xdr:row>
      <xdr:rowOff>9525</xdr:rowOff>
    </xdr:to>
    <xdr:pic>
      <xdr:nvPicPr>
        <xdr:cNvPr id="51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354</xdr:row>
      <xdr:rowOff>0</xdr:rowOff>
    </xdr:from>
    <xdr:to>
      <xdr:col>19</xdr:col>
      <xdr:colOff>9525</xdr:colOff>
      <xdr:row>354</xdr:row>
      <xdr:rowOff>9525</xdr:rowOff>
    </xdr:to>
    <xdr:pic>
      <xdr:nvPicPr>
        <xdr:cNvPr id="51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119</xdr:row>
      <xdr:rowOff>0</xdr:rowOff>
    </xdr:from>
    <xdr:to>
      <xdr:col>16</xdr:col>
      <xdr:colOff>9525</xdr:colOff>
      <xdr:row>119</xdr:row>
      <xdr:rowOff>0</xdr:rowOff>
    </xdr:to>
    <xdr:pic>
      <xdr:nvPicPr>
        <xdr:cNvPr id="5182"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119</xdr:row>
      <xdr:rowOff>0</xdr:rowOff>
    </xdr:from>
    <xdr:to>
      <xdr:col>18</xdr:col>
      <xdr:colOff>9525</xdr:colOff>
      <xdr:row>119</xdr:row>
      <xdr:rowOff>0</xdr:rowOff>
    </xdr:to>
    <xdr:pic>
      <xdr:nvPicPr>
        <xdr:cNvPr id="5183"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172</xdr:row>
      <xdr:rowOff>0</xdr:rowOff>
    </xdr:from>
    <xdr:to>
      <xdr:col>17</xdr:col>
      <xdr:colOff>9525</xdr:colOff>
      <xdr:row>172</xdr:row>
      <xdr:rowOff>9525</xdr:rowOff>
    </xdr:to>
    <xdr:pic>
      <xdr:nvPicPr>
        <xdr:cNvPr id="5184"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172</xdr:row>
      <xdr:rowOff>0</xdr:rowOff>
    </xdr:from>
    <xdr:to>
      <xdr:col>19</xdr:col>
      <xdr:colOff>9525</xdr:colOff>
      <xdr:row>172</xdr:row>
      <xdr:rowOff>9525</xdr:rowOff>
    </xdr:to>
    <xdr:pic>
      <xdr:nvPicPr>
        <xdr:cNvPr id="5185"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180</xdr:row>
      <xdr:rowOff>0</xdr:rowOff>
    </xdr:from>
    <xdr:to>
      <xdr:col>18</xdr:col>
      <xdr:colOff>9525</xdr:colOff>
      <xdr:row>180</xdr:row>
      <xdr:rowOff>9525</xdr:rowOff>
    </xdr:to>
    <xdr:pic>
      <xdr:nvPicPr>
        <xdr:cNvPr id="5187"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9509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222</xdr:row>
      <xdr:rowOff>0</xdr:rowOff>
    </xdr:from>
    <xdr:to>
      <xdr:col>17</xdr:col>
      <xdr:colOff>9525</xdr:colOff>
      <xdr:row>222</xdr:row>
      <xdr:rowOff>9525</xdr:rowOff>
    </xdr:to>
    <xdr:pic>
      <xdr:nvPicPr>
        <xdr:cNvPr id="5188"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222</xdr:row>
      <xdr:rowOff>0</xdr:rowOff>
    </xdr:from>
    <xdr:to>
      <xdr:col>19</xdr:col>
      <xdr:colOff>9525</xdr:colOff>
      <xdr:row>222</xdr:row>
      <xdr:rowOff>9525</xdr:rowOff>
    </xdr:to>
    <xdr:pic>
      <xdr:nvPicPr>
        <xdr:cNvPr id="5189"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119</xdr:row>
      <xdr:rowOff>0</xdr:rowOff>
    </xdr:from>
    <xdr:to>
      <xdr:col>16</xdr:col>
      <xdr:colOff>9525</xdr:colOff>
      <xdr:row>119</xdr:row>
      <xdr:rowOff>0</xdr:rowOff>
    </xdr:to>
    <xdr:pic>
      <xdr:nvPicPr>
        <xdr:cNvPr id="5190"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119</xdr:row>
      <xdr:rowOff>0</xdr:rowOff>
    </xdr:from>
    <xdr:to>
      <xdr:col>18</xdr:col>
      <xdr:colOff>9525</xdr:colOff>
      <xdr:row>119</xdr:row>
      <xdr:rowOff>0</xdr:rowOff>
    </xdr:to>
    <xdr:pic>
      <xdr:nvPicPr>
        <xdr:cNvPr id="5191"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126</xdr:row>
      <xdr:rowOff>0</xdr:rowOff>
    </xdr:from>
    <xdr:to>
      <xdr:col>16</xdr:col>
      <xdr:colOff>9525</xdr:colOff>
      <xdr:row>126</xdr:row>
      <xdr:rowOff>0</xdr:rowOff>
    </xdr:to>
    <xdr:pic>
      <xdr:nvPicPr>
        <xdr:cNvPr id="5192"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908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162</xdr:row>
      <xdr:rowOff>0</xdr:rowOff>
    </xdr:from>
    <xdr:to>
      <xdr:col>16</xdr:col>
      <xdr:colOff>9525</xdr:colOff>
      <xdr:row>162</xdr:row>
      <xdr:rowOff>0</xdr:rowOff>
    </xdr:to>
    <xdr:pic>
      <xdr:nvPicPr>
        <xdr:cNvPr id="5194"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4166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169</xdr:row>
      <xdr:rowOff>0</xdr:rowOff>
    </xdr:from>
    <xdr:to>
      <xdr:col>16</xdr:col>
      <xdr:colOff>9525</xdr:colOff>
      <xdr:row>169</xdr:row>
      <xdr:rowOff>9525</xdr:rowOff>
    </xdr:to>
    <xdr:pic>
      <xdr:nvPicPr>
        <xdr:cNvPr id="5196"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163</xdr:row>
      <xdr:rowOff>0</xdr:rowOff>
    </xdr:from>
    <xdr:to>
      <xdr:col>18</xdr:col>
      <xdr:colOff>9525</xdr:colOff>
      <xdr:row>163</xdr:row>
      <xdr:rowOff>9525</xdr:rowOff>
    </xdr:to>
    <xdr:pic>
      <xdr:nvPicPr>
        <xdr:cNvPr id="5197" name="Picture 5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213</xdr:row>
      <xdr:rowOff>0</xdr:rowOff>
    </xdr:from>
    <xdr:to>
      <xdr:col>17</xdr:col>
      <xdr:colOff>9525</xdr:colOff>
      <xdr:row>213</xdr:row>
      <xdr:rowOff>9525</xdr:rowOff>
    </xdr:to>
    <xdr:pic>
      <xdr:nvPicPr>
        <xdr:cNvPr id="5198" name="Picture 7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213</xdr:row>
      <xdr:rowOff>0</xdr:rowOff>
    </xdr:from>
    <xdr:to>
      <xdr:col>19</xdr:col>
      <xdr:colOff>9525</xdr:colOff>
      <xdr:row>213</xdr:row>
      <xdr:rowOff>9525</xdr:rowOff>
    </xdr:to>
    <xdr:pic>
      <xdr:nvPicPr>
        <xdr:cNvPr id="5199" name="Picture 7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218</xdr:row>
      <xdr:rowOff>0</xdr:rowOff>
    </xdr:from>
    <xdr:to>
      <xdr:col>17</xdr:col>
      <xdr:colOff>9525</xdr:colOff>
      <xdr:row>218</xdr:row>
      <xdr:rowOff>9525</xdr:rowOff>
    </xdr:to>
    <xdr:pic>
      <xdr:nvPicPr>
        <xdr:cNvPr id="5200"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218</xdr:row>
      <xdr:rowOff>0</xdr:rowOff>
    </xdr:from>
    <xdr:to>
      <xdr:col>19</xdr:col>
      <xdr:colOff>9525</xdr:colOff>
      <xdr:row>218</xdr:row>
      <xdr:rowOff>9525</xdr:rowOff>
    </xdr:to>
    <xdr:pic>
      <xdr:nvPicPr>
        <xdr:cNvPr id="5201"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185</xdr:row>
      <xdr:rowOff>0</xdr:rowOff>
    </xdr:from>
    <xdr:to>
      <xdr:col>18</xdr:col>
      <xdr:colOff>9525</xdr:colOff>
      <xdr:row>185</xdr:row>
      <xdr:rowOff>9525</xdr:rowOff>
    </xdr:to>
    <xdr:pic>
      <xdr:nvPicPr>
        <xdr:cNvPr id="5203" name="Picture 8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4129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251</xdr:row>
      <xdr:rowOff>0</xdr:rowOff>
    </xdr:from>
    <xdr:to>
      <xdr:col>16</xdr:col>
      <xdr:colOff>9525</xdr:colOff>
      <xdr:row>251</xdr:row>
      <xdr:rowOff>9525</xdr:rowOff>
    </xdr:to>
    <xdr:pic>
      <xdr:nvPicPr>
        <xdr:cNvPr id="5204"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241</xdr:row>
      <xdr:rowOff>0</xdr:rowOff>
    </xdr:from>
    <xdr:to>
      <xdr:col>18</xdr:col>
      <xdr:colOff>9525</xdr:colOff>
      <xdr:row>241</xdr:row>
      <xdr:rowOff>9525</xdr:rowOff>
    </xdr:to>
    <xdr:pic>
      <xdr:nvPicPr>
        <xdr:cNvPr id="5205"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20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118</xdr:row>
      <xdr:rowOff>0</xdr:rowOff>
    </xdr:from>
    <xdr:to>
      <xdr:col>18</xdr:col>
      <xdr:colOff>9525</xdr:colOff>
      <xdr:row>118</xdr:row>
      <xdr:rowOff>0</xdr:rowOff>
    </xdr:to>
    <xdr:pic>
      <xdr:nvPicPr>
        <xdr:cNvPr id="520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208"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118</xdr:row>
      <xdr:rowOff>0</xdr:rowOff>
    </xdr:from>
    <xdr:to>
      <xdr:col>18</xdr:col>
      <xdr:colOff>9525</xdr:colOff>
      <xdr:row>118</xdr:row>
      <xdr:rowOff>0</xdr:rowOff>
    </xdr:to>
    <xdr:pic>
      <xdr:nvPicPr>
        <xdr:cNvPr id="5209"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191</xdr:row>
      <xdr:rowOff>0</xdr:rowOff>
    </xdr:from>
    <xdr:to>
      <xdr:col>17</xdr:col>
      <xdr:colOff>9525</xdr:colOff>
      <xdr:row>191</xdr:row>
      <xdr:rowOff>9525</xdr:rowOff>
    </xdr:to>
    <xdr:pic>
      <xdr:nvPicPr>
        <xdr:cNvPr id="5210"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191</xdr:row>
      <xdr:rowOff>0</xdr:rowOff>
    </xdr:from>
    <xdr:to>
      <xdr:col>19</xdr:col>
      <xdr:colOff>9525</xdr:colOff>
      <xdr:row>191</xdr:row>
      <xdr:rowOff>9525</xdr:rowOff>
    </xdr:to>
    <xdr:pic>
      <xdr:nvPicPr>
        <xdr:cNvPr id="5211"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270</xdr:row>
      <xdr:rowOff>0</xdr:rowOff>
    </xdr:from>
    <xdr:to>
      <xdr:col>17</xdr:col>
      <xdr:colOff>9525</xdr:colOff>
      <xdr:row>270</xdr:row>
      <xdr:rowOff>9525</xdr:rowOff>
    </xdr:to>
    <xdr:pic>
      <xdr:nvPicPr>
        <xdr:cNvPr id="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270</xdr:row>
      <xdr:rowOff>0</xdr:rowOff>
    </xdr:from>
    <xdr:to>
      <xdr:col>19</xdr:col>
      <xdr:colOff>9525</xdr:colOff>
      <xdr:row>270</xdr:row>
      <xdr:rowOff>9525</xdr:rowOff>
    </xdr:to>
    <xdr:pic>
      <xdr:nvPicPr>
        <xdr:cNvPr id="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318</xdr:row>
      <xdr:rowOff>0</xdr:rowOff>
    </xdr:from>
    <xdr:to>
      <xdr:col>17</xdr:col>
      <xdr:colOff>9525</xdr:colOff>
      <xdr:row>318</xdr:row>
      <xdr:rowOff>9525</xdr:rowOff>
    </xdr:to>
    <xdr:pic>
      <xdr:nvPicPr>
        <xdr:cNvPr id="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318</xdr:row>
      <xdr:rowOff>0</xdr:rowOff>
    </xdr:from>
    <xdr:to>
      <xdr:col>19</xdr:col>
      <xdr:colOff>9525</xdr:colOff>
      <xdr:row>318</xdr:row>
      <xdr:rowOff>9525</xdr:rowOff>
    </xdr:to>
    <xdr:pic>
      <xdr:nvPicPr>
        <xdr:cNvPr id="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462</xdr:row>
      <xdr:rowOff>0</xdr:rowOff>
    </xdr:from>
    <xdr:to>
      <xdr:col>17</xdr:col>
      <xdr:colOff>9525</xdr:colOff>
      <xdr:row>462</xdr:row>
      <xdr:rowOff>9525</xdr:rowOff>
    </xdr:to>
    <xdr:pic>
      <xdr:nvPicPr>
        <xdr:cNvPr id="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462</xdr:row>
      <xdr:rowOff>0</xdr:rowOff>
    </xdr:from>
    <xdr:to>
      <xdr:col>19</xdr:col>
      <xdr:colOff>9525</xdr:colOff>
      <xdr:row>462</xdr:row>
      <xdr:rowOff>9525</xdr:rowOff>
    </xdr:to>
    <xdr:pic>
      <xdr:nvPicPr>
        <xdr:cNvPr id="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420</xdr:row>
      <xdr:rowOff>0</xdr:rowOff>
    </xdr:from>
    <xdr:to>
      <xdr:col>17</xdr:col>
      <xdr:colOff>9525</xdr:colOff>
      <xdr:row>420</xdr:row>
      <xdr:rowOff>9525</xdr:rowOff>
    </xdr:to>
    <xdr:pic>
      <xdr:nvPicPr>
        <xdr:cNvPr id="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420</xdr:row>
      <xdr:rowOff>0</xdr:rowOff>
    </xdr:from>
    <xdr:to>
      <xdr:col>19</xdr:col>
      <xdr:colOff>9525</xdr:colOff>
      <xdr:row>420</xdr:row>
      <xdr:rowOff>9525</xdr:rowOff>
    </xdr:to>
    <xdr:pic>
      <xdr:nvPicPr>
        <xdr:cNvPr id="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312</xdr:row>
      <xdr:rowOff>0</xdr:rowOff>
    </xdr:from>
    <xdr:to>
      <xdr:col>17</xdr:col>
      <xdr:colOff>9525</xdr:colOff>
      <xdr:row>312</xdr:row>
      <xdr:rowOff>9525</xdr:rowOff>
    </xdr:to>
    <xdr:pic>
      <xdr:nvPicPr>
        <xdr:cNvPr id="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312</xdr:row>
      <xdr:rowOff>0</xdr:rowOff>
    </xdr:from>
    <xdr:to>
      <xdr:col>19</xdr:col>
      <xdr:colOff>9525</xdr:colOff>
      <xdr:row>312</xdr:row>
      <xdr:rowOff>9525</xdr:rowOff>
    </xdr:to>
    <xdr:pic>
      <xdr:nvPicPr>
        <xdr:cNvPr id="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518</xdr:row>
      <xdr:rowOff>0</xdr:rowOff>
    </xdr:from>
    <xdr:to>
      <xdr:col>17</xdr:col>
      <xdr:colOff>9525</xdr:colOff>
      <xdr:row>518</xdr:row>
      <xdr:rowOff>9525</xdr:rowOff>
    </xdr:to>
    <xdr:pic>
      <xdr:nvPicPr>
        <xdr:cNvPr id="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518</xdr:row>
      <xdr:rowOff>0</xdr:rowOff>
    </xdr:from>
    <xdr:to>
      <xdr:col>19</xdr:col>
      <xdr:colOff>9525</xdr:colOff>
      <xdr:row>518</xdr:row>
      <xdr:rowOff>9525</xdr:rowOff>
    </xdr:to>
    <xdr:pic>
      <xdr:nvPicPr>
        <xdr:cNvPr id="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306</xdr:row>
      <xdr:rowOff>0</xdr:rowOff>
    </xdr:from>
    <xdr:to>
      <xdr:col>17</xdr:col>
      <xdr:colOff>9525</xdr:colOff>
      <xdr:row>306</xdr:row>
      <xdr:rowOff>9525</xdr:rowOff>
    </xdr:to>
    <xdr:pic>
      <xdr:nvPicPr>
        <xdr:cNvPr id="6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306</xdr:row>
      <xdr:rowOff>0</xdr:rowOff>
    </xdr:from>
    <xdr:to>
      <xdr:col>19</xdr:col>
      <xdr:colOff>9525</xdr:colOff>
      <xdr:row>306</xdr:row>
      <xdr:rowOff>9525</xdr:rowOff>
    </xdr:to>
    <xdr:pic>
      <xdr:nvPicPr>
        <xdr:cNvPr id="6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324</xdr:row>
      <xdr:rowOff>0</xdr:rowOff>
    </xdr:from>
    <xdr:to>
      <xdr:col>17</xdr:col>
      <xdr:colOff>9525</xdr:colOff>
      <xdr:row>324</xdr:row>
      <xdr:rowOff>9525</xdr:rowOff>
    </xdr:to>
    <xdr:pic>
      <xdr:nvPicPr>
        <xdr:cNvPr id="6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324</xdr:row>
      <xdr:rowOff>0</xdr:rowOff>
    </xdr:from>
    <xdr:to>
      <xdr:col>19</xdr:col>
      <xdr:colOff>9525</xdr:colOff>
      <xdr:row>324</xdr:row>
      <xdr:rowOff>9525</xdr:rowOff>
    </xdr:to>
    <xdr:pic>
      <xdr:nvPicPr>
        <xdr:cNvPr id="6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468</xdr:row>
      <xdr:rowOff>0</xdr:rowOff>
    </xdr:from>
    <xdr:to>
      <xdr:col>17</xdr:col>
      <xdr:colOff>9525</xdr:colOff>
      <xdr:row>468</xdr:row>
      <xdr:rowOff>9525</xdr:rowOff>
    </xdr:to>
    <xdr:pic>
      <xdr:nvPicPr>
        <xdr:cNvPr id="7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468</xdr:row>
      <xdr:rowOff>0</xdr:rowOff>
    </xdr:from>
    <xdr:to>
      <xdr:col>19</xdr:col>
      <xdr:colOff>9525</xdr:colOff>
      <xdr:row>468</xdr:row>
      <xdr:rowOff>9525</xdr:rowOff>
    </xdr:to>
    <xdr:pic>
      <xdr:nvPicPr>
        <xdr:cNvPr id="7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438</xdr:row>
      <xdr:rowOff>0</xdr:rowOff>
    </xdr:from>
    <xdr:to>
      <xdr:col>17</xdr:col>
      <xdr:colOff>9525</xdr:colOff>
      <xdr:row>438</xdr:row>
      <xdr:rowOff>9525</xdr:rowOff>
    </xdr:to>
    <xdr:pic>
      <xdr:nvPicPr>
        <xdr:cNvPr id="7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438</xdr:row>
      <xdr:rowOff>0</xdr:rowOff>
    </xdr:from>
    <xdr:to>
      <xdr:col>19</xdr:col>
      <xdr:colOff>9525</xdr:colOff>
      <xdr:row>438</xdr:row>
      <xdr:rowOff>9525</xdr:rowOff>
    </xdr:to>
    <xdr:pic>
      <xdr:nvPicPr>
        <xdr:cNvPr id="7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402</xdr:row>
      <xdr:rowOff>0</xdr:rowOff>
    </xdr:from>
    <xdr:to>
      <xdr:col>17</xdr:col>
      <xdr:colOff>9525</xdr:colOff>
      <xdr:row>402</xdr:row>
      <xdr:rowOff>9525</xdr:rowOff>
    </xdr:to>
    <xdr:pic>
      <xdr:nvPicPr>
        <xdr:cNvPr id="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402</xdr:row>
      <xdr:rowOff>0</xdr:rowOff>
    </xdr:from>
    <xdr:to>
      <xdr:col>19</xdr:col>
      <xdr:colOff>9525</xdr:colOff>
      <xdr:row>402</xdr:row>
      <xdr:rowOff>9525</xdr:rowOff>
    </xdr:to>
    <xdr:pic>
      <xdr:nvPicPr>
        <xdr:cNvPr id="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474</xdr:row>
      <xdr:rowOff>0</xdr:rowOff>
    </xdr:from>
    <xdr:to>
      <xdr:col>17</xdr:col>
      <xdr:colOff>9525</xdr:colOff>
      <xdr:row>474</xdr:row>
      <xdr:rowOff>9525</xdr:rowOff>
    </xdr:to>
    <xdr:pic>
      <xdr:nvPicPr>
        <xdr:cNvPr id="8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474</xdr:row>
      <xdr:rowOff>0</xdr:rowOff>
    </xdr:from>
    <xdr:to>
      <xdr:col>19</xdr:col>
      <xdr:colOff>9525</xdr:colOff>
      <xdr:row>474</xdr:row>
      <xdr:rowOff>9525</xdr:rowOff>
    </xdr:to>
    <xdr:pic>
      <xdr:nvPicPr>
        <xdr:cNvPr id="8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342</xdr:row>
      <xdr:rowOff>0</xdr:rowOff>
    </xdr:from>
    <xdr:to>
      <xdr:col>17</xdr:col>
      <xdr:colOff>9525</xdr:colOff>
      <xdr:row>342</xdr:row>
      <xdr:rowOff>9525</xdr:rowOff>
    </xdr:to>
    <xdr:pic>
      <xdr:nvPicPr>
        <xdr:cNvPr id="8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342</xdr:row>
      <xdr:rowOff>0</xdr:rowOff>
    </xdr:from>
    <xdr:to>
      <xdr:col>19</xdr:col>
      <xdr:colOff>9525</xdr:colOff>
      <xdr:row>342</xdr:row>
      <xdr:rowOff>9525</xdr:rowOff>
    </xdr:to>
    <xdr:pic>
      <xdr:nvPicPr>
        <xdr:cNvPr id="8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372</xdr:row>
      <xdr:rowOff>0</xdr:rowOff>
    </xdr:from>
    <xdr:to>
      <xdr:col>17</xdr:col>
      <xdr:colOff>9525</xdr:colOff>
      <xdr:row>372</xdr:row>
      <xdr:rowOff>9525</xdr:rowOff>
    </xdr:to>
    <xdr:pic>
      <xdr:nvPicPr>
        <xdr:cNvPr id="8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372</xdr:row>
      <xdr:rowOff>0</xdr:rowOff>
    </xdr:from>
    <xdr:to>
      <xdr:col>19</xdr:col>
      <xdr:colOff>9525</xdr:colOff>
      <xdr:row>372</xdr:row>
      <xdr:rowOff>9525</xdr:rowOff>
    </xdr:to>
    <xdr:pic>
      <xdr:nvPicPr>
        <xdr:cNvPr id="8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408</xdr:row>
      <xdr:rowOff>0</xdr:rowOff>
    </xdr:from>
    <xdr:to>
      <xdr:col>17</xdr:col>
      <xdr:colOff>9525</xdr:colOff>
      <xdr:row>408</xdr:row>
      <xdr:rowOff>9525</xdr:rowOff>
    </xdr:to>
    <xdr:pic>
      <xdr:nvPicPr>
        <xdr:cNvPr id="9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408</xdr:row>
      <xdr:rowOff>0</xdr:rowOff>
    </xdr:from>
    <xdr:to>
      <xdr:col>19</xdr:col>
      <xdr:colOff>9525</xdr:colOff>
      <xdr:row>408</xdr:row>
      <xdr:rowOff>9525</xdr:rowOff>
    </xdr:to>
    <xdr:pic>
      <xdr:nvPicPr>
        <xdr:cNvPr id="9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444</xdr:row>
      <xdr:rowOff>0</xdr:rowOff>
    </xdr:from>
    <xdr:to>
      <xdr:col>17</xdr:col>
      <xdr:colOff>9525</xdr:colOff>
      <xdr:row>444</xdr:row>
      <xdr:rowOff>9525</xdr:rowOff>
    </xdr:to>
    <xdr:pic>
      <xdr:nvPicPr>
        <xdr:cNvPr id="9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444</xdr:row>
      <xdr:rowOff>0</xdr:rowOff>
    </xdr:from>
    <xdr:to>
      <xdr:col>19</xdr:col>
      <xdr:colOff>9525</xdr:colOff>
      <xdr:row>444</xdr:row>
      <xdr:rowOff>9525</xdr:rowOff>
    </xdr:to>
    <xdr:pic>
      <xdr:nvPicPr>
        <xdr:cNvPr id="9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414</xdr:row>
      <xdr:rowOff>0</xdr:rowOff>
    </xdr:from>
    <xdr:to>
      <xdr:col>17</xdr:col>
      <xdr:colOff>9525</xdr:colOff>
      <xdr:row>414</xdr:row>
      <xdr:rowOff>9525</xdr:rowOff>
    </xdr:to>
    <xdr:pic>
      <xdr:nvPicPr>
        <xdr:cNvPr id="9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414</xdr:row>
      <xdr:rowOff>0</xdr:rowOff>
    </xdr:from>
    <xdr:to>
      <xdr:col>19</xdr:col>
      <xdr:colOff>9525</xdr:colOff>
      <xdr:row>414</xdr:row>
      <xdr:rowOff>9525</xdr:rowOff>
    </xdr:to>
    <xdr:pic>
      <xdr:nvPicPr>
        <xdr:cNvPr id="9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488</xdr:row>
      <xdr:rowOff>0</xdr:rowOff>
    </xdr:from>
    <xdr:to>
      <xdr:col>17</xdr:col>
      <xdr:colOff>9525</xdr:colOff>
      <xdr:row>488</xdr:row>
      <xdr:rowOff>9525</xdr:rowOff>
    </xdr:to>
    <xdr:pic>
      <xdr:nvPicPr>
        <xdr:cNvPr id="10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488</xdr:row>
      <xdr:rowOff>0</xdr:rowOff>
    </xdr:from>
    <xdr:to>
      <xdr:col>19</xdr:col>
      <xdr:colOff>9525</xdr:colOff>
      <xdr:row>488</xdr:row>
      <xdr:rowOff>9525</xdr:rowOff>
    </xdr:to>
    <xdr:pic>
      <xdr:nvPicPr>
        <xdr:cNvPr id="10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336</xdr:row>
      <xdr:rowOff>0</xdr:rowOff>
    </xdr:from>
    <xdr:to>
      <xdr:col>17</xdr:col>
      <xdr:colOff>9525</xdr:colOff>
      <xdr:row>336</xdr:row>
      <xdr:rowOff>9525</xdr:rowOff>
    </xdr:to>
    <xdr:pic>
      <xdr:nvPicPr>
        <xdr:cNvPr id="10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336</xdr:row>
      <xdr:rowOff>0</xdr:rowOff>
    </xdr:from>
    <xdr:to>
      <xdr:col>19</xdr:col>
      <xdr:colOff>9525</xdr:colOff>
      <xdr:row>336</xdr:row>
      <xdr:rowOff>9525</xdr:rowOff>
    </xdr:to>
    <xdr:pic>
      <xdr:nvPicPr>
        <xdr:cNvPr id="10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500</xdr:row>
      <xdr:rowOff>0</xdr:rowOff>
    </xdr:from>
    <xdr:to>
      <xdr:col>17</xdr:col>
      <xdr:colOff>9525</xdr:colOff>
      <xdr:row>500</xdr:row>
      <xdr:rowOff>9525</xdr:rowOff>
    </xdr:to>
    <xdr:pic>
      <xdr:nvPicPr>
        <xdr:cNvPr id="10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500</xdr:row>
      <xdr:rowOff>0</xdr:rowOff>
    </xdr:from>
    <xdr:to>
      <xdr:col>19</xdr:col>
      <xdr:colOff>9525</xdr:colOff>
      <xdr:row>500</xdr:row>
      <xdr:rowOff>9525</xdr:rowOff>
    </xdr:to>
    <xdr:pic>
      <xdr:nvPicPr>
        <xdr:cNvPr id="10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512</xdr:row>
      <xdr:rowOff>0</xdr:rowOff>
    </xdr:from>
    <xdr:to>
      <xdr:col>17</xdr:col>
      <xdr:colOff>9525</xdr:colOff>
      <xdr:row>512</xdr:row>
      <xdr:rowOff>9525</xdr:rowOff>
    </xdr:to>
    <xdr:pic>
      <xdr:nvPicPr>
        <xdr:cNvPr id="10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512</xdr:row>
      <xdr:rowOff>0</xdr:rowOff>
    </xdr:from>
    <xdr:to>
      <xdr:col>19</xdr:col>
      <xdr:colOff>9525</xdr:colOff>
      <xdr:row>512</xdr:row>
      <xdr:rowOff>9525</xdr:rowOff>
    </xdr:to>
    <xdr:pic>
      <xdr:nvPicPr>
        <xdr:cNvPr id="10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294</xdr:row>
      <xdr:rowOff>0</xdr:rowOff>
    </xdr:from>
    <xdr:to>
      <xdr:col>17</xdr:col>
      <xdr:colOff>9525</xdr:colOff>
      <xdr:row>294</xdr:row>
      <xdr:rowOff>9525</xdr:rowOff>
    </xdr:to>
    <xdr:pic>
      <xdr:nvPicPr>
        <xdr:cNvPr id="11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294</xdr:row>
      <xdr:rowOff>0</xdr:rowOff>
    </xdr:from>
    <xdr:to>
      <xdr:col>19</xdr:col>
      <xdr:colOff>9525</xdr:colOff>
      <xdr:row>294</xdr:row>
      <xdr:rowOff>9525</xdr:rowOff>
    </xdr:to>
    <xdr:pic>
      <xdr:nvPicPr>
        <xdr:cNvPr id="11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348</xdr:row>
      <xdr:rowOff>0</xdr:rowOff>
    </xdr:from>
    <xdr:to>
      <xdr:col>17</xdr:col>
      <xdr:colOff>9525</xdr:colOff>
      <xdr:row>348</xdr:row>
      <xdr:rowOff>9525</xdr:rowOff>
    </xdr:to>
    <xdr:pic>
      <xdr:nvPicPr>
        <xdr:cNvPr id="11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348</xdr:row>
      <xdr:rowOff>0</xdr:rowOff>
    </xdr:from>
    <xdr:to>
      <xdr:col>19</xdr:col>
      <xdr:colOff>9525</xdr:colOff>
      <xdr:row>348</xdr:row>
      <xdr:rowOff>9525</xdr:rowOff>
    </xdr:to>
    <xdr:pic>
      <xdr:nvPicPr>
        <xdr:cNvPr id="11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443</xdr:row>
      <xdr:rowOff>0</xdr:rowOff>
    </xdr:from>
    <xdr:to>
      <xdr:col>16</xdr:col>
      <xdr:colOff>9525</xdr:colOff>
      <xdr:row>443</xdr:row>
      <xdr:rowOff>9525</xdr:rowOff>
    </xdr:to>
    <xdr:pic>
      <xdr:nvPicPr>
        <xdr:cNvPr id="116"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443</xdr:row>
      <xdr:rowOff>0</xdr:rowOff>
    </xdr:from>
    <xdr:to>
      <xdr:col>18</xdr:col>
      <xdr:colOff>9525</xdr:colOff>
      <xdr:row>443</xdr:row>
      <xdr:rowOff>9525</xdr:rowOff>
    </xdr:to>
    <xdr:pic>
      <xdr:nvPicPr>
        <xdr:cNvPr id="117"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294</xdr:row>
      <xdr:rowOff>0</xdr:rowOff>
    </xdr:from>
    <xdr:to>
      <xdr:col>16</xdr:col>
      <xdr:colOff>9525</xdr:colOff>
      <xdr:row>294</xdr:row>
      <xdr:rowOff>9525</xdr:rowOff>
    </xdr:to>
    <xdr:pic>
      <xdr:nvPicPr>
        <xdr:cNvPr id="118"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294</xdr:row>
      <xdr:rowOff>0</xdr:rowOff>
    </xdr:from>
    <xdr:to>
      <xdr:col>18</xdr:col>
      <xdr:colOff>9525</xdr:colOff>
      <xdr:row>294</xdr:row>
      <xdr:rowOff>9525</xdr:rowOff>
    </xdr:to>
    <xdr:pic>
      <xdr:nvPicPr>
        <xdr:cNvPr id="119"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530</xdr:row>
      <xdr:rowOff>0</xdr:rowOff>
    </xdr:from>
    <xdr:to>
      <xdr:col>17</xdr:col>
      <xdr:colOff>9525</xdr:colOff>
      <xdr:row>530</xdr:row>
      <xdr:rowOff>9525</xdr:rowOff>
    </xdr:to>
    <xdr:pic>
      <xdr:nvPicPr>
        <xdr:cNvPr id="12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530</xdr:row>
      <xdr:rowOff>0</xdr:rowOff>
    </xdr:from>
    <xdr:to>
      <xdr:col>19</xdr:col>
      <xdr:colOff>9525</xdr:colOff>
      <xdr:row>530</xdr:row>
      <xdr:rowOff>9525</xdr:rowOff>
    </xdr:to>
    <xdr:pic>
      <xdr:nvPicPr>
        <xdr:cNvPr id="12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282</xdr:row>
      <xdr:rowOff>0</xdr:rowOff>
    </xdr:from>
    <xdr:to>
      <xdr:col>17</xdr:col>
      <xdr:colOff>9525</xdr:colOff>
      <xdr:row>282</xdr:row>
      <xdr:rowOff>9525</xdr:rowOff>
    </xdr:to>
    <xdr:pic>
      <xdr:nvPicPr>
        <xdr:cNvPr id="12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282</xdr:row>
      <xdr:rowOff>0</xdr:rowOff>
    </xdr:from>
    <xdr:to>
      <xdr:col>19</xdr:col>
      <xdr:colOff>9525</xdr:colOff>
      <xdr:row>282</xdr:row>
      <xdr:rowOff>9525</xdr:rowOff>
    </xdr:to>
    <xdr:pic>
      <xdr:nvPicPr>
        <xdr:cNvPr id="12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288</xdr:row>
      <xdr:rowOff>0</xdr:rowOff>
    </xdr:from>
    <xdr:to>
      <xdr:col>17</xdr:col>
      <xdr:colOff>9525</xdr:colOff>
      <xdr:row>288</xdr:row>
      <xdr:rowOff>9525</xdr:rowOff>
    </xdr:to>
    <xdr:pic>
      <xdr:nvPicPr>
        <xdr:cNvPr id="12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288</xdr:row>
      <xdr:rowOff>0</xdr:rowOff>
    </xdr:from>
    <xdr:to>
      <xdr:col>19</xdr:col>
      <xdr:colOff>9525</xdr:colOff>
      <xdr:row>288</xdr:row>
      <xdr:rowOff>9525</xdr:rowOff>
    </xdr:to>
    <xdr:pic>
      <xdr:nvPicPr>
        <xdr:cNvPr id="12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494</xdr:row>
      <xdr:rowOff>0</xdr:rowOff>
    </xdr:from>
    <xdr:to>
      <xdr:col>17</xdr:col>
      <xdr:colOff>9525</xdr:colOff>
      <xdr:row>494</xdr:row>
      <xdr:rowOff>9525</xdr:rowOff>
    </xdr:to>
    <xdr:pic>
      <xdr:nvPicPr>
        <xdr:cNvPr id="12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494</xdr:row>
      <xdr:rowOff>0</xdr:rowOff>
    </xdr:from>
    <xdr:to>
      <xdr:col>19</xdr:col>
      <xdr:colOff>9525</xdr:colOff>
      <xdr:row>494</xdr:row>
      <xdr:rowOff>9525</xdr:rowOff>
    </xdr:to>
    <xdr:pic>
      <xdr:nvPicPr>
        <xdr:cNvPr id="12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300</xdr:row>
      <xdr:rowOff>0</xdr:rowOff>
    </xdr:from>
    <xdr:to>
      <xdr:col>17</xdr:col>
      <xdr:colOff>9525</xdr:colOff>
      <xdr:row>300</xdr:row>
      <xdr:rowOff>9525</xdr:rowOff>
    </xdr:to>
    <xdr:pic>
      <xdr:nvPicPr>
        <xdr:cNvPr id="12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300</xdr:row>
      <xdr:rowOff>0</xdr:rowOff>
    </xdr:from>
    <xdr:to>
      <xdr:col>19</xdr:col>
      <xdr:colOff>9525</xdr:colOff>
      <xdr:row>300</xdr:row>
      <xdr:rowOff>9525</xdr:rowOff>
    </xdr:to>
    <xdr:pic>
      <xdr:nvPicPr>
        <xdr:cNvPr id="12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378</xdr:row>
      <xdr:rowOff>0</xdr:rowOff>
    </xdr:from>
    <xdr:to>
      <xdr:col>17</xdr:col>
      <xdr:colOff>9525</xdr:colOff>
      <xdr:row>378</xdr:row>
      <xdr:rowOff>9525</xdr:rowOff>
    </xdr:to>
    <xdr:pic>
      <xdr:nvPicPr>
        <xdr:cNvPr id="13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378</xdr:row>
      <xdr:rowOff>0</xdr:rowOff>
    </xdr:from>
    <xdr:to>
      <xdr:col>19</xdr:col>
      <xdr:colOff>9525</xdr:colOff>
      <xdr:row>378</xdr:row>
      <xdr:rowOff>9525</xdr:rowOff>
    </xdr:to>
    <xdr:pic>
      <xdr:nvPicPr>
        <xdr:cNvPr id="13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384</xdr:row>
      <xdr:rowOff>0</xdr:rowOff>
    </xdr:from>
    <xdr:to>
      <xdr:col>17</xdr:col>
      <xdr:colOff>9525</xdr:colOff>
      <xdr:row>384</xdr:row>
      <xdr:rowOff>9525</xdr:rowOff>
    </xdr:to>
    <xdr:pic>
      <xdr:nvPicPr>
        <xdr:cNvPr id="13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384</xdr:row>
      <xdr:rowOff>0</xdr:rowOff>
    </xdr:from>
    <xdr:to>
      <xdr:col>19</xdr:col>
      <xdr:colOff>9525</xdr:colOff>
      <xdr:row>384</xdr:row>
      <xdr:rowOff>9525</xdr:rowOff>
    </xdr:to>
    <xdr:pic>
      <xdr:nvPicPr>
        <xdr:cNvPr id="13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276</xdr:row>
      <xdr:rowOff>0</xdr:rowOff>
    </xdr:from>
    <xdr:to>
      <xdr:col>17</xdr:col>
      <xdr:colOff>9525</xdr:colOff>
      <xdr:row>276</xdr:row>
      <xdr:rowOff>9525</xdr:rowOff>
    </xdr:to>
    <xdr:pic>
      <xdr:nvPicPr>
        <xdr:cNvPr id="13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276</xdr:row>
      <xdr:rowOff>0</xdr:rowOff>
    </xdr:from>
    <xdr:to>
      <xdr:col>19</xdr:col>
      <xdr:colOff>9525</xdr:colOff>
      <xdr:row>276</xdr:row>
      <xdr:rowOff>9525</xdr:rowOff>
    </xdr:to>
    <xdr:pic>
      <xdr:nvPicPr>
        <xdr:cNvPr id="13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432</xdr:row>
      <xdr:rowOff>0</xdr:rowOff>
    </xdr:from>
    <xdr:to>
      <xdr:col>17</xdr:col>
      <xdr:colOff>9525</xdr:colOff>
      <xdr:row>432</xdr:row>
      <xdr:rowOff>9525</xdr:rowOff>
    </xdr:to>
    <xdr:pic>
      <xdr:nvPicPr>
        <xdr:cNvPr id="13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432</xdr:row>
      <xdr:rowOff>0</xdr:rowOff>
    </xdr:from>
    <xdr:to>
      <xdr:col>19</xdr:col>
      <xdr:colOff>9525</xdr:colOff>
      <xdr:row>432</xdr:row>
      <xdr:rowOff>9525</xdr:rowOff>
    </xdr:to>
    <xdr:pic>
      <xdr:nvPicPr>
        <xdr:cNvPr id="13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456</xdr:row>
      <xdr:rowOff>0</xdr:rowOff>
    </xdr:from>
    <xdr:to>
      <xdr:col>17</xdr:col>
      <xdr:colOff>9525</xdr:colOff>
      <xdr:row>456</xdr:row>
      <xdr:rowOff>9525</xdr:rowOff>
    </xdr:to>
    <xdr:pic>
      <xdr:nvPicPr>
        <xdr:cNvPr id="13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456</xdr:row>
      <xdr:rowOff>0</xdr:rowOff>
    </xdr:from>
    <xdr:to>
      <xdr:col>19</xdr:col>
      <xdr:colOff>9525</xdr:colOff>
      <xdr:row>456</xdr:row>
      <xdr:rowOff>9525</xdr:rowOff>
    </xdr:to>
    <xdr:pic>
      <xdr:nvPicPr>
        <xdr:cNvPr id="13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481</xdr:row>
      <xdr:rowOff>0</xdr:rowOff>
    </xdr:from>
    <xdr:to>
      <xdr:col>17</xdr:col>
      <xdr:colOff>9525</xdr:colOff>
      <xdr:row>481</xdr:row>
      <xdr:rowOff>9525</xdr:rowOff>
    </xdr:to>
    <xdr:pic>
      <xdr:nvPicPr>
        <xdr:cNvPr id="14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481</xdr:row>
      <xdr:rowOff>0</xdr:rowOff>
    </xdr:from>
    <xdr:to>
      <xdr:col>19</xdr:col>
      <xdr:colOff>9525</xdr:colOff>
      <xdr:row>481</xdr:row>
      <xdr:rowOff>9525</xdr:rowOff>
    </xdr:to>
    <xdr:pic>
      <xdr:nvPicPr>
        <xdr:cNvPr id="14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348</xdr:row>
      <xdr:rowOff>0</xdr:rowOff>
    </xdr:from>
    <xdr:to>
      <xdr:col>16</xdr:col>
      <xdr:colOff>9525</xdr:colOff>
      <xdr:row>348</xdr:row>
      <xdr:rowOff>9525</xdr:rowOff>
    </xdr:to>
    <xdr:pic>
      <xdr:nvPicPr>
        <xdr:cNvPr id="142" name="Picture 10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348</xdr:row>
      <xdr:rowOff>0</xdr:rowOff>
    </xdr:from>
    <xdr:to>
      <xdr:col>18</xdr:col>
      <xdr:colOff>9525</xdr:colOff>
      <xdr:row>348</xdr:row>
      <xdr:rowOff>9525</xdr:rowOff>
    </xdr:to>
    <xdr:pic>
      <xdr:nvPicPr>
        <xdr:cNvPr id="143" name="Picture 11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426</xdr:row>
      <xdr:rowOff>0</xdr:rowOff>
    </xdr:from>
    <xdr:to>
      <xdr:col>17</xdr:col>
      <xdr:colOff>9525</xdr:colOff>
      <xdr:row>426</xdr:row>
      <xdr:rowOff>9525</xdr:rowOff>
    </xdr:to>
    <xdr:pic>
      <xdr:nvPicPr>
        <xdr:cNvPr id="1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426</xdr:row>
      <xdr:rowOff>0</xdr:rowOff>
    </xdr:from>
    <xdr:to>
      <xdr:col>19</xdr:col>
      <xdr:colOff>9525</xdr:colOff>
      <xdr:row>426</xdr:row>
      <xdr:rowOff>9525</xdr:rowOff>
    </xdr:to>
    <xdr:pic>
      <xdr:nvPicPr>
        <xdr:cNvPr id="1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524</xdr:row>
      <xdr:rowOff>0</xdr:rowOff>
    </xdr:from>
    <xdr:to>
      <xdr:col>17</xdr:col>
      <xdr:colOff>9525</xdr:colOff>
      <xdr:row>524</xdr:row>
      <xdr:rowOff>9525</xdr:rowOff>
    </xdr:to>
    <xdr:pic>
      <xdr:nvPicPr>
        <xdr:cNvPr id="14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524</xdr:row>
      <xdr:rowOff>0</xdr:rowOff>
    </xdr:from>
    <xdr:to>
      <xdr:col>19</xdr:col>
      <xdr:colOff>9525</xdr:colOff>
      <xdr:row>524</xdr:row>
      <xdr:rowOff>9525</xdr:rowOff>
    </xdr:to>
    <xdr:pic>
      <xdr:nvPicPr>
        <xdr:cNvPr id="14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536</xdr:row>
      <xdr:rowOff>0</xdr:rowOff>
    </xdr:from>
    <xdr:to>
      <xdr:col>17</xdr:col>
      <xdr:colOff>9525</xdr:colOff>
      <xdr:row>536</xdr:row>
      <xdr:rowOff>9525</xdr:rowOff>
    </xdr:to>
    <xdr:pic>
      <xdr:nvPicPr>
        <xdr:cNvPr id="1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536</xdr:row>
      <xdr:rowOff>0</xdr:rowOff>
    </xdr:from>
    <xdr:to>
      <xdr:col>19</xdr:col>
      <xdr:colOff>9525</xdr:colOff>
      <xdr:row>536</xdr:row>
      <xdr:rowOff>9525</xdr:rowOff>
    </xdr:to>
    <xdr:pic>
      <xdr:nvPicPr>
        <xdr:cNvPr id="1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396</xdr:row>
      <xdr:rowOff>0</xdr:rowOff>
    </xdr:from>
    <xdr:to>
      <xdr:col>17</xdr:col>
      <xdr:colOff>9525</xdr:colOff>
      <xdr:row>396</xdr:row>
      <xdr:rowOff>9525</xdr:rowOff>
    </xdr:to>
    <xdr:pic>
      <xdr:nvPicPr>
        <xdr:cNvPr id="15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396</xdr:row>
      <xdr:rowOff>0</xdr:rowOff>
    </xdr:from>
    <xdr:to>
      <xdr:col>19</xdr:col>
      <xdr:colOff>9525</xdr:colOff>
      <xdr:row>396</xdr:row>
      <xdr:rowOff>9525</xdr:rowOff>
    </xdr:to>
    <xdr:pic>
      <xdr:nvPicPr>
        <xdr:cNvPr id="15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450</xdr:row>
      <xdr:rowOff>0</xdr:rowOff>
    </xdr:from>
    <xdr:to>
      <xdr:col>17</xdr:col>
      <xdr:colOff>9525</xdr:colOff>
      <xdr:row>450</xdr:row>
      <xdr:rowOff>9525</xdr:rowOff>
    </xdr:to>
    <xdr:pic>
      <xdr:nvPicPr>
        <xdr:cNvPr id="1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450</xdr:row>
      <xdr:rowOff>0</xdr:rowOff>
    </xdr:from>
    <xdr:to>
      <xdr:col>19</xdr:col>
      <xdr:colOff>9525</xdr:colOff>
      <xdr:row>450</xdr:row>
      <xdr:rowOff>9525</xdr:rowOff>
    </xdr:to>
    <xdr:pic>
      <xdr:nvPicPr>
        <xdr:cNvPr id="1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366</xdr:row>
      <xdr:rowOff>0</xdr:rowOff>
    </xdr:from>
    <xdr:to>
      <xdr:col>17</xdr:col>
      <xdr:colOff>9525</xdr:colOff>
      <xdr:row>366</xdr:row>
      <xdr:rowOff>9525</xdr:rowOff>
    </xdr:to>
    <xdr:pic>
      <xdr:nvPicPr>
        <xdr:cNvPr id="15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366</xdr:row>
      <xdr:rowOff>0</xdr:rowOff>
    </xdr:from>
    <xdr:to>
      <xdr:col>19</xdr:col>
      <xdr:colOff>9525</xdr:colOff>
      <xdr:row>366</xdr:row>
      <xdr:rowOff>9525</xdr:rowOff>
    </xdr:to>
    <xdr:pic>
      <xdr:nvPicPr>
        <xdr:cNvPr id="15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360</xdr:row>
      <xdr:rowOff>0</xdr:rowOff>
    </xdr:from>
    <xdr:to>
      <xdr:col>17</xdr:col>
      <xdr:colOff>9525</xdr:colOff>
      <xdr:row>360</xdr:row>
      <xdr:rowOff>9525</xdr:rowOff>
    </xdr:to>
    <xdr:pic>
      <xdr:nvPicPr>
        <xdr:cNvPr id="1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360</xdr:row>
      <xdr:rowOff>0</xdr:rowOff>
    </xdr:from>
    <xdr:to>
      <xdr:col>19</xdr:col>
      <xdr:colOff>9525</xdr:colOff>
      <xdr:row>360</xdr:row>
      <xdr:rowOff>9525</xdr:rowOff>
    </xdr:to>
    <xdr:pic>
      <xdr:nvPicPr>
        <xdr:cNvPr id="1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330</xdr:row>
      <xdr:rowOff>0</xdr:rowOff>
    </xdr:from>
    <xdr:to>
      <xdr:col>17</xdr:col>
      <xdr:colOff>9525</xdr:colOff>
      <xdr:row>330</xdr:row>
      <xdr:rowOff>9525</xdr:rowOff>
    </xdr:to>
    <xdr:pic>
      <xdr:nvPicPr>
        <xdr:cNvPr id="16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330</xdr:row>
      <xdr:rowOff>0</xdr:rowOff>
    </xdr:from>
    <xdr:to>
      <xdr:col>19</xdr:col>
      <xdr:colOff>9525</xdr:colOff>
      <xdr:row>330</xdr:row>
      <xdr:rowOff>9525</xdr:rowOff>
    </xdr:to>
    <xdr:pic>
      <xdr:nvPicPr>
        <xdr:cNvPr id="16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506</xdr:row>
      <xdr:rowOff>0</xdr:rowOff>
    </xdr:from>
    <xdr:to>
      <xdr:col>17</xdr:col>
      <xdr:colOff>9525</xdr:colOff>
      <xdr:row>506</xdr:row>
      <xdr:rowOff>9525</xdr:rowOff>
    </xdr:to>
    <xdr:pic>
      <xdr:nvPicPr>
        <xdr:cNvPr id="1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506</xdr:row>
      <xdr:rowOff>0</xdr:rowOff>
    </xdr:from>
    <xdr:to>
      <xdr:col>19</xdr:col>
      <xdr:colOff>9525</xdr:colOff>
      <xdr:row>506</xdr:row>
      <xdr:rowOff>9525</xdr:rowOff>
    </xdr:to>
    <xdr:pic>
      <xdr:nvPicPr>
        <xdr:cNvPr id="1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542</xdr:row>
      <xdr:rowOff>0</xdr:rowOff>
    </xdr:from>
    <xdr:to>
      <xdr:col>17</xdr:col>
      <xdr:colOff>9525</xdr:colOff>
      <xdr:row>542</xdr:row>
      <xdr:rowOff>9525</xdr:rowOff>
    </xdr:to>
    <xdr:pic>
      <xdr:nvPicPr>
        <xdr:cNvPr id="16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542</xdr:row>
      <xdr:rowOff>0</xdr:rowOff>
    </xdr:from>
    <xdr:to>
      <xdr:col>19</xdr:col>
      <xdr:colOff>9525</xdr:colOff>
      <xdr:row>542</xdr:row>
      <xdr:rowOff>9525</xdr:rowOff>
    </xdr:to>
    <xdr:pic>
      <xdr:nvPicPr>
        <xdr:cNvPr id="16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390</xdr:row>
      <xdr:rowOff>0</xdr:rowOff>
    </xdr:from>
    <xdr:to>
      <xdr:col>17</xdr:col>
      <xdr:colOff>9525</xdr:colOff>
      <xdr:row>390</xdr:row>
      <xdr:rowOff>9525</xdr:rowOff>
    </xdr:to>
    <xdr:pic>
      <xdr:nvPicPr>
        <xdr:cNvPr id="1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390</xdr:row>
      <xdr:rowOff>0</xdr:rowOff>
    </xdr:from>
    <xdr:to>
      <xdr:col>19</xdr:col>
      <xdr:colOff>9525</xdr:colOff>
      <xdr:row>390</xdr:row>
      <xdr:rowOff>9525</xdr:rowOff>
    </xdr:to>
    <xdr:pic>
      <xdr:nvPicPr>
        <xdr:cNvPr id="1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228</xdr:row>
      <xdr:rowOff>0</xdr:rowOff>
    </xdr:from>
    <xdr:to>
      <xdr:col>17</xdr:col>
      <xdr:colOff>9525</xdr:colOff>
      <xdr:row>228</xdr:row>
      <xdr:rowOff>9525</xdr:rowOff>
    </xdr:to>
    <xdr:pic>
      <xdr:nvPicPr>
        <xdr:cNvPr id="166"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228</xdr:row>
      <xdr:rowOff>0</xdr:rowOff>
    </xdr:from>
    <xdr:to>
      <xdr:col>19</xdr:col>
      <xdr:colOff>9525</xdr:colOff>
      <xdr:row>228</xdr:row>
      <xdr:rowOff>9525</xdr:rowOff>
    </xdr:to>
    <xdr:pic>
      <xdr:nvPicPr>
        <xdr:cNvPr id="167"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229</xdr:row>
      <xdr:rowOff>0</xdr:rowOff>
    </xdr:from>
    <xdr:to>
      <xdr:col>17</xdr:col>
      <xdr:colOff>9525</xdr:colOff>
      <xdr:row>229</xdr:row>
      <xdr:rowOff>9525</xdr:rowOff>
    </xdr:to>
    <xdr:pic>
      <xdr:nvPicPr>
        <xdr:cNvPr id="168"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229</xdr:row>
      <xdr:rowOff>0</xdr:rowOff>
    </xdr:from>
    <xdr:to>
      <xdr:col>19</xdr:col>
      <xdr:colOff>9525</xdr:colOff>
      <xdr:row>229</xdr:row>
      <xdr:rowOff>9525</xdr:rowOff>
    </xdr:to>
    <xdr:pic>
      <xdr:nvPicPr>
        <xdr:cNvPr id="169"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152400</xdr:colOff>
      <xdr:row>0</xdr:row>
      <xdr:rowOff>0</xdr:rowOff>
    </xdr:from>
    <xdr:to>
      <xdr:col>30</xdr:col>
      <xdr:colOff>0</xdr:colOff>
      <xdr:row>0</xdr:row>
      <xdr:rowOff>0</xdr:rowOff>
    </xdr:to>
    <xdr:pic>
      <xdr:nvPicPr>
        <xdr:cNvPr id="1026"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057775" y="0"/>
          <a:ext cx="4295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15</xdr:col>
      <xdr:colOff>104775</xdr:colOff>
      <xdr:row>0</xdr:row>
      <xdr:rowOff>0</xdr:rowOff>
    </xdr:from>
    <xdr:to>
      <xdr:col>15</xdr:col>
      <xdr:colOff>266700</xdr:colOff>
      <xdr:row>0</xdr:row>
      <xdr:rowOff>0</xdr:rowOff>
    </xdr:to>
    <xdr:pic>
      <xdr:nvPicPr>
        <xdr:cNvPr id="1027"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15</xdr:col>
      <xdr:colOff>104775</xdr:colOff>
      <xdr:row>0</xdr:row>
      <xdr:rowOff>0</xdr:rowOff>
    </xdr:from>
    <xdr:to>
      <xdr:col>16</xdr:col>
      <xdr:colOff>0</xdr:colOff>
      <xdr:row>0</xdr:row>
      <xdr:rowOff>0</xdr:rowOff>
    </xdr:to>
    <xdr:pic>
      <xdr:nvPicPr>
        <xdr:cNvPr id="1028" name="Object 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0</xdr:row>
      <xdr:rowOff>0</xdr:rowOff>
    </xdr:from>
    <xdr:to>
      <xdr:col>28</xdr:col>
      <xdr:colOff>0</xdr:colOff>
      <xdr:row>0</xdr:row>
      <xdr:rowOff>0</xdr:rowOff>
    </xdr:to>
    <xdr:pic>
      <xdr:nvPicPr>
        <xdr:cNvPr id="2099" name="Picture 1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00" name="Picture 1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01" name="Picture 2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02" name="Picture 2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03" name="Picture 2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04" name="Picture 2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05" name="Picture 2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06" name="Picture 2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07" name="Picture 2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08" name="Picture 2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09" name="Picture 2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10" name="Picture 3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11" name="Picture 3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12" name="Picture 3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13" name="Picture 3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14" name="Picture 3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15" name="Picture 3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1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1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18"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19"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20"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21"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22"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23"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24"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25"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26"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27" name="Picture 4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28"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28</xdr:col>
      <xdr:colOff>0</xdr:colOff>
      <xdr:row>0</xdr:row>
      <xdr:rowOff>0</xdr:rowOff>
    </xdr:from>
    <xdr:to>
      <xdr:col>28</xdr:col>
      <xdr:colOff>0</xdr:colOff>
      <xdr:row>0</xdr:row>
      <xdr:rowOff>0</xdr:rowOff>
    </xdr:to>
    <xdr:pic>
      <xdr:nvPicPr>
        <xdr:cNvPr id="2129" name="Picture 4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29</xdr:col>
      <xdr:colOff>0</xdr:colOff>
      <xdr:row>0</xdr:row>
      <xdr:rowOff>0</xdr:rowOff>
    </xdr:from>
    <xdr:to>
      <xdr:col>29</xdr:col>
      <xdr:colOff>0</xdr:colOff>
      <xdr:row>0</xdr:row>
      <xdr:rowOff>0</xdr:rowOff>
    </xdr:to>
    <xdr:pic>
      <xdr:nvPicPr>
        <xdr:cNvPr id="2130"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19050</xdr:colOff>
      <xdr:row>0</xdr:row>
      <xdr:rowOff>0</xdr:rowOff>
    </xdr:from>
    <xdr:to>
      <xdr:col>28</xdr:col>
      <xdr:colOff>0</xdr:colOff>
      <xdr:row>0</xdr:row>
      <xdr:rowOff>0</xdr:rowOff>
    </xdr:to>
    <xdr:pic>
      <xdr:nvPicPr>
        <xdr:cNvPr id="2062" name="Object 1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591175" y="0"/>
          <a:ext cx="2390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29</xdr:col>
      <xdr:colOff>0</xdr:colOff>
      <xdr:row>0</xdr:row>
      <xdr:rowOff>0</xdr:rowOff>
    </xdr:from>
    <xdr:to>
      <xdr:col>29</xdr:col>
      <xdr:colOff>0</xdr:colOff>
      <xdr:row>0</xdr:row>
      <xdr:rowOff>0</xdr:rowOff>
    </xdr:to>
    <xdr:pic>
      <xdr:nvPicPr>
        <xdr:cNvPr id="2067" name="Object 19"/>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20150"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36</xdr:col>
      <xdr:colOff>0</xdr:colOff>
      <xdr:row>0</xdr:row>
      <xdr:rowOff>0</xdr:rowOff>
    </xdr:from>
    <xdr:to>
      <xdr:col>36</xdr:col>
      <xdr:colOff>0</xdr:colOff>
      <xdr:row>0</xdr:row>
      <xdr:rowOff>0</xdr:rowOff>
    </xdr:to>
    <xdr:pic>
      <xdr:nvPicPr>
        <xdr:cNvPr id="2068" name="Object 20"/>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41095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701</xdr:row>
      <xdr:rowOff>0</xdr:rowOff>
    </xdr:from>
    <xdr:to>
      <xdr:col>17</xdr:col>
      <xdr:colOff>9525</xdr:colOff>
      <xdr:row>701</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701</xdr:row>
      <xdr:rowOff>0</xdr:rowOff>
    </xdr:from>
    <xdr:to>
      <xdr:col>19</xdr:col>
      <xdr:colOff>9525</xdr:colOff>
      <xdr:row>701</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174</xdr:row>
      <xdr:rowOff>0</xdr:rowOff>
    </xdr:from>
    <xdr:to>
      <xdr:col>17</xdr:col>
      <xdr:colOff>9525</xdr:colOff>
      <xdr:row>174</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174</xdr:row>
      <xdr:rowOff>0</xdr:rowOff>
    </xdr:from>
    <xdr:to>
      <xdr:col>19</xdr:col>
      <xdr:colOff>9525</xdr:colOff>
      <xdr:row>174</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694</xdr:row>
      <xdr:rowOff>0</xdr:rowOff>
    </xdr:from>
    <xdr:to>
      <xdr:col>17</xdr:col>
      <xdr:colOff>9525</xdr:colOff>
      <xdr:row>694</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694</xdr:row>
      <xdr:rowOff>0</xdr:rowOff>
    </xdr:from>
    <xdr:to>
      <xdr:col>19</xdr:col>
      <xdr:colOff>9525</xdr:colOff>
      <xdr:row>694</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xdr:row>
      <xdr:rowOff>0</xdr:rowOff>
    </xdr:from>
    <xdr:to>
      <xdr:col>17</xdr:col>
      <xdr:colOff>9525</xdr:colOff>
      <xdr:row>42</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02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xdr:row>
      <xdr:rowOff>0</xdr:rowOff>
    </xdr:from>
    <xdr:to>
      <xdr:col>19</xdr:col>
      <xdr:colOff>9525</xdr:colOff>
      <xdr:row>42</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e1" displayName="Table1" ref="A3:M76" totalsRowShown="0">
  <autoFilter ref="A3:M76"/>
  <sortState ref="A4:M76">
    <sortCondition ref="J4:J76"/>
  </sortState>
  <tableColumns count="13">
    <tableColumn id="1" name="Column1" dataDxfId="906"/>
    <tableColumn id="2" name="Column2" dataDxfId="905">
      <calculatedColumnFormula>((A4-28)*(-0.12))+(-2.66)</calculatedColumnFormula>
    </tableColumn>
    <tableColumn id="3" name="Column3" dataDxfId="904"/>
    <tableColumn id="4" name="Column4" dataDxfId="903"/>
    <tableColumn id="5" name="Column5" dataDxfId="902" dataCellStyle="Normal"/>
    <tableColumn id="6" name="Column6" dataDxfId="901" dataCellStyle="Normal">
      <calculatedColumnFormula>((E4-28)*(-0.11))+(-2.38)</calculatedColumnFormula>
    </tableColumn>
    <tableColumn id="7" name="Column7" dataDxfId="900" dataCellStyle="Normal"/>
    <tableColumn id="8" name="Column8" dataDxfId="899" dataCellStyle="Normal"/>
    <tableColumn id="9" name="Column9" dataDxfId="898" dataCellStyle="Normal"/>
    <tableColumn id="10" name="Column10" dataDxfId="897" dataCellStyle="Normal"/>
    <tableColumn id="11" name="Column11" dataDxfId="896"/>
    <tableColumn id="12" name="Column12"/>
    <tableColumn id="13" name="Column1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mlb.mlb.com/stats/sortable.jsp?c_id=mil" TargetMode="External"/><Relationship Id="rId18" Type="http://schemas.openxmlformats.org/officeDocument/2006/relationships/hyperlink" Target="http://mlb.mlb.com/stats/sortable.jsp?c_id=tex" TargetMode="External"/><Relationship Id="rId26" Type="http://schemas.openxmlformats.org/officeDocument/2006/relationships/hyperlink" Target="http://mlb.mlb.com/stats/sortable.jsp?c_id=min" TargetMode="External"/><Relationship Id="rId39" Type="http://schemas.openxmlformats.org/officeDocument/2006/relationships/hyperlink" Target="http://mlb.mlb.com/stats/sortable.jsp?c_id=kc" TargetMode="External"/><Relationship Id="rId21" Type="http://schemas.openxmlformats.org/officeDocument/2006/relationships/hyperlink" Target="http://mlb.mlb.com/stats/sortable.jsp?c_id=ana" TargetMode="External"/><Relationship Id="rId34" Type="http://schemas.openxmlformats.org/officeDocument/2006/relationships/hyperlink" Target="http://mlb.mlb.com/stats/sortable.jsp?c_id=bos" TargetMode="External"/><Relationship Id="rId42" Type="http://schemas.openxmlformats.org/officeDocument/2006/relationships/hyperlink" Target="http://mlb.mlb.com/stats/sortable.jsp?c_id=ana" TargetMode="External"/><Relationship Id="rId47" Type="http://schemas.openxmlformats.org/officeDocument/2006/relationships/hyperlink" Target="http://mlb.mlb.com/stats/sortable.jsp?c_id=was" TargetMode="External"/><Relationship Id="rId50" Type="http://schemas.openxmlformats.org/officeDocument/2006/relationships/hyperlink" Target="http://mlb.mlb.com/stats/sortable.jsp?c_id=la" TargetMode="External"/><Relationship Id="rId55" Type="http://schemas.openxmlformats.org/officeDocument/2006/relationships/hyperlink" Target="http://mlb.mlb.com/stats/sortable.jsp?c_id=sd" TargetMode="External"/><Relationship Id="rId7" Type="http://schemas.openxmlformats.org/officeDocument/2006/relationships/hyperlink" Target="http://mlb.mlb.com/stats/sortable.jsp?c_id=cin" TargetMode="External"/><Relationship Id="rId2" Type="http://schemas.openxmlformats.org/officeDocument/2006/relationships/hyperlink" Target="http://mlb.mlb.com/stats/sortable.jsp?c_id=mia" TargetMode="External"/><Relationship Id="rId16" Type="http://schemas.openxmlformats.org/officeDocument/2006/relationships/hyperlink" Target="http://mlb.mlb.com/stats/sortable.jsp?c_id=bos" TargetMode="External"/><Relationship Id="rId20" Type="http://schemas.openxmlformats.org/officeDocument/2006/relationships/hyperlink" Target="http://mlb.mlb.com/stats/sortable.jsp?c_id=kc" TargetMode="External"/><Relationship Id="rId29" Type="http://schemas.openxmlformats.org/officeDocument/2006/relationships/hyperlink" Target="http://mlb.mlb.com/stats/sortable.jsp?c_id=oak" TargetMode="External"/><Relationship Id="rId41" Type="http://schemas.openxmlformats.org/officeDocument/2006/relationships/hyperlink" Target="http://mlb.mlb.com/stats/sortable.jsp?c_id=det" TargetMode="External"/><Relationship Id="rId54" Type="http://schemas.openxmlformats.org/officeDocument/2006/relationships/hyperlink" Target="http://mlb.mlb.com/stats/sortable.jsp?c_id=pit" TargetMode="External"/><Relationship Id="rId1" Type="http://schemas.openxmlformats.org/officeDocument/2006/relationships/hyperlink" Target="http://mlb.mlb.com/stats/sortable.jsp?c_id=col" TargetMode="External"/><Relationship Id="rId6" Type="http://schemas.openxmlformats.org/officeDocument/2006/relationships/hyperlink" Target="http://mlb.mlb.com/stats/sortable.jsp?c_id=chc" TargetMode="External"/><Relationship Id="rId11" Type="http://schemas.openxmlformats.org/officeDocument/2006/relationships/hyperlink" Target="http://mlb.mlb.com/stats/sortable.jsp?c_id=la" TargetMode="External"/><Relationship Id="rId24" Type="http://schemas.openxmlformats.org/officeDocument/2006/relationships/hyperlink" Target="http://mlb.mlb.com/stats/sortable.jsp?c_id=bal" TargetMode="External"/><Relationship Id="rId32" Type="http://schemas.openxmlformats.org/officeDocument/2006/relationships/hyperlink" Target="http://mlb.mlb.com/stats/sortable.jsp?c_id=cle" TargetMode="External"/><Relationship Id="rId37" Type="http://schemas.openxmlformats.org/officeDocument/2006/relationships/hyperlink" Target="http://mlb.mlb.com/stats/sortable.jsp?c_id=nyy" TargetMode="External"/><Relationship Id="rId40" Type="http://schemas.openxmlformats.org/officeDocument/2006/relationships/hyperlink" Target="http://mlb.mlb.com/stats/sortable.jsp?c_id=bal" TargetMode="External"/><Relationship Id="rId45" Type="http://schemas.openxmlformats.org/officeDocument/2006/relationships/hyperlink" Target="http://mlb.mlb.com/stats/sortable.jsp?c_id=min" TargetMode="External"/><Relationship Id="rId53" Type="http://schemas.openxmlformats.org/officeDocument/2006/relationships/hyperlink" Target="http://mlb.mlb.com/stats/sortable.jsp?c_id=mil" TargetMode="External"/><Relationship Id="rId58" Type="http://schemas.openxmlformats.org/officeDocument/2006/relationships/hyperlink" Target="http://mlb.mlb.com/stats/sortable.jsp?c_id=col" TargetMode="External"/><Relationship Id="rId5" Type="http://schemas.openxmlformats.org/officeDocument/2006/relationships/hyperlink" Target="http://mlb.mlb.com/stats/sortable.jsp?c_id=pit" TargetMode="External"/><Relationship Id="rId15" Type="http://schemas.openxmlformats.org/officeDocument/2006/relationships/hyperlink" Target="http://mlb.mlb.com/stats/sortable.jsp?c_id=sd" TargetMode="External"/><Relationship Id="rId23" Type="http://schemas.openxmlformats.org/officeDocument/2006/relationships/hyperlink" Target="http://mlb.mlb.com/stats/sortable.jsp?c_id=cws" TargetMode="External"/><Relationship Id="rId28" Type="http://schemas.openxmlformats.org/officeDocument/2006/relationships/hyperlink" Target="http://mlb.mlb.com/stats/sortable.jsp?c_id=hou" TargetMode="External"/><Relationship Id="rId36" Type="http://schemas.openxmlformats.org/officeDocument/2006/relationships/hyperlink" Target="http://mlb.mlb.com/stats/sortable.jsp?c_id=cws" TargetMode="External"/><Relationship Id="rId49" Type="http://schemas.openxmlformats.org/officeDocument/2006/relationships/hyperlink" Target="http://mlb.mlb.com/stats/sortable.jsp?c_id=sf" TargetMode="External"/><Relationship Id="rId57" Type="http://schemas.openxmlformats.org/officeDocument/2006/relationships/hyperlink" Target="http://mlb.mlb.com/stats/sortable.jsp?c_id=phi" TargetMode="External"/><Relationship Id="rId61" Type="http://schemas.openxmlformats.org/officeDocument/2006/relationships/printerSettings" Target="../printerSettings/printerSettings11.bin"/><Relationship Id="rId10" Type="http://schemas.openxmlformats.org/officeDocument/2006/relationships/hyperlink" Target="http://mlb.mlb.com/stats/sortable.jsp?c_id=atl" TargetMode="External"/><Relationship Id="rId19" Type="http://schemas.openxmlformats.org/officeDocument/2006/relationships/hyperlink" Target="http://mlb.mlb.com/stats/sortable.jsp?c_id=cle" TargetMode="External"/><Relationship Id="rId31" Type="http://schemas.openxmlformats.org/officeDocument/2006/relationships/hyperlink" Target="http://mlb.mlb.com/stats/sortable.jsp?c_id=tor" TargetMode="External"/><Relationship Id="rId44" Type="http://schemas.openxmlformats.org/officeDocument/2006/relationships/hyperlink" Target="http://mlb.mlb.com/stats/sortable.jsp?c_id=oak" TargetMode="External"/><Relationship Id="rId52" Type="http://schemas.openxmlformats.org/officeDocument/2006/relationships/hyperlink" Target="http://mlb.mlb.com/stats/sortable.jsp?c_id=stl" TargetMode="External"/><Relationship Id="rId60" Type="http://schemas.openxmlformats.org/officeDocument/2006/relationships/hyperlink" Target="http://mlb.mlb.com/stats/sortable.jsp?c_id=ari" TargetMode="External"/><Relationship Id="rId4" Type="http://schemas.openxmlformats.org/officeDocument/2006/relationships/hyperlink" Target="http://mlb.mlb.com/stats/sortable.jsp?c_id=sf" TargetMode="External"/><Relationship Id="rId9" Type="http://schemas.openxmlformats.org/officeDocument/2006/relationships/hyperlink" Target="http://mlb.mlb.com/stats/sortable.jsp?c_id=stl" TargetMode="External"/><Relationship Id="rId14" Type="http://schemas.openxmlformats.org/officeDocument/2006/relationships/hyperlink" Target="http://mlb.mlb.com/stats/sortable.jsp?c_id=phi" TargetMode="External"/><Relationship Id="rId22" Type="http://schemas.openxmlformats.org/officeDocument/2006/relationships/hyperlink" Target="http://mlb.mlb.com/stats/sortable.jsp?c_id=sea" TargetMode="External"/><Relationship Id="rId27" Type="http://schemas.openxmlformats.org/officeDocument/2006/relationships/hyperlink" Target="http://mlb.mlb.com/stats/sortable.jsp?c_id=tor" TargetMode="External"/><Relationship Id="rId30" Type="http://schemas.openxmlformats.org/officeDocument/2006/relationships/hyperlink" Target="http://mlb.mlb.com/stats/sortable.jsp?c_id=tb" TargetMode="External"/><Relationship Id="rId35" Type="http://schemas.openxmlformats.org/officeDocument/2006/relationships/hyperlink" Target="http://mlb.mlb.com/stats/sortable.jsp?c_id=hou" TargetMode="External"/><Relationship Id="rId43" Type="http://schemas.openxmlformats.org/officeDocument/2006/relationships/hyperlink" Target="http://mlb.mlb.com/stats/sortable.jsp?c_id=tex" TargetMode="External"/><Relationship Id="rId48" Type="http://schemas.openxmlformats.org/officeDocument/2006/relationships/hyperlink" Target="http://mlb.mlb.com/stats/sortable.jsp?c_id=nym" TargetMode="External"/><Relationship Id="rId56" Type="http://schemas.openxmlformats.org/officeDocument/2006/relationships/hyperlink" Target="http://mlb.mlb.com/stats/sortable.jsp?c_id=atl" TargetMode="External"/><Relationship Id="rId8" Type="http://schemas.openxmlformats.org/officeDocument/2006/relationships/hyperlink" Target="http://mlb.mlb.com/stats/sortable.jsp?c_id=was" TargetMode="External"/><Relationship Id="rId51" Type="http://schemas.openxmlformats.org/officeDocument/2006/relationships/hyperlink" Target="http://mlb.mlb.com/stats/sortable.jsp?c_id=mia" TargetMode="External"/><Relationship Id="rId3" Type="http://schemas.openxmlformats.org/officeDocument/2006/relationships/hyperlink" Target="http://mlb.mlb.com/stats/sortable.jsp?c_id=ari" TargetMode="External"/><Relationship Id="rId12" Type="http://schemas.openxmlformats.org/officeDocument/2006/relationships/hyperlink" Target="http://mlb.mlb.com/stats/sortable.jsp?c_id=nym" TargetMode="External"/><Relationship Id="rId17" Type="http://schemas.openxmlformats.org/officeDocument/2006/relationships/hyperlink" Target="http://mlb.mlb.com/stats/sortable.jsp?c_id=det" TargetMode="External"/><Relationship Id="rId25" Type="http://schemas.openxmlformats.org/officeDocument/2006/relationships/hyperlink" Target="http://mlb.mlb.com/stats/sortable.jsp?c_id=nyy" TargetMode="External"/><Relationship Id="rId33" Type="http://schemas.openxmlformats.org/officeDocument/2006/relationships/hyperlink" Target="http://mlb.mlb.com/stats/sortable.jsp?c_id=sea" TargetMode="External"/><Relationship Id="rId38" Type="http://schemas.openxmlformats.org/officeDocument/2006/relationships/hyperlink" Target="http://mlb.mlb.com/stats/sortable.jsp?c_id=tb" TargetMode="External"/><Relationship Id="rId46" Type="http://schemas.openxmlformats.org/officeDocument/2006/relationships/hyperlink" Target="http://mlb.mlb.com/stats/sortable.jsp?c_id=chc" TargetMode="External"/><Relationship Id="rId59" Type="http://schemas.openxmlformats.org/officeDocument/2006/relationships/hyperlink" Target="http://mlb.mlb.com/stats/sortable.jsp?c_id=ci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mlb.mlb.com/team/player.jsp?player_id=429717" TargetMode="External"/><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3" Type="http://schemas.openxmlformats.org/officeDocument/2006/relationships/hyperlink" Target="http://mlb.mlb.com/team/player.jsp?player_id=452666" TargetMode="External"/><Relationship Id="rId21" Type="http://schemas.openxmlformats.org/officeDocument/2006/relationships/hyperlink" Target="http://mlb.mlb.com/team/player.jsp?player_id=501697" TargetMode="External"/><Relationship Id="rId7" Type="http://schemas.openxmlformats.org/officeDocument/2006/relationships/hyperlink" Target="http://mlb.mlb.com/team/player.jsp?player_id=150188"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drawing" Target="../drawings/drawing5.xm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printerSettings" Target="../printerSettings/printerSettings15.bin"/><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mlb.mlb.com/team/player.jsp?player_id=573668" TargetMode="External"/><Relationship Id="rId671" Type="http://schemas.openxmlformats.org/officeDocument/2006/relationships/hyperlink" Target="http://mlb.mlb.com/team/player.jsp?player_id=517008" TargetMode="External"/><Relationship Id="rId769" Type="http://schemas.openxmlformats.org/officeDocument/2006/relationships/hyperlink" Target="http://mlb.mlb.com/team/player.jsp?player_id=573186" TargetMode="External"/><Relationship Id="rId21" Type="http://schemas.openxmlformats.org/officeDocument/2006/relationships/hyperlink" Target="http://mlb.mlb.com/team/player.jsp?player_id=489119" TargetMode="External"/><Relationship Id="rId324" Type="http://schemas.openxmlformats.org/officeDocument/2006/relationships/hyperlink" Target="http://mlb.mlb.com/team/player.jsp?player_id=641838" TargetMode="External"/><Relationship Id="rId531" Type="http://schemas.openxmlformats.org/officeDocument/2006/relationships/hyperlink" Target="http://mlb.mlb.com/team/player.jsp?player_id=519240" TargetMode="External"/><Relationship Id="rId629" Type="http://schemas.openxmlformats.org/officeDocument/2006/relationships/hyperlink" Target="http://mlb.mlb.com/team/player.jsp?player_id=547874" TargetMode="External"/><Relationship Id="rId170" Type="http://schemas.openxmlformats.org/officeDocument/2006/relationships/hyperlink" Target="http://mlb.mlb.com/team/player.jsp?player_id=471911" TargetMode="External"/><Relationship Id="rId268" Type="http://schemas.openxmlformats.org/officeDocument/2006/relationships/hyperlink" Target="http://mlb.mlb.com/team/player.jsp?player_id=502748" TargetMode="External"/><Relationship Id="rId475" Type="http://schemas.openxmlformats.org/officeDocument/2006/relationships/hyperlink" Target="http://mlb.mlb.com/team/player.jsp?player_id=476589" TargetMode="External"/><Relationship Id="rId682" Type="http://schemas.openxmlformats.org/officeDocument/2006/relationships/hyperlink" Target="http://mlb.mlb.com/team/player.jsp?player_id=571670" TargetMode="External"/><Relationship Id="rId32" Type="http://schemas.openxmlformats.org/officeDocument/2006/relationships/hyperlink" Target="http://mlb.mlb.com/team/player.jsp?player_id=488984" TargetMode="External"/><Relationship Id="rId128" Type="http://schemas.openxmlformats.org/officeDocument/2006/relationships/hyperlink" Target="http://mlb.mlb.com/team/player.jsp?player_id=519168" TargetMode="External"/><Relationship Id="rId335" Type="http://schemas.openxmlformats.org/officeDocument/2006/relationships/hyperlink" Target="http://mlb.mlb.com/team/player.jsp?player_id=493247" TargetMode="External"/><Relationship Id="rId542" Type="http://schemas.openxmlformats.org/officeDocument/2006/relationships/hyperlink" Target="http://mlb.mlb.com/team/player.jsp?player_id=543243" TargetMode="External"/><Relationship Id="rId181" Type="http://schemas.openxmlformats.org/officeDocument/2006/relationships/hyperlink" Target="http://mlb.mlb.com/team/player.jsp?player_id=594736" TargetMode="External"/><Relationship Id="rId402" Type="http://schemas.openxmlformats.org/officeDocument/2006/relationships/hyperlink" Target="http://mlb.mlb.com/team/player.jsp?player_id=457915" TargetMode="External"/><Relationship Id="rId279" Type="http://schemas.openxmlformats.org/officeDocument/2006/relationships/hyperlink" Target="http://mlb.mlb.com/team/player.jsp?player_id=451661" TargetMode="External"/><Relationship Id="rId486" Type="http://schemas.openxmlformats.org/officeDocument/2006/relationships/hyperlink" Target="http://mlb.mlb.com/team/player.jsp?player_id=489446" TargetMode="External"/><Relationship Id="rId693" Type="http://schemas.openxmlformats.org/officeDocument/2006/relationships/hyperlink" Target="http://mlb.mlb.com/team/player.jsp?player_id=592407" TargetMode="External"/><Relationship Id="rId707" Type="http://schemas.openxmlformats.org/officeDocument/2006/relationships/hyperlink" Target="http://mlb.mlb.com/team/player.jsp?player_id=456167" TargetMode="External"/><Relationship Id="rId43" Type="http://schemas.openxmlformats.org/officeDocument/2006/relationships/hyperlink" Target="http://mlb.mlb.com/team/player.jsp?player_id=451596" TargetMode="External"/><Relationship Id="rId139" Type="http://schemas.openxmlformats.org/officeDocument/2006/relationships/hyperlink" Target="http://mlb.mlb.com/team/player.jsp?player_id=573589" TargetMode="External"/><Relationship Id="rId346" Type="http://schemas.openxmlformats.org/officeDocument/2006/relationships/hyperlink" Target="http://mlb.mlb.com/team/player.jsp?player_id=450665" TargetMode="External"/><Relationship Id="rId553" Type="http://schemas.openxmlformats.org/officeDocument/2006/relationships/hyperlink" Target="http://mlb.mlb.com/team/player.jsp?player_id=572033" TargetMode="External"/><Relationship Id="rId760" Type="http://schemas.openxmlformats.org/officeDocument/2006/relationships/hyperlink" Target="http://mlb.mlb.com/team/player.jsp?player_id=592717" TargetMode="External"/><Relationship Id="rId85" Type="http://schemas.openxmlformats.org/officeDocument/2006/relationships/hyperlink" Target="http://mlb.mlb.com/team/player.jsp?player_id=519144" TargetMode="External"/><Relationship Id="rId150" Type="http://schemas.openxmlformats.org/officeDocument/2006/relationships/hyperlink" Target="http://mlb.mlb.com/team/player.jsp?player_id=458006" TargetMode="External"/><Relationship Id="rId192" Type="http://schemas.openxmlformats.org/officeDocument/2006/relationships/hyperlink" Target="http://mlb.mlb.com/team/player.jsp?player_id=592102" TargetMode="External"/><Relationship Id="rId206" Type="http://schemas.openxmlformats.org/officeDocument/2006/relationships/hyperlink" Target="http://mlb.mlb.com/team/player.jsp?player_id=605182" TargetMode="External"/><Relationship Id="rId413" Type="http://schemas.openxmlformats.org/officeDocument/2006/relationships/hyperlink" Target="http://mlb.mlb.com/team/player.jsp?player_id=519151" TargetMode="External"/><Relationship Id="rId595" Type="http://schemas.openxmlformats.org/officeDocument/2006/relationships/hyperlink" Target="http://mlb.mlb.com/team/player.jsp?player_id=433587" TargetMode="External"/><Relationship Id="rId248" Type="http://schemas.openxmlformats.org/officeDocument/2006/relationships/hyperlink" Target="http://mlb.mlb.com/team/player.jsp?player_id=458677" TargetMode="External"/><Relationship Id="rId455" Type="http://schemas.openxmlformats.org/officeDocument/2006/relationships/hyperlink" Target="http://mlb.mlb.com/team/player.jsp?player_id=461833" TargetMode="External"/><Relationship Id="rId497" Type="http://schemas.openxmlformats.org/officeDocument/2006/relationships/hyperlink" Target="http://mlb.mlb.com/team/player.jsp?player_id=542947" TargetMode="External"/><Relationship Id="rId620" Type="http://schemas.openxmlformats.org/officeDocument/2006/relationships/hyperlink" Target="http://mlb.mlb.com/team/player.jsp?player_id=519322" TargetMode="External"/><Relationship Id="rId662" Type="http://schemas.openxmlformats.org/officeDocument/2006/relationships/hyperlink" Target="http://mlb.mlb.com/team/player.jsp?player_id=444436" TargetMode="External"/><Relationship Id="rId718" Type="http://schemas.openxmlformats.org/officeDocument/2006/relationships/hyperlink" Target="http://mlb.mlb.com/team/player.jsp?player_id=452666" TargetMode="External"/><Relationship Id="rId12" Type="http://schemas.openxmlformats.org/officeDocument/2006/relationships/hyperlink" Target="http://mlb.mlb.com/team/player.jsp?player_id=543118" TargetMode="External"/><Relationship Id="rId108" Type="http://schemas.openxmlformats.org/officeDocument/2006/relationships/hyperlink" Target="http://mlb.mlb.com/team/player.jsp?player_id=474029" TargetMode="External"/><Relationship Id="rId315" Type="http://schemas.openxmlformats.org/officeDocument/2006/relationships/hyperlink" Target="http://mlb.mlb.com/team/player.jsp?player_id=518633" TargetMode="External"/><Relationship Id="rId357" Type="http://schemas.openxmlformats.org/officeDocument/2006/relationships/hyperlink" Target="http://mlb.mlb.com/team/player.jsp?player_id=501625" TargetMode="External"/><Relationship Id="rId522" Type="http://schemas.openxmlformats.org/officeDocument/2006/relationships/hyperlink" Target="http://mlb.mlb.com/team/player.jsp?player_id=592127" TargetMode="External"/><Relationship Id="rId54" Type="http://schemas.openxmlformats.org/officeDocument/2006/relationships/hyperlink" Target="http://mlb.mlb.com/team/player.jsp?player_id=475247" TargetMode="External"/><Relationship Id="rId96" Type="http://schemas.openxmlformats.org/officeDocument/2006/relationships/hyperlink" Target="http://mlb.mlb.com/team/player.jsp?player_id=593958" TargetMode="External"/><Relationship Id="rId161" Type="http://schemas.openxmlformats.org/officeDocument/2006/relationships/hyperlink" Target="http://mlb.mlb.com/team/player.jsp?player_id=519096" TargetMode="External"/><Relationship Id="rId217" Type="http://schemas.openxmlformats.org/officeDocument/2006/relationships/hyperlink" Target="http://mlb.mlb.com/team/player.jsp?player_id=543935" TargetMode="External"/><Relationship Id="rId399" Type="http://schemas.openxmlformats.org/officeDocument/2006/relationships/hyperlink" Target="http://mlb.mlb.com/team/player.jsp?player_id=450308" TargetMode="External"/><Relationship Id="rId564" Type="http://schemas.openxmlformats.org/officeDocument/2006/relationships/hyperlink" Target="http://mlb.mlb.com/team/player.jsp?player_id=608665" TargetMode="External"/><Relationship Id="rId771" Type="http://schemas.openxmlformats.org/officeDocument/2006/relationships/hyperlink" Target="http://mlb.mlb.com/team/player.jsp?player_id=445926" TargetMode="External"/><Relationship Id="rId259" Type="http://schemas.openxmlformats.org/officeDocument/2006/relationships/hyperlink" Target="http://mlb.mlb.com/team/player.jsp?player_id=599683" TargetMode="External"/><Relationship Id="rId424" Type="http://schemas.openxmlformats.org/officeDocument/2006/relationships/hyperlink" Target="http://mlb.mlb.com/team/player.jsp?player_id=543548" TargetMode="External"/><Relationship Id="rId466" Type="http://schemas.openxmlformats.org/officeDocument/2006/relationships/hyperlink" Target="http://mlb.mlb.com/team/player.jsp?player_id=543542" TargetMode="External"/><Relationship Id="rId631" Type="http://schemas.openxmlformats.org/officeDocument/2006/relationships/hyperlink" Target="http://mlb.mlb.com/team/player.jsp?player_id=489002" TargetMode="External"/><Relationship Id="rId673" Type="http://schemas.openxmlformats.org/officeDocument/2006/relationships/hyperlink" Target="http://mlb.mlb.com/team/player.jsp?player_id=595032" TargetMode="External"/><Relationship Id="rId729" Type="http://schemas.openxmlformats.org/officeDocument/2006/relationships/hyperlink" Target="http://mlb.mlb.com/team/player.jsp?player_id=502026" TargetMode="External"/><Relationship Id="rId23" Type="http://schemas.openxmlformats.org/officeDocument/2006/relationships/hyperlink" Target="http://mlb.mlb.com/team/player.jsp?player_id=446185" TargetMode="External"/><Relationship Id="rId119" Type="http://schemas.openxmlformats.org/officeDocument/2006/relationships/hyperlink" Target="http://mlb.mlb.com/team/player.jsp?player_id=502009" TargetMode="External"/><Relationship Id="rId270" Type="http://schemas.openxmlformats.org/officeDocument/2006/relationships/hyperlink" Target="http://mlb.mlb.com/team/player.jsp?player_id=571704" TargetMode="External"/><Relationship Id="rId326" Type="http://schemas.openxmlformats.org/officeDocument/2006/relationships/hyperlink" Target="http://mlb.mlb.com/team/player.jsp?player_id=572044" TargetMode="External"/><Relationship Id="rId533" Type="http://schemas.openxmlformats.org/officeDocument/2006/relationships/hyperlink" Target="http://mlb.mlb.com/team/player.jsp?player_id=425492" TargetMode="External"/><Relationship Id="rId65" Type="http://schemas.openxmlformats.org/officeDocument/2006/relationships/hyperlink" Target="http://mlb.mlb.com/team/player.jsp?player_id=571035" TargetMode="External"/><Relationship Id="rId130" Type="http://schemas.openxmlformats.org/officeDocument/2006/relationships/hyperlink" Target="http://mlb.mlb.com/team/player.jsp?player_id=543776" TargetMode="External"/><Relationship Id="rId368" Type="http://schemas.openxmlformats.org/officeDocument/2006/relationships/hyperlink" Target="http://mlb.mlb.com/team/player.jsp?player_id=468504" TargetMode="External"/><Relationship Id="rId575" Type="http://schemas.openxmlformats.org/officeDocument/2006/relationships/hyperlink" Target="http://mlb.mlb.com/team/player.jsp?player_id=593417" TargetMode="External"/><Relationship Id="rId740" Type="http://schemas.openxmlformats.org/officeDocument/2006/relationships/hyperlink" Target="http://mlb.mlb.com/team/player.jsp?player_id=607259" TargetMode="External"/><Relationship Id="rId782" Type="http://schemas.openxmlformats.org/officeDocument/2006/relationships/hyperlink" Target="http://mlb.mlb.com/team/player.jsp?player_id=542884" TargetMode="External"/><Relationship Id="rId172" Type="http://schemas.openxmlformats.org/officeDocument/2006/relationships/hyperlink" Target="http://mlb.mlb.com/team/player.jsp?player_id=502083" TargetMode="External"/><Relationship Id="rId228" Type="http://schemas.openxmlformats.org/officeDocument/2006/relationships/hyperlink" Target="http://mlb.mlb.com/team/player.jsp?player_id=571656" TargetMode="External"/><Relationship Id="rId435" Type="http://schemas.openxmlformats.org/officeDocument/2006/relationships/hyperlink" Target="http://mlb.mlb.com/team/player.jsp?player_id=450282" TargetMode="External"/><Relationship Id="rId477" Type="http://schemas.openxmlformats.org/officeDocument/2006/relationships/hyperlink" Target="http://mlb.mlb.com/team/player.jsp?player_id=282332" TargetMode="External"/><Relationship Id="rId600" Type="http://schemas.openxmlformats.org/officeDocument/2006/relationships/hyperlink" Target="http://mlb.mlb.com/team/player.jsp?player_id=453281" TargetMode="External"/><Relationship Id="rId642" Type="http://schemas.openxmlformats.org/officeDocument/2006/relationships/hyperlink" Target="http://mlb.mlb.com/team/player.jsp?player_id=543921" TargetMode="External"/><Relationship Id="rId684" Type="http://schemas.openxmlformats.org/officeDocument/2006/relationships/hyperlink" Target="http://mlb.mlb.com/team/player.jsp?player_id=542882" TargetMode="External"/><Relationship Id="rId281" Type="http://schemas.openxmlformats.org/officeDocument/2006/relationships/hyperlink" Target="http://mlb.mlb.com/team/player.jsp?player_id=456124" TargetMode="External"/><Relationship Id="rId337" Type="http://schemas.openxmlformats.org/officeDocument/2006/relationships/hyperlink" Target="http://mlb.mlb.com/team/player.jsp?player_id=453178" TargetMode="External"/><Relationship Id="rId502" Type="http://schemas.openxmlformats.org/officeDocument/2006/relationships/hyperlink" Target="http://mlb.mlb.com/team/player.jsp?player_id=476454" TargetMode="External"/><Relationship Id="rId34" Type="http://schemas.openxmlformats.org/officeDocument/2006/relationships/hyperlink" Target="http://mlb.mlb.com/team/player.jsp?player_id=474699" TargetMode="External"/><Relationship Id="rId76" Type="http://schemas.openxmlformats.org/officeDocument/2006/relationships/hyperlink" Target="http://mlb.mlb.com/team/player.jsp?player_id=457711" TargetMode="External"/><Relationship Id="rId141" Type="http://schemas.openxmlformats.org/officeDocument/2006/relationships/hyperlink" Target="http://mlb.mlb.com/team/player.jsp?player_id=519242" TargetMode="External"/><Relationship Id="rId379" Type="http://schemas.openxmlformats.org/officeDocument/2006/relationships/hyperlink" Target="http://mlb.mlb.com/team/player.jsp?player_id=643297" TargetMode="External"/><Relationship Id="rId544" Type="http://schemas.openxmlformats.org/officeDocument/2006/relationships/hyperlink" Target="http://mlb.mlb.com/team/player.jsp?player_id=605135" TargetMode="External"/><Relationship Id="rId586" Type="http://schemas.openxmlformats.org/officeDocument/2006/relationships/hyperlink" Target="http://mlb.mlb.com/team/player.jsp?player_id=518553" TargetMode="External"/><Relationship Id="rId751" Type="http://schemas.openxmlformats.org/officeDocument/2006/relationships/hyperlink" Target="http://mlb.mlb.com/team/player.jsp?player_id=346798" TargetMode="External"/><Relationship Id="rId793" Type="http://schemas.openxmlformats.org/officeDocument/2006/relationships/hyperlink" Target="http://mlb.mlb.com/team/player.jsp?player_id=276351" TargetMode="External"/><Relationship Id="rId807" Type="http://schemas.openxmlformats.org/officeDocument/2006/relationships/hyperlink" Target="http://mlb.mlb.com/team/player.jsp?player_id=444857" TargetMode="External"/><Relationship Id="rId7" Type="http://schemas.openxmlformats.org/officeDocument/2006/relationships/hyperlink" Target="http://mlb.mlb.com/team/player.jsp?player_id=474699" TargetMode="External"/><Relationship Id="rId183" Type="http://schemas.openxmlformats.org/officeDocument/2006/relationships/hyperlink" Target="http://mlb.mlb.com/team/player.jsp?player_id=592644" TargetMode="External"/><Relationship Id="rId239" Type="http://schemas.openxmlformats.org/officeDocument/2006/relationships/hyperlink" Target="http://mlb.mlb.com/team/player.jsp?player_id=434137" TargetMode="External"/><Relationship Id="rId390" Type="http://schemas.openxmlformats.org/officeDocument/2006/relationships/hyperlink" Target="http://mlb.mlb.com/team/player.jsp?player_id=533167" TargetMode="External"/><Relationship Id="rId404" Type="http://schemas.openxmlformats.org/officeDocument/2006/relationships/hyperlink" Target="http://mlb.mlb.com/team/player.jsp?player_id=571760" TargetMode="External"/><Relationship Id="rId446" Type="http://schemas.openxmlformats.org/officeDocument/2006/relationships/hyperlink" Target="http://mlb.mlb.com/team/player.jsp?player_id=542953" TargetMode="External"/><Relationship Id="rId611" Type="http://schemas.openxmlformats.org/officeDocument/2006/relationships/hyperlink" Target="http://mlb.mlb.com/team/player.jsp?player_id=608167" TargetMode="External"/><Relationship Id="rId653" Type="http://schemas.openxmlformats.org/officeDocument/2006/relationships/hyperlink" Target="http://mlb.mlb.com/team/player.jsp?player_id=541640" TargetMode="External"/><Relationship Id="rId250" Type="http://schemas.openxmlformats.org/officeDocument/2006/relationships/hyperlink" Target="http://mlb.mlb.com/team/player.jsp?player_id=571510" TargetMode="External"/><Relationship Id="rId292" Type="http://schemas.openxmlformats.org/officeDocument/2006/relationships/hyperlink" Target="http://mlb.mlb.com/team/player.jsp?player_id=605397" TargetMode="External"/><Relationship Id="rId306" Type="http://schemas.openxmlformats.org/officeDocument/2006/relationships/hyperlink" Target="http://mlb.mlb.com/team/player.jsp?player_id=572086" TargetMode="External"/><Relationship Id="rId488" Type="http://schemas.openxmlformats.org/officeDocument/2006/relationships/hyperlink" Target="http://mlb.mlb.com/team/player.jsp?player_id=461872" TargetMode="External"/><Relationship Id="rId695" Type="http://schemas.openxmlformats.org/officeDocument/2006/relationships/hyperlink" Target="http://mlb.mlb.com/team/player.jsp?player_id=501817" TargetMode="External"/><Relationship Id="rId709" Type="http://schemas.openxmlformats.org/officeDocument/2006/relationships/hyperlink" Target="http://mlb.mlb.com/team/player.jsp?player_id=607259" TargetMode="External"/><Relationship Id="rId45" Type="http://schemas.openxmlformats.org/officeDocument/2006/relationships/hyperlink" Target="http://mlb.mlb.com/team/player.jsp?player_id=628333" TargetMode="External"/><Relationship Id="rId87" Type="http://schemas.openxmlformats.org/officeDocument/2006/relationships/hyperlink" Target="http://mlb.mlb.com/team/player.jsp?player_id=453214" TargetMode="External"/><Relationship Id="rId110" Type="http://schemas.openxmlformats.org/officeDocument/2006/relationships/hyperlink" Target="http://mlb.mlb.com/team/player.jsp?player_id=592454" TargetMode="External"/><Relationship Id="rId348" Type="http://schemas.openxmlformats.org/officeDocument/2006/relationships/hyperlink" Target="http://mlb.mlb.com/team/player.jsp?player_id=621219" TargetMode="External"/><Relationship Id="rId513" Type="http://schemas.openxmlformats.org/officeDocument/2006/relationships/hyperlink" Target="http://mlb.mlb.com/team/player.jsp?player_id=453284" TargetMode="External"/><Relationship Id="rId555" Type="http://schemas.openxmlformats.org/officeDocument/2006/relationships/hyperlink" Target="http://mlb.mlb.com/team/player.jsp?player_id=448179" TargetMode="External"/><Relationship Id="rId597" Type="http://schemas.openxmlformats.org/officeDocument/2006/relationships/hyperlink" Target="http://mlb.mlb.com/team/player.jsp?player_id=547874" TargetMode="External"/><Relationship Id="rId720" Type="http://schemas.openxmlformats.org/officeDocument/2006/relationships/hyperlink" Target="http://mlb.mlb.com/team/player.jsp?player_id=346798" TargetMode="External"/><Relationship Id="rId762" Type="http://schemas.openxmlformats.org/officeDocument/2006/relationships/hyperlink" Target="http://mlb.mlb.com/team/player.jsp?player_id=457918" TargetMode="External"/><Relationship Id="rId152" Type="http://schemas.openxmlformats.org/officeDocument/2006/relationships/hyperlink" Target="http://mlb.mlb.com/team/player.jsp?player_id=545363" TargetMode="External"/><Relationship Id="rId194" Type="http://schemas.openxmlformats.org/officeDocument/2006/relationships/hyperlink" Target="http://mlb.mlb.com/team/player.jsp?player_id=453249" TargetMode="External"/><Relationship Id="rId208" Type="http://schemas.openxmlformats.org/officeDocument/2006/relationships/hyperlink" Target="http://mlb.mlb.com/team/player.jsp?player_id=594736" TargetMode="External"/><Relationship Id="rId415" Type="http://schemas.openxmlformats.org/officeDocument/2006/relationships/hyperlink" Target="http://mlb.mlb.com/team/player.jsp?player_id=573124" TargetMode="External"/><Relationship Id="rId457" Type="http://schemas.openxmlformats.org/officeDocument/2006/relationships/hyperlink" Target="http://mlb.mlb.com/team/player.jsp?player_id=448178" TargetMode="External"/><Relationship Id="rId622" Type="http://schemas.openxmlformats.org/officeDocument/2006/relationships/hyperlink" Target="http://mlb.mlb.com/team/player.jsp?player_id=664641" TargetMode="External"/><Relationship Id="rId261" Type="http://schemas.openxmlformats.org/officeDocument/2006/relationships/hyperlink" Target="http://mlb.mlb.com/team/player.jsp?player_id=606965" TargetMode="External"/><Relationship Id="rId499" Type="http://schemas.openxmlformats.org/officeDocument/2006/relationships/hyperlink" Target="http://mlb.mlb.com/team/player.jsp?player_id=461325" TargetMode="External"/><Relationship Id="rId664" Type="http://schemas.openxmlformats.org/officeDocument/2006/relationships/hyperlink" Target="http://mlb.mlb.com/team/player.jsp?player_id=544993" TargetMode="External"/><Relationship Id="rId14" Type="http://schemas.openxmlformats.org/officeDocument/2006/relationships/hyperlink" Target="http://mlb.mlb.com/team/player.jsp?player_id=488846" TargetMode="External"/><Relationship Id="rId56" Type="http://schemas.openxmlformats.org/officeDocument/2006/relationships/hyperlink" Target="http://mlb.mlb.com/team/player.jsp?player_id=582494" TargetMode="External"/><Relationship Id="rId317" Type="http://schemas.openxmlformats.org/officeDocument/2006/relationships/hyperlink" Target="http://mlb.mlb.com/team/player.jsp?player_id=460024" TargetMode="External"/><Relationship Id="rId359" Type="http://schemas.openxmlformats.org/officeDocument/2006/relationships/hyperlink" Target="http://mlb.mlb.com/team/player.jsp?player_id=501925" TargetMode="External"/><Relationship Id="rId524" Type="http://schemas.openxmlformats.org/officeDocument/2006/relationships/hyperlink" Target="http://mlb.mlb.com/team/player.jsp?player_id=572038" TargetMode="External"/><Relationship Id="rId566" Type="http://schemas.openxmlformats.org/officeDocument/2006/relationships/hyperlink" Target="http://mlb.mlb.com/team/player.jsp?player_id=594943" TargetMode="External"/><Relationship Id="rId731" Type="http://schemas.openxmlformats.org/officeDocument/2006/relationships/hyperlink" Target="http://mlb.mlb.com/team/player.jsp?player_id=430935" TargetMode="External"/><Relationship Id="rId773" Type="http://schemas.openxmlformats.org/officeDocument/2006/relationships/hyperlink" Target="http://mlb.mlb.com/team/player.jsp?player_id=571901" TargetMode="External"/><Relationship Id="rId98" Type="http://schemas.openxmlformats.org/officeDocument/2006/relationships/hyperlink" Target="http://mlb.mlb.com/team/player.jsp?player_id=523260" TargetMode="External"/><Relationship Id="rId121" Type="http://schemas.openxmlformats.org/officeDocument/2006/relationships/hyperlink" Target="http://mlb.mlb.com/team/player.jsp?player_id=544930" TargetMode="External"/><Relationship Id="rId163" Type="http://schemas.openxmlformats.org/officeDocument/2006/relationships/hyperlink" Target="http://mlb.mlb.com/team/player.jsp?player_id=607320" TargetMode="External"/><Relationship Id="rId219" Type="http://schemas.openxmlformats.org/officeDocument/2006/relationships/hyperlink" Target="http://mlb.mlb.com/team/player.jsp?player_id=434378" TargetMode="External"/><Relationship Id="rId370" Type="http://schemas.openxmlformats.org/officeDocument/2006/relationships/hyperlink" Target="http://mlb.mlb.com/team/player.jsp?player_id=657670" TargetMode="External"/><Relationship Id="rId426" Type="http://schemas.openxmlformats.org/officeDocument/2006/relationships/hyperlink" Target="http://mlb.mlb.com/team/player.jsp?player_id=461833" TargetMode="External"/><Relationship Id="rId633" Type="http://schemas.openxmlformats.org/officeDocument/2006/relationships/hyperlink" Target="http://mlb.mlb.com/team/player.jsp?player_id=515052" TargetMode="External"/><Relationship Id="rId230" Type="http://schemas.openxmlformats.org/officeDocument/2006/relationships/hyperlink" Target="http://mlb.mlb.com/team/player.jsp?player_id=460059" TargetMode="External"/><Relationship Id="rId468" Type="http://schemas.openxmlformats.org/officeDocument/2006/relationships/hyperlink" Target="http://mlb.mlb.com/team/player.jsp?player_id=542947" TargetMode="External"/><Relationship Id="rId675" Type="http://schemas.openxmlformats.org/officeDocument/2006/relationships/hyperlink" Target="http://mlb.mlb.com/team/player.jsp?player_id=605483" TargetMode="External"/><Relationship Id="rId25" Type="http://schemas.openxmlformats.org/officeDocument/2006/relationships/hyperlink" Target="http://mlb.mlb.com/team/player.jsp?player_id=592170" TargetMode="External"/><Relationship Id="rId67" Type="http://schemas.openxmlformats.org/officeDocument/2006/relationships/hyperlink" Target="http://mlb.mlb.com/team/player.jsp?player_id=456034" TargetMode="External"/><Relationship Id="rId272" Type="http://schemas.openxmlformats.org/officeDocument/2006/relationships/hyperlink" Target="http://mlb.mlb.com/team/player.jsp?player_id=593140" TargetMode="External"/><Relationship Id="rId328" Type="http://schemas.openxmlformats.org/officeDocument/2006/relationships/hyperlink" Target="http://mlb.mlb.com/team/player.jsp?player_id=460077" TargetMode="External"/><Relationship Id="rId535" Type="http://schemas.openxmlformats.org/officeDocument/2006/relationships/hyperlink" Target="http://mlb.mlb.com/team/player.jsp?player_id=640455" TargetMode="External"/><Relationship Id="rId577" Type="http://schemas.openxmlformats.org/officeDocument/2006/relationships/hyperlink" Target="http://mlb.mlb.com/team/player.jsp?player_id=572119" TargetMode="External"/><Relationship Id="rId700" Type="http://schemas.openxmlformats.org/officeDocument/2006/relationships/hyperlink" Target="http://mlb.mlb.com/team/player.jsp?player_id=430935" TargetMode="External"/><Relationship Id="rId742" Type="http://schemas.openxmlformats.org/officeDocument/2006/relationships/hyperlink" Target="http://mlb.mlb.com/team/player.jsp?player_id=459987" TargetMode="External"/><Relationship Id="rId132" Type="http://schemas.openxmlformats.org/officeDocument/2006/relationships/hyperlink" Target="http://mlb.mlb.com/team/player.jsp?player_id=453222" TargetMode="External"/><Relationship Id="rId174" Type="http://schemas.openxmlformats.org/officeDocument/2006/relationships/hyperlink" Target="http://mlb.mlb.com/team/player.jsp?player_id=517593" TargetMode="External"/><Relationship Id="rId381" Type="http://schemas.openxmlformats.org/officeDocument/2006/relationships/hyperlink" Target="http://mlb.mlb.com/team/player.jsp?player_id=572070" TargetMode="External"/><Relationship Id="rId602" Type="http://schemas.openxmlformats.org/officeDocument/2006/relationships/hyperlink" Target="http://mlb.mlb.com/team/player.jsp?player_id=489119" TargetMode="External"/><Relationship Id="rId784" Type="http://schemas.openxmlformats.org/officeDocument/2006/relationships/hyperlink" Target="http://mlb.mlb.com/team/player.jsp?player_id=572365" TargetMode="External"/><Relationship Id="rId241" Type="http://schemas.openxmlformats.org/officeDocument/2006/relationships/hyperlink" Target="http://mlb.mlb.com/team/player.jsp?player_id=541652" TargetMode="External"/><Relationship Id="rId437" Type="http://schemas.openxmlformats.org/officeDocument/2006/relationships/hyperlink" Target="http://mlb.mlb.com/team/player.jsp?player_id=543542" TargetMode="External"/><Relationship Id="rId479" Type="http://schemas.openxmlformats.org/officeDocument/2006/relationships/hyperlink" Target="http://mlb.mlb.com/team/player.jsp?player_id=580792" TargetMode="External"/><Relationship Id="rId644" Type="http://schemas.openxmlformats.org/officeDocument/2006/relationships/hyperlink" Target="http://mlb.mlb.com/team/player.jsp?player_id=476123" TargetMode="External"/><Relationship Id="rId686" Type="http://schemas.openxmlformats.org/officeDocument/2006/relationships/hyperlink" Target="http://mlb.mlb.com/team/player.jsp?player_id=592767" TargetMode="External"/><Relationship Id="rId36" Type="http://schemas.openxmlformats.org/officeDocument/2006/relationships/hyperlink" Target="http://mlb.mlb.com/team/player.jsp?player_id=475054" TargetMode="External"/><Relationship Id="rId283" Type="http://schemas.openxmlformats.org/officeDocument/2006/relationships/hyperlink" Target="http://mlb.mlb.com/team/player.jsp?player_id=572086" TargetMode="External"/><Relationship Id="rId339" Type="http://schemas.openxmlformats.org/officeDocument/2006/relationships/hyperlink" Target="http://mlb.mlb.com/team/player.jsp?player_id=465657" TargetMode="External"/><Relationship Id="rId490" Type="http://schemas.openxmlformats.org/officeDocument/2006/relationships/hyperlink" Target="http://mlb.mlb.com/team/player.jsp?player_id=457435" TargetMode="External"/><Relationship Id="rId504" Type="http://schemas.openxmlformats.org/officeDocument/2006/relationships/hyperlink" Target="http://mlb.mlb.com/team/player.jsp?player_id=476589" TargetMode="External"/><Relationship Id="rId546" Type="http://schemas.openxmlformats.org/officeDocument/2006/relationships/hyperlink" Target="http://mlb.mlb.com/team/player.jsp?player_id=596043" TargetMode="External"/><Relationship Id="rId711" Type="http://schemas.openxmlformats.org/officeDocument/2006/relationships/hyperlink" Target="http://mlb.mlb.com/team/player.jsp?player_id=459987" TargetMode="External"/><Relationship Id="rId753" Type="http://schemas.openxmlformats.org/officeDocument/2006/relationships/hyperlink" Target="http://mlb.mlb.com/team/player.jsp?player_id=519168" TargetMode="External"/><Relationship Id="rId78" Type="http://schemas.openxmlformats.org/officeDocument/2006/relationships/hyperlink" Target="http://mlb.mlb.com/team/player.jsp?player_id=606273" TargetMode="External"/><Relationship Id="rId101" Type="http://schemas.openxmlformats.org/officeDocument/2006/relationships/hyperlink" Target="http://mlb.mlb.com/team/player.jsp?player_id=457711" TargetMode="External"/><Relationship Id="rId143" Type="http://schemas.openxmlformats.org/officeDocument/2006/relationships/hyperlink" Target="http://mlb.mlb.com/team/player.jsp?player_id=456068" TargetMode="External"/><Relationship Id="rId185" Type="http://schemas.openxmlformats.org/officeDocument/2006/relationships/hyperlink" Target="http://mlb.mlb.com/team/player.jsp?player_id=596049" TargetMode="External"/><Relationship Id="rId350" Type="http://schemas.openxmlformats.org/officeDocument/2006/relationships/hyperlink" Target="http://mlb.mlb.com/team/player.jsp?player_id=592135" TargetMode="External"/><Relationship Id="rId406" Type="http://schemas.openxmlformats.org/officeDocument/2006/relationships/hyperlink" Target="http://mlb.mlb.com/team/player.jsp?player_id=519085" TargetMode="External"/><Relationship Id="rId588" Type="http://schemas.openxmlformats.org/officeDocument/2006/relationships/hyperlink" Target="http://mlb.mlb.com/team/player.jsp?player_id=519322" TargetMode="External"/><Relationship Id="rId795" Type="http://schemas.openxmlformats.org/officeDocument/2006/relationships/hyperlink" Target="http://mlb.mlb.com/team/player.jsp?player_id=592130" TargetMode="External"/><Relationship Id="rId809" Type="http://schemas.openxmlformats.org/officeDocument/2006/relationships/hyperlink" Target="http://mlb.mlb.com/team/player.jsp?player_id=462985" TargetMode="External"/><Relationship Id="rId9" Type="http://schemas.openxmlformats.org/officeDocument/2006/relationships/hyperlink" Target="http://mlb.mlb.com/team/player.jsp?player_id=475054" TargetMode="External"/><Relationship Id="rId210" Type="http://schemas.openxmlformats.org/officeDocument/2006/relationships/hyperlink" Target="http://mlb.mlb.com/team/player.jsp?player_id=592644" TargetMode="External"/><Relationship Id="rId392" Type="http://schemas.openxmlformats.org/officeDocument/2006/relationships/hyperlink" Target="http://mlb.mlb.com/team/player.jsp?player_id=572308" TargetMode="External"/><Relationship Id="rId448" Type="http://schemas.openxmlformats.org/officeDocument/2006/relationships/hyperlink" Target="http://mlb.mlb.com/team/player.jsp?player_id=543859" TargetMode="External"/><Relationship Id="rId613" Type="http://schemas.openxmlformats.org/officeDocument/2006/relationships/hyperlink" Target="http://mlb.mlb.com/team/player.jsp?player_id=596143" TargetMode="External"/><Relationship Id="rId655" Type="http://schemas.openxmlformats.org/officeDocument/2006/relationships/hyperlink" Target="http://mlb.mlb.com/team/player.jsp?player_id=502042" TargetMode="External"/><Relationship Id="rId697" Type="http://schemas.openxmlformats.org/officeDocument/2006/relationships/hyperlink" Target="http://mlb.mlb.com/team/player.jsp?player_id=456713" TargetMode="External"/><Relationship Id="rId252" Type="http://schemas.openxmlformats.org/officeDocument/2006/relationships/hyperlink" Target="http://mlb.mlb.com/team/player.jsp?player_id=519455" TargetMode="External"/><Relationship Id="rId294" Type="http://schemas.openxmlformats.org/officeDocument/2006/relationships/hyperlink" Target="http://mlb.mlb.com/team/player.jsp?player_id=543521" TargetMode="External"/><Relationship Id="rId308" Type="http://schemas.openxmlformats.org/officeDocument/2006/relationships/hyperlink" Target="http://mlb.mlb.com/team/player.jsp?player_id=621381" TargetMode="External"/><Relationship Id="rId515" Type="http://schemas.openxmlformats.org/officeDocument/2006/relationships/hyperlink" Target="http://mlb.mlb.com/team/player.jsp?player_id=489446" TargetMode="External"/><Relationship Id="rId722" Type="http://schemas.openxmlformats.org/officeDocument/2006/relationships/hyperlink" Target="http://mlb.mlb.com/team/player.jsp?player_id=519168" TargetMode="External"/><Relationship Id="rId47" Type="http://schemas.openxmlformats.org/officeDocument/2006/relationships/hyperlink" Target="http://mlb.mlb.com/team/player.jsp?player_id=605541" TargetMode="External"/><Relationship Id="rId89" Type="http://schemas.openxmlformats.org/officeDocument/2006/relationships/hyperlink" Target="http://mlb.mlb.com/team/player.jsp?player_id=493157" TargetMode="External"/><Relationship Id="rId112" Type="http://schemas.openxmlformats.org/officeDocument/2006/relationships/hyperlink" Target="http://mlb.mlb.com/team/player.jsp?player_id=500779" TargetMode="External"/><Relationship Id="rId154" Type="http://schemas.openxmlformats.org/officeDocument/2006/relationships/hyperlink" Target="http://mlb.mlb.com/team/player.jsp?player_id=605304" TargetMode="External"/><Relationship Id="rId361" Type="http://schemas.openxmlformats.org/officeDocument/2006/relationships/hyperlink" Target="http://mlb.mlb.com/team/player.jsp?player_id=572140" TargetMode="External"/><Relationship Id="rId557" Type="http://schemas.openxmlformats.org/officeDocument/2006/relationships/hyperlink" Target="http://mlb.mlb.com/team/player.jsp?player_id=434672" TargetMode="External"/><Relationship Id="rId599" Type="http://schemas.openxmlformats.org/officeDocument/2006/relationships/hyperlink" Target="http://mlb.mlb.com/team/player.jsp?player_id=489002" TargetMode="External"/><Relationship Id="rId764" Type="http://schemas.openxmlformats.org/officeDocument/2006/relationships/hyperlink" Target="http://mlb.mlb.com/team/player.jsp?player_id=276351" TargetMode="External"/><Relationship Id="rId196" Type="http://schemas.openxmlformats.org/officeDocument/2006/relationships/hyperlink" Target="http://mlb.mlb.com/team/player.jsp?player_id=543766" TargetMode="External"/><Relationship Id="rId417" Type="http://schemas.openxmlformats.org/officeDocument/2006/relationships/hyperlink" Target="http://mlb.mlb.com/team/player.jsp?player_id=542953" TargetMode="External"/><Relationship Id="rId459" Type="http://schemas.openxmlformats.org/officeDocument/2006/relationships/hyperlink" Target="http://mlb.mlb.com/team/player.jsp?player_id=608648" TargetMode="External"/><Relationship Id="rId624" Type="http://schemas.openxmlformats.org/officeDocument/2006/relationships/hyperlink" Target="http://mlb.mlb.com/team/player.jsp?player_id=491708" TargetMode="External"/><Relationship Id="rId666" Type="http://schemas.openxmlformats.org/officeDocument/2006/relationships/hyperlink" Target="http://mlb.mlb.com/team/player.jsp?player_id=502171" TargetMode="External"/><Relationship Id="rId16" Type="http://schemas.openxmlformats.org/officeDocument/2006/relationships/hyperlink" Target="http://mlb.mlb.com/team/player.jsp?player_id=451596" TargetMode="External"/><Relationship Id="rId221" Type="http://schemas.openxmlformats.org/officeDocument/2006/relationships/hyperlink" Target="http://mlb.mlb.com/team/player.jsp?player_id=594986" TargetMode="External"/><Relationship Id="rId263" Type="http://schemas.openxmlformats.org/officeDocument/2006/relationships/hyperlink" Target="http://mlb.mlb.com/team/player.jsp?player_id=444857" TargetMode="External"/><Relationship Id="rId319" Type="http://schemas.openxmlformats.org/officeDocument/2006/relationships/hyperlink" Target="http://mlb.mlb.com/team/player.jsp?player_id=425426" TargetMode="External"/><Relationship Id="rId470" Type="http://schemas.openxmlformats.org/officeDocument/2006/relationships/hyperlink" Target="http://mlb.mlb.com/team/player.jsp?player_id=461325" TargetMode="External"/><Relationship Id="rId526" Type="http://schemas.openxmlformats.org/officeDocument/2006/relationships/hyperlink" Target="http://mlb.mlb.com/team/player.jsp?player_id=572033" TargetMode="External"/><Relationship Id="rId58" Type="http://schemas.openxmlformats.org/officeDocument/2006/relationships/hyperlink" Target="http://mlb.mlb.com/team/player.jsp?player_id=446899" TargetMode="External"/><Relationship Id="rId123" Type="http://schemas.openxmlformats.org/officeDocument/2006/relationships/hyperlink" Target="http://mlb.mlb.com/team/player.jsp?player_id=571476" TargetMode="External"/><Relationship Id="rId330" Type="http://schemas.openxmlformats.org/officeDocument/2006/relationships/hyperlink" Target="http://mlb.mlb.com/team/player.jsp?player_id=451584" TargetMode="External"/><Relationship Id="rId568" Type="http://schemas.openxmlformats.org/officeDocument/2006/relationships/hyperlink" Target="http://mlb.mlb.com/team/player.jsp?player_id=543056" TargetMode="External"/><Relationship Id="rId733" Type="http://schemas.openxmlformats.org/officeDocument/2006/relationships/hyperlink" Target="http://mlb.mlb.com/team/player.jsp?player_id=506433" TargetMode="External"/><Relationship Id="rId775" Type="http://schemas.openxmlformats.org/officeDocument/2006/relationships/hyperlink" Target="http://mlb.mlb.com/team/player.jsp?player_id=544759" TargetMode="External"/><Relationship Id="rId165" Type="http://schemas.openxmlformats.org/officeDocument/2006/relationships/hyperlink" Target="http://mlb.mlb.com/team/player.jsp?player_id=592102" TargetMode="External"/><Relationship Id="rId372" Type="http://schemas.openxmlformats.org/officeDocument/2006/relationships/hyperlink" Target="http://mlb.mlb.com/team/player.jsp?player_id=457915" TargetMode="External"/><Relationship Id="rId428" Type="http://schemas.openxmlformats.org/officeDocument/2006/relationships/hyperlink" Target="http://mlb.mlb.com/team/player.jsp?player_id=448178" TargetMode="External"/><Relationship Id="rId635" Type="http://schemas.openxmlformats.org/officeDocument/2006/relationships/hyperlink" Target="http://mlb.mlb.com/team/player.jsp?player_id=501992" TargetMode="External"/><Relationship Id="rId677" Type="http://schemas.openxmlformats.org/officeDocument/2006/relationships/hyperlink" Target="http://mlb.mlb.com/team/player.jsp?player_id=458584" TargetMode="External"/><Relationship Id="rId800" Type="http://schemas.openxmlformats.org/officeDocument/2006/relationships/hyperlink" Target="http://mlb.mlb.com/team/player.jsp?player_id=445926" TargetMode="External"/><Relationship Id="rId232" Type="http://schemas.openxmlformats.org/officeDocument/2006/relationships/hyperlink" Target="http://mlb.mlb.com/team/player.jsp?player_id=434671" TargetMode="External"/><Relationship Id="rId274" Type="http://schemas.openxmlformats.org/officeDocument/2006/relationships/hyperlink" Target="http://mlb.mlb.com/team/player.jsp?player_id=624586" TargetMode="External"/><Relationship Id="rId481" Type="http://schemas.openxmlformats.org/officeDocument/2006/relationships/hyperlink" Target="http://mlb.mlb.com/team/player.jsp?player_id=543135" TargetMode="External"/><Relationship Id="rId702" Type="http://schemas.openxmlformats.org/officeDocument/2006/relationships/hyperlink" Target="http://mlb.mlb.com/team/player.jsp?player_id=506433" TargetMode="External"/><Relationship Id="rId27" Type="http://schemas.openxmlformats.org/officeDocument/2006/relationships/hyperlink" Target="http://mlb.mlb.com/team/player.jsp?player_id=475247" TargetMode="External"/><Relationship Id="rId69" Type="http://schemas.openxmlformats.org/officeDocument/2006/relationships/hyperlink" Target="http://mlb.mlb.com/team/player.jsp?player_id=547749" TargetMode="External"/><Relationship Id="rId134" Type="http://schemas.openxmlformats.org/officeDocument/2006/relationships/hyperlink" Target="http://mlb.mlb.com/team/player.jsp?player_id=543359" TargetMode="External"/><Relationship Id="rId537" Type="http://schemas.openxmlformats.org/officeDocument/2006/relationships/hyperlink" Target="http://mlb.mlb.com/team/player.jsp?player_id=608665" TargetMode="External"/><Relationship Id="rId579" Type="http://schemas.openxmlformats.org/officeDocument/2006/relationships/hyperlink" Target="http://mlb.mlb.com/team/player.jsp?player_id=608167" TargetMode="External"/><Relationship Id="rId744" Type="http://schemas.openxmlformats.org/officeDocument/2006/relationships/hyperlink" Target="http://mlb.mlb.com/team/player.jsp?player_id=605226" TargetMode="External"/><Relationship Id="rId786" Type="http://schemas.openxmlformats.org/officeDocument/2006/relationships/hyperlink" Target="http://mlb.mlb.com/team/player.jsp?player_id=532077" TargetMode="External"/><Relationship Id="rId80" Type="http://schemas.openxmlformats.org/officeDocument/2006/relationships/hyperlink" Target="http://mlb.mlb.com/team/player.jsp?player_id=534606" TargetMode="External"/><Relationship Id="rId176" Type="http://schemas.openxmlformats.org/officeDocument/2006/relationships/hyperlink" Target="http://mlb.mlb.com/team/player.jsp?player_id=458708" TargetMode="External"/><Relationship Id="rId341" Type="http://schemas.openxmlformats.org/officeDocument/2006/relationships/hyperlink" Target="http://mlb.mlb.com/team/player.jsp?player_id=570649" TargetMode="External"/><Relationship Id="rId383" Type="http://schemas.openxmlformats.org/officeDocument/2006/relationships/hyperlink" Target="http://mlb.mlb.com/team/player.jsp?player_id=500724" TargetMode="External"/><Relationship Id="rId439" Type="http://schemas.openxmlformats.org/officeDocument/2006/relationships/hyperlink" Target="http://mlb.mlb.com/team/player.jsp?player_id=472551" TargetMode="External"/><Relationship Id="rId590" Type="http://schemas.openxmlformats.org/officeDocument/2006/relationships/hyperlink" Target="http://mlb.mlb.com/team/player.jsp?player_id=664641" TargetMode="External"/><Relationship Id="rId604" Type="http://schemas.openxmlformats.org/officeDocument/2006/relationships/hyperlink" Target="http://mlb.mlb.com/team/player.jsp?player_id=276542" TargetMode="External"/><Relationship Id="rId646" Type="http://schemas.openxmlformats.org/officeDocument/2006/relationships/hyperlink" Target="http://mlb.mlb.com/team/player.jsp?player_id=517008" TargetMode="External"/><Relationship Id="rId811" Type="http://schemas.openxmlformats.org/officeDocument/2006/relationships/hyperlink" Target="http://mlb.mlb.com/team/player.jsp?player_id=542884" TargetMode="External"/><Relationship Id="rId201" Type="http://schemas.openxmlformats.org/officeDocument/2006/relationships/hyperlink" Target="http://mlb.mlb.com/team/player.jsp?player_id=517593" TargetMode="External"/><Relationship Id="rId243" Type="http://schemas.openxmlformats.org/officeDocument/2006/relationships/hyperlink" Target="http://mlb.mlb.com/team/player.jsp?player_id=605242" TargetMode="External"/><Relationship Id="rId285" Type="http://schemas.openxmlformats.org/officeDocument/2006/relationships/hyperlink" Target="http://mlb.mlb.com/team/player.jsp?player_id=501789" TargetMode="External"/><Relationship Id="rId450" Type="http://schemas.openxmlformats.org/officeDocument/2006/relationships/hyperlink" Target="http://mlb.mlb.com/team/player.jsp?player_id=445060" TargetMode="External"/><Relationship Id="rId506" Type="http://schemas.openxmlformats.org/officeDocument/2006/relationships/hyperlink" Target="http://mlb.mlb.com/team/player.jsp?player_id=282332" TargetMode="External"/><Relationship Id="rId688" Type="http://schemas.openxmlformats.org/officeDocument/2006/relationships/hyperlink" Target="http://mlb.mlb.com/team/player.jsp?player_id=448178" TargetMode="External"/><Relationship Id="rId38" Type="http://schemas.openxmlformats.org/officeDocument/2006/relationships/hyperlink" Target="http://mlb.mlb.com/team/player.jsp?player_id=503285" TargetMode="External"/><Relationship Id="rId103" Type="http://schemas.openxmlformats.org/officeDocument/2006/relationships/hyperlink" Target="http://mlb.mlb.com/team/player.jsp?player_id=606273" TargetMode="External"/><Relationship Id="rId310" Type="http://schemas.openxmlformats.org/officeDocument/2006/relationships/hyperlink" Target="http://mlb.mlb.com/team/player.jsp?player_id=450306" TargetMode="External"/><Relationship Id="rId492" Type="http://schemas.openxmlformats.org/officeDocument/2006/relationships/hyperlink" Target="http://mlb.mlb.com/team/player.jsp?player_id=621397" TargetMode="External"/><Relationship Id="rId548" Type="http://schemas.openxmlformats.org/officeDocument/2006/relationships/hyperlink" Target="http://mlb.mlb.com/team/player.jsp?player_id=593417" TargetMode="External"/><Relationship Id="rId713" Type="http://schemas.openxmlformats.org/officeDocument/2006/relationships/hyperlink" Target="http://mlb.mlb.com/team/player.jsp?player_id=605226" TargetMode="External"/><Relationship Id="rId755" Type="http://schemas.openxmlformats.org/officeDocument/2006/relationships/hyperlink" Target="http://mlb.mlb.com/team/player.jsp?player_id=572365" TargetMode="External"/><Relationship Id="rId797" Type="http://schemas.openxmlformats.org/officeDocument/2006/relationships/hyperlink" Target="http://mlb.mlb.com/team/player.jsp?player_id=643325" TargetMode="External"/><Relationship Id="rId91" Type="http://schemas.openxmlformats.org/officeDocument/2006/relationships/hyperlink" Target="http://mlb.mlb.com/team/player.jsp?player_id=518927" TargetMode="External"/><Relationship Id="rId145" Type="http://schemas.openxmlformats.org/officeDocument/2006/relationships/hyperlink" Target="http://mlb.mlb.com/team/player.jsp?player_id=573668" TargetMode="External"/><Relationship Id="rId187" Type="http://schemas.openxmlformats.org/officeDocument/2006/relationships/hyperlink" Target="http://mlb.mlb.com/team/player.jsp?player_id=452733" TargetMode="External"/><Relationship Id="rId352" Type="http://schemas.openxmlformats.org/officeDocument/2006/relationships/hyperlink" Target="http://mlb.mlb.com/team/player.jsp?player_id=457732" TargetMode="External"/><Relationship Id="rId394" Type="http://schemas.openxmlformats.org/officeDocument/2006/relationships/hyperlink" Target="http://mlb.mlb.com/team/player.jsp?player_id=573046" TargetMode="External"/><Relationship Id="rId408" Type="http://schemas.openxmlformats.org/officeDocument/2006/relationships/hyperlink" Target="http://mlb.mlb.com/team/player.jsp?player_id=453307" TargetMode="External"/><Relationship Id="rId615" Type="http://schemas.openxmlformats.org/officeDocument/2006/relationships/hyperlink" Target="http://mlb.mlb.com/team/player.jsp?player_id=656186" TargetMode="External"/><Relationship Id="rId212" Type="http://schemas.openxmlformats.org/officeDocument/2006/relationships/hyperlink" Target="http://mlb.mlb.com/team/player.jsp?player_id=596049" TargetMode="External"/><Relationship Id="rId254" Type="http://schemas.openxmlformats.org/officeDocument/2006/relationships/hyperlink" Target="http://mlb.mlb.com/team/player.jsp?player_id=572888" TargetMode="External"/><Relationship Id="rId657" Type="http://schemas.openxmlformats.org/officeDocument/2006/relationships/hyperlink" Target="http://mlb.mlb.com/team/player.jsp?player_id=571670" TargetMode="External"/><Relationship Id="rId699" Type="http://schemas.openxmlformats.org/officeDocument/2006/relationships/hyperlink" Target="http://mlb.mlb.com/team/player.jsp?player_id=592222" TargetMode="External"/><Relationship Id="rId49" Type="http://schemas.openxmlformats.org/officeDocument/2006/relationships/hyperlink" Target="http://mlb.mlb.com/team/player.jsp?player_id=519008" TargetMode="External"/><Relationship Id="rId114" Type="http://schemas.openxmlformats.org/officeDocument/2006/relationships/hyperlink" Target="http://mlb.mlb.com/team/player.jsp?player_id=502085" TargetMode="External"/><Relationship Id="rId296" Type="http://schemas.openxmlformats.org/officeDocument/2006/relationships/hyperlink" Target="http://mlb.mlb.com/team/player.jsp?player_id=571666" TargetMode="External"/><Relationship Id="rId461" Type="http://schemas.openxmlformats.org/officeDocument/2006/relationships/hyperlink" Target="http://mlb.mlb.com/team/player.jsp?player_id=502272" TargetMode="External"/><Relationship Id="rId517" Type="http://schemas.openxmlformats.org/officeDocument/2006/relationships/hyperlink" Target="http://mlb.mlb.com/team/player.jsp?player_id=461872" TargetMode="External"/><Relationship Id="rId559" Type="http://schemas.openxmlformats.org/officeDocument/2006/relationships/hyperlink" Target="http://mlb.mlb.com/team/player.jsp?player_id=448281" TargetMode="External"/><Relationship Id="rId724" Type="http://schemas.openxmlformats.org/officeDocument/2006/relationships/hyperlink" Target="http://mlb.mlb.com/team/player.jsp?player_id=592407" TargetMode="External"/><Relationship Id="rId766" Type="http://schemas.openxmlformats.org/officeDocument/2006/relationships/hyperlink" Target="http://mlb.mlb.com/team/player.jsp?player_id=592130" TargetMode="External"/><Relationship Id="rId60" Type="http://schemas.openxmlformats.org/officeDocument/2006/relationships/hyperlink" Target="http://mlb.mlb.com/team/player.jsp?player_id=519144" TargetMode="External"/><Relationship Id="rId156" Type="http://schemas.openxmlformats.org/officeDocument/2006/relationships/hyperlink" Target="http://mlb.mlb.com/team/player.jsp?player_id=519168" TargetMode="External"/><Relationship Id="rId198" Type="http://schemas.openxmlformats.org/officeDocument/2006/relationships/hyperlink" Target="http://mlb.mlb.com/team/player.jsp?player_id=543334" TargetMode="External"/><Relationship Id="rId321" Type="http://schemas.openxmlformats.org/officeDocument/2006/relationships/hyperlink" Target="http://mlb.mlb.com/team/player.jsp?player_id=518716" TargetMode="External"/><Relationship Id="rId363" Type="http://schemas.openxmlformats.org/officeDocument/2006/relationships/hyperlink" Target="http://mlb.mlb.com/team/player.jsp?player_id=502327" TargetMode="External"/><Relationship Id="rId419" Type="http://schemas.openxmlformats.org/officeDocument/2006/relationships/hyperlink" Target="http://mlb.mlb.com/team/player.jsp?player_id=543859" TargetMode="External"/><Relationship Id="rId570" Type="http://schemas.openxmlformats.org/officeDocument/2006/relationships/hyperlink" Target="http://mlb.mlb.com/team/player.jsp?player_id=534910" TargetMode="External"/><Relationship Id="rId626" Type="http://schemas.openxmlformats.org/officeDocument/2006/relationships/hyperlink" Target="http://mlb.mlb.com/team/player.jsp?player_id=572020" TargetMode="External"/><Relationship Id="rId223" Type="http://schemas.openxmlformats.org/officeDocument/2006/relationships/hyperlink" Target="http://mlb.mlb.com/team/player.jsp?player_id=596057" TargetMode="External"/><Relationship Id="rId430" Type="http://schemas.openxmlformats.org/officeDocument/2006/relationships/hyperlink" Target="http://mlb.mlb.com/team/player.jsp?player_id=608648" TargetMode="External"/><Relationship Id="rId668" Type="http://schemas.openxmlformats.org/officeDocument/2006/relationships/hyperlink" Target="http://mlb.mlb.com/team/player.jsp?player_id=600301" TargetMode="External"/><Relationship Id="rId18" Type="http://schemas.openxmlformats.org/officeDocument/2006/relationships/hyperlink" Target="http://mlb.mlb.com/team/player.jsp?player_id=628333" TargetMode="External"/><Relationship Id="rId265" Type="http://schemas.openxmlformats.org/officeDocument/2006/relationships/hyperlink" Target="http://mlb.mlb.com/team/player.jsp?player_id=621121" TargetMode="External"/><Relationship Id="rId472" Type="http://schemas.openxmlformats.org/officeDocument/2006/relationships/hyperlink" Target="http://mlb.mlb.com/team/player.jsp?player_id=547888" TargetMode="External"/><Relationship Id="rId528" Type="http://schemas.openxmlformats.org/officeDocument/2006/relationships/hyperlink" Target="http://mlb.mlb.com/team/player.jsp?player_id=448179" TargetMode="External"/><Relationship Id="rId735" Type="http://schemas.openxmlformats.org/officeDocument/2006/relationships/hyperlink" Target="http://mlb.mlb.com/team/player.jsp?player_id=489294" TargetMode="External"/><Relationship Id="rId125" Type="http://schemas.openxmlformats.org/officeDocument/2006/relationships/hyperlink" Target="http://mlb.mlb.com/team/player.jsp?player_id=448306" TargetMode="External"/><Relationship Id="rId167" Type="http://schemas.openxmlformats.org/officeDocument/2006/relationships/hyperlink" Target="http://mlb.mlb.com/team/player.jsp?player_id=453249" TargetMode="External"/><Relationship Id="rId332" Type="http://schemas.openxmlformats.org/officeDocument/2006/relationships/hyperlink" Target="http://mlb.mlb.com/team/player.jsp?player_id=543169" TargetMode="External"/><Relationship Id="rId374" Type="http://schemas.openxmlformats.org/officeDocument/2006/relationships/hyperlink" Target="http://mlb.mlb.com/team/player.jsp?player_id=571760" TargetMode="External"/><Relationship Id="rId581" Type="http://schemas.openxmlformats.org/officeDocument/2006/relationships/hyperlink" Target="http://mlb.mlb.com/team/player.jsp?player_id=596143" TargetMode="External"/><Relationship Id="rId777" Type="http://schemas.openxmlformats.org/officeDocument/2006/relationships/hyperlink" Target="http://mlb.mlb.com/team/player.jsp?player_id=504186" TargetMode="External"/><Relationship Id="rId71" Type="http://schemas.openxmlformats.org/officeDocument/2006/relationships/hyperlink" Target="http://mlb.mlb.com/team/player.jsp?player_id=593958" TargetMode="External"/><Relationship Id="rId234" Type="http://schemas.openxmlformats.org/officeDocument/2006/relationships/hyperlink" Target="http://mlb.mlb.com/team/player.jsp?player_id=572403" TargetMode="External"/><Relationship Id="rId637" Type="http://schemas.openxmlformats.org/officeDocument/2006/relationships/hyperlink" Target="http://mlb.mlb.com/team/player.jsp?player_id=407908" TargetMode="External"/><Relationship Id="rId679" Type="http://schemas.openxmlformats.org/officeDocument/2006/relationships/hyperlink" Target="http://mlb.mlb.com/team/player.jsp?player_id=573188" TargetMode="External"/><Relationship Id="rId802" Type="http://schemas.openxmlformats.org/officeDocument/2006/relationships/hyperlink" Target="http://mlb.mlb.com/team/player.jsp?player_id=571901" TargetMode="External"/><Relationship Id="rId2" Type="http://schemas.openxmlformats.org/officeDocument/2006/relationships/hyperlink" Target="http://mlb.mlb.com/team/player.jsp?player_id=643354" TargetMode="External"/><Relationship Id="rId29" Type="http://schemas.openxmlformats.org/officeDocument/2006/relationships/hyperlink" Target="http://mlb.mlb.com/team/player.jsp?player_id=643354" TargetMode="External"/><Relationship Id="rId276" Type="http://schemas.openxmlformats.org/officeDocument/2006/relationships/hyperlink" Target="http://mlb.mlb.com/team/player.jsp?player_id=450729" TargetMode="External"/><Relationship Id="rId441" Type="http://schemas.openxmlformats.org/officeDocument/2006/relationships/hyperlink" Target="http://mlb.mlb.com/team/player.jsp?player_id=429722" TargetMode="External"/><Relationship Id="rId483" Type="http://schemas.openxmlformats.org/officeDocument/2006/relationships/hyperlink" Target="http://mlb.mlb.com/team/player.jsp?player_id=467100" TargetMode="External"/><Relationship Id="rId539" Type="http://schemas.openxmlformats.org/officeDocument/2006/relationships/hyperlink" Target="http://mlb.mlb.com/team/player.jsp?player_id=594943" TargetMode="External"/><Relationship Id="rId690" Type="http://schemas.openxmlformats.org/officeDocument/2006/relationships/hyperlink" Target="http://mlb.mlb.com/team/player.jsp?player_id=544836" TargetMode="External"/><Relationship Id="rId704" Type="http://schemas.openxmlformats.org/officeDocument/2006/relationships/hyperlink" Target="http://mlb.mlb.com/team/player.jsp?player_id=489294" TargetMode="External"/><Relationship Id="rId746" Type="http://schemas.openxmlformats.org/officeDocument/2006/relationships/hyperlink" Target="http://mlb.mlb.com/team/player.jsp?player_id=516714" TargetMode="External"/><Relationship Id="rId40" Type="http://schemas.openxmlformats.org/officeDocument/2006/relationships/hyperlink" Target="http://mlb.mlb.com/team/player.jsp?player_id=605164" TargetMode="External"/><Relationship Id="rId136" Type="http://schemas.openxmlformats.org/officeDocument/2006/relationships/hyperlink" Target="http://mlb.mlb.com/team/player.jsp?player_id=474029" TargetMode="External"/><Relationship Id="rId178" Type="http://schemas.openxmlformats.org/officeDocument/2006/relationships/hyperlink" Target="http://mlb.mlb.com/team/player.jsp?player_id=641490" TargetMode="External"/><Relationship Id="rId301" Type="http://schemas.openxmlformats.org/officeDocument/2006/relationships/hyperlink" Target="http://mlb.mlb.com/team/player.jsp?player_id=600944" TargetMode="External"/><Relationship Id="rId343" Type="http://schemas.openxmlformats.org/officeDocument/2006/relationships/hyperlink" Target="http://mlb.mlb.com/team/player.jsp?player_id=450172" TargetMode="External"/><Relationship Id="rId550" Type="http://schemas.openxmlformats.org/officeDocument/2006/relationships/hyperlink" Target="http://mlb.mlb.com/team/player.jsp?player_id=572119" TargetMode="External"/><Relationship Id="rId788" Type="http://schemas.openxmlformats.org/officeDocument/2006/relationships/hyperlink" Target="http://mlb.mlb.com/team/player.jsp?player_id=572193" TargetMode="External"/><Relationship Id="rId82" Type="http://schemas.openxmlformats.org/officeDocument/2006/relationships/hyperlink" Target="http://mlb.mlb.com/team/player.jsp?player_id=605476" TargetMode="External"/><Relationship Id="rId203" Type="http://schemas.openxmlformats.org/officeDocument/2006/relationships/hyperlink" Target="http://mlb.mlb.com/team/player.jsp?player_id=458708" TargetMode="External"/><Relationship Id="rId385" Type="http://schemas.openxmlformats.org/officeDocument/2006/relationships/hyperlink" Target="http://mlb.mlb.com/team/player.jsp?player_id=445060" TargetMode="External"/><Relationship Id="rId592" Type="http://schemas.openxmlformats.org/officeDocument/2006/relationships/hyperlink" Target="http://mlb.mlb.com/team/player.jsp?player_id=491708" TargetMode="External"/><Relationship Id="rId606" Type="http://schemas.openxmlformats.org/officeDocument/2006/relationships/hyperlink" Target="http://mlb.mlb.com/team/player.jsp?player_id=519381" TargetMode="External"/><Relationship Id="rId648" Type="http://schemas.openxmlformats.org/officeDocument/2006/relationships/hyperlink" Target="http://mlb.mlb.com/team/player.jsp?player_id=595032" TargetMode="External"/><Relationship Id="rId813" Type="http://schemas.openxmlformats.org/officeDocument/2006/relationships/printerSettings" Target="../printerSettings/printerSettings3.bin"/><Relationship Id="rId245" Type="http://schemas.openxmlformats.org/officeDocument/2006/relationships/hyperlink" Target="http://mlb.mlb.com/team/player.jsp?player_id=408061" TargetMode="External"/><Relationship Id="rId287" Type="http://schemas.openxmlformats.org/officeDocument/2006/relationships/hyperlink" Target="http://mlb.mlb.com/team/player.jsp?player_id=450212" TargetMode="External"/><Relationship Id="rId410" Type="http://schemas.openxmlformats.org/officeDocument/2006/relationships/hyperlink" Target="http://mlb.mlb.com/team/player.jsp?player_id=472551" TargetMode="External"/><Relationship Id="rId452" Type="http://schemas.openxmlformats.org/officeDocument/2006/relationships/hyperlink" Target="http://mlb.mlb.com/team/player.jsp?player_id=502327" TargetMode="External"/><Relationship Id="rId494" Type="http://schemas.openxmlformats.org/officeDocument/2006/relationships/hyperlink" Target="http://mlb.mlb.com/team/player.jsp?player_id=572021" TargetMode="External"/><Relationship Id="rId508" Type="http://schemas.openxmlformats.org/officeDocument/2006/relationships/hyperlink" Target="http://mlb.mlb.com/team/player.jsp?player_id=580792" TargetMode="External"/><Relationship Id="rId715" Type="http://schemas.openxmlformats.org/officeDocument/2006/relationships/hyperlink" Target="http://mlb.mlb.com/team/player.jsp?player_id=516714" TargetMode="External"/><Relationship Id="rId105" Type="http://schemas.openxmlformats.org/officeDocument/2006/relationships/hyperlink" Target="http://mlb.mlb.com/team/player.jsp?player_id=543900" TargetMode="External"/><Relationship Id="rId147" Type="http://schemas.openxmlformats.org/officeDocument/2006/relationships/hyperlink" Target="http://mlb.mlb.com/team/player.jsp?player_id=502009" TargetMode="External"/><Relationship Id="rId312" Type="http://schemas.openxmlformats.org/officeDocument/2006/relationships/hyperlink" Target="http://mlb.mlb.com/team/player.jsp?player_id=516969" TargetMode="External"/><Relationship Id="rId354" Type="http://schemas.openxmlformats.org/officeDocument/2006/relationships/hyperlink" Target="http://mlb.mlb.com/team/player.jsp?player_id=592091" TargetMode="External"/><Relationship Id="rId757" Type="http://schemas.openxmlformats.org/officeDocument/2006/relationships/hyperlink" Target="http://mlb.mlb.com/team/player.jsp?player_id=532077" TargetMode="External"/><Relationship Id="rId799" Type="http://schemas.openxmlformats.org/officeDocument/2006/relationships/hyperlink" Target="http://mlb.mlb.com/team/player.jsp?player_id=285079" TargetMode="External"/><Relationship Id="rId51" Type="http://schemas.openxmlformats.org/officeDocument/2006/relationships/hyperlink" Target="http://mlb.mlb.com/team/player.jsp?player_id=451085" TargetMode="External"/><Relationship Id="rId93" Type="http://schemas.openxmlformats.org/officeDocument/2006/relationships/hyperlink" Target="http://mlb.mlb.com/team/player.jsp?player_id=598264" TargetMode="External"/><Relationship Id="rId189" Type="http://schemas.openxmlformats.org/officeDocument/2006/relationships/hyperlink" Target="http://mlb.mlb.com/team/player.jsp?player_id=453192" TargetMode="External"/><Relationship Id="rId396" Type="http://schemas.openxmlformats.org/officeDocument/2006/relationships/hyperlink" Target="http://mlb.mlb.com/team/player.jsp?player_id=456379" TargetMode="External"/><Relationship Id="rId561" Type="http://schemas.openxmlformats.org/officeDocument/2006/relationships/hyperlink" Target="http://mlb.mlb.com/team/player.jsp?player_id=521230" TargetMode="External"/><Relationship Id="rId617" Type="http://schemas.openxmlformats.org/officeDocument/2006/relationships/hyperlink" Target="http://mlb.mlb.com/team/player.jsp?player_id=621242" TargetMode="External"/><Relationship Id="rId659" Type="http://schemas.openxmlformats.org/officeDocument/2006/relationships/hyperlink" Target="http://mlb.mlb.com/team/player.jsp?player_id=542882" TargetMode="External"/><Relationship Id="rId214" Type="http://schemas.openxmlformats.org/officeDocument/2006/relationships/hyperlink" Target="http://mlb.mlb.com/team/player.jsp?player_id=452733" TargetMode="External"/><Relationship Id="rId256" Type="http://schemas.openxmlformats.org/officeDocument/2006/relationships/hyperlink" Target="http://mlb.mlb.com/team/player.jsp?player_id=458730" TargetMode="External"/><Relationship Id="rId298" Type="http://schemas.openxmlformats.org/officeDocument/2006/relationships/hyperlink" Target="http://mlb.mlb.com/team/player.jsp?player_id=572971" TargetMode="External"/><Relationship Id="rId421" Type="http://schemas.openxmlformats.org/officeDocument/2006/relationships/hyperlink" Target="http://mlb.mlb.com/team/player.jsp?player_id=445060" TargetMode="External"/><Relationship Id="rId463" Type="http://schemas.openxmlformats.org/officeDocument/2006/relationships/hyperlink" Target="http://mlb.mlb.com/team/player.jsp?player_id=572990" TargetMode="External"/><Relationship Id="rId519" Type="http://schemas.openxmlformats.org/officeDocument/2006/relationships/hyperlink" Target="http://mlb.mlb.com/team/player.jsp?player_id=457435" TargetMode="External"/><Relationship Id="rId670" Type="http://schemas.openxmlformats.org/officeDocument/2006/relationships/hyperlink" Target="http://mlb.mlb.com/team/player.jsp?player_id=543195" TargetMode="External"/><Relationship Id="rId116" Type="http://schemas.openxmlformats.org/officeDocument/2006/relationships/hyperlink" Target="http://mlb.mlb.com/team/player.jsp?player_id=607074" TargetMode="External"/><Relationship Id="rId158" Type="http://schemas.openxmlformats.org/officeDocument/2006/relationships/hyperlink" Target="http://mlb.mlb.com/team/player.jsp?player_id=543776" TargetMode="External"/><Relationship Id="rId323" Type="http://schemas.openxmlformats.org/officeDocument/2006/relationships/hyperlink" Target="http://mlb.mlb.com/team/player.jsp?player_id=432934" TargetMode="External"/><Relationship Id="rId530" Type="http://schemas.openxmlformats.org/officeDocument/2006/relationships/hyperlink" Target="http://mlb.mlb.com/team/player.jsp?player_id=434672" TargetMode="External"/><Relationship Id="rId726" Type="http://schemas.openxmlformats.org/officeDocument/2006/relationships/hyperlink" Target="http://mlb.mlb.com/team/player.jsp?player_id=501817" TargetMode="External"/><Relationship Id="rId768" Type="http://schemas.openxmlformats.org/officeDocument/2006/relationships/hyperlink" Target="http://mlb.mlb.com/team/player.jsp?player_id=643325" TargetMode="External"/><Relationship Id="rId20" Type="http://schemas.openxmlformats.org/officeDocument/2006/relationships/hyperlink" Target="http://mlb.mlb.com/team/player.jsp?player_id=605541" TargetMode="External"/><Relationship Id="rId62" Type="http://schemas.openxmlformats.org/officeDocument/2006/relationships/hyperlink" Target="http://mlb.mlb.com/team/player.jsp?player_id=453214" TargetMode="External"/><Relationship Id="rId365" Type="http://schemas.openxmlformats.org/officeDocument/2006/relationships/hyperlink" Target="http://mlb.mlb.com/team/player.jsp?player_id=477569" TargetMode="External"/><Relationship Id="rId572" Type="http://schemas.openxmlformats.org/officeDocument/2006/relationships/hyperlink" Target="http://mlb.mlb.com/team/player.jsp?player_id=446321" TargetMode="External"/><Relationship Id="rId628" Type="http://schemas.openxmlformats.org/officeDocument/2006/relationships/hyperlink" Target="http://mlb.mlb.com/team/player.jsp?player_id=592533" TargetMode="External"/><Relationship Id="rId225" Type="http://schemas.openxmlformats.org/officeDocument/2006/relationships/hyperlink" Target="http://mlb.mlb.com/team/player.jsp?player_id=458677" TargetMode="External"/><Relationship Id="rId267" Type="http://schemas.openxmlformats.org/officeDocument/2006/relationships/hyperlink" Target="http://mlb.mlb.com/team/player.jsp?player_id=594311" TargetMode="External"/><Relationship Id="rId432" Type="http://schemas.openxmlformats.org/officeDocument/2006/relationships/hyperlink" Target="http://mlb.mlb.com/team/player.jsp?player_id=502272" TargetMode="External"/><Relationship Id="rId474" Type="http://schemas.openxmlformats.org/officeDocument/2006/relationships/hyperlink" Target="http://mlb.mlb.com/team/player.jsp?player_id=571951" TargetMode="External"/><Relationship Id="rId127" Type="http://schemas.openxmlformats.org/officeDocument/2006/relationships/hyperlink" Target="http://mlb.mlb.com/team/player.jsp?player_id=433579" TargetMode="External"/><Relationship Id="rId681" Type="http://schemas.openxmlformats.org/officeDocument/2006/relationships/hyperlink" Target="http://mlb.mlb.com/team/player.jsp?player_id=519043" TargetMode="External"/><Relationship Id="rId737" Type="http://schemas.openxmlformats.org/officeDocument/2006/relationships/hyperlink" Target="http://mlb.mlb.com/team/player.jsp?player_id=502706" TargetMode="External"/><Relationship Id="rId779" Type="http://schemas.openxmlformats.org/officeDocument/2006/relationships/hyperlink" Target="http://mlb.mlb.com/team/player.jsp?player_id=446381" TargetMode="External"/><Relationship Id="rId31" Type="http://schemas.openxmlformats.org/officeDocument/2006/relationships/hyperlink" Target="http://mlb.mlb.com/team/player.jsp?player_id=542960" TargetMode="External"/><Relationship Id="rId73" Type="http://schemas.openxmlformats.org/officeDocument/2006/relationships/hyperlink" Target="http://mlb.mlb.com/team/player.jsp?player_id=523260" TargetMode="External"/><Relationship Id="rId169" Type="http://schemas.openxmlformats.org/officeDocument/2006/relationships/hyperlink" Target="http://mlb.mlb.com/team/player.jsp?player_id=543766" TargetMode="External"/><Relationship Id="rId334" Type="http://schemas.openxmlformats.org/officeDocument/2006/relationships/hyperlink" Target="http://mlb.mlb.com/team/player.jsp?player_id=518397" TargetMode="External"/><Relationship Id="rId376" Type="http://schemas.openxmlformats.org/officeDocument/2006/relationships/hyperlink" Target="http://mlb.mlb.com/team/player.jsp?player_id=519085" TargetMode="External"/><Relationship Id="rId541" Type="http://schemas.openxmlformats.org/officeDocument/2006/relationships/hyperlink" Target="http://mlb.mlb.com/team/player.jsp?player_id=543056" TargetMode="External"/><Relationship Id="rId583" Type="http://schemas.openxmlformats.org/officeDocument/2006/relationships/hyperlink" Target="http://mlb.mlb.com/team/player.jsp?player_id=656186" TargetMode="External"/><Relationship Id="rId639" Type="http://schemas.openxmlformats.org/officeDocument/2006/relationships/hyperlink" Target="http://mlb.mlb.com/team/player.jsp?player_id=543716" TargetMode="External"/><Relationship Id="rId790" Type="http://schemas.openxmlformats.org/officeDocument/2006/relationships/hyperlink" Target="http://mlb.mlb.com/team/player.jsp?player_id=607352" TargetMode="External"/><Relationship Id="rId804" Type="http://schemas.openxmlformats.org/officeDocument/2006/relationships/hyperlink" Target="http://mlb.mlb.com/team/player.jsp?player_id=544759" TargetMode="External"/><Relationship Id="rId4" Type="http://schemas.openxmlformats.org/officeDocument/2006/relationships/hyperlink" Target="http://mlb.mlb.com/team/player.jsp?player_id=542960" TargetMode="External"/><Relationship Id="rId180" Type="http://schemas.openxmlformats.org/officeDocument/2006/relationships/hyperlink" Target="http://mlb.mlb.com/team/player.jsp?player_id=446321" TargetMode="External"/><Relationship Id="rId236" Type="http://schemas.openxmlformats.org/officeDocument/2006/relationships/hyperlink" Target="http://mlb.mlb.com/team/player.jsp?player_id=599683" TargetMode="External"/><Relationship Id="rId278" Type="http://schemas.openxmlformats.org/officeDocument/2006/relationships/hyperlink" Target="http://mlb.mlb.com/team/player.jsp?player_id=600944" TargetMode="External"/><Relationship Id="rId401" Type="http://schemas.openxmlformats.org/officeDocument/2006/relationships/hyperlink" Target="http://mlb.mlb.com/team/player.jsp?player_id=642229" TargetMode="External"/><Relationship Id="rId443" Type="http://schemas.openxmlformats.org/officeDocument/2006/relationships/hyperlink" Target="http://mlb.mlb.com/team/player.jsp?player_id=594951" TargetMode="External"/><Relationship Id="rId650" Type="http://schemas.openxmlformats.org/officeDocument/2006/relationships/hyperlink" Target="http://mlb.mlb.com/team/player.jsp?player_id=605483" TargetMode="External"/><Relationship Id="rId303" Type="http://schemas.openxmlformats.org/officeDocument/2006/relationships/hyperlink" Target="http://mlb.mlb.com/team/player.jsp?player_id=502087" TargetMode="External"/><Relationship Id="rId485" Type="http://schemas.openxmlformats.org/officeDocument/2006/relationships/hyperlink" Target="http://mlb.mlb.com/team/player.jsp?player_id=592741" TargetMode="External"/><Relationship Id="rId692" Type="http://schemas.openxmlformats.org/officeDocument/2006/relationships/hyperlink" Target="http://mlb.mlb.com/team/player.jsp?player_id=445968" TargetMode="External"/><Relationship Id="rId706" Type="http://schemas.openxmlformats.org/officeDocument/2006/relationships/hyperlink" Target="http://mlb.mlb.com/team/player.jsp?player_id=502706" TargetMode="External"/><Relationship Id="rId748" Type="http://schemas.openxmlformats.org/officeDocument/2006/relationships/hyperlink" Target="http://mlb.mlb.com/team/player.jsp?player_id=592419" TargetMode="External"/><Relationship Id="rId42" Type="http://schemas.openxmlformats.org/officeDocument/2006/relationships/hyperlink" Target="http://mlb.mlb.com/team/player.jsp?player_id=592869" TargetMode="External"/><Relationship Id="rId84" Type="http://schemas.openxmlformats.org/officeDocument/2006/relationships/hyperlink" Target="http://mlb.mlb.com/team/player.jsp?player_id=592390" TargetMode="External"/><Relationship Id="rId138" Type="http://schemas.openxmlformats.org/officeDocument/2006/relationships/hyperlink" Target="http://mlb.mlb.com/team/player.jsp?player_id=592454" TargetMode="External"/><Relationship Id="rId345" Type="http://schemas.openxmlformats.org/officeDocument/2006/relationships/hyperlink" Target="http://mlb.mlb.com/team/player.jsp?player_id=641838" TargetMode="External"/><Relationship Id="rId387" Type="http://schemas.openxmlformats.org/officeDocument/2006/relationships/hyperlink" Target="http://mlb.mlb.com/team/player.jsp?player_id=501625" TargetMode="External"/><Relationship Id="rId510" Type="http://schemas.openxmlformats.org/officeDocument/2006/relationships/hyperlink" Target="http://mlb.mlb.com/team/player.jsp?player_id=543135" TargetMode="External"/><Relationship Id="rId552" Type="http://schemas.openxmlformats.org/officeDocument/2006/relationships/hyperlink" Target="http://mlb.mlb.com/team/player.jsp?player_id=502285" TargetMode="External"/><Relationship Id="rId594" Type="http://schemas.openxmlformats.org/officeDocument/2006/relationships/hyperlink" Target="http://mlb.mlb.com/team/player.jsp?player_id=572020" TargetMode="External"/><Relationship Id="rId608" Type="http://schemas.openxmlformats.org/officeDocument/2006/relationships/hyperlink" Target="http://mlb.mlb.com/team/player.jsp?player_id=592716" TargetMode="External"/><Relationship Id="rId191" Type="http://schemas.openxmlformats.org/officeDocument/2006/relationships/hyperlink" Target="http://mlb.mlb.com/team/player.jsp?player_id=501955" TargetMode="External"/><Relationship Id="rId205" Type="http://schemas.openxmlformats.org/officeDocument/2006/relationships/hyperlink" Target="http://mlb.mlb.com/team/player.jsp?player_id=641490" TargetMode="External"/><Relationship Id="rId247" Type="http://schemas.openxmlformats.org/officeDocument/2006/relationships/hyperlink" Target="http://mlb.mlb.com/team/player.jsp?player_id=543278" TargetMode="External"/><Relationship Id="rId412" Type="http://schemas.openxmlformats.org/officeDocument/2006/relationships/hyperlink" Target="http://mlb.mlb.com/team/player.jsp?player_id=429722" TargetMode="External"/><Relationship Id="rId107" Type="http://schemas.openxmlformats.org/officeDocument/2006/relationships/hyperlink" Target="http://mlb.mlb.com/team/player.jsp?player_id=518858" TargetMode="External"/><Relationship Id="rId289" Type="http://schemas.openxmlformats.org/officeDocument/2006/relationships/hyperlink" Target="http://mlb.mlb.com/team/player.jsp?player_id=502381" TargetMode="External"/><Relationship Id="rId454" Type="http://schemas.openxmlformats.org/officeDocument/2006/relationships/hyperlink" Target="http://mlb.mlb.com/team/player.jsp?player_id=452027" TargetMode="External"/><Relationship Id="rId496" Type="http://schemas.openxmlformats.org/officeDocument/2006/relationships/hyperlink" Target="http://mlb.mlb.com/team/player.jsp?player_id=453192" TargetMode="External"/><Relationship Id="rId661" Type="http://schemas.openxmlformats.org/officeDocument/2006/relationships/hyperlink" Target="http://mlb.mlb.com/team/player.jsp?player_id=592767" TargetMode="External"/><Relationship Id="rId717" Type="http://schemas.openxmlformats.org/officeDocument/2006/relationships/hyperlink" Target="http://mlb.mlb.com/team/player.jsp?player_id=592419" TargetMode="External"/><Relationship Id="rId759" Type="http://schemas.openxmlformats.org/officeDocument/2006/relationships/hyperlink" Target="http://mlb.mlb.com/team/player.jsp?player_id=572193" TargetMode="External"/><Relationship Id="rId11" Type="http://schemas.openxmlformats.org/officeDocument/2006/relationships/hyperlink" Target="http://mlb.mlb.com/team/player.jsp?player_id=503285" TargetMode="External"/><Relationship Id="rId53" Type="http://schemas.openxmlformats.org/officeDocument/2006/relationships/hyperlink" Target="http://mlb.mlb.com/team/player.jsp?player_id=664641" TargetMode="External"/><Relationship Id="rId149" Type="http://schemas.openxmlformats.org/officeDocument/2006/relationships/hyperlink" Target="http://mlb.mlb.com/team/player.jsp?player_id=544930" TargetMode="External"/><Relationship Id="rId314" Type="http://schemas.openxmlformats.org/officeDocument/2006/relationships/hyperlink" Target="http://mlb.mlb.com/team/player.jsp?player_id=493247" TargetMode="External"/><Relationship Id="rId356" Type="http://schemas.openxmlformats.org/officeDocument/2006/relationships/hyperlink" Target="http://mlb.mlb.com/team/player.jsp?player_id=500610" TargetMode="External"/><Relationship Id="rId398" Type="http://schemas.openxmlformats.org/officeDocument/2006/relationships/hyperlink" Target="http://mlb.mlb.com/team/player.jsp?player_id=468504" TargetMode="External"/><Relationship Id="rId521" Type="http://schemas.openxmlformats.org/officeDocument/2006/relationships/hyperlink" Target="http://mlb.mlb.com/team/player.jsp?player_id=621397" TargetMode="External"/><Relationship Id="rId563" Type="http://schemas.openxmlformats.org/officeDocument/2006/relationships/hyperlink" Target="http://mlb.mlb.com/team/player.jsp?player_id=446099" TargetMode="External"/><Relationship Id="rId619" Type="http://schemas.openxmlformats.org/officeDocument/2006/relationships/hyperlink" Target="http://mlb.mlb.com/team/player.jsp?player_id=543964" TargetMode="External"/><Relationship Id="rId770" Type="http://schemas.openxmlformats.org/officeDocument/2006/relationships/hyperlink" Target="http://mlb.mlb.com/team/player.jsp?player_id=285079" TargetMode="External"/><Relationship Id="rId95" Type="http://schemas.openxmlformats.org/officeDocument/2006/relationships/hyperlink" Target="http://mlb.mlb.com/team/player.jsp?player_id=519141" TargetMode="External"/><Relationship Id="rId160" Type="http://schemas.openxmlformats.org/officeDocument/2006/relationships/hyperlink" Target="http://mlb.mlb.com/team/player.jsp?player_id=453222" TargetMode="External"/><Relationship Id="rId216" Type="http://schemas.openxmlformats.org/officeDocument/2006/relationships/hyperlink" Target="http://mlb.mlb.com/team/player.jsp?player_id=434137" TargetMode="External"/><Relationship Id="rId423" Type="http://schemas.openxmlformats.org/officeDocument/2006/relationships/hyperlink" Target="http://mlb.mlb.com/team/player.jsp?player_id=502327" TargetMode="External"/><Relationship Id="rId258" Type="http://schemas.openxmlformats.org/officeDocument/2006/relationships/hyperlink" Target="http://mlb.mlb.com/team/player.jsp?player_id=450275" TargetMode="External"/><Relationship Id="rId465" Type="http://schemas.openxmlformats.org/officeDocument/2006/relationships/hyperlink" Target="http://mlb.mlb.com/team/player.jsp?player_id=543242" TargetMode="External"/><Relationship Id="rId630" Type="http://schemas.openxmlformats.org/officeDocument/2006/relationships/hyperlink" Target="http://mlb.mlb.com/team/player.jsp?player_id=592836" TargetMode="External"/><Relationship Id="rId672" Type="http://schemas.openxmlformats.org/officeDocument/2006/relationships/hyperlink" Target="http://mlb.mlb.com/team/player.jsp?player_id=501697" TargetMode="External"/><Relationship Id="rId728" Type="http://schemas.openxmlformats.org/officeDocument/2006/relationships/hyperlink" Target="http://mlb.mlb.com/team/player.jsp?player_id=456713" TargetMode="External"/><Relationship Id="rId22" Type="http://schemas.openxmlformats.org/officeDocument/2006/relationships/hyperlink" Target="http://mlb.mlb.com/team/player.jsp?player_id=519008" TargetMode="External"/><Relationship Id="rId64" Type="http://schemas.openxmlformats.org/officeDocument/2006/relationships/hyperlink" Target="http://mlb.mlb.com/team/player.jsp?player_id=493157" TargetMode="External"/><Relationship Id="rId118" Type="http://schemas.openxmlformats.org/officeDocument/2006/relationships/hyperlink" Target="http://mlb.mlb.com/team/player.jsp?player_id=502593" TargetMode="External"/><Relationship Id="rId325" Type="http://schemas.openxmlformats.org/officeDocument/2006/relationships/hyperlink" Target="http://mlb.mlb.com/team/player.jsp?player_id=450665" TargetMode="External"/><Relationship Id="rId367" Type="http://schemas.openxmlformats.org/officeDocument/2006/relationships/hyperlink" Target="http://mlb.mlb.com/team/player.jsp?player_id=543542" TargetMode="External"/><Relationship Id="rId532" Type="http://schemas.openxmlformats.org/officeDocument/2006/relationships/hyperlink" Target="http://mlb.mlb.com/team/player.jsp?player_id=448281" TargetMode="External"/><Relationship Id="rId574" Type="http://schemas.openxmlformats.org/officeDocument/2006/relationships/hyperlink" Target="http://mlb.mlb.com/team/player.jsp?player_id=474668" TargetMode="External"/><Relationship Id="rId171" Type="http://schemas.openxmlformats.org/officeDocument/2006/relationships/hyperlink" Target="http://mlb.mlb.com/team/player.jsp?player_id=543334" TargetMode="External"/><Relationship Id="rId227" Type="http://schemas.openxmlformats.org/officeDocument/2006/relationships/hyperlink" Target="http://mlb.mlb.com/team/player.jsp?player_id=571510" TargetMode="External"/><Relationship Id="rId781" Type="http://schemas.openxmlformats.org/officeDocument/2006/relationships/hyperlink" Target="http://mlb.mlb.com/team/player.jsp?player_id=571616" TargetMode="External"/><Relationship Id="rId269" Type="http://schemas.openxmlformats.org/officeDocument/2006/relationships/hyperlink" Target="http://mlb.mlb.com/team/player.jsp?player_id=605397" TargetMode="External"/><Relationship Id="rId434" Type="http://schemas.openxmlformats.org/officeDocument/2006/relationships/hyperlink" Target="http://mlb.mlb.com/team/player.jsp?player_id=572990" TargetMode="External"/><Relationship Id="rId476" Type="http://schemas.openxmlformats.org/officeDocument/2006/relationships/hyperlink" Target="http://mlb.mlb.com/team/player.jsp?player_id=518927" TargetMode="External"/><Relationship Id="rId641" Type="http://schemas.openxmlformats.org/officeDocument/2006/relationships/hyperlink" Target="http://mlb.mlb.com/team/player.jsp?player_id=543698" TargetMode="External"/><Relationship Id="rId683" Type="http://schemas.openxmlformats.org/officeDocument/2006/relationships/hyperlink" Target="http://mlb.mlb.com/team/player.jsp?player_id=623439" TargetMode="External"/><Relationship Id="rId739" Type="http://schemas.openxmlformats.org/officeDocument/2006/relationships/hyperlink" Target="http://mlb.mlb.com/team/player.jsp?player_id=607309" TargetMode="External"/><Relationship Id="rId33" Type="http://schemas.openxmlformats.org/officeDocument/2006/relationships/hyperlink" Target="http://mlb.mlb.com/team/player.jsp?player_id=571710" TargetMode="External"/><Relationship Id="rId129" Type="http://schemas.openxmlformats.org/officeDocument/2006/relationships/hyperlink" Target="http://mlb.mlb.com/team/player.jsp?player_id=608334" TargetMode="External"/><Relationship Id="rId280" Type="http://schemas.openxmlformats.org/officeDocument/2006/relationships/hyperlink" Target="http://mlb.mlb.com/team/player.jsp?player_id=502087" TargetMode="External"/><Relationship Id="rId336" Type="http://schemas.openxmlformats.org/officeDocument/2006/relationships/hyperlink" Target="http://mlb.mlb.com/team/player.jsp?player_id=518633" TargetMode="External"/><Relationship Id="rId501" Type="http://schemas.openxmlformats.org/officeDocument/2006/relationships/hyperlink" Target="http://mlb.mlb.com/team/player.jsp?player_id=547888" TargetMode="External"/><Relationship Id="rId543" Type="http://schemas.openxmlformats.org/officeDocument/2006/relationships/hyperlink" Target="http://mlb.mlb.com/team/player.jsp?player_id=534910" TargetMode="External"/><Relationship Id="rId75" Type="http://schemas.openxmlformats.org/officeDocument/2006/relationships/hyperlink" Target="http://mlb.mlb.com/team/player.jsp?player_id=472551" TargetMode="External"/><Relationship Id="rId140" Type="http://schemas.openxmlformats.org/officeDocument/2006/relationships/hyperlink" Target="http://mlb.mlb.com/team/player.jsp?player_id=500779" TargetMode="External"/><Relationship Id="rId182" Type="http://schemas.openxmlformats.org/officeDocument/2006/relationships/hyperlink" Target="http://mlb.mlb.com/team/player.jsp?player_id=571572" TargetMode="External"/><Relationship Id="rId378" Type="http://schemas.openxmlformats.org/officeDocument/2006/relationships/hyperlink" Target="http://mlb.mlb.com/team/player.jsp?player_id=453307" TargetMode="External"/><Relationship Id="rId403" Type="http://schemas.openxmlformats.org/officeDocument/2006/relationships/hyperlink" Target="http://mlb.mlb.com/team/player.jsp?player_id=474284" TargetMode="External"/><Relationship Id="rId585" Type="http://schemas.openxmlformats.org/officeDocument/2006/relationships/hyperlink" Target="http://mlb.mlb.com/team/player.jsp?player_id=621242" TargetMode="External"/><Relationship Id="rId750" Type="http://schemas.openxmlformats.org/officeDocument/2006/relationships/hyperlink" Target="http://mlb.mlb.com/team/player.jsp?player_id=592426" TargetMode="External"/><Relationship Id="rId792" Type="http://schemas.openxmlformats.org/officeDocument/2006/relationships/hyperlink" Target="http://mlb.mlb.com/team/player.jsp?player_id=462136" TargetMode="External"/><Relationship Id="rId806" Type="http://schemas.openxmlformats.org/officeDocument/2006/relationships/hyperlink" Target="http://mlb.mlb.com/team/player.jsp?player_id=504186" TargetMode="External"/><Relationship Id="rId6" Type="http://schemas.openxmlformats.org/officeDocument/2006/relationships/hyperlink" Target="http://mlb.mlb.com/team/player.jsp?player_id=571710" TargetMode="External"/><Relationship Id="rId238" Type="http://schemas.openxmlformats.org/officeDocument/2006/relationships/hyperlink" Target="http://mlb.mlb.com/team/player.jsp?player_id=461865" TargetMode="External"/><Relationship Id="rId445" Type="http://schemas.openxmlformats.org/officeDocument/2006/relationships/hyperlink" Target="http://mlb.mlb.com/team/player.jsp?player_id=592872" TargetMode="External"/><Relationship Id="rId487" Type="http://schemas.openxmlformats.org/officeDocument/2006/relationships/hyperlink" Target="http://mlb.mlb.com/team/player.jsp?player_id=656547" TargetMode="External"/><Relationship Id="rId610" Type="http://schemas.openxmlformats.org/officeDocument/2006/relationships/hyperlink" Target="http://mlb.mlb.com/team/player.jsp?player_id=543921" TargetMode="External"/><Relationship Id="rId652" Type="http://schemas.openxmlformats.org/officeDocument/2006/relationships/hyperlink" Target="http://mlb.mlb.com/team/player.jsp?player_id=458584" TargetMode="External"/><Relationship Id="rId694" Type="http://schemas.openxmlformats.org/officeDocument/2006/relationships/hyperlink" Target="http://mlb.mlb.com/team/player.jsp?player_id=600917" TargetMode="External"/><Relationship Id="rId708" Type="http://schemas.openxmlformats.org/officeDocument/2006/relationships/hyperlink" Target="http://mlb.mlb.com/team/player.jsp?player_id=607309" TargetMode="External"/><Relationship Id="rId291" Type="http://schemas.openxmlformats.org/officeDocument/2006/relationships/hyperlink" Target="http://mlb.mlb.com/team/player.jsp?player_id=502748" TargetMode="External"/><Relationship Id="rId305" Type="http://schemas.openxmlformats.org/officeDocument/2006/relationships/hyperlink" Target="http://mlb.mlb.com/team/player.jsp?player_id=643603" TargetMode="External"/><Relationship Id="rId347" Type="http://schemas.openxmlformats.org/officeDocument/2006/relationships/hyperlink" Target="http://mlb.mlb.com/team/player.jsp?player_id=572044" TargetMode="External"/><Relationship Id="rId512" Type="http://schemas.openxmlformats.org/officeDocument/2006/relationships/hyperlink" Target="http://mlb.mlb.com/team/player.jsp?player_id=467100" TargetMode="External"/><Relationship Id="rId44" Type="http://schemas.openxmlformats.org/officeDocument/2006/relationships/hyperlink" Target="http://mlb.mlb.com/team/player.jsp?player_id=434622" TargetMode="External"/><Relationship Id="rId86" Type="http://schemas.openxmlformats.org/officeDocument/2006/relationships/hyperlink" Target="http://mlb.mlb.com/team/player.jsp?player_id=543726" TargetMode="External"/><Relationship Id="rId151" Type="http://schemas.openxmlformats.org/officeDocument/2006/relationships/hyperlink" Target="http://mlb.mlb.com/team/player.jsp?player_id=571476" TargetMode="External"/><Relationship Id="rId389" Type="http://schemas.openxmlformats.org/officeDocument/2006/relationships/hyperlink" Target="http://mlb.mlb.com/team/player.jsp?player_id=501925" TargetMode="External"/><Relationship Id="rId554" Type="http://schemas.openxmlformats.org/officeDocument/2006/relationships/hyperlink" Target="http://mlb.mlb.com/team/player.jsp?player_id=605194" TargetMode="External"/><Relationship Id="rId596" Type="http://schemas.openxmlformats.org/officeDocument/2006/relationships/hyperlink" Target="http://mlb.mlb.com/team/player.jsp?player_id=592533" TargetMode="External"/><Relationship Id="rId761" Type="http://schemas.openxmlformats.org/officeDocument/2006/relationships/hyperlink" Target="http://mlb.mlb.com/team/player.jsp?player_id=607352" TargetMode="External"/><Relationship Id="rId193" Type="http://schemas.openxmlformats.org/officeDocument/2006/relationships/hyperlink" Target="http://mlb.mlb.com/team/player.jsp?player_id=542888" TargetMode="External"/><Relationship Id="rId207" Type="http://schemas.openxmlformats.org/officeDocument/2006/relationships/hyperlink" Target="http://mlb.mlb.com/team/player.jsp?player_id=446321" TargetMode="External"/><Relationship Id="rId249" Type="http://schemas.openxmlformats.org/officeDocument/2006/relationships/hyperlink" Target="http://mlb.mlb.com/team/player.jsp?player_id=451783" TargetMode="External"/><Relationship Id="rId414" Type="http://schemas.openxmlformats.org/officeDocument/2006/relationships/hyperlink" Target="http://mlb.mlb.com/team/player.jsp?player_id=594951" TargetMode="External"/><Relationship Id="rId456" Type="http://schemas.openxmlformats.org/officeDocument/2006/relationships/hyperlink" Target="http://mlb.mlb.com/team/player.jsp?player_id=519166" TargetMode="External"/><Relationship Id="rId498" Type="http://schemas.openxmlformats.org/officeDocument/2006/relationships/hyperlink" Target="http://mlb.mlb.com/team/player.jsp?player_id=547973" TargetMode="External"/><Relationship Id="rId621" Type="http://schemas.openxmlformats.org/officeDocument/2006/relationships/hyperlink" Target="http://mlb.mlb.com/team/player.jsp?player_id=573064" TargetMode="External"/><Relationship Id="rId663" Type="http://schemas.openxmlformats.org/officeDocument/2006/relationships/hyperlink" Target="http://mlb.mlb.com/team/player.jsp?player_id=448178" TargetMode="External"/><Relationship Id="rId13" Type="http://schemas.openxmlformats.org/officeDocument/2006/relationships/hyperlink" Target="http://mlb.mlb.com/team/player.jsp?player_id=605164" TargetMode="External"/><Relationship Id="rId109" Type="http://schemas.openxmlformats.org/officeDocument/2006/relationships/hyperlink" Target="http://mlb.mlb.com/team/player.jsp?player_id=435043" TargetMode="External"/><Relationship Id="rId260" Type="http://schemas.openxmlformats.org/officeDocument/2006/relationships/hyperlink" Target="http://mlb.mlb.com/team/player.jsp?player_id=573009" TargetMode="External"/><Relationship Id="rId316" Type="http://schemas.openxmlformats.org/officeDocument/2006/relationships/hyperlink" Target="http://mlb.mlb.com/team/player.jsp?player_id=453178" TargetMode="External"/><Relationship Id="rId523" Type="http://schemas.openxmlformats.org/officeDocument/2006/relationships/hyperlink" Target="http://mlb.mlb.com/team/player.jsp?player_id=572021" TargetMode="External"/><Relationship Id="rId719" Type="http://schemas.openxmlformats.org/officeDocument/2006/relationships/hyperlink" Target="http://mlb.mlb.com/team/player.jsp?player_id=592426" TargetMode="External"/><Relationship Id="rId55" Type="http://schemas.openxmlformats.org/officeDocument/2006/relationships/hyperlink" Target="http://mlb.mlb.com/team/player.jsp?player_id=534606" TargetMode="External"/><Relationship Id="rId97" Type="http://schemas.openxmlformats.org/officeDocument/2006/relationships/hyperlink" Target="http://mlb.mlb.com/team/player.jsp?player_id=453329" TargetMode="External"/><Relationship Id="rId120" Type="http://schemas.openxmlformats.org/officeDocument/2006/relationships/hyperlink" Target="http://mlb.mlb.com/team/player.jsp?player_id=545357" TargetMode="External"/><Relationship Id="rId358" Type="http://schemas.openxmlformats.org/officeDocument/2006/relationships/hyperlink" Target="http://mlb.mlb.com/team/player.jsp?player_id=607374" TargetMode="External"/><Relationship Id="rId565" Type="http://schemas.openxmlformats.org/officeDocument/2006/relationships/hyperlink" Target="http://mlb.mlb.com/team/player.jsp?player_id=451775" TargetMode="External"/><Relationship Id="rId730" Type="http://schemas.openxmlformats.org/officeDocument/2006/relationships/hyperlink" Target="http://mlb.mlb.com/team/player.jsp?player_id=592222" TargetMode="External"/><Relationship Id="rId772" Type="http://schemas.openxmlformats.org/officeDocument/2006/relationships/hyperlink" Target="http://mlb.mlb.com/team/player.jsp?player_id=571800" TargetMode="External"/><Relationship Id="rId162" Type="http://schemas.openxmlformats.org/officeDocument/2006/relationships/hyperlink" Target="http://mlb.mlb.com/team/player.jsp?player_id=453192" TargetMode="External"/><Relationship Id="rId218" Type="http://schemas.openxmlformats.org/officeDocument/2006/relationships/hyperlink" Target="http://mlb.mlb.com/team/player.jsp?player_id=541652" TargetMode="External"/><Relationship Id="rId425" Type="http://schemas.openxmlformats.org/officeDocument/2006/relationships/hyperlink" Target="http://mlb.mlb.com/team/player.jsp?player_id=452027" TargetMode="External"/><Relationship Id="rId467" Type="http://schemas.openxmlformats.org/officeDocument/2006/relationships/hyperlink" Target="http://mlb.mlb.com/team/player.jsp?player_id=453192" TargetMode="External"/><Relationship Id="rId632" Type="http://schemas.openxmlformats.org/officeDocument/2006/relationships/hyperlink" Target="http://mlb.mlb.com/team/player.jsp?player_id=453281" TargetMode="External"/><Relationship Id="rId271" Type="http://schemas.openxmlformats.org/officeDocument/2006/relationships/hyperlink" Target="http://mlb.mlb.com/team/player.jsp?player_id=543521" TargetMode="External"/><Relationship Id="rId674" Type="http://schemas.openxmlformats.org/officeDocument/2006/relationships/hyperlink" Target="http://mlb.mlb.com/team/player.jsp?player_id=543144" TargetMode="External"/><Relationship Id="rId24" Type="http://schemas.openxmlformats.org/officeDocument/2006/relationships/hyperlink" Target="http://mlb.mlb.com/team/player.jsp?player_id=451085" TargetMode="External"/><Relationship Id="rId66" Type="http://schemas.openxmlformats.org/officeDocument/2006/relationships/hyperlink" Target="http://mlb.mlb.com/team/player.jsp?player_id=518927" TargetMode="External"/><Relationship Id="rId131" Type="http://schemas.openxmlformats.org/officeDocument/2006/relationships/hyperlink" Target="http://mlb.mlb.com/team/player.jsp?player_id=641501" TargetMode="External"/><Relationship Id="rId327" Type="http://schemas.openxmlformats.org/officeDocument/2006/relationships/hyperlink" Target="http://mlb.mlb.com/team/player.jsp?player_id=621219" TargetMode="External"/><Relationship Id="rId369" Type="http://schemas.openxmlformats.org/officeDocument/2006/relationships/hyperlink" Target="http://mlb.mlb.com/team/player.jsp?player_id=450308" TargetMode="External"/><Relationship Id="rId534" Type="http://schemas.openxmlformats.org/officeDocument/2006/relationships/hyperlink" Target="http://mlb.mlb.com/team/player.jsp?player_id=521230" TargetMode="External"/><Relationship Id="rId576" Type="http://schemas.openxmlformats.org/officeDocument/2006/relationships/hyperlink" Target="http://mlb.mlb.com/team/player.jsp?player_id=605525" TargetMode="External"/><Relationship Id="rId741" Type="http://schemas.openxmlformats.org/officeDocument/2006/relationships/hyperlink" Target="http://mlb.mlb.com/team/player.jsp?player_id=449173" TargetMode="External"/><Relationship Id="rId783" Type="http://schemas.openxmlformats.org/officeDocument/2006/relationships/hyperlink" Target="http://mlb.mlb.com/team/player.jsp?player_id=539438" TargetMode="External"/><Relationship Id="rId173" Type="http://schemas.openxmlformats.org/officeDocument/2006/relationships/hyperlink" Target="http://mlb.mlb.com/team/player.jsp?player_id=488984" TargetMode="External"/><Relationship Id="rId229" Type="http://schemas.openxmlformats.org/officeDocument/2006/relationships/hyperlink" Target="http://mlb.mlb.com/team/player.jsp?player_id=519455" TargetMode="External"/><Relationship Id="rId380" Type="http://schemas.openxmlformats.org/officeDocument/2006/relationships/hyperlink" Target="http://mlb.mlb.com/team/player.jsp?player_id=592135" TargetMode="External"/><Relationship Id="rId436" Type="http://schemas.openxmlformats.org/officeDocument/2006/relationships/hyperlink" Target="http://mlb.mlb.com/team/player.jsp?player_id=543242" TargetMode="External"/><Relationship Id="rId601" Type="http://schemas.openxmlformats.org/officeDocument/2006/relationships/hyperlink" Target="http://mlb.mlb.com/team/player.jsp?player_id=515052" TargetMode="External"/><Relationship Id="rId643" Type="http://schemas.openxmlformats.org/officeDocument/2006/relationships/hyperlink" Target="http://mlb.mlb.com/team/player.jsp?player_id=600301" TargetMode="External"/><Relationship Id="rId240" Type="http://schemas.openxmlformats.org/officeDocument/2006/relationships/hyperlink" Target="http://mlb.mlb.com/team/player.jsp?player_id=543935" TargetMode="External"/><Relationship Id="rId478" Type="http://schemas.openxmlformats.org/officeDocument/2006/relationships/hyperlink" Target="http://mlb.mlb.com/team/player.jsp?player_id=570666" TargetMode="External"/><Relationship Id="rId685" Type="http://schemas.openxmlformats.org/officeDocument/2006/relationships/hyperlink" Target="http://mlb.mlb.com/team/player.jsp?player_id=502202" TargetMode="External"/><Relationship Id="rId35" Type="http://schemas.openxmlformats.org/officeDocument/2006/relationships/hyperlink" Target="http://mlb.mlb.com/team/player.jsp?player_id=592332" TargetMode="External"/><Relationship Id="rId77" Type="http://schemas.openxmlformats.org/officeDocument/2006/relationships/hyperlink" Target="http://mlb.mlb.com/team/player.jsp?player_id=596064" TargetMode="External"/><Relationship Id="rId100" Type="http://schemas.openxmlformats.org/officeDocument/2006/relationships/hyperlink" Target="http://mlb.mlb.com/team/player.jsp?player_id=472551" TargetMode="External"/><Relationship Id="rId282" Type="http://schemas.openxmlformats.org/officeDocument/2006/relationships/hyperlink" Target="http://mlb.mlb.com/team/player.jsp?player_id=643603" TargetMode="External"/><Relationship Id="rId338" Type="http://schemas.openxmlformats.org/officeDocument/2006/relationships/hyperlink" Target="http://mlb.mlb.com/team/player.jsp?player_id=460024" TargetMode="External"/><Relationship Id="rId503" Type="http://schemas.openxmlformats.org/officeDocument/2006/relationships/hyperlink" Target="http://mlb.mlb.com/team/player.jsp?player_id=571951" TargetMode="External"/><Relationship Id="rId545" Type="http://schemas.openxmlformats.org/officeDocument/2006/relationships/hyperlink" Target="http://mlb.mlb.com/team/player.jsp?player_id=446321" TargetMode="External"/><Relationship Id="rId587" Type="http://schemas.openxmlformats.org/officeDocument/2006/relationships/hyperlink" Target="http://mlb.mlb.com/team/player.jsp?player_id=543964" TargetMode="External"/><Relationship Id="rId710" Type="http://schemas.openxmlformats.org/officeDocument/2006/relationships/hyperlink" Target="http://mlb.mlb.com/team/player.jsp?player_id=449173" TargetMode="External"/><Relationship Id="rId752" Type="http://schemas.openxmlformats.org/officeDocument/2006/relationships/hyperlink" Target="http://mlb.mlb.com/team/player.jsp?player_id=607706" TargetMode="External"/><Relationship Id="rId808" Type="http://schemas.openxmlformats.org/officeDocument/2006/relationships/hyperlink" Target="http://mlb.mlb.com/team/player.jsp?player_id=446381" TargetMode="External"/><Relationship Id="rId8" Type="http://schemas.openxmlformats.org/officeDocument/2006/relationships/hyperlink" Target="http://mlb.mlb.com/team/player.jsp?player_id=592332" TargetMode="External"/><Relationship Id="rId142" Type="http://schemas.openxmlformats.org/officeDocument/2006/relationships/hyperlink" Target="http://mlb.mlb.com/team/player.jsp?player_id=502085" TargetMode="External"/><Relationship Id="rId184" Type="http://schemas.openxmlformats.org/officeDocument/2006/relationships/hyperlink" Target="http://mlb.mlb.com/team/player.jsp?player_id=542866" TargetMode="External"/><Relationship Id="rId391" Type="http://schemas.openxmlformats.org/officeDocument/2006/relationships/hyperlink" Target="http://mlb.mlb.com/team/player.jsp?player_id=572140" TargetMode="External"/><Relationship Id="rId405" Type="http://schemas.openxmlformats.org/officeDocument/2006/relationships/hyperlink" Target="http://mlb.mlb.com/team/player.jsp?player_id=434718" TargetMode="External"/><Relationship Id="rId447" Type="http://schemas.openxmlformats.org/officeDocument/2006/relationships/hyperlink" Target="http://mlb.mlb.com/team/player.jsp?player_id=608638" TargetMode="External"/><Relationship Id="rId612" Type="http://schemas.openxmlformats.org/officeDocument/2006/relationships/hyperlink" Target="http://mlb.mlb.com/team/player.jsp?player_id=453284" TargetMode="External"/><Relationship Id="rId794" Type="http://schemas.openxmlformats.org/officeDocument/2006/relationships/hyperlink" Target="http://mlb.mlb.com/team/player.jsp?player_id=446399" TargetMode="External"/><Relationship Id="rId251" Type="http://schemas.openxmlformats.org/officeDocument/2006/relationships/hyperlink" Target="http://mlb.mlb.com/team/player.jsp?player_id=571656" TargetMode="External"/><Relationship Id="rId489" Type="http://schemas.openxmlformats.org/officeDocument/2006/relationships/hyperlink" Target="http://mlb.mlb.com/team/player.jsp?player_id=622663" TargetMode="External"/><Relationship Id="rId654" Type="http://schemas.openxmlformats.org/officeDocument/2006/relationships/hyperlink" Target="http://mlb.mlb.com/team/player.jsp?player_id=573188" TargetMode="External"/><Relationship Id="rId696" Type="http://schemas.openxmlformats.org/officeDocument/2006/relationships/hyperlink" Target="http://mlb.mlb.com/team/player.jsp?player_id=473879" TargetMode="External"/><Relationship Id="rId46" Type="http://schemas.openxmlformats.org/officeDocument/2006/relationships/hyperlink" Target="http://mlb.mlb.com/team/player.jsp?player_id=572208" TargetMode="External"/><Relationship Id="rId293" Type="http://schemas.openxmlformats.org/officeDocument/2006/relationships/hyperlink" Target="http://mlb.mlb.com/team/player.jsp?player_id=571704" TargetMode="External"/><Relationship Id="rId307" Type="http://schemas.openxmlformats.org/officeDocument/2006/relationships/hyperlink" Target="http://mlb.mlb.com/team/player.jsp?player_id=460077" TargetMode="External"/><Relationship Id="rId349" Type="http://schemas.openxmlformats.org/officeDocument/2006/relationships/hyperlink" Target="http://mlb.mlb.com/team/player.jsp?player_id=643297" TargetMode="External"/><Relationship Id="rId514" Type="http://schemas.openxmlformats.org/officeDocument/2006/relationships/hyperlink" Target="http://mlb.mlb.com/team/player.jsp?player_id=592741" TargetMode="External"/><Relationship Id="rId556" Type="http://schemas.openxmlformats.org/officeDocument/2006/relationships/hyperlink" Target="http://mlb.mlb.com/team/player.jsp?player_id=623430" TargetMode="External"/><Relationship Id="rId721" Type="http://schemas.openxmlformats.org/officeDocument/2006/relationships/hyperlink" Target="http://mlb.mlb.com/team/player.jsp?player_id=607706" TargetMode="External"/><Relationship Id="rId763" Type="http://schemas.openxmlformats.org/officeDocument/2006/relationships/hyperlink" Target="http://mlb.mlb.com/team/player.jsp?player_id=462136" TargetMode="External"/><Relationship Id="rId88" Type="http://schemas.openxmlformats.org/officeDocument/2006/relationships/hyperlink" Target="http://mlb.mlb.com/team/player.jsp?player_id=518886" TargetMode="External"/><Relationship Id="rId111" Type="http://schemas.openxmlformats.org/officeDocument/2006/relationships/hyperlink" Target="http://mlb.mlb.com/team/player.jsp?player_id=573589" TargetMode="External"/><Relationship Id="rId153" Type="http://schemas.openxmlformats.org/officeDocument/2006/relationships/hyperlink" Target="http://mlb.mlb.com/team/player.jsp?player_id=448306" TargetMode="External"/><Relationship Id="rId195" Type="http://schemas.openxmlformats.org/officeDocument/2006/relationships/hyperlink" Target="http://mlb.mlb.com/team/player.jsp?player_id=446372" TargetMode="External"/><Relationship Id="rId209" Type="http://schemas.openxmlformats.org/officeDocument/2006/relationships/hyperlink" Target="http://mlb.mlb.com/team/player.jsp?player_id=571572" TargetMode="External"/><Relationship Id="rId360" Type="http://schemas.openxmlformats.org/officeDocument/2006/relationships/hyperlink" Target="http://mlb.mlb.com/team/player.jsp?player_id=533167" TargetMode="External"/><Relationship Id="rId416" Type="http://schemas.openxmlformats.org/officeDocument/2006/relationships/hyperlink" Target="http://mlb.mlb.com/team/player.jsp?player_id=592872" TargetMode="External"/><Relationship Id="rId598" Type="http://schemas.openxmlformats.org/officeDocument/2006/relationships/hyperlink" Target="http://mlb.mlb.com/team/player.jsp?player_id=592836" TargetMode="External"/><Relationship Id="rId220" Type="http://schemas.openxmlformats.org/officeDocument/2006/relationships/hyperlink" Target="http://mlb.mlb.com/team/player.jsp?player_id=605242" TargetMode="External"/><Relationship Id="rId458" Type="http://schemas.openxmlformats.org/officeDocument/2006/relationships/hyperlink" Target="http://mlb.mlb.com/team/player.jsp?player_id=534737" TargetMode="External"/><Relationship Id="rId623" Type="http://schemas.openxmlformats.org/officeDocument/2006/relationships/hyperlink" Target="http://mlb.mlb.com/team/player.jsp?player_id=452666" TargetMode="External"/><Relationship Id="rId665" Type="http://schemas.openxmlformats.org/officeDocument/2006/relationships/hyperlink" Target="http://mlb.mlb.com/team/player.jsp?player_id=544836" TargetMode="External"/><Relationship Id="rId15" Type="http://schemas.openxmlformats.org/officeDocument/2006/relationships/hyperlink" Target="http://mlb.mlb.com/team/player.jsp?player_id=592869" TargetMode="External"/><Relationship Id="rId57" Type="http://schemas.openxmlformats.org/officeDocument/2006/relationships/hyperlink" Target="http://mlb.mlb.com/team/player.jsp?player_id=605476" TargetMode="External"/><Relationship Id="rId262" Type="http://schemas.openxmlformats.org/officeDocument/2006/relationships/hyperlink" Target="http://mlb.mlb.com/team/player.jsp?player_id=501789" TargetMode="External"/><Relationship Id="rId318" Type="http://schemas.openxmlformats.org/officeDocument/2006/relationships/hyperlink" Target="http://mlb.mlb.com/team/player.jsp?player_id=465657" TargetMode="External"/><Relationship Id="rId525" Type="http://schemas.openxmlformats.org/officeDocument/2006/relationships/hyperlink" Target="http://mlb.mlb.com/team/player.jsp?player_id=502285" TargetMode="External"/><Relationship Id="rId567" Type="http://schemas.openxmlformats.org/officeDocument/2006/relationships/hyperlink" Target="http://mlb.mlb.com/team/player.jsp?player_id=592811" TargetMode="External"/><Relationship Id="rId732" Type="http://schemas.openxmlformats.org/officeDocument/2006/relationships/hyperlink" Target="http://mlb.mlb.com/team/player.jsp?player_id=518617" TargetMode="External"/><Relationship Id="rId99" Type="http://schemas.openxmlformats.org/officeDocument/2006/relationships/hyperlink" Target="http://mlb.mlb.com/team/player.jsp?player_id=598287" TargetMode="External"/><Relationship Id="rId122" Type="http://schemas.openxmlformats.org/officeDocument/2006/relationships/hyperlink" Target="http://mlb.mlb.com/team/player.jsp?player_id=458006" TargetMode="External"/><Relationship Id="rId164" Type="http://schemas.openxmlformats.org/officeDocument/2006/relationships/hyperlink" Target="http://mlb.mlb.com/team/player.jsp?player_id=501955" TargetMode="External"/><Relationship Id="rId371" Type="http://schemas.openxmlformats.org/officeDocument/2006/relationships/hyperlink" Target="http://mlb.mlb.com/team/player.jsp?player_id=642229" TargetMode="External"/><Relationship Id="rId774" Type="http://schemas.openxmlformats.org/officeDocument/2006/relationships/hyperlink" Target="http://mlb.mlb.com/team/player.jsp?player_id=519381" TargetMode="External"/><Relationship Id="rId427" Type="http://schemas.openxmlformats.org/officeDocument/2006/relationships/hyperlink" Target="http://mlb.mlb.com/team/player.jsp?player_id=519166" TargetMode="External"/><Relationship Id="rId469" Type="http://schemas.openxmlformats.org/officeDocument/2006/relationships/hyperlink" Target="http://mlb.mlb.com/team/player.jsp?player_id=547973" TargetMode="External"/><Relationship Id="rId634" Type="http://schemas.openxmlformats.org/officeDocument/2006/relationships/hyperlink" Target="http://mlb.mlb.com/team/player.jsp?player_id=489119" TargetMode="External"/><Relationship Id="rId676" Type="http://schemas.openxmlformats.org/officeDocument/2006/relationships/hyperlink" Target="http://mlb.mlb.com/team/player.jsp?player_id=543606" TargetMode="External"/><Relationship Id="rId26" Type="http://schemas.openxmlformats.org/officeDocument/2006/relationships/hyperlink" Target="http://mlb.mlb.com/team/player.jsp?player_id=664641" TargetMode="External"/><Relationship Id="rId231" Type="http://schemas.openxmlformats.org/officeDocument/2006/relationships/hyperlink" Target="http://mlb.mlb.com/team/player.jsp?player_id=572888" TargetMode="External"/><Relationship Id="rId273" Type="http://schemas.openxmlformats.org/officeDocument/2006/relationships/hyperlink" Target="http://mlb.mlb.com/team/player.jsp?player_id=571666" TargetMode="External"/><Relationship Id="rId329" Type="http://schemas.openxmlformats.org/officeDocument/2006/relationships/hyperlink" Target="http://mlb.mlb.com/team/player.jsp?player_id=621381" TargetMode="External"/><Relationship Id="rId480" Type="http://schemas.openxmlformats.org/officeDocument/2006/relationships/hyperlink" Target="http://mlb.mlb.com/team/player.jsp?player_id=643338" TargetMode="External"/><Relationship Id="rId536" Type="http://schemas.openxmlformats.org/officeDocument/2006/relationships/hyperlink" Target="http://mlb.mlb.com/team/player.jsp?player_id=446099" TargetMode="External"/><Relationship Id="rId701" Type="http://schemas.openxmlformats.org/officeDocument/2006/relationships/hyperlink" Target="http://mlb.mlb.com/team/player.jsp?player_id=518617" TargetMode="External"/><Relationship Id="rId68" Type="http://schemas.openxmlformats.org/officeDocument/2006/relationships/hyperlink" Target="http://mlb.mlb.com/team/player.jsp?player_id=598264" TargetMode="External"/><Relationship Id="rId133" Type="http://schemas.openxmlformats.org/officeDocument/2006/relationships/hyperlink" Target="http://mlb.mlb.com/team/player.jsp?player_id=543900" TargetMode="External"/><Relationship Id="rId175" Type="http://schemas.openxmlformats.org/officeDocument/2006/relationships/hyperlink" Target="http://mlb.mlb.com/team/player.jsp?player_id=545333" TargetMode="External"/><Relationship Id="rId340" Type="http://schemas.openxmlformats.org/officeDocument/2006/relationships/hyperlink" Target="http://mlb.mlb.com/team/player.jsp?player_id=425426" TargetMode="External"/><Relationship Id="rId578" Type="http://schemas.openxmlformats.org/officeDocument/2006/relationships/hyperlink" Target="http://mlb.mlb.com/team/player.jsp?player_id=592614" TargetMode="External"/><Relationship Id="rId743" Type="http://schemas.openxmlformats.org/officeDocument/2006/relationships/hyperlink" Target="http://mlb.mlb.com/team/player.jsp?player_id=605309" TargetMode="External"/><Relationship Id="rId785" Type="http://schemas.openxmlformats.org/officeDocument/2006/relationships/hyperlink" Target="http://mlb.mlb.com/team/player.jsp?player_id=276542" TargetMode="External"/><Relationship Id="rId200" Type="http://schemas.openxmlformats.org/officeDocument/2006/relationships/hyperlink" Target="http://mlb.mlb.com/team/player.jsp?player_id=488984" TargetMode="External"/><Relationship Id="rId382" Type="http://schemas.openxmlformats.org/officeDocument/2006/relationships/hyperlink" Target="http://mlb.mlb.com/team/player.jsp?player_id=457732" TargetMode="External"/><Relationship Id="rId438" Type="http://schemas.openxmlformats.org/officeDocument/2006/relationships/hyperlink" Target="http://mlb.mlb.com/team/player.jsp?player_id=500871" TargetMode="External"/><Relationship Id="rId603" Type="http://schemas.openxmlformats.org/officeDocument/2006/relationships/hyperlink" Target="http://mlb.mlb.com/team/player.jsp?player_id=501992" TargetMode="External"/><Relationship Id="rId645" Type="http://schemas.openxmlformats.org/officeDocument/2006/relationships/hyperlink" Target="http://mlb.mlb.com/team/player.jsp?player_id=543195" TargetMode="External"/><Relationship Id="rId687" Type="http://schemas.openxmlformats.org/officeDocument/2006/relationships/hyperlink" Target="http://mlb.mlb.com/team/player.jsp?player_id=444436" TargetMode="External"/><Relationship Id="rId810" Type="http://schemas.openxmlformats.org/officeDocument/2006/relationships/hyperlink" Target="http://mlb.mlb.com/team/player.jsp?player_id=571616" TargetMode="External"/><Relationship Id="rId242" Type="http://schemas.openxmlformats.org/officeDocument/2006/relationships/hyperlink" Target="http://mlb.mlb.com/team/player.jsp?player_id=434378" TargetMode="External"/><Relationship Id="rId284" Type="http://schemas.openxmlformats.org/officeDocument/2006/relationships/hyperlink" Target="http://mlb.mlb.com/team/player.jsp?player_id=606965" TargetMode="External"/><Relationship Id="rId491" Type="http://schemas.openxmlformats.org/officeDocument/2006/relationships/hyperlink" Target="http://mlb.mlb.com/team/player.jsp?player_id=621294" TargetMode="External"/><Relationship Id="rId505" Type="http://schemas.openxmlformats.org/officeDocument/2006/relationships/hyperlink" Target="http://mlb.mlb.com/team/player.jsp?player_id=518927" TargetMode="External"/><Relationship Id="rId712" Type="http://schemas.openxmlformats.org/officeDocument/2006/relationships/hyperlink" Target="http://mlb.mlb.com/team/player.jsp?player_id=605309" TargetMode="External"/><Relationship Id="rId37" Type="http://schemas.openxmlformats.org/officeDocument/2006/relationships/hyperlink" Target="http://mlb.mlb.com/team/player.jsp?player_id=501957" TargetMode="External"/><Relationship Id="rId79" Type="http://schemas.openxmlformats.org/officeDocument/2006/relationships/hyperlink" Target="http://mlb.mlb.com/team/player.jsp?player_id=572990" TargetMode="External"/><Relationship Id="rId102" Type="http://schemas.openxmlformats.org/officeDocument/2006/relationships/hyperlink" Target="http://mlb.mlb.com/team/player.jsp?player_id=596064" TargetMode="External"/><Relationship Id="rId144" Type="http://schemas.openxmlformats.org/officeDocument/2006/relationships/hyperlink" Target="http://mlb.mlb.com/team/player.jsp?player_id=607074" TargetMode="External"/><Relationship Id="rId547" Type="http://schemas.openxmlformats.org/officeDocument/2006/relationships/hyperlink" Target="http://mlb.mlb.com/team/player.jsp?player_id=474668" TargetMode="External"/><Relationship Id="rId589" Type="http://schemas.openxmlformats.org/officeDocument/2006/relationships/hyperlink" Target="http://mlb.mlb.com/team/player.jsp?player_id=573064" TargetMode="External"/><Relationship Id="rId754" Type="http://schemas.openxmlformats.org/officeDocument/2006/relationships/hyperlink" Target="http://mlb.mlb.com/team/player.jsp?player_id=622795" TargetMode="External"/><Relationship Id="rId796" Type="http://schemas.openxmlformats.org/officeDocument/2006/relationships/hyperlink" Target="http://mlb.mlb.com/team/player.jsp?player_id=425856" TargetMode="External"/><Relationship Id="rId90" Type="http://schemas.openxmlformats.org/officeDocument/2006/relationships/hyperlink" Target="http://mlb.mlb.com/team/player.jsp?player_id=571035" TargetMode="External"/><Relationship Id="rId186" Type="http://schemas.openxmlformats.org/officeDocument/2006/relationships/hyperlink" Target="http://mlb.mlb.com/team/player.jsp?player_id=460269" TargetMode="External"/><Relationship Id="rId351" Type="http://schemas.openxmlformats.org/officeDocument/2006/relationships/hyperlink" Target="http://mlb.mlb.com/team/player.jsp?player_id=572070" TargetMode="External"/><Relationship Id="rId393" Type="http://schemas.openxmlformats.org/officeDocument/2006/relationships/hyperlink" Target="http://mlb.mlb.com/team/player.jsp?player_id=502327" TargetMode="External"/><Relationship Id="rId407" Type="http://schemas.openxmlformats.org/officeDocument/2006/relationships/hyperlink" Target="http://mlb.mlb.com/team/player.jsp?player_id=453311" TargetMode="External"/><Relationship Id="rId449" Type="http://schemas.openxmlformats.org/officeDocument/2006/relationships/hyperlink" Target="http://mlb.mlb.com/team/player.jsp?player_id=502043" TargetMode="External"/><Relationship Id="rId614" Type="http://schemas.openxmlformats.org/officeDocument/2006/relationships/hyperlink" Target="http://mlb.mlb.com/team/player.jsp?player_id=519267" TargetMode="External"/><Relationship Id="rId656" Type="http://schemas.openxmlformats.org/officeDocument/2006/relationships/hyperlink" Target="http://mlb.mlb.com/team/player.jsp?player_id=519043" TargetMode="External"/><Relationship Id="rId211" Type="http://schemas.openxmlformats.org/officeDocument/2006/relationships/hyperlink" Target="http://mlb.mlb.com/team/player.jsp?player_id=542866" TargetMode="External"/><Relationship Id="rId253" Type="http://schemas.openxmlformats.org/officeDocument/2006/relationships/hyperlink" Target="http://mlb.mlb.com/team/player.jsp?player_id=460059" TargetMode="External"/><Relationship Id="rId295" Type="http://schemas.openxmlformats.org/officeDocument/2006/relationships/hyperlink" Target="http://mlb.mlb.com/team/player.jsp?player_id=593140" TargetMode="External"/><Relationship Id="rId309" Type="http://schemas.openxmlformats.org/officeDocument/2006/relationships/hyperlink" Target="http://mlb.mlb.com/team/player.jsp?player_id=451584" TargetMode="External"/><Relationship Id="rId460" Type="http://schemas.openxmlformats.org/officeDocument/2006/relationships/hyperlink" Target="http://mlb.mlb.com/team/player.jsp?player_id=606167" TargetMode="External"/><Relationship Id="rId516" Type="http://schemas.openxmlformats.org/officeDocument/2006/relationships/hyperlink" Target="http://mlb.mlb.com/team/player.jsp?player_id=656547" TargetMode="External"/><Relationship Id="rId698" Type="http://schemas.openxmlformats.org/officeDocument/2006/relationships/hyperlink" Target="http://mlb.mlb.com/team/player.jsp?player_id=502026" TargetMode="External"/><Relationship Id="rId48" Type="http://schemas.openxmlformats.org/officeDocument/2006/relationships/hyperlink" Target="http://mlb.mlb.com/team/player.jsp?player_id=489119" TargetMode="External"/><Relationship Id="rId113" Type="http://schemas.openxmlformats.org/officeDocument/2006/relationships/hyperlink" Target="http://mlb.mlb.com/team/player.jsp?player_id=519242" TargetMode="External"/><Relationship Id="rId320" Type="http://schemas.openxmlformats.org/officeDocument/2006/relationships/hyperlink" Target="http://mlb.mlb.com/team/player.jsp?player_id=570649" TargetMode="External"/><Relationship Id="rId558" Type="http://schemas.openxmlformats.org/officeDocument/2006/relationships/hyperlink" Target="http://mlb.mlb.com/team/player.jsp?player_id=519240" TargetMode="External"/><Relationship Id="rId723" Type="http://schemas.openxmlformats.org/officeDocument/2006/relationships/hyperlink" Target="http://mlb.mlb.com/team/player.jsp?player_id=622795" TargetMode="External"/><Relationship Id="rId765" Type="http://schemas.openxmlformats.org/officeDocument/2006/relationships/hyperlink" Target="http://mlb.mlb.com/team/player.jsp?player_id=446399" TargetMode="External"/><Relationship Id="rId155" Type="http://schemas.openxmlformats.org/officeDocument/2006/relationships/hyperlink" Target="http://mlb.mlb.com/team/player.jsp?player_id=433579" TargetMode="External"/><Relationship Id="rId197" Type="http://schemas.openxmlformats.org/officeDocument/2006/relationships/hyperlink" Target="http://mlb.mlb.com/team/player.jsp?player_id=471911" TargetMode="External"/><Relationship Id="rId362" Type="http://schemas.openxmlformats.org/officeDocument/2006/relationships/hyperlink" Target="http://mlb.mlb.com/team/player.jsp?player_id=572308" TargetMode="External"/><Relationship Id="rId418" Type="http://schemas.openxmlformats.org/officeDocument/2006/relationships/hyperlink" Target="http://mlb.mlb.com/team/player.jsp?player_id=608638" TargetMode="External"/><Relationship Id="rId625" Type="http://schemas.openxmlformats.org/officeDocument/2006/relationships/hyperlink" Target="http://mlb.mlb.com/team/player.jsp?player_id=543883" TargetMode="External"/><Relationship Id="rId222" Type="http://schemas.openxmlformats.org/officeDocument/2006/relationships/hyperlink" Target="http://mlb.mlb.com/team/player.jsp?player_id=408061" TargetMode="External"/><Relationship Id="rId264" Type="http://schemas.openxmlformats.org/officeDocument/2006/relationships/hyperlink" Target="http://mlb.mlb.com/team/player.jsp?player_id=450212" TargetMode="External"/><Relationship Id="rId471" Type="http://schemas.openxmlformats.org/officeDocument/2006/relationships/hyperlink" Target="http://mlb.mlb.com/team/player.jsp?player_id=571969" TargetMode="External"/><Relationship Id="rId667" Type="http://schemas.openxmlformats.org/officeDocument/2006/relationships/hyperlink" Target="http://mlb.mlb.com/team/player.jsp?player_id=445968" TargetMode="External"/><Relationship Id="rId17" Type="http://schemas.openxmlformats.org/officeDocument/2006/relationships/hyperlink" Target="http://mlb.mlb.com/team/player.jsp?player_id=434622" TargetMode="External"/><Relationship Id="rId59" Type="http://schemas.openxmlformats.org/officeDocument/2006/relationships/hyperlink" Target="http://mlb.mlb.com/team/player.jsp?player_id=592390" TargetMode="External"/><Relationship Id="rId124" Type="http://schemas.openxmlformats.org/officeDocument/2006/relationships/hyperlink" Target="http://mlb.mlb.com/team/player.jsp?player_id=545363" TargetMode="External"/><Relationship Id="rId527" Type="http://schemas.openxmlformats.org/officeDocument/2006/relationships/hyperlink" Target="http://mlb.mlb.com/team/player.jsp?player_id=605194" TargetMode="External"/><Relationship Id="rId569" Type="http://schemas.openxmlformats.org/officeDocument/2006/relationships/hyperlink" Target="http://mlb.mlb.com/team/player.jsp?player_id=543243" TargetMode="External"/><Relationship Id="rId734" Type="http://schemas.openxmlformats.org/officeDocument/2006/relationships/hyperlink" Target="http://mlb.mlb.com/team/player.jsp?player_id=407890" TargetMode="External"/><Relationship Id="rId776" Type="http://schemas.openxmlformats.org/officeDocument/2006/relationships/hyperlink" Target="http://mlb.mlb.com/team/player.jsp?player_id=519322" TargetMode="External"/><Relationship Id="rId70" Type="http://schemas.openxmlformats.org/officeDocument/2006/relationships/hyperlink" Target="http://mlb.mlb.com/team/player.jsp?player_id=519141" TargetMode="External"/><Relationship Id="rId166" Type="http://schemas.openxmlformats.org/officeDocument/2006/relationships/hyperlink" Target="http://mlb.mlb.com/team/player.jsp?player_id=542888" TargetMode="External"/><Relationship Id="rId331" Type="http://schemas.openxmlformats.org/officeDocument/2006/relationships/hyperlink" Target="http://mlb.mlb.com/team/player.jsp?player_id=450306" TargetMode="External"/><Relationship Id="rId373" Type="http://schemas.openxmlformats.org/officeDocument/2006/relationships/hyperlink" Target="http://mlb.mlb.com/team/player.jsp?player_id=474284" TargetMode="External"/><Relationship Id="rId429" Type="http://schemas.openxmlformats.org/officeDocument/2006/relationships/hyperlink" Target="http://mlb.mlb.com/team/player.jsp?player_id=534737" TargetMode="External"/><Relationship Id="rId580" Type="http://schemas.openxmlformats.org/officeDocument/2006/relationships/hyperlink" Target="http://mlb.mlb.com/team/player.jsp?player_id=453284" TargetMode="External"/><Relationship Id="rId636" Type="http://schemas.openxmlformats.org/officeDocument/2006/relationships/hyperlink" Target="http://mlb.mlb.com/team/player.jsp?player_id=276542" TargetMode="External"/><Relationship Id="rId801" Type="http://schemas.openxmlformats.org/officeDocument/2006/relationships/hyperlink" Target="http://mlb.mlb.com/team/player.jsp?player_id=571800" TargetMode="External"/><Relationship Id="rId1" Type="http://schemas.openxmlformats.org/officeDocument/2006/relationships/hyperlink" Target="http://mlb.mlb.com/team/player.jsp?player_id=593969" TargetMode="External"/><Relationship Id="rId233" Type="http://schemas.openxmlformats.org/officeDocument/2006/relationships/hyperlink" Target="http://mlb.mlb.com/team/player.jsp?player_id=458730" TargetMode="External"/><Relationship Id="rId440" Type="http://schemas.openxmlformats.org/officeDocument/2006/relationships/hyperlink" Target="http://mlb.mlb.com/team/player.jsp?player_id=445213" TargetMode="External"/><Relationship Id="rId678" Type="http://schemas.openxmlformats.org/officeDocument/2006/relationships/hyperlink" Target="http://mlb.mlb.com/team/player.jsp?player_id=541640" TargetMode="External"/><Relationship Id="rId28" Type="http://schemas.openxmlformats.org/officeDocument/2006/relationships/hyperlink" Target="http://mlb.mlb.com/team/player.jsp?player_id=593969" TargetMode="External"/><Relationship Id="rId275" Type="http://schemas.openxmlformats.org/officeDocument/2006/relationships/hyperlink" Target="http://mlb.mlb.com/team/player.jsp?player_id=572971" TargetMode="External"/><Relationship Id="rId300" Type="http://schemas.openxmlformats.org/officeDocument/2006/relationships/hyperlink" Target="http://mlb.mlb.com/team/player.jsp?player_id=448609" TargetMode="External"/><Relationship Id="rId482" Type="http://schemas.openxmlformats.org/officeDocument/2006/relationships/hyperlink" Target="http://mlb.mlb.com/team/player.jsp?player_id=501381" TargetMode="External"/><Relationship Id="rId538" Type="http://schemas.openxmlformats.org/officeDocument/2006/relationships/hyperlink" Target="http://mlb.mlb.com/team/player.jsp?player_id=451775" TargetMode="External"/><Relationship Id="rId703" Type="http://schemas.openxmlformats.org/officeDocument/2006/relationships/hyperlink" Target="http://mlb.mlb.com/team/player.jsp?player_id=407890" TargetMode="External"/><Relationship Id="rId745" Type="http://schemas.openxmlformats.org/officeDocument/2006/relationships/hyperlink" Target="http://mlb.mlb.com/team/player.jsp?player_id=474521" TargetMode="External"/><Relationship Id="rId81" Type="http://schemas.openxmlformats.org/officeDocument/2006/relationships/hyperlink" Target="http://mlb.mlb.com/team/player.jsp?player_id=582494" TargetMode="External"/><Relationship Id="rId135" Type="http://schemas.openxmlformats.org/officeDocument/2006/relationships/hyperlink" Target="http://mlb.mlb.com/team/player.jsp?player_id=518858" TargetMode="External"/><Relationship Id="rId177" Type="http://schemas.openxmlformats.org/officeDocument/2006/relationships/hyperlink" Target="http://mlb.mlb.com/team/player.jsp?player_id=592330" TargetMode="External"/><Relationship Id="rId342" Type="http://schemas.openxmlformats.org/officeDocument/2006/relationships/hyperlink" Target="http://mlb.mlb.com/team/player.jsp?player_id=518716" TargetMode="External"/><Relationship Id="rId384" Type="http://schemas.openxmlformats.org/officeDocument/2006/relationships/hyperlink" Target="http://mlb.mlb.com/team/player.jsp?player_id=592091" TargetMode="External"/><Relationship Id="rId591" Type="http://schemas.openxmlformats.org/officeDocument/2006/relationships/hyperlink" Target="http://mlb.mlb.com/team/player.jsp?player_id=452666" TargetMode="External"/><Relationship Id="rId605" Type="http://schemas.openxmlformats.org/officeDocument/2006/relationships/hyperlink" Target="http://mlb.mlb.com/team/player.jsp?player_id=407908" TargetMode="External"/><Relationship Id="rId787" Type="http://schemas.openxmlformats.org/officeDocument/2006/relationships/hyperlink" Target="http://mlb.mlb.com/team/player.jsp?player_id=434538" TargetMode="External"/><Relationship Id="rId812" Type="http://schemas.openxmlformats.org/officeDocument/2006/relationships/hyperlink" Target="http://mlb.mlb.com/team/player.jsp?player_id=539438" TargetMode="External"/><Relationship Id="rId202" Type="http://schemas.openxmlformats.org/officeDocument/2006/relationships/hyperlink" Target="http://mlb.mlb.com/team/player.jsp?player_id=545333" TargetMode="External"/><Relationship Id="rId244" Type="http://schemas.openxmlformats.org/officeDocument/2006/relationships/hyperlink" Target="http://mlb.mlb.com/team/player.jsp?player_id=594986" TargetMode="External"/><Relationship Id="rId647" Type="http://schemas.openxmlformats.org/officeDocument/2006/relationships/hyperlink" Target="http://mlb.mlb.com/team/player.jsp?player_id=501697" TargetMode="External"/><Relationship Id="rId689" Type="http://schemas.openxmlformats.org/officeDocument/2006/relationships/hyperlink" Target="http://mlb.mlb.com/team/player.jsp?player_id=544993" TargetMode="External"/><Relationship Id="rId39" Type="http://schemas.openxmlformats.org/officeDocument/2006/relationships/hyperlink" Target="http://mlb.mlb.com/team/player.jsp?player_id=543118" TargetMode="External"/><Relationship Id="rId286" Type="http://schemas.openxmlformats.org/officeDocument/2006/relationships/hyperlink" Target="http://mlb.mlb.com/team/player.jsp?player_id=444857" TargetMode="External"/><Relationship Id="rId451" Type="http://schemas.openxmlformats.org/officeDocument/2006/relationships/hyperlink" Target="http://mlb.mlb.com/team/player.jsp?player_id=543507" TargetMode="External"/><Relationship Id="rId493" Type="http://schemas.openxmlformats.org/officeDocument/2006/relationships/hyperlink" Target="http://mlb.mlb.com/team/player.jsp?player_id=592127" TargetMode="External"/><Relationship Id="rId507" Type="http://schemas.openxmlformats.org/officeDocument/2006/relationships/hyperlink" Target="http://mlb.mlb.com/team/player.jsp?player_id=570666" TargetMode="External"/><Relationship Id="rId549" Type="http://schemas.openxmlformats.org/officeDocument/2006/relationships/hyperlink" Target="http://mlb.mlb.com/team/player.jsp?player_id=605525" TargetMode="External"/><Relationship Id="rId714" Type="http://schemas.openxmlformats.org/officeDocument/2006/relationships/hyperlink" Target="http://mlb.mlb.com/team/player.jsp?player_id=474521" TargetMode="External"/><Relationship Id="rId756" Type="http://schemas.openxmlformats.org/officeDocument/2006/relationships/hyperlink" Target="http://mlb.mlb.com/team/player.jsp?player_id=276542" TargetMode="External"/><Relationship Id="rId50" Type="http://schemas.openxmlformats.org/officeDocument/2006/relationships/hyperlink" Target="http://mlb.mlb.com/team/player.jsp?player_id=446185" TargetMode="External"/><Relationship Id="rId104" Type="http://schemas.openxmlformats.org/officeDocument/2006/relationships/hyperlink" Target="http://mlb.mlb.com/team/player.jsp?player_id=572990" TargetMode="External"/><Relationship Id="rId146" Type="http://schemas.openxmlformats.org/officeDocument/2006/relationships/hyperlink" Target="http://mlb.mlb.com/team/player.jsp?player_id=502593" TargetMode="External"/><Relationship Id="rId188" Type="http://schemas.openxmlformats.org/officeDocument/2006/relationships/hyperlink" Target="http://mlb.mlb.com/team/player.jsp?player_id=519096" TargetMode="External"/><Relationship Id="rId311" Type="http://schemas.openxmlformats.org/officeDocument/2006/relationships/hyperlink" Target="http://mlb.mlb.com/team/player.jsp?player_id=543169" TargetMode="External"/><Relationship Id="rId353" Type="http://schemas.openxmlformats.org/officeDocument/2006/relationships/hyperlink" Target="http://mlb.mlb.com/team/player.jsp?player_id=500724" TargetMode="External"/><Relationship Id="rId395" Type="http://schemas.openxmlformats.org/officeDocument/2006/relationships/hyperlink" Target="http://mlb.mlb.com/team/player.jsp?player_id=477569" TargetMode="External"/><Relationship Id="rId409" Type="http://schemas.openxmlformats.org/officeDocument/2006/relationships/hyperlink" Target="http://mlb.mlb.com/team/player.jsp?player_id=500871" TargetMode="External"/><Relationship Id="rId560" Type="http://schemas.openxmlformats.org/officeDocument/2006/relationships/hyperlink" Target="http://mlb.mlb.com/team/player.jsp?player_id=425492" TargetMode="External"/><Relationship Id="rId798" Type="http://schemas.openxmlformats.org/officeDocument/2006/relationships/hyperlink" Target="http://mlb.mlb.com/team/player.jsp?player_id=573186" TargetMode="External"/><Relationship Id="rId92" Type="http://schemas.openxmlformats.org/officeDocument/2006/relationships/hyperlink" Target="http://mlb.mlb.com/team/player.jsp?player_id=456034" TargetMode="External"/><Relationship Id="rId213" Type="http://schemas.openxmlformats.org/officeDocument/2006/relationships/hyperlink" Target="http://mlb.mlb.com/team/player.jsp?player_id=460269" TargetMode="External"/><Relationship Id="rId420" Type="http://schemas.openxmlformats.org/officeDocument/2006/relationships/hyperlink" Target="http://mlb.mlb.com/team/player.jsp?player_id=502043" TargetMode="External"/><Relationship Id="rId616" Type="http://schemas.openxmlformats.org/officeDocument/2006/relationships/hyperlink" Target="http://mlb.mlb.com/team/player.jsp?player_id=543557" TargetMode="External"/><Relationship Id="rId658" Type="http://schemas.openxmlformats.org/officeDocument/2006/relationships/hyperlink" Target="http://mlb.mlb.com/team/player.jsp?player_id=623439" TargetMode="External"/><Relationship Id="rId255" Type="http://schemas.openxmlformats.org/officeDocument/2006/relationships/hyperlink" Target="http://mlb.mlb.com/team/player.jsp?player_id=434671" TargetMode="External"/><Relationship Id="rId297" Type="http://schemas.openxmlformats.org/officeDocument/2006/relationships/hyperlink" Target="http://mlb.mlb.com/team/player.jsp?player_id=624586" TargetMode="External"/><Relationship Id="rId462" Type="http://schemas.openxmlformats.org/officeDocument/2006/relationships/hyperlink" Target="http://mlb.mlb.com/team/player.jsp?player_id=621244" TargetMode="External"/><Relationship Id="rId518" Type="http://schemas.openxmlformats.org/officeDocument/2006/relationships/hyperlink" Target="http://mlb.mlb.com/team/player.jsp?player_id=622663" TargetMode="External"/><Relationship Id="rId725" Type="http://schemas.openxmlformats.org/officeDocument/2006/relationships/hyperlink" Target="http://mlb.mlb.com/team/player.jsp?player_id=600917" TargetMode="External"/><Relationship Id="rId115" Type="http://schemas.openxmlformats.org/officeDocument/2006/relationships/hyperlink" Target="http://mlb.mlb.com/team/player.jsp?player_id=456068" TargetMode="External"/><Relationship Id="rId157" Type="http://schemas.openxmlformats.org/officeDocument/2006/relationships/hyperlink" Target="http://mlb.mlb.com/team/player.jsp?player_id=608334" TargetMode="External"/><Relationship Id="rId322" Type="http://schemas.openxmlformats.org/officeDocument/2006/relationships/hyperlink" Target="http://mlb.mlb.com/team/player.jsp?player_id=450172" TargetMode="External"/><Relationship Id="rId364" Type="http://schemas.openxmlformats.org/officeDocument/2006/relationships/hyperlink" Target="http://mlb.mlb.com/team/player.jsp?player_id=573046" TargetMode="External"/><Relationship Id="rId767" Type="http://schemas.openxmlformats.org/officeDocument/2006/relationships/hyperlink" Target="http://mlb.mlb.com/team/player.jsp?player_id=425856" TargetMode="External"/><Relationship Id="rId61" Type="http://schemas.openxmlformats.org/officeDocument/2006/relationships/hyperlink" Target="http://mlb.mlb.com/team/player.jsp?player_id=543726" TargetMode="External"/><Relationship Id="rId199" Type="http://schemas.openxmlformats.org/officeDocument/2006/relationships/hyperlink" Target="http://mlb.mlb.com/team/player.jsp?player_id=502083" TargetMode="External"/><Relationship Id="rId571" Type="http://schemas.openxmlformats.org/officeDocument/2006/relationships/hyperlink" Target="http://mlb.mlb.com/team/player.jsp?player_id=605135" TargetMode="External"/><Relationship Id="rId627" Type="http://schemas.openxmlformats.org/officeDocument/2006/relationships/hyperlink" Target="http://mlb.mlb.com/team/player.jsp?player_id=433587" TargetMode="External"/><Relationship Id="rId669" Type="http://schemas.openxmlformats.org/officeDocument/2006/relationships/hyperlink" Target="http://mlb.mlb.com/team/player.jsp?player_id=476123" TargetMode="External"/><Relationship Id="rId19" Type="http://schemas.openxmlformats.org/officeDocument/2006/relationships/hyperlink" Target="http://mlb.mlb.com/team/player.jsp?player_id=572208" TargetMode="External"/><Relationship Id="rId224" Type="http://schemas.openxmlformats.org/officeDocument/2006/relationships/hyperlink" Target="http://mlb.mlb.com/team/player.jsp?player_id=543278" TargetMode="External"/><Relationship Id="rId266" Type="http://schemas.openxmlformats.org/officeDocument/2006/relationships/hyperlink" Target="http://mlb.mlb.com/team/player.jsp?player_id=502381" TargetMode="External"/><Relationship Id="rId431" Type="http://schemas.openxmlformats.org/officeDocument/2006/relationships/hyperlink" Target="http://mlb.mlb.com/team/player.jsp?player_id=606167" TargetMode="External"/><Relationship Id="rId473" Type="http://schemas.openxmlformats.org/officeDocument/2006/relationships/hyperlink" Target="http://mlb.mlb.com/team/player.jsp?player_id=476454" TargetMode="External"/><Relationship Id="rId529" Type="http://schemas.openxmlformats.org/officeDocument/2006/relationships/hyperlink" Target="http://mlb.mlb.com/team/player.jsp?player_id=623430" TargetMode="External"/><Relationship Id="rId680" Type="http://schemas.openxmlformats.org/officeDocument/2006/relationships/hyperlink" Target="http://mlb.mlb.com/team/player.jsp?player_id=502042" TargetMode="External"/><Relationship Id="rId736" Type="http://schemas.openxmlformats.org/officeDocument/2006/relationships/hyperlink" Target="http://mlb.mlb.com/team/player.jsp?player_id=527048" TargetMode="External"/><Relationship Id="rId30" Type="http://schemas.openxmlformats.org/officeDocument/2006/relationships/hyperlink" Target="http://mlb.mlb.com/team/player.jsp?player_id=502154" TargetMode="External"/><Relationship Id="rId126" Type="http://schemas.openxmlformats.org/officeDocument/2006/relationships/hyperlink" Target="http://mlb.mlb.com/team/player.jsp?player_id=605304" TargetMode="External"/><Relationship Id="rId168" Type="http://schemas.openxmlformats.org/officeDocument/2006/relationships/hyperlink" Target="http://mlb.mlb.com/team/player.jsp?player_id=446372" TargetMode="External"/><Relationship Id="rId333" Type="http://schemas.openxmlformats.org/officeDocument/2006/relationships/hyperlink" Target="http://mlb.mlb.com/team/player.jsp?player_id=516969" TargetMode="External"/><Relationship Id="rId540" Type="http://schemas.openxmlformats.org/officeDocument/2006/relationships/hyperlink" Target="http://mlb.mlb.com/team/player.jsp?player_id=592811" TargetMode="External"/><Relationship Id="rId778" Type="http://schemas.openxmlformats.org/officeDocument/2006/relationships/hyperlink" Target="http://mlb.mlb.com/team/player.jsp?player_id=444857" TargetMode="External"/><Relationship Id="rId72" Type="http://schemas.openxmlformats.org/officeDocument/2006/relationships/hyperlink" Target="http://mlb.mlb.com/team/player.jsp?player_id=453329" TargetMode="External"/><Relationship Id="rId375" Type="http://schemas.openxmlformats.org/officeDocument/2006/relationships/hyperlink" Target="http://mlb.mlb.com/team/player.jsp?player_id=434718" TargetMode="External"/><Relationship Id="rId582" Type="http://schemas.openxmlformats.org/officeDocument/2006/relationships/hyperlink" Target="http://mlb.mlb.com/team/player.jsp?player_id=519267" TargetMode="External"/><Relationship Id="rId638" Type="http://schemas.openxmlformats.org/officeDocument/2006/relationships/hyperlink" Target="http://mlb.mlb.com/team/player.jsp?player_id=519381" TargetMode="External"/><Relationship Id="rId803" Type="http://schemas.openxmlformats.org/officeDocument/2006/relationships/hyperlink" Target="http://mlb.mlb.com/team/player.jsp?player_id=519381" TargetMode="External"/><Relationship Id="rId3" Type="http://schemas.openxmlformats.org/officeDocument/2006/relationships/hyperlink" Target="http://mlb.mlb.com/team/player.jsp?player_id=502154" TargetMode="External"/><Relationship Id="rId235" Type="http://schemas.openxmlformats.org/officeDocument/2006/relationships/hyperlink" Target="http://mlb.mlb.com/team/player.jsp?player_id=450275" TargetMode="External"/><Relationship Id="rId277" Type="http://schemas.openxmlformats.org/officeDocument/2006/relationships/hyperlink" Target="http://mlb.mlb.com/team/player.jsp?player_id=448609" TargetMode="External"/><Relationship Id="rId400" Type="http://schemas.openxmlformats.org/officeDocument/2006/relationships/hyperlink" Target="http://mlb.mlb.com/team/player.jsp?player_id=657670" TargetMode="External"/><Relationship Id="rId442" Type="http://schemas.openxmlformats.org/officeDocument/2006/relationships/hyperlink" Target="http://mlb.mlb.com/team/player.jsp?player_id=519151" TargetMode="External"/><Relationship Id="rId484" Type="http://schemas.openxmlformats.org/officeDocument/2006/relationships/hyperlink" Target="http://mlb.mlb.com/team/player.jsp?player_id=453284" TargetMode="External"/><Relationship Id="rId705" Type="http://schemas.openxmlformats.org/officeDocument/2006/relationships/hyperlink" Target="http://mlb.mlb.com/team/player.jsp?player_id=527048" TargetMode="External"/><Relationship Id="rId137" Type="http://schemas.openxmlformats.org/officeDocument/2006/relationships/hyperlink" Target="http://mlb.mlb.com/team/player.jsp?player_id=435043" TargetMode="External"/><Relationship Id="rId302" Type="http://schemas.openxmlformats.org/officeDocument/2006/relationships/hyperlink" Target="http://mlb.mlb.com/team/player.jsp?player_id=451661" TargetMode="External"/><Relationship Id="rId344" Type="http://schemas.openxmlformats.org/officeDocument/2006/relationships/hyperlink" Target="http://mlb.mlb.com/team/player.jsp?player_id=432934" TargetMode="External"/><Relationship Id="rId691" Type="http://schemas.openxmlformats.org/officeDocument/2006/relationships/hyperlink" Target="http://mlb.mlb.com/team/player.jsp?player_id=502171" TargetMode="External"/><Relationship Id="rId747" Type="http://schemas.openxmlformats.org/officeDocument/2006/relationships/hyperlink" Target="http://mlb.mlb.com/team/player.jsp?player_id=592346" TargetMode="External"/><Relationship Id="rId789" Type="http://schemas.openxmlformats.org/officeDocument/2006/relationships/hyperlink" Target="http://mlb.mlb.com/team/player.jsp?player_id=592717" TargetMode="External"/><Relationship Id="rId41" Type="http://schemas.openxmlformats.org/officeDocument/2006/relationships/hyperlink" Target="http://mlb.mlb.com/team/player.jsp?player_id=488846" TargetMode="External"/><Relationship Id="rId83" Type="http://schemas.openxmlformats.org/officeDocument/2006/relationships/hyperlink" Target="http://mlb.mlb.com/team/player.jsp?player_id=446899" TargetMode="External"/><Relationship Id="rId179" Type="http://schemas.openxmlformats.org/officeDocument/2006/relationships/hyperlink" Target="http://mlb.mlb.com/team/player.jsp?player_id=605182" TargetMode="External"/><Relationship Id="rId386" Type="http://schemas.openxmlformats.org/officeDocument/2006/relationships/hyperlink" Target="http://mlb.mlb.com/team/player.jsp?player_id=500610" TargetMode="External"/><Relationship Id="rId551" Type="http://schemas.openxmlformats.org/officeDocument/2006/relationships/hyperlink" Target="http://mlb.mlb.com/team/player.jsp?player_id=592614" TargetMode="External"/><Relationship Id="rId593" Type="http://schemas.openxmlformats.org/officeDocument/2006/relationships/hyperlink" Target="http://mlb.mlb.com/team/player.jsp?player_id=543883" TargetMode="External"/><Relationship Id="rId607" Type="http://schemas.openxmlformats.org/officeDocument/2006/relationships/hyperlink" Target="http://mlb.mlb.com/team/player.jsp?player_id=543716" TargetMode="External"/><Relationship Id="rId649" Type="http://schemas.openxmlformats.org/officeDocument/2006/relationships/hyperlink" Target="http://mlb.mlb.com/team/player.jsp?player_id=543144" TargetMode="External"/><Relationship Id="rId190" Type="http://schemas.openxmlformats.org/officeDocument/2006/relationships/hyperlink" Target="http://mlb.mlb.com/team/player.jsp?player_id=607320" TargetMode="External"/><Relationship Id="rId204" Type="http://schemas.openxmlformats.org/officeDocument/2006/relationships/hyperlink" Target="http://mlb.mlb.com/team/player.jsp?player_id=592330" TargetMode="External"/><Relationship Id="rId246" Type="http://schemas.openxmlformats.org/officeDocument/2006/relationships/hyperlink" Target="http://mlb.mlb.com/team/player.jsp?player_id=596057" TargetMode="External"/><Relationship Id="rId288" Type="http://schemas.openxmlformats.org/officeDocument/2006/relationships/hyperlink" Target="http://mlb.mlb.com/team/player.jsp?player_id=621121" TargetMode="External"/><Relationship Id="rId411" Type="http://schemas.openxmlformats.org/officeDocument/2006/relationships/hyperlink" Target="http://mlb.mlb.com/team/player.jsp?player_id=445213" TargetMode="External"/><Relationship Id="rId453" Type="http://schemas.openxmlformats.org/officeDocument/2006/relationships/hyperlink" Target="http://mlb.mlb.com/team/player.jsp?player_id=543548" TargetMode="External"/><Relationship Id="rId509" Type="http://schemas.openxmlformats.org/officeDocument/2006/relationships/hyperlink" Target="http://mlb.mlb.com/team/player.jsp?player_id=643338" TargetMode="External"/><Relationship Id="rId660" Type="http://schemas.openxmlformats.org/officeDocument/2006/relationships/hyperlink" Target="http://mlb.mlb.com/team/player.jsp?player_id=502202" TargetMode="External"/><Relationship Id="rId106" Type="http://schemas.openxmlformats.org/officeDocument/2006/relationships/hyperlink" Target="http://mlb.mlb.com/team/player.jsp?player_id=543359" TargetMode="External"/><Relationship Id="rId313" Type="http://schemas.openxmlformats.org/officeDocument/2006/relationships/hyperlink" Target="http://mlb.mlb.com/team/player.jsp?player_id=518397" TargetMode="External"/><Relationship Id="rId495" Type="http://schemas.openxmlformats.org/officeDocument/2006/relationships/hyperlink" Target="http://mlb.mlb.com/team/player.jsp?player_id=572038" TargetMode="External"/><Relationship Id="rId716" Type="http://schemas.openxmlformats.org/officeDocument/2006/relationships/hyperlink" Target="http://mlb.mlb.com/team/player.jsp?player_id=592346" TargetMode="External"/><Relationship Id="rId758" Type="http://schemas.openxmlformats.org/officeDocument/2006/relationships/hyperlink" Target="http://mlb.mlb.com/team/player.jsp?player_id=434538" TargetMode="External"/><Relationship Id="rId10" Type="http://schemas.openxmlformats.org/officeDocument/2006/relationships/hyperlink" Target="http://mlb.mlb.com/team/player.jsp?player_id=501957" TargetMode="External"/><Relationship Id="rId52" Type="http://schemas.openxmlformats.org/officeDocument/2006/relationships/hyperlink" Target="http://mlb.mlb.com/team/player.jsp?player_id=592170" TargetMode="External"/><Relationship Id="rId94" Type="http://schemas.openxmlformats.org/officeDocument/2006/relationships/hyperlink" Target="http://mlb.mlb.com/team/player.jsp?player_id=547749" TargetMode="External"/><Relationship Id="rId148" Type="http://schemas.openxmlformats.org/officeDocument/2006/relationships/hyperlink" Target="http://mlb.mlb.com/team/player.jsp?player_id=545357" TargetMode="External"/><Relationship Id="rId355" Type="http://schemas.openxmlformats.org/officeDocument/2006/relationships/hyperlink" Target="http://mlb.mlb.com/team/player.jsp?player_id=445060" TargetMode="External"/><Relationship Id="rId397" Type="http://schemas.openxmlformats.org/officeDocument/2006/relationships/hyperlink" Target="http://mlb.mlb.com/team/player.jsp?player_id=543542" TargetMode="External"/><Relationship Id="rId520" Type="http://schemas.openxmlformats.org/officeDocument/2006/relationships/hyperlink" Target="http://mlb.mlb.com/team/player.jsp?player_id=621294" TargetMode="External"/><Relationship Id="rId562" Type="http://schemas.openxmlformats.org/officeDocument/2006/relationships/hyperlink" Target="http://mlb.mlb.com/team/player.jsp?player_id=640455" TargetMode="External"/><Relationship Id="rId618" Type="http://schemas.openxmlformats.org/officeDocument/2006/relationships/hyperlink" Target="http://mlb.mlb.com/team/player.jsp?player_id=518553" TargetMode="External"/><Relationship Id="rId215" Type="http://schemas.openxmlformats.org/officeDocument/2006/relationships/hyperlink" Target="http://mlb.mlb.com/team/player.jsp?player_id=461865" TargetMode="External"/><Relationship Id="rId257" Type="http://schemas.openxmlformats.org/officeDocument/2006/relationships/hyperlink" Target="http://mlb.mlb.com/team/player.jsp?player_id=572403" TargetMode="External"/><Relationship Id="rId422" Type="http://schemas.openxmlformats.org/officeDocument/2006/relationships/hyperlink" Target="http://mlb.mlb.com/team/player.jsp?player_id=543507" TargetMode="External"/><Relationship Id="rId464" Type="http://schemas.openxmlformats.org/officeDocument/2006/relationships/hyperlink" Target="http://mlb.mlb.com/team/player.jsp?player_id=450282" TargetMode="External"/><Relationship Id="rId299" Type="http://schemas.openxmlformats.org/officeDocument/2006/relationships/hyperlink" Target="http://mlb.mlb.com/team/player.jsp?player_id=450729" TargetMode="External"/><Relationship Id="rId727" Type="http://schemas.openxmlformats.org/officeDocument/2006/relationships/hyperlink" Target="http://mlb.mlb.com/team/player.jsp?player_id=473879" TargetMode="External"/><Relationship Id="rId63" Type="http://schemas.openxmlformats.org/officeDocument/2006/relationships/hyperlink" Target="http://mlb.mlb.com/team/player.jsp?player_id=518886" TargetMode="External"/><Relationship Id="rId159" Type="http://schemas.openxmlformats.org/officeDocument/2006/relationships/hyperlink" Target="http://mlb.mlb.com/team/player.jsp?player_id=641501" TargetMode="External"/><Relationship Id="rId366" Type="http://schemas.openxmlformats.org/officeDocument/2006/relationships/hyperlink" Target="http://mlb.mlb.com/team/player.jsp?player_id=456379" TargetMode="External"/><Relationship Id="rId573" Type="http://schemas.openxmlformats.org/officeDocument/2006/relationships/hyperlink" Target="http://mlb.mlb.com/team/player.jsp?player_id=596043" TargetMode="External"/><Relationship Id="rId780" Type="http://schemas.openxmlformats.org/officeDocument/2006/relationships/hyperlink" Target="http://mlb.mlb.com/team/player.jsp?player_id=462985" TargetMode="External"/><Relationship Id="rId226" Type="http://schemas.openxmlformats.org/officeDocument/2006/relationships/hyperlink" Target="http://mlb.mlb.com/team/player.jsp?player_id=451783" TargetMode="External"/><Relationship Id="rId433" Type="http://schemas.openxmlformats.org/officeDocument/2006/relationships/hyperlink" Target="http://mlb.mlb.com/team/player.jsp?player_id=621244" TargetMode="External"/><Relationship Id="rId640" Type="http://schemas.openxmlformats.org/officeDocument/2006/relationships/hyperlink" Target="http://mlb.mlb.com/team/player.jsp?player_id=592716" TargetMode="External"/><Relationship Id="rId738" Type="http://schemas.openxmlformats.org/officeDocument/2006/relationships/hyperlink" Target="http://mlb.mlb.com/team/player.jsp?player_id=456167" TargetMode="External"/><Relationship Id="rId74" Type="http://schemas.openxmlformats.org/officeDocument/2006/relationships/hyperlink" Target="http://mlb.mlb.com/team/player.jsp?player_id=598287" TargetMode="External"/><Relationship Id="rId377" Type="http://schemas.openxmlformats.org/officeDocument/2006/relationships/hyperlink" Target="http://mlb.mlb.com/team/player.jsp?player_id=453311" TargetMode="External"/><Relationship Id="rId500" Type="http://schemas.openxmlformats.org/officeDocument/2006/relationships/hyperlink" Target="http://mlb.mlb.com/team/player.jsp?player_id=571969" TargetMode="External"/><Relationship Id="rId584" Type="http://schemas.openxmlformats.org/officeDocument/2006/relationships/hyperlink" Target="http://mlb.mlb.com/team/player.jsp?player_id=543557" TargetMode="External"/><Relationship Id="rId805" Type="http://schemas.openxmlformats.org/officeDocument/2006/relationships/hyperlink" Target="http://mlb.mlb.com/team/player.jsp?player_id=519322" TargetMode="External"/><Relationship Id="rId5" Type="http://schemas.openxmlformats.org/officeDocument/2006/relationships/hyperlink" Target="http://mlb.mlb.com/team/player.jsp?player_id=488984" TargetMode="External"/><Relationship Id="rId237" Type="http://schemas.openxmlformats.org/officeDocument/2006/relationships/hyperlink" Target="http://mlb.mlb.com/team/player.jsp?player_id=573009" TargetMode="External"/><Relationship Id="rId791" Type="http://schemas.openxmlformats.org/officeDocument/2006/relationships/hyperlink" Target="http://mlb.mlb.com/team/player.jsp?player_id=457918" TargetMode="External"/><Relationship Id="rId444" Type="http://schemas.openxmlformats.org/officeDocument/2006/relationships/hyperlink" Target="http://mlb.mlb.com/team/player.jsp?player_id=573124" TargetMode="External"/><Relationship Id="rId651" Type="http://schemas.openxmlformats.org/officeDocument/2006/relationships/hyperlink" Target="http://mlb.mlb.com/team/player.jsp?player_id=543606" TargetMode="External"/><Relationship Id="rId749" Type="http://schemas.openxmlformats.org/officeDocument/2006/relationships/hyperlink" Target="http://mlb.mlb.com/team/player.jsp?player_id=452666" TargetMode="External"/><Relationship Id="rId290" Type="http://schemas.openxmlformats.org/officeDocument/2006/relationships/hyperlink" Target="http://mlb.mlb.com/team/player.jsp?player_id=594311" TargetMode="External"/><Relationship Id="rId304" Type="http://schemas.openxmlformats.org/officeDocument/2006/relationships/hyperlink" Target="http://mlb.mlb.com/team/player.jsp?player_id=456124" TargetMode="External"/><Relationship Id="rId388" Type="http://schemas.openxmlformats.org/officeDocument/2006/relationships/hyperlink" Target="http://mlb.mlb.com/team/player.jsp?player_id=607374" TargetMode="External"/><Relationship Id="rId511" Type="http://schemas.openxmlformats.org/officeDocument/2006/relationships/hyperlink" Target="http://mlb.mlb.com/team/player.jsp?player_id=501381" TargetMode="External"/><Relationship Id="rId609" Type="http://schemas.openxmlformats.org/officeDocument/2006/relationships/hyperlink" Target="http://mlb.mlb.com/team/player.jsp?player_id=543698"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hyperlink" Target="http://mlb.mlb.com/team/player.jsp?player_id=468504" TargetMode="External"/><Relationship Id="rId671" Type="http://schemas.openxmlformats.org/officeDocument/2006/relationships/hyperlink" Target="http://mlb.mlb.com/team/player.jsp?player_id=453344" TargetMode="External"/><Relationship Id="rId769" Type="http://schemas.openxmlformats.org/officeDocument/2006/relationships/hyperlink" Target="http://mlb.mlb.com/team/player.jsp?player_id=493200" TargetMode="External"/><Relationship Id="rId21" Type="http://schemas.openxmlformats.org/officeDocument/2006/relationships/hyperlink" Target="http://mlb.mlb.com/team/player.jsp?player_id=608678" TargetMode="External"/><Relationship Id="rId324" Type="http://schemas.openxmlformats.org/officeDocument/2006/relationships/hyperlink" Target="http://mlb.mlb.com/team/player.jsp?player_id=547943" TargetMode="External"/><Relationship Id="rId531" Type="http://schemas.openxmlformats.org/officeDocument/2006/relationships/hyperlink" Target="http://mlb.mlb.com/team/player.jsp?player_id=542587" TargetMode="External"/><Relationship Id="rId629" Type="http://schemas.openxmlformats.org/officeDocument/2006/relationships/hyperlink" Target="http://mlb.mlb.com/team/player.jsp?player_id=571800" TargetMode="External"/><Relationship Id="rId170" Type="http://schemas.openxmlformats.org/officeDocument/2006/relationships/hyperlink" Target="http://mlb.mlb.com/team/player.jsp?player_id=434628" TargetMode="External"/><Relationship Id="rId836" Type="http://schemas.openxmlformats.org/officeDocument/2006/relationships/hyperlink" Target="http://mlb.mlb.com/team/player.jsp?player_id=608337" TargetMode="External"/><Relationship Id="rId268" Type="http://schemas.openxmlformats.org/officeDocument/2006/relationships/hyperlink" Target="http://mlb.mlb.com/team/player.jsp?player_id=456071" TargetMode="External"/><Relationship Id="rId475" Type="http://schemas.openxmlformats.org/officeDocument/2006/relationships/hyperlink" Target="http://mlb.mlb.com/team/player.jsp?player_id=607229" TargetMode="External"/><Relationship Id="rId682" Type="http://schemas.openxmlformats.org/officeDocument/2006/relationships/hyperlink" Target="http://mlb.mlb.com/team/player.jsp?player_id=594027" TargetMode="External"/><Relationship Id="rId32" Type="http://schemas.openxmlformats.org/officeDocument/2006/relationships/hyperlink" Target="http://mlb.mlb.com/team/player.jsp?player_id=501936" TargetMode="External"/><Relationship Id="rId128" Type="http://schemas.openxmlformats.org/officeDocument/2006/relationships/hyperlink" Target="http://mlb.mlb.com/team/player.jsp?player_id=592422" TargetMode="External"/><Relationship Id="rId335" Type="http://schemas.openxmlformats.org/officeDocument/2006/relationships/hyperlink" Target="http://mlb.mlb.com/team/player.jsp?player_id=501593" TargetMode="External"/><Relationship Id="rId542" Type="http://schemas.openxmlformats.org/officeDocument/2006/relationships/hyperlink" Target="http://mlb.mlb.com/team/player.jsp?player_id=460701" TargetMode="External"/><Relationship Id="rId181" Type="http://schemas.openxmlformats.org/officeDocument/2006/relationships/hyperlink" Target="http://mlb.mlb.com/team/player.jsp?player_id=534627" TargetMode="External"/><Relationship Id="rId402" Type="http://schemas.openxmlformats.org/officeDocument/2006/relationships/hyperlink" Target="http://mlb.mlb.com/team/player.jsp?player_id=444520" TargetMode="External"/><Relationship Id="rId279" Type="http://schemas.openxmlformats.org/officeDocument/2006/relationships/hyperlink" Target="http://mlb.mlb.com/team/player.jsp?player_id=435400" TargetMode="External"/><Relationship Id="rId486" Type="http://schemas.openxmlformats.org/officeDocument/2006/relationships/hyperlink" Target="http://mlb.mlb.com/team/player.jsp?player_id=519294" TargetMode="External"/><Relationship Id="rId693" Type="http://schemas.openxmlformats.org/officeDocument/2006/relationships/hyperlink" Target="http://mlb.mlb.com/team/player.jsp?player_id=429719" TargetMode="External"/><Relationship Id="rId707" Type="http://schemas.openxmlformats.org/officeDocument/2006/relationships/hyperlink" Target="http://mlb.mlb.com/team/player.jsp?player_id=519326" TargetMode="External"/><Relationship Id="rId43" Type="http://schemas.openxmlformats.org/officeDocument/2006/relationships/hyperlink" Target="http://mlb.mlb.com/team/player.jsp?player_id=643355" TargetMode="External"/><Relationship Id="rId139" Type="http://schemas.openxmlformats.org/officeDocument/2006/relationships/hyperlink" Target="http://mlb.mlb.com/team/player.jsp?player_id=475243" TargetMode="External"/><Relationship Id="rId346" Type="http://schemas.openxmlformats.org/officeDocument/2006/relationships/hyperlink" Target="http://mlb.mlb.com/team/player.jsp?player_id=488786" TargetMode="External"/><Relationship Id="rId553" Type="http://schemas.openxmlformats.org/officeDocument/2006/relationships/hyperlink" Target="http://mlb.mlb.com/team/player.jsp?player_id=450203" TargetMode="External"/><Relationship Id="rId760" Type="http://schemas.openxmlformats.org/officeDocument/2006/relationships/hyperlink" Target="http://mlb.mlb.com/team/player.jsp?player_id=502190" TargetMode="External"/><Relationship Id="rId192" Type="http://schemas.openxmlformats.org/officeDocument/2006/relationships/hyperlink" Target="http://mlb.mlb.com/team/player.jsp?player_id=456027" TargetMode="External"/><Relationship Id="rId206" Type="http://schemas.openxmlformats.org/officeDocument/2006/relationships/hyperlink" Target="http://mlb.mlb.com/team/player.jsp?player_id=593974" TargetMode="External"/><Relationship Id="rId413" Type="http://schemas.openxmlformats.org/officeDocument/2006/relationships/hyperlink" Target="http://mlb.mlb.com/team/player.jsp?player_id=592169" TargetMode="External"/><Relationship Id="rId497" Type="http://schemas.openxmlformats.org/officeDocument/2006/relationships/hyperlink" Target="http://mlb.mlb.com/team/player.jsp?player_id=607229" TargetMode="External"/><Relationship Id="rId620" Type="http://schemas.openxmlformats.org/officeDocument/2006/relationships/hyperlink" Target="http://mlb.mlb.com/team/player.jsp?player_id=641771" TargetMode="External"/><Relationship Id="rId718" Type="http://schemas.openxmlformats.org/officeDocument/2006/relationships/hyperlink" Target="http://mlb.mlb.com/team/player.jsp?player_id=430912" TargetMode="External"/><Relationship Id="rId357" Type="http://schemas.openxmlformats.org/officeDocument/2006/relationships/hyperlink" Target="http://mlb.mlb.com/team/player.jsp?player_id=572309" TargetMode="External"/><Relationship Id="rId54" Type="http://schemas.openxmlformats.org/officeDocument/2006/relationships/hyperlink" Target="http://mlb.mlb.com/team/player.jsp?player_id=546276" TargetMode="External"/><Relationship Id="rId217" Type="http://schemas.openxmlformats.org/officeDocument/2006/relationships/hyperlink" Target="http://mlb.mlb.com/team/player.jsp?player_id=543101" TargetMode="External"/><Relationship Id="rId564" Type="http://schemas.openxmlformats.org/officeDocument/2006/relationships/hyperlink" Target="http://mlb.mlb.com/team/player.jsp?player_id=457732" TargetMode="External"/><Relationship Id="rId771" Type="http://schemas.openxmlformats.org/officeDocument/2006/relationships/hyperlink" Target="http://mlb.mlb.com/team/player.jsp?player_id=462515" TargetMode="External"/><Relationship Id="rId259" Type="http://schemas.openxmlformats.org/officeDocument/2006/relationships/hyperlink" Target="http://mlb.mlb.com/team/player.jsp?player_id=542674" TargetMode="External"/><Relationship Id="rId424" Type="http://schemas.openxmlformats.org/officeDocument/2006/relationships/hyperlink" Target="http://mlb.mlb.com/team/player.jsp?player_id=448855" TargetMode="External"/><Relationship Id="rId466" Type="http://schemas.openxmlformats.org/officeDocument/2006/relationships/hyperlink" Target="http://mlb.mlb.com/team/player.jsp?player_id=543380" TargetMode="External"/><Relationship Id="rId631" Type="http://schemas.openxmlformats.org/officeDocument/2006/relationships/hyperlink" Target="http://mlb.mlb.com/team/player.jsp?player_id=592866" TargetMode="External"/><Relationship Id="rId673" Type="http://schemas.openxmlformats.org/officeDocument/2006/relationships/hyperlink" Target="http://mlb.mlb.com/team/player.jsp?player_id=453385" TargetMode="External"/><Relationship Id="rId729" Type="http://schemas.openxmlformats.org/officeDocument/2006/relationships/hyperlink" Target="http://mlb.mlb.com/team/player.jsp?player_id=456501" TargetMode="External"/><Relationship Id="rId23" Type="http://schemas.openxmlformats.org/officeDocument/2006/relationships/hyperlink" Target="http://mlb.mlb.com/team/player.jsp?player_id=605177" TargetMode="External"/><Relationship Id="rId119" Type="http://schemas.openxmlformats.org/officeDocument/2006/relationships/hyperlink" Target="http://mlb.mlb.com/team/player.jsp?player_id=543901" TargetMode="External"/><Relationship Id="rId270" Type="http://schemas.openxmlformats.org/officeDocument/2006/relationships/hyperlink" Target="http://mlb.mlb.com/team/player.jsp?player_id=493603" TargetMode="External"/><Relationship Id="rId326" Type="http://schemas.openxmlformats.org/officeDocument/2006/relationships/hyperlink" Target="http://mlb.mlb.com/team/player.jsp?player_id=516910" TargetMode="External"/><Relationship Id="rId533" Type="http://schemas.openxmlformats.org/officeDocument/2006/relationships/hyperlink" Target="http://mlb.mlb.com/team/player.jsp?player_id=622097" TargetMode="External"/><Relationship Id="rId65" Type="http://schemas.openxmlformats.org/officeDocument/2006/relationships/hyperlink" Target="http://mlb.mlb.com/team/player.jsp?player_id=543017" TargetMode="External"/><Relationship Id="rId130" Type="http://schemas.openxmlformats.org/officeDocument/2006/relationships/hyperlink" Target="http://mlb.mlb.com/team/player.jsp?player_id=547973" TargetMode="External"/><Relationship Id="rId368" Type="http://schemas.openxmlformats.org/officeDocument/2006/relationships/hyperlink" Target="http://mlb.mlb.com/team/player.jsp?player_id=445197" TargetMode="External"/><Relationship Id="rId575" Type="http://schemas.openxmlformats.org/officeDocument/2006/relationships/hyperlink" Target="http://mlb.mlb.com/team/player.jsp?player_id=453343" TargetMode="External"/><Relationship Id="rId740" Type="http://schemas.openxmlformats.org/officeDocument/2006/relationships/hyperlink" Target="http://mlb.mlb.com/team/player.jsp?player_id=592612" TargetMode="External"/><Relationship Id="rId782" Type="http://schemas.openxmlformats.org/officeDocument/2006/relationships/hyperlink" Target="http://mlb.mlb.com/team/player.jsp?player_id=608379" TargetMode="External"/><Relationship Id="rId172" Type="http://schemas.openxmlformats.org/officeDocument/2006/relationships/hyperlink" Target="http://mlb.mlb.com/team/player.jsp?player_id=570240" TargetMode="External"/><Relationship Id="rId228" Type="http://schemas.openxmlformats.org/officeDocument/2006/relationships/hyperlink" Target="http://mlb.mlb.com/team/player.jsp?player_id=571963" TargetMode="External"/><Relationship Id="rId435" Type="http://schemas.openxmlformats.org/officeDocument/2006/relationships/hyperlink" Target="http://mlb.mlb.com/team/player.jsp?player_id=608349" TargetMode="External"/><Relationship Id="rId477" Type="http://schemas.openxmlformats.org/officeDocument/2006/relationships/hyperlink" Target="http://mlb.mlb.com/team/player.jsp?player_id=592789" TargetMode="External"/><Relationship Id="rId600" Type="http://schemas.openxmlformats.org/officeDocument/2006/relationships/hyperlink" Target="http://mlb.mlb.com/team/player.jsp?player_id=458537" TargetMode="External"/><Relationship Id="rId642" Type="http://schemas.openxmlformats.org/officeDocument/2006/relationships/hyperlink" Target="http://mlb.mlb.com/team/player.jsp?player_id=488748" TargetMode="External"/><Relationship Id="rId684" Type="http://schemas.openxmlformats.org/officeDocument/2006/relationships/hyperlink" Target="http://mlb.mlb.com/team/player.jsp?player_id=543506" TargetMode="External"/><Relationship Id="rId281" Type="http://schemas.openxmlformats.org/officeDocument/2006/relationships/hyperlink" Target="http://mlb.mlb.com/team/player.jsp?player_id=608566" TargetMode="External"/><Relationship Id="rId337" Type="http://schemas.openxmlformats.org/officeDocument/2006/relationships/hyperlink" Target="http://mlb.mlb.com/team/player.jsp?player_id=571893" TargetMode="External"/><Relationship Id="rId502" Type="http://schemas.openxmlformats.org/officeDocument/2006/relationships/hyperlink" Target="http://mlb.mlb.com/team/player.jsp?player_id=594798" TargetMode="External"/><Relationship Id="rId34" Type="http://schemas.openxmlformats.org/officeDocument/2006/relationships/hyperlink" Target="http://mlb.mlb.com/team/player.jsp?player_id=553883" TargetMode="External"/><Relationship Id="rId76" Type="http://schemas.openxmlformats.org/officeDocument/2006/relationships/hyperlink" Target="http://mlb.mlb.com/team/player.jsp?player_id=527055" TargetMode="External"/><Relationship Id="rId141" Type="http://schemas.openxmlformats.org/officeDocument/2006/relationships/hyperlink" Target="http://mlb.mlb.com/team/player.jsp?player_id=407793" TargetMode="External"/><Relationship Id="rId379" Type="http://schemas.openxmlformats.org/officeDocument/2006/relationships/hyperlink" Target="http://mlb.mlb.com/team/player.jsp?player_id=488768" TargetMode="External"/><Relationship Id="rId544" Type="http://schemas.openxmlformats.org/officeDocument/2006/relationships/hyperlink" Target="http://mlb.mlb.com/team/player.jsp?player_id=594742" TargetMode="External"/><Relationship Id="rId586" Type="http://schemas.openxmlformats.org/officeDocument/2006/relationships/hyperlink" Target="http://mlb.mlb.com/team/player.jsp?player_id=543456" TargetMode="External"/><Relationship Id="rId751" Type="http://schemas.openxmlformats.org/officeDocument/2006/relationships/hyperlink" Target="http://mlb.mlb.com/team/player.jsp?player_id=543779" TargetMode="External"/><Relationship Id="rId793" Type="http://schemas.openxmlformats.org/officeDocument/2006/relationships/hyperlink" Target="http://mlb.mlb.com/team/player.jsp?player_id=453343" TargetMode="External"/><Relationship Id="rId807" Type="http://schemas.openxmlformats.org/officeDocument/2006/relationships/hyperlink" Target="http://mlb.mlb.com/team/player.jsp?player_id=625643" TargetMode="External"/><Relationship Id="rId7" Type="http://schemas.openxmlformats.org/officeDocument/2006/relationships/hyperlink" Target="http://mlb.mlb.com/team/player.jsp?player_id=523989" TargetMode="External"/><Relationship Id="rId183" Type="http://schemas.openxmlformats.org/officeDocument/2006/relationships/hyperlink" Target="http://mlb.mlb.com/team/player.jsp?player_id=547179" TargetMode="External"/><Relationship Id="rId239" Type="http://schemas.openxmlformats.org/officeDocument/2006/relationships/hyperlink" Target="http://mlb.mlb.com/team/player.jsp?player_id=430580" TargetMode="External"/><Relationship Id="rId390" Type="http://schemas.openxmlformats.org/officeDocument/2006/relationships/hyperlink" Target="http://mlb.mlb.com/team/player.jsp?player_id=475479" TargetMode="External"/><Relationship Id="rId404" Type="http://schemas.openxmlformats.org/officeDocument/2006/relationships/hyperlink" Target="http://mlb.mlb.com/team/player.jsp?player_id=612672" TargetMode="External"/><Relationship Id="rId446" Type="http://schemas.openxmlformats.org/officeDocument/2006/relationships/hyperlink" Target="http://mlb.mlb.com/team/player.jsp?player_id=592804" TargetMode="External"/><Relationship Id="rId611" Type="http://schemas.openxmlformats.org/officeDocument/2006/relationships/hyperlink" Target="http://mlb.mlb.com/team/player.jsp?player_id=467100" TargetMode="External"/><Relationship Id="rId653" Type="http://schemas.openxmlformats.org/officeDocument/2006/relationships/hyperlink" Target="http://mlb.mlb.com/team/player.jsp?player_id=488768" TargetMode="External"/><Relationship Id="rId250" Type="http://schemas.openxmlformats.org/officeDocument/2006/relationships/hyperlink" Target="http://mlb.mlb.com/team/player.jsp?player_id=592351" TargetMode="External"/><Relationship Id="rId292" Type="http://schemas.openxmlformats.org/officeDocument/2006/relationships/hyperlink" Target="http://mlb.mlb.com/team/player.jsp?player_id=543261" TargetMode="External"/><Relationship Id="rId306" Type="http://schemas.openxmlformats.org/officeDocument/2006/relationships/hyperlink" Target="http://mlb.mlb.com/team/player.jsp?player_id=571893" TargetMode="External"/><Relationship Id="rId488" Type="http://schemas.openxmlformats.org/officeDocument/2006/relationships/hyperlink" Target="http://mlb.mlb.com/team/player.jsp?player_id=518774" TargetMode="External"/><Relationship Id="rId695" Type="http://schemas.openxmlformats.org/officeDocument/2006/relationships/hyperlink" Target="http://mlb.mlb.com/team/player.jsp?player_id=543054" TargetMode="External"/><Relationship Id="rId709" Type="http://schemas.openxmlformats.org/officeDocument/2006/relationships/hyperlink" Target="http://mlb.mlb.com/team/player.jsp?player_id=433586" TargetMode="External"/><Relationship Id="rId45" Type="http://schemas.openxmlformats.org/officeDocument/2006/relationships/hyperlink" Target="http://mlb.mlb.com/team/player.jsp?player_id=571578" TargetMode="External"/><Relationship Id="rId87" Type="http://schemas.openxmlformats.org/officeDocument/2006/relationships/hyperlink" Target="http://mlb.mlb.com/team/player.jsp?player_id=554234" TargetMode="External"/><Relationship Id="rId110" Type="http://schemas.openxmlformats.org/officeDocument/2006/relationships/hyperlink" Target="http://mlb.mlb.com/team/player.jsp?player_id=592314" TargetMode="External"/><Relationship Id="rId348" Type="http://schemas.openxmlformats.org/officeDocument/2006/relationships/hyperlink" Target="http://mlb.mlb.com/team/player.jsp?player_id=425835" TargetMode="External"/><Relationship Id="rId513" Type="http://schemas.openxmlformats.org/officeDocument/2006/relationships/hyperlink" Target="http://mlb.mlb.com/team/player.jsp?player_id=593679" TargetMode="External"/><Relationship Id="rId555" Type="http://schemas.openxmlformats.org/officeDocument/2006/relationships/hyperlink" Target="http://mlb.mlb.com/team/player.jsp?player_id=519085" TargetMode="External"/><Relationship Id="rId597" Type="http://schemas.openxmlformats.org/officeDocument/2006/relationships/hyperlink" Target="http://mlb.mlb.com/team/player.jsp?player_id=571800" TargetMode="External"/><Relationship Id="rId720" Type="http://schemas.openxmlformats.org/officeDocument/2006/relationships/hyperlink" Target="http://mlb.mlb.com/team/player.jsp?player_id=518790" TargetMode="External"/><Relationship Id="rId762" Type="http://schemas.openxmlformats.org/officeDocument/2006/relationships/hyperlink" Target="http://mlb.mlb.com/team/player.jsp?player_id=518883" TargetMode="External"/><Relationship Id="rId818" Type="http://schemas.openxmlformats.org/officeDocument/2006/relationships/hyperlink" Target="http://mlb.mlb.com/team/player.jsp?player_id=595014" TargetMode="External"/><Relationship Id="rId152" Type="http://schemas.openxmlformats.org/officeDocument/2006/relationships/hyperlink" Target="http://mlb.mlb.com/team/player.jsp?player_id=471083" TargetMode="External"/><Relationship Id="rId194" Type="http://schemas.openxmlformats.org/officeDocument/2006/relationships/hyperlink" Target="http://mlb.mlb.com/team/player.jsp?player_id=596112" TargetMode="External"/><Relationship Id="rId208" Type="http://schemas.openxmlformats.org/officeDocument/2006/relationships/hyperlink" Target="http://mlb.mlb.com/team/player.jsp?player_id=500765" TargetMode="External"/><Relationship Id="rId415" Type="http://schemas.openxmlformats.org/officeDocument/2006/relationships/hyperlink" Target="http://mlb.mlb.com/team/player.jsp?player_id=628333" TargetMode="External"/><Relationship Id="rId457" Type="http://schemas.openxmlformats.org/officeDocument/2006/relationships/hyperlink" Target="http://mlb.mlb.com/team/player.jsp?player_id=605200" TargetMode="External"/><Relationship Id="rId622" Type="http://schemas.openxmlformats.org/officeDocument/2006/relationships/hyperlink" Target="http://mlb.mlb.com/team/player.jsp?player_id=543746" TargetMode="External"/><Relationship Id="rId261" Type="http://schemas.openxmlformats.org/officeDocument/2006/relationships/hyperlink" Target="http://mlb.mlb.com/team/player.jsp?player_id=502522" TargetMode="External"/><Relationship Id="rId499" Type="http://schemas.openxmlformats.org/officeDocument/2006/relationships/hyperlink" Target="http://mlb.mlb.com/team/player.jsp?player_id=592789" TargetMode="External"/><Relationship Id="rId664" Type="http://schemas.openxmlformats.org/officeDocument/2006/relationships/hyperlink" Target="http://mlb.mlb.com/team/player.jsp?player_id=605304" TargetMode="External"/><Relationship Id="rId14" Type="http://schemas.openxmlformats.org/officeDocument/2006/relationships/hyperlink" Target="http://mlb.mlb.com/team/player.jsp?player_id=643355" TargetMode="External"/><Relationship Id="rId56" Type="http://schemas.openxmlformats.org/officeDocument/2006/relationships/hyperlink" Target="http://mlb.mlb.com/team/player.jsp?player_id=605359" TargetMode="External"/><Relationship Id="rId317" Type="http://schemas.openxmlformats.org/officeDocument/2006/relationships/hyperlink" Target="http://mlb.mlb.com/team/player.jsp?player_id=425835" TargetMode="External"/><Relationship Id="rId359" Type="http://schemas.openxmlformats.org/officeDocument/2006/relationships/hyperlink" Target="http://mlb.mlb.com/team/player.jsp?player_id=475479" TargetMode="External"/><Relationship Id="rId524" Type="http://schemas.openxmlformats.org/officeDocument/2006/relationships/hyperlink" Target="http://mlb.mlb.com/team/player.jsp?player_id=456696" TargetMode="External"/><Relationship Id="rId566" Type="http://schemas.openxmlformats.org/officeDocument/2006/relationships/hyperlink" Target="http://mlb.mlb.com/team/player.jsp?player_id=497807" TargetMode="External"/><Relationship Id="rId731" Type="http://schemas.openxmlformats.org/officeDocument/2006/relationships/hyperlink" Target="http://mlb.mlb.com/team/player.jsp?player_id=519326" TargetMode="External"/><Relationship Id="rId773" Type="http://schemas.openxmlformats.org/officeDocument/2006/relationships/hyperlink" Target="http://mlb.mlb.com/team/player.jsp?player_id=593372" TargetMode="External"/><Relationship Id="rId98" Type="http://schemas.openxmlformats.org/officeDocument/2006/relationships/hyperlink" Target="http://mlb.mlb.com/team/player.jsp?player_id=516714" TargetMode="External"/><Relationship Id="rId121" Type="http://schemas.openxmlformats.org/officeDocument/2006/relationships/hyperlink" Target="http://mlb.mlb.com/team/player.jsp?player_id=592433" TargetMode="External"/><Relationship Id="rId163" Type="http://schemas.openxmlformats.org/officeDocument/2006/relationships/hyperlink" Target="http://mlb.mlb.com/team/player.jsp?player_id=543557" TargetMode="External"/><Relationship Id="rId219" Type="http://schemas.openxmlformats.org/officeDocument/2006/relationships/hyperlink" Target="http://mlb.mlb.com/team/player.jsp?player_id=605232" TargetMode="External"/><Relationship Id="rId370" Type="http://schemas.openxmlformats.org/officeDocument/2006/relationships/hyperlink" Target="http://mlb.mlb.com/team/player.jsp?player_id=543408" TargetMode="External"/><Relationship Id="rId426" Type="http://schemas.openxmlformats.org/officeDocument/2006/relationships/hyperlink" Target="http://mlb.mlb.com/team/player.jsp?player_id=501697" TargetMode="External"/><Relationship Id="rId633" Type="http://schemas.openxmlformats.org/officeDocument/2006/relationships/hyperlink" Target="http://mlb.mlb.com/team/player.jsp?player_id=504083" TargetMode="External"/><Relationship Id="rId829" Type="http://schemas.openxmlformats.org/officeDocument/2006/relationships/hyperlink" Target="http://mlb.mlb.com/team/player.jsp?player_id=553878" TargetMode="External"/><Relationship Id="rId230" Type="http://schemas.openxmlformats.org/officeDocument/2006/relationships/hyperlink" Target="http://mlb.mlb.com/team/player.jsp?player_id=543424" TargetMode="External"/><Relationship Id="rId468" Type="http://schemas.openxmlformats.org/officeDocument/2006/relationships/hyperlink" Target="http://mlb.mlb.com/team/player.jsp?player_id=519166" TargetMode="External"/><Relationship Id="rId675" Type="http://schemas.openxmlformats.org/officeDocument/2006/relationships/hyperlink" Target="http://mlb.mlb.com/team/player.jsp?player_id=543272" TargetMode="External"/><Relationship Id="rId25" Type="http://schemas.openxmlformats.org/officeDocument/2006/relationships/hyperlink" Target="http://mlb.mlb.com/team/player.jsp?player_id=546276" TargetMode="External"/><Relationship Id="rId67" Type="http://schemas.openxmlformats.org/officeDocument/2006/relationships/hyperlink" Target="http://mlb.mlb.com/team/player.jsp?player_id=527054" TargetMode="External"/><Relationship Id="rId272" Type="http://schemas.openxmlformats.org/officeDocument/2006/relationships/hyperlink" Target="http://mlb.mlb.com/team/player.jsp?player_id=457429" TargetMode="External"/><Relationship Id="rId328" Type="http://schemas.openxmlformats.org/officeDocument/2006/relationships/hyperlink" Target="http://mlb.mlb.com/team/player.jsp?player_id=477132" TargetMode="External"/><Relationship Id="rId535" Type="http://schemas.openxmlformats.org/officeDocument/2006/relationships/hyperlink" Target="http://mlb.mlb.com/team/player.jsp?player_id=605388" TargetMode="External"/><Relationship Id="rId577" Type="http://schemas.openxmlformats.org/officeDocument/2006/relationships/hyperlink" Target="http://mlb.mlb.com/team/player.jsp?player_id=453172" TargetMode="External"/><Relationship Id="rId700" Type="http://schemas.openxmlformats.org/officeDocument/2006/relationships/hyperlink" Target="http://mlb.mlb.com/team/player.jsp?player_id=621389" TargetMode="External"/><Relationship Id="rId742" Type="http://schemas.openxmlformats.org/officeDocument/2006/relationships/hyperlink" Target="http://mlb.mlb.com/team/player.jsp?player_id=430912" TargetMode="External"/><Relationship Id="rId132" Type="http://schemas.openxmlformats.org/officeDocument/2006/relationships/hyperlink" Target="http://mlb.mlb.com/team/player.jsp?player_id=594772" TargetMode="External"/><Relationship Id="rId174" Type="http://schemas.openxmlformats.org/officeDocument/2006/relationships/hyperlink" Target="http://mlb.mlb.com/team/player.jsp?player_id=519166" TargetMode="External"/><Relationship Id="rId381" Type="http://schemas.openxmlformats.org/officeDocument/2006/relationships/hyperlink" Target="http://mlb.mlb.com/team/player.jsp?player_id=518560" TargetMode="External"/><Relationship Id="rId602" Type="http://schemas.openxmlformats.org/officeDocument/2006/relationships/hyperlink" Target="http://mlb.mlb.com/team/player.jsp?player_id=489197" TargetMode="External"/><Relationship Id="rId784" Type="http://schemas.openxmlformats.org/officeDocument/2006/relationships/hyperlink" Target="http://mlb.mlb.com/team/player.jsp?player_id=596133" TargetMode="External"/><Relationship Id="rId241" Type="http://schemas.openxmlformats.org/officeDocument/2006/relationships/hyperlink" Target="http://mlb.mlb.com/team/player.jsp?player_id=543532" TargetMode="External"/><Relationship Id="rId437" Type="http://schemas.openxmlformats.org/officeDocument/2006/relationships/hyperlink" Target="http://mlb.mlb.com/team/player.jsp?player_id=518468" TargetMode="External"/><Relationship Id="rId479" Type="http://schemas.openxmlformats.org/officeDocument/2006/relationships/hyperlink" Target="http://mlb.mlb.com/team/player.jsp?player_id=460283" TargetMode="External"/><Relationship Id="rId644" Type="http://schemas.openxmlformats.org/officeDocument/2006/relationships/hyperlink" Target="http://mlb.mlb.com/team/player.jsp?player_id=594857" TargetMode="External"/><Relationship Id="rId686" Type="http://schemas.openxmlformats.org/officeDocument/2006/relationships/hyperlink" Target="http://mlb.mlb.com/team/player.jsp?player_id=543184" TargetMode="External"/><Relationship Id="rId36" Type="http://schemas.openxmlformats.org/officeDocument/2006/relationships/hyperlink" Target="http://mlb.mlb.com/team/player.jsp?player_id=523989" TargetMode="External"/><Relationship Id="rId283" Type="http://schemas.openxmlformats.org/officeDocument/2006/relationships/hyperlink" Target="http://mlb.mlb.com/team/player.jsp?player_id=608032" TargetMode="External"/><Relationship Id="rId339" Type="http://schemas.openxmlformats.org/officeDocument/2006/relationships/hyperlink" Target="http://mlb.mlb.com/team/player.jsp?player_id=628317" TargetMode="External"/><Relationship Id="rId490" Type="http://schemas.openxmlformats.org/officeDocument/2006/relationships/hyperlink" Target="http://mlb.mlb.com/team/player.jsp?player_id=572831" TargetMode="External"/><Relationship Id="rId504" Type="http://schemas.openxmlformats.org/officeDocument/2006/relationships/hyperlink" Target="http://mlb.mlb.com/team/player.jsp?player_id=112526" TargetMode="External"/><Relationship Id="rId546" Type="http://schemas.openxmlformats.org/officeDocument/2006/relationships/hyperlink" Target="http://mlb.mlb.com/team/player.jsp?player_id=570257" TargetMode="External"/><Relationship Id="rId711" Type="http://schemas.openxmlformats.org/officeDocument/2006/relationships/hyperlink" Target="http://mlb.mlb.com/team/player.jsp?player_id=502188" TargetMode="External"/><Relationship Id="rId753" Type="http://schemas.openxmlformats.org/officeDocument/2006/relationships/hyperlink" Target="http://mlb.mlb.com/team/player.jsp?player_id=544928" TargetMode="External"/><Relationship Id="rId78" Type="http://schemas.openxmlformats.org/officeDocument/2006/relationships/hyperlink" Target="http://mlb.mlb.com/team/player.jsp?player_id=503444" TargetMode="External"/><Relationship Id="rId101" Type="http://schemas.openxmlformats.org/officeDocument/2006/relationships/hyperlink" Target="http://mlb.mlb.com/team/player.jsp?player_id=571871" TargetMode="External"/><Relationship Id="rId143" Type="http://schemas.openxmlformats.org/officeDocument/2006/relationships/hyperlink" Target="http://mlb.mlb.com/team/player.jsp?player_id=605218" TargetMode="External"/><Relationship Id="rId185" Type="http://schemas.openxmlformats.org/officeDocument/2006/relationships/hyperlink" Target="http://mlb.mlb.com/team/player.jsp?player_id=543101" TargetMode="External"/><Relationship Id="rId350" Type="http://schemas.openxmlformats.org/officeDocument/2006/relationships/hyperlink" Target="http://mlb.mlb.com/team/player.jsp?player_id=592779" TargetMode="External"/><Relationship Id="rId406" Type="http://schemas.openxmlformats.org/officeDocument/2006/relationships/hyperlink" Target="http://mlb.mlb.com/team/player.jsp?player_id=605222" TargetMode="External"/><Relationship Id="rId588" Type="http://schemas.openxmlformats.org/officeDocument/2006/relationships/hyperlink" Target="http://mlb.mlb.com/team/player.jsp?player_id=641771" TargetMode="External"/><Relationship Id="rId795" Type="http://schemas.openxmlformats.org/officeDocument/2006/relationships/hyperlink" Target="http://mlb.mlb.com/team/player.jsp?player_id=519301" TargetMode="External"/><Relationship Id="rId809" Type="http://schemas.openxmlformats.org/officeDocument/2006/relationships/hyperlink" Target="http://mlb.mlb.com/team/player.jsp?player_id=606983" TargetMode="External"/><Relationship Id="rId9" Type="http://schemas.openxmlformats.org/officeDocument/2006/relationships/hyperlink" Target="http://mlb.mlb.com/team/player.jsp?player_id=425844" TargetMode="External"/><Relationship Id="rId210" Type="http://schemas.openxmlformats.org/officeDocument/2006/relationships/hyperlink" Target="http://mlb.mlb.com/team/player.jsp?player_id=593582" TargetMode="External"/><Relationship Id="rId392" Type="http://schemas.openxmlformats.org/officeDocument/2006/relationships/hyperlink" Target="http://mlb.mlb.com/team/player.jsp?player_id=623395" TargetMode="External"/><Relationship Id="rId448" Type="http://schemas.openxmlformats.org/officeDocument/2006/relationships/hyperlink" Target="http://mlb.mlb.com/team/player.jsp?player_id=543746" TargetMode="External"/><Relationship Id="rId613" Type="http://schemas.openxmlformats.org/officeDocument/2006/relationships/hyperlink" Target="http://mlb.mlb.com/team/player.jsp?player_id=592791" TargetMode="External"/><Relationship Id="rId655" Type="http://schemas.openxmlformats.org/officeDocument/2006/relationships/hyperlink" Target="http://mlb.mlb.com/team/player.jsp?player_id=607067" TargetMode="External"/><Relationship Id="rId697" Type="http://schemas.openxmlformats.org/officeDocument/2006/relationships/hyperlink" Target="http://mlb.mlb.com/team/player.jsp?player_id=475115" TargetMode="External"/><Relationship Id="rId820" Type="http://schemas.openxmlformats.org/officeDocument/2006/relationships/hyperlink" Target="http://mlb.mlb.com/team/player.jsp?player_id=514669" TargetMode="External"/><Relationship Id="rId252" Type="http://schemas.openxmlformats.org/officeDocument/2006/relationships/hyperlink" Target="http://mlb.mlb.com/team/player.jsp?player_id=518452" TargetMode="External"/><Relationship Id="rId294" Type="http://schemas.openxmlformats.org/officeDocument/2006/relationships/hyperlink" Target="http://mlb.mlb.com/team/player.jsp?player_id=571735" TargetMode="External"/><Relationship Id="rId308" Type="http://schemas.openxmlformats.org/officeDocument/2006/relationships/hyperlink" Target="http://mlb.mlb.com/team/player.jsp?player_id=628317" TargetMode="External"/><Relationship Id="rId515" Type="http://schemas.openxmlformats.org/officeDocument/2006/relationships/hyperlink" Target="http://mlb.mlb.com/team/player.jsp?player_id=606160" TargetMode="External"/><Relationship Id="rId722" Type="http://schemas.openxmlformats.org/officeDocument/2006/relationships/hyperlink" Target="http://mlb.mlb.com/team/player.jsp?player_id=476570" TargetMode="External"/><Relationship Id="rId47" Type="http://schemas.openxmlformats.org/officeDocument/2006/relationships/hyperlink" Target="http://mlb.mlb.com/team/player.jsp?player_id=640463" TargetMode="External"/><Relationship Id="rId89" Type="http://schemas.openxmlformats.org/officeDocument/2006/relationships/hyperlink" Target="http://mlb.mlb.com/team/player.jsp?player_id=547007" TargetMode="External"/><Relationship Id="rId112" Type="http://schemas.openxmlformats.org/officeDocument/2006/relationships/hyperlink" Target="http://mlb.mlb.com/team/player.jsp?player_id=607231" TargetMode="External"/><Relationship Id="rId154" Type="http://schemas.openxmlformats.org/officeDocument/2006/relationships/hyperlink" Target="http://mlb.mlb.com/team/player.jsp?player_id=451085" TargetMode="External"/><Relationship Id="rId361" Type="http://schemas.openxmlformats.org/officeDocument/2006/relationships/hyperlink" Target="http://mlb.mlb.com/team/player.jsp?player_id=623395" TargetMode="External"/><Relationship Id="rId557" Type="http://schemas.openxmlformats.org/officeDocument/2006/relationships/hyperlink" Target="http://mlb.mlb.com/team/player.jsp?player_id=621107" TargetMode="External"/><Relationship Id="rId599" Type="http://schemas.openxmlformats.org/officeDocument/2006/relationships/hyperlink" Target="http://mlb.mlb.com/team/player.jsp?player_id=592866" TargetMode="External"/><Relationship Id="rId764" Type="http://schemas.openxmlformats.org/officeDocument/2006/relationships/hyperlink" Target="http://mlb.mlb.com/team/player.jsp?player_id=425532" TargetMode="External"/><Relationship Id="rId196" Type="http://schemas.openxmlformats.org/officeDocument/2006/relationships/hyperlink" Target="http://mlb.mlb.com/team/player.jsp?player_id=571963" TargetMode="External"/><Relationship Id="rId417" Type="http://schemas.openxmlformats.org/officeDocument/2006/relationships/hyperlink" Target="http://mlb.mlb.com/team/player.jsp?player_id=643297" TargetMode="External"/><Relationship Id="rId459" Type="http://schemas.openxmlformats.org/officeDocument/2006/relationships/hyperlink" Target="http://mlb.mlb.com/team/player.jsp?player_id=502624" TargetMode="External"/><Relationship Id="rId624" Type="http://schemas.openxmlformats.org/officeDocument/2006/relationships/hyperlink" Target="http://mlb.mlb.com/team/player.jsp?player_id=285064" TargetMode="External"/><Relationship Id="rId666" Type="http://schemas.openxmlformats.org/officeDocument/2006/relationships/hyperlink" Target="http://mlb.mlb.com/team/player.jsp?player_id=457779" TargetMode="External"/><Relationship Id="rId831" Type="http://schemas.openxmlformats.org/officeDocument/2006/relationships/hyperlink" Target="http://mlb.mlb.com/team/player.jsp?player_id=625643" TargetMode="External"/><Relationship Id="rId16" Type="http://schemas.openxmlformats.org/officeDocument/2006/relationships/hyperlink" Target="http://mlb.mlb.com/team/player.jsp?player_id=571578" TargetMode="External"/><Relationship Id="rId221" Type="http://schemas.openxmlformats.org/officeDocument/2006/relationships/hyperlink" Target="http://mlb.mlb.com/team/player.jsp?player_id=534947" TargetMode="External"/><Relationship Id="rId263" Type="http://schemas.openxmlformats.org/officeDocument/2006/relationships/hyperlink" Target="http://mlb.mlb.com/team/player.jsp?player_id=612434" TargetMode="External"/><Relationship Id="rId319" Type="http://schemas.openxmlformats.org/officeDocument/2006/relationships/hyperlink" Target="http://mlb.mlb.com/team/player.jsp?player_id=592779" TargetMode="External"/><Relationship Id="rId470" Type="http://schemas.openxmlformats.org/officeDocument/2006/relationships/hyperlink" Target="http://mlb.mlb.com/team/player.jsp?player_id=518693" TargetMode="External"/><Relationship Id="rId526" Type="http://schemas.openxmlformats.org/officeDocument/2006/relationships/hyperlink" Target="http://mlb.mlb.com/team/player.jsp?player_id=450203" TargetMode="External"/><Relationship Id="rId58" Type="http://schemas.openxmlformats.org/officeDocument/2006/relationships/hyperlink" Target="http://mlb.mlb.com/team/player.jsp?player_id=429400" TargetMode="External"/><Relationship Id="rId123" Type="http://schemas.openxmlformats.org/officeDocument/2006/relationships/hyperlink" Target="http://mlb.mlb.com/team/player.jsp?player_id=572283" TargetMode="External"/><Relationship Id="rId330" Type="http://schemas.openxmlformats.org/officeDocument/2006/relationships/hyperlink" Target="http://mlb.mlb.com/team/player.jsp?player_id=445276" TargetMode="External"/><Relationship Id="rId568" Type="http://schemas.openxmlformats.org/officeDocument/2006/relationships/hyperlink" Target="http://mlb.mlb.com/team/player.jsp?player_id=621385" TargetMode="External"/><Relationship Id="rId733" Type="http://schemas.openxmlformats.org/officeDocument/2006/relationships/hyperlink" Target="http://mlb.mlb.com/team/player.jsp?player_id=433586" TargetMode="External"/><Relationship Id="rId775" Type="http://schemas.openxmlformats.org/officeDocument/2006/relationships/hyperlink" Target="http://mlb.mlb.com/team/player.jsp?player_id=595307" TargetMode="External"/><Relationship Id="rId165" Type="http://schemas.openxmlformats.org/officeDocument/2006/relationships/hyperlink" Target="http://mlb.mlb.com/team/player.jsp?player_id=475243" TargetMode="External"/><Relationship Id="rId372" Type="http://schemas.openxmlformats.org/officeDocument/2006/relationships/hyperlink" Target="http://mlb.mlb.com/team/player.jsp?player_id=543017" TargetMode="External"/><Relationship Id="rId428" Type="http://schemas.openxmlformats.org/officeDocument/2006/relationships/hyperlink" Target="http://mlb.mlb.com/team/player.jsp?player_id=519293" TargetMode="External"/><Relationship Id="rId635" Type="http://schemas.openxmlformats.org/officeDocument/2006/relationships/hyperlink" Target="http://mlb.mlb.com/team/player.jsp?player_id=506560" TargetMode="External"/><Relationship Id="rId677" Type="http://schemas.openxmlformats.org/officeDocument/2006/relationships/hyperlink" Target="http://mlb.mlb.com/team/player.jsp?player_id=518560" TargetMode="External"/><Relationship Id="rId800" Type="http://schemas.openxmlformats.org/officeDocument/2006/relationships/hyperlink" Target="http://mlb.mlb.com/team/player.jsp?player_id=430634" TargetMode="External"/><Relationship Id="rId232" Type="http://schemas.openxmlformats.org/officeDocument/2006/relationships/hyperlink" Target="http://mlb.mlb.com/team/player.jsp?player_id=447755" TargetMode="External"/><Relationship Id="rId274" Type="http://schemas.openxmlformats.org/officeDocument/2006/relationships/hyperlink" Target="http://mlb.mlb.com/team/player.jsp?player_id=543022" TargetMode="External"/><Relationship Id="rId481" Type="http://schemas.openxmlformats.org/officeDocument/2006/relationships/hyperlink" Target="http://mlb.mlb.com/team/player.jsp?player_id=571927" TargetMode="External"/><Relationship Id="rId702" Type="http://schemas.openxmlformats.org/officeDocument/2006/relationships/hyperlink" Target="http://mlb.mlb.com/team/player.jsp?player_id=502004" TargetMode="External"/><Relationship Id="rId27" Type="http://schemas.openxmlformats.org/officeDocument/2006/relationships/hyperlink" Target="http://mlb.mlb.com/team/player.jsp?player_id=605359" TargetMode="External"/><Relationship Id="rId69" Type="http://schemas.openxmlformats.org/officeDocument/2006/relationships/hyperlink" Target="http://mlb.mlb.com/team/player.jsp?player_id=542432" TargetMode="External"/><Relationship Id="rId134" Type="http://schemas.openxmlformats.org/officeDocument/2006/relationships/hyperlink" Target="http://mlb.mlb.com/team/player.jsp?player_id=452657" TargetMode="External"/><Relationship Id="rId537" Type="http://schemas.openxmlformats.org/officeDocument/2006/relationships/hyperlink" Target="http://mlb.mlb.com/team/player.jsp?player_id=457732" TargetMode="External"/><Relationship Id="rId579" Type="http://schemas.openxmlformats.org/officeDocument/2006/relationships/hyperlink" Target="http://mlb.mlb.com/team/player.jsp?player_id=467100" TargetMode="External"/><Relationship Id="rId744" Type="http://schemas.openxmlformats.org/officeDocument/2006/relationships/hyperlink" Target="http://mlb.mlb.com/team/player.jsp?player_id=518790" TargetMode="External"/><Relationship Id="rId786" Type="http://schemas.openxmlformats.org/officeDocument/2006/relationships/hyperlink" Target="http://mlb.mlb.com/team/player.jsp?player_id=592815" TargetMode="External"/><Relationship Id="rId80" Type="http://schemas.openxmlformats.org/officeDocument/2006/relationships/hyperlink" Target="http://mlb.mlb.com/team/player.jsp?player_id=605152" TargetMode="External"/><Relationship Id="rId176" Type="http://schemas.openxmlformats.org/officeDocument/2006/relationships/hyperlink" Target="http://mlb.mlb.com/team/player.jsp?player_id=476589" TargetMode="External"/><Relationship Id="rId341" Type="http://schemas.openxmlformats.org/officeDocument/2006/relationships/hyperlink" Target="http://mlb.mlb.com/team/player.jsp?player_id=548389" TargetMode="External"/><Relationship Id="rId383" Type="http://schemas.openxmlformats.org/officeDocument/2006/relationships/hyperlink" Target="http://mlb.mlb.com/team/player.jsp?player_id=429780" TargetMode="External"/><Relationship Id="rId439" Type="http://schemas.openxmlformats.org/officeDocument/2006/relationships/hyperlink" Target="http://mlb.mlb.com/team/player.jsp?player_id=543380" TargetMode="External"/><Relationship Id="rId590" Type="http://schemas.openxmlformats.org/officeDocument/2006/relationships/hyperlink" Target="http://mlb.mlb.com/team/player.jsp?player_id=543746" TargetMode="External"/><Relationship Id="rId604" Type="http://schemas.openxmlformats.org/officeDocument/2006/relationships/hyperlink" Target="http://mlb.mlb.com/team/player.jsp?player_id=456124" TargetMode="External"/><Relationship Id="rId646" Type="http://schemas.openxmlformats.org/officeDocument/2006/relationships/hyperlink" Target="http://mlb.mlb.com/team/player.jsp?player_id=571473" TargetMode="External"/><Relationship Id="rId811" Type="http://schemas.openxmlformats.org/officeDocument/2006/relationships/hyperlink" Target="http://mlb.mlb.com/team/player.jsp?player_id=502009" TargetMode="External"/><Relationship Id="rId201" Type="http://schemas.openxmlformats.org/officeDocument/2006/relationships/hyperlink" Target="http://mlb.mlb.com/team/player.jsp?player_id=642003" TargetMode="External"/><Relationship Id="rId243" Type="http://schemas.openxmlformats.org/officeDocument/2006/relationships/hyperlink" Target="http://mlb.mlb.com/team/player.jsp?player_id=543331" TargetMode="External"/><Relationship Id="rId285" Type="http://schemas.openxmlformats.org/officeDocument/2006/relationships/hyperlink" Target="http://mlb.mlb.com/team/player.jsp?player_id=407822" TargetMode="External"/><Relationship Id="rId450" Type="http://schemas.openxmlformats.org/officeDocument/2006/relationships/hyperlink" Target="http://mlb.mlb.com/team/player.jsp?player_id=448614" TargetMode="External"/><Relationship Id="rId506" Type="http://schemas.openxmlformats.org/officeDocument/2006/relationships/hyperlink" Target="http://mlb.mlb.com/team/player.jsp?player_id=449104" TargetMode="External"/><Relationship Id="rId688" Type="http://schemas.openxmlformats.org/officeDocument/2006/relationships/hyperlink" Target="http://mlb.mlb.com/team/player.jsp?player_id=570714" TargetMode="External"/><Relationship Id="rId38" Type="http://schemas.openxmlformats.org/officeDocument/2006/relationships/hyperlink" Target="http://mlb.mlb.com/team/player.jsp?player_id=425844" TargetMode="External"/><Relationship Id="rId103" Type="http://schemas.openxmlformats.org/officeDocument/2006/relationships/hyperlink" Target="http://mlb.mlb.com/team/player.jsp?player_id=449173" TargetMode="External"/><Relationship Id="rId310" Type="http://schemas.openxmlformats.org/officeDocument/2006/relationships/hyperlink" Target="http://mlb.mlb.com/team/player.jsp?player_id=548389" TargetMode="External"/><Relationship Id="rId492" Type="http://schemas.openxmlformats.org/officeDocument/2006/relationships/hyperlink" Target="http://mlb.mlb.com/team/player.jsp?player_id=543219" TargetMode="External"/><Relationship Id="rId548" Type="http://schemas.openxmlformats.org/officeDocument/2006/relationships/hyperlink" Target="http://mlb.mlb.com/team/player.jsp?player_id=595191" TargetMode="External"/><Relationship Id="rId713" Type="http://schemas.openxmlformats.org/officeDocument/2006/relationships/hyperlink" Target="http://mlb.mlb.com/team/player.jsp?player_id=519043" TargetMode="External"/><Relationship Id="rId755" Type="http://schemas.openxmlformats.org/officeDocument/2006/relationships/hyperlink" Target="http://mlb.mlb.com/team/player.jsp?player_id=621199" TargetMode="External"/><Relationship Id="rId797" Type="http://schemas.openxmlformats.org/officeDocument/2006/relationships/hyperlink" Target="http://mlb.mlb.com/team/player.jsp?player_id=518875" TargetMode="External"/><Relationship Id="rId91" Type="http://schemas.openxmlformats.org/officeDocument/2006/relationships/hyperlink" Target="http://mlb.mlb.com/team/player.jsp?player_id=594760" TargetMode="External"/><Relationship Id="rId145" Type="http://schemas.openxmlformats.org/officeDocument/2006/relationships/hyperlink" Target="http://mlb.mlb.com/team/player.jsp?player_id=615868" TargetMode="External"/><Relationship Id="rId187" Type="http://schemas.openxmlformats.org/officeDocument/2006/relationships/hyperlink" Target="http://mlb.mlb.com/team/player.jsp?player_id=605232" TargetMode="External"/><Relationship Id="rId352" Type="http://schemas.openxmlformats.org/officeDocument/2006/relationships/hyperlink" Target="http://mlb.mlb.com/team/player.jsp?player_id=502032" TargetMode="External"/><Relationship Id="rId394" Type="http://schemas.openxmlformats.org/officeDocument/2006/relationships/hyperlink" Target="http://mlb.mlb.com/team/player.jsp?player_id=430661" TargetMode="External"/><Relationship Id="rId408" Type="http://schemas.openxmlformats.org/officeDocument/2006/relationships/hyperlink" Target="http://mlb.mlb.com/team/player.jsp?player_id=429719" TargetMode="External"/><Relationship Id="rId615" Type="http://schemas.openxmlformats.org/officeDocument/2006/relationships/hyperlink" Target="http://mlb.mlb.com/team/player.jsp?player_id=491703" TargetMode="External"/><Relationship Id="rId822" Type="http://schemas.openxmlformats.org/officeDocument/2006/relationships/hyperlink" Target="http://mlb.mlb.com/team/player.jsp?player_id=543699" TargetMode="External"/><Relationship Id="rId212" Type="http://schemas.openxmlformats.org/officeDocument/2006/relationships/hyperlink" Target="http://mlb.mlb.com/team/player.jsp?player_id=643550" TargetMode="External"/><Relationship Id="rId254" Type="http://schemas.openxmlformats.org/officeDocument/2006/relationships/hyperlink" Target="http://mlb.mlb.com/team/player.jsp?player_id=435400" TargetMode="External"/><Relationship Id="rId657" Type="http://schemas.openxmlformats.org/officeDocument/2006/relationships/hyperlink" Target="http://mlb.mlb.com/team/player.jsp?player_id=523848" TargetMode="External"/><Relationship Id="rId699" Type="http://schemas.openxmlformats.org/officeDocument/2006/relationships/hyperlink" Target="http://mlb.mlb.com/team/player.jsp?player_id=150274" TargetMode="External"/><Relationship Id="rId49" Type="http://schemas.openxmlformats.org/officeDocument/2006/relationships/hyperlink" Target="http://mlb.mlb.com/team/player.jsp?player_id=571946" TargetMode="External"/><Relationship Id="rId114" Type="http://schemas.openxmlformats.org/officeDocument/2006/relationships/hyperlink" Target="http://mlb.mlb.com/team/player.jsp?player_id=605538" TargetMode="External"/><Relationship Id="rId296" Type="http://schemas.openxmlformats.org/officeDocument/2006/relationships/hyperlink" Target="http://mlb.mlb.com/team/player.jsp?player_id=502051" TargetMode="External"/><Relationship Id="rId461" Type="http://schemas.openxmlformats.org/officeDocument/2006/relationships/hyperlink" Target="http://mlb.mlb.com/team/player.jsp?player_id=519076" TargetMode="External"/><Relationship Id="rId517" Type="http://schemas.openxmlformats.org/officeDocument/2006/relationships/hyperlink" Target="http://mlb.mlb.com/team/player.jsp?player_id=594742" TargetMode="External"/><Relationship Id="rId559" Type="http://schemas.openxmlformats.org/officeDocument/2006/relationships/hyperlink" Target="http://mlb.mlb.com/team/player.jsp?player_id=605894" TargetMode="External"/><Relationship Id="rId724" Type="http://schemas.openxmlformats.org/officeDocument/2006/relationships/hyperlink" Target="http://mlb.mlb.com/team/player.jsp?player_id=621389" TargetMode="External"/><Relationship Id="rId766" Type="http://schemas.openxmlformats.org/officeDocument/2006/relationships/hyperlink" Target="http://mlb.mlb.com/team/player.jsp?player_id=514913" TargetMode="External"/><Relationship Id="rId60" Type="http://schemas.openxmlformats.org/officeDocument/2006/relationships/hyperlink" Target="http://mlb.mlb.com/team/player.jsp?player_id=623406" TargetMode="External"/><Relationship Id="rId156" Type="http://schemas.openxmlformats.org/officeDocument/2006/relationships/hyperlink" Target="http://mlb.mlb.com/team/player.jsp?player_id=547973" TargetMode="External"/><Relationship Id="rId198" Type="http://schemas.openxmlformats.org/officeDocument/2006/relationships/hyperlink" Target="http://mlb.mlb.com/team/player.jsp?player_id=543424" TargetMode="External"/><Relationship Id="rId321" Type="http://schemas.openxmlformats.org/officeDocument/2006/relationships/hyperlink" Target="http://mlb.mlb.com/team/player.jsp?player_id=502032" TargetMode="External"/><Relationship Id="rId363" Type="http://schemas.openxmlformats.org/officeDocument/2006/relationships/hyperlink" Target="http://mlb.mlb.com/team/player.jsp?player_id=430661" TargetMode="External"/><Relationship Id="rId419" Type="http://schemas.openxmlformats.org/officeDocument/2006/relationships/hyperlink" Target="http://mlb.mlb.com/team/player.jsp?player_id=592804" TargetMode="External"/><Relationship Id="rId570" Type="http://schemas.openxmlformats.org/officeDocument/2006/relationships/hyperlink" Target="http://mlb.mlb.com/team/player.jsp?player_id=572119" TargetMode="External"/><Relationship Id="rId626" Type="http://schemas.openxmlformats.org/officeDocument/2006/relationships/hyperlink" Target="http://mlb.mlb.com/team/player.jsp?player_id=477003" TargetMode="External"/><Relationship Id="rId223" Type="http://schemas.openxmlformats.org/officeDocument/2006/relationships/hyperlink" Target="http://mlb.mlb.com/team/player.jsp?player_id=572102" TargetMode="External"/><Relationship Id="rId430" Type="http://schemas.openxmlformats.org/officeDocument/2006/relationships/hyperlink" Target="http://mlb.mlb.com/team/player.jsp?player_id=605200" TargetMode="External"/><Relationship Id="rId668" Type="http://schemas.openxmlformats.org/officeDocument/2006/relationships/hyperlink" Target="http://mlb.mlb.com/team/player.jsp?player_id=542194" TargetMode="External"/><Relationship Id="rId833" Type="http://schemas.openxmlformats.org/officeDocument/2006/relationships/hyperlink" Target="http://mlb.mlb.com/team/player.jsp?player_id=606983" TargetMode="External"/><Relationship Id="rId18" Type="http://schemas.openxmlformats.org/officeDocument/2006/relationships/hyperlink" Target="http://mlb.mlb.com/team/player.jsp?player_id=640463" TargetMode="External"/><Relationship Id="rId265" Type="http://schemas.openxmlformats.org/officeDocument/2006/relationships/hyperlink" Target="http://mlb.mlb.com/team/player.jsp?player_id=548357" TargetMode="External"/><Relationship Id="rId472" Type="http://schemas.openxmlformats.org/officeDocument/2006/relationships/hyperlink" Target="http://mlb.mlb.com/team/player.jsp?player_id=516414" TargetMode="External"/><Relationship Id="rId528" Type="http://schemas.openxmlformats.org/officeDocument/2006/relationships/hyperlink" Target="http://mlb.mlb.com/team/player.jsp?player_id=519085" TargetMode="External"/><Relationship Id="rId735" Type="http://schemas.openxmlformats.org/officeDocument/2006/relationships/hyperlink" Target="http://mlb.mlb.com/team/player.jsp?player_id=502188" TargetMode="External"/><Relationship Id="rId125" Type="http://schemas.openxmlformats.org/officeDocument/2006/relationships/hyperlink" Target="http://mlb.mlb.com/team/player.jsp?player_id=447714" TargetMode="External"/><Relationship Id="rId167" Type="http://schemas.openxmlformats.org/officeDocument/2006/relationships/hyperlink" Target="http://mlb.mlb.com/team/player.jsp?player_id=407793" TargetMode="External"/><Relationship Id="rId332" Type="http://schemas.openxmlformats.org/officeDocument/2006/relationships/hyperlink" Target="http://mlb.mlb.com/team/player.jsp?player_id=430599" TargetMode="External"/><Relationship Id="rId374" Type="http://schemas.openxmlformats.org/officeDocument/2006/relationships/hyperlink" Target="http://mlb.mlb.com/team/player.jsp?player_id=592593" TargetMode="External"/><Relationship Id="rId581" Type="http://schemas.openxmlformats.org/officeDocument/2006/relationships/hyperlink" Target="http://mlb.mlb.com/team/player.jsp?player_id=592791" TargetMode="External"/><Relationship Id="rId777" Type="http://schemas.openxmlformats.org/officeDocument/2006/relationships/hyperlink" Target="http://mlb.mlb.com/team/player.jsp?player_id=455009" TargetMode="External"/><Relationship Id="rId71" Type="http://schemas.openxmlformats.org/officeDocument/2006/relationships/hyperlink" Target="http://mlb.mlb.com/team/player.jsp?player_id=475054" TargetMode="External"/><Relationship Id="rId234" Type="http://schemas.openxmlformats.org/officeDocument/2006/relationships/hyperlink" Target="http://mlb.mlb.com/team/player.jsp?player_id=571584" TargetMode="External"/><Relationship Id="rId637" Type="http://schemas.openxmlformats.org/officeDocument/2006/relationships/hyperlink" Target="http://mlb.mlb.com/team/player.jsp?player_id=600526" TargetMode="External"/><Relationship Id="rId679" Type="http://schemas.openxmlformats.org/officeDocument/2006/relationships/hyperlink" Target="http://mlb.mlb.com/team/player.jsp?player_id=534812" TargetMode="External"/><Relationship Id="rId802" Type="http://schemas.openxmlformats.org/officeDocument/2006/relationships/hyperlink" Target="http://mlb.mlb.com/team/player.jsp?player_id=544931" TargetMode="External"/><Relationship Id="rId2" Type="http://schemas.openxmlformats.org/officeDocument/2006/relationships/hyperlink" Target="http://mlb.mlb.com/team/player.jsp?player_id=571863" TargetMode="External"/><Relationship Id="rId29" Type="http://schemas.openxmlformats.org/officeDocument/2006/relationships/hyperlink" Target="http://mlb.mlb.com/team/player.jsp?player_id=429400" TargetMode="External"/><Relationship Id="rId276" Type="http://schemas.openxmlformats.org/officeDocument/2006/relationships/hyperlink" Target="http://mlb.mlb.com/team/player.jsp?player_id=459429" TargetMode="External"/><Relationship Id="rId441" Type="http://schemas.openxmlformats.org/officeDocument/2006/relationships/hyperlink" Target="http://mlb.mlb.com/team/player.jsp?player_id=519166" TargetMode="External"/><Relationship Id="rId483" Type="http://schemas.openxmlformats.org/officeDocument/2006/relationships/hyperlink" Target="http://mlb.mlb.com/team/player.jsp?player_id=570663" TargetMode="External"/><Relationship Id="rId539" Type="http://schemas.openxmlformats.org/officeDocument/2006/relationships/hyperlink" Target="http://mlb.mlb.com/team/player.jsp?player_id=497807" TargetMode="External"/><Relationship Id="rId690" Type="http://schemas.openxmlformats.org/officeDocument/2006/relationships/hyperlink" Target="http://mlb.mlb.com/team/player.jsp?player_id=606131" TargetMode="External"/><Relationship Id="rId704" Type="http://schemas.openxmlformats.org/officeDocument/2006/relationships/hyperlink" Target="http://mlb.mlb.com/team/player.jsp?player_id=518516" TargetMode="External"/><Relationship Id="rId746" Type="http://schemas.openxmlformats.org/officeDocument/2006/relationships/hyperlink" Target="http://mlb.mlb.com/team/player.jsp?player_id=476570" TargetMode="External"/><Relationship Id="rId40" Type="http://schemas.openxmlformats.org/officeDocument/2006/relationships/hyperlink" Target="http://mlb.mlb.com/team/player.jsp?player_id=475138" TargetMode="External"/><Relationship Id="rId136" Type="http://schemas.openxmlformats.org/officeDocument/2006/relationships/hyperlink" Target="http://mlb.mlb.com/team/player.jsp?player_id=502239" TargetMode="External"/><Relationship Id="rId178" Type="http://schemas.openxmlformats.org/officeDocument/2006/relationships/hyperlink" Target="http://mlb.mlb.com/team/player.jsp?player_id=471083" TargetMode="External"/><Relationship Id="rId301" Type="http://schemas.openxmlformats.org/officeDocument/2006/relationships/hyperlink" Target="http://mlb.mlb.com/team/player.jsp?player_id=430599" TargetMode="External"/><Relationship Id="rId343" Type="http://schemas.openxmlformats.org/officeDocument/2006/relationships/hyperlink" Target="http://mlb.mlb.com/team/player.jsp?player_id=445926" TargetMode="External"/><Relationship Id="rId550" Type="http://schemas.openxmlformats.org/officeDocument/2006/relationships/hyperlink" Target="http://mlb.mlb.com/team/player.jsp?player_id=591693" TargetMode="External"/><Relationship Id="rId788" Type="http://schemas.openxmlformats.org/officeDocument/2006/relationships/hyperlink" Target="http://mlb.mlb.com/team/player.jsp?player_id=594577" TargetMode="External"/><Relationship Id="rId82" Type="http://schemas.openxmlformats.org/officeDocument/2006/relationships/hyperlink" Target="http://mlb.mlb.com/team/player.jsp?player_id=468504" TargetMode="External"/><Relationship Id="rId203" Type="http://schemas.openxmlformats.org/officeDocument/2006/relationships/hyperlink" Target="http://mlb.mlb.com/team/player.jsp?player_id=642229" TargetMode="External"/><Relationship Id="rId385" Type="http://schemas.openxmlformats.org/officeDocument/2006/relationships/hyperlink" Target="http://mlb.mlb.com/team/player.jsp?player_id=457456" TargetMode="External"/><Relationship Id="rId592" Type="http://schemas.openxmlformats.org/officeDocument/2006/relationships/hyperlink" Target="http://mlb.mlb.com/team/player.jsp?player_id=285064" TargetMode="External"/><Relationship Id="rId606" Type="http://schemas.openxmlformats.org/officeDocument/2006/relationships/hyperlink" Target="http://mlb.mlb.com/team/player.jsp?player_id=453281" TargetMode="External"/><Relationship Id="rId648" Type="http://schemas.openxmlformats.org/officeDocument/2006/relationships/hyperlink" Target="http://mlb.mlb.com/team/player.jsp?player_id=572362" TargetMode="External"/><Relationship Id="rId813" Type="http://schemas.openxmlformats.org/officeDocument/2006/relationships/hyperlink" Target="http://mlb.mlb.com/team/player.jsp?player_id=594840" TargetMode="External"/><Relationship Id="rId245" Type="http://schemas.openxmlformats.org/officeDocument/2006/relationships/hyperlink" Target="http://mlb.mlb.com/team/player.jsp?player_id=493603" TargetMode="External"/><Relationship Id="rId287" Type="http://schemas.openxmlformats.org/officeDocument/2006/relationships/hyperlink" Target="http://mlb.mlb.com/team/player.jsp?player_id=543475" TargetMode="External"/><Relationship Id="rId410" Type="http://schemas.openxmlformats.org/officeDocument/2006/relationships/hyperlink" Target="http://mlb.mlb.com/team/player.jsp?player_id=488768" TargetMode="External"/><Relationship Id="rId452" Type="http://schemas.openxmlformats.org/officeDocument/2006/relationships/hyperlink" Target="http://mlb.mlb.com/team/player.jsp?player_id=572788" TargetMode="External"/><Relationship Id="rId494" Type="http://schemas.openxmlformats.org/officeDocument/2006/relationships/hyperlink" Target="http://mlb.mlb.com/team/player.jsp?player_id=477003" TargetMode="External"/><Relationship Id="rId508" Type="http://schemas.openxmlformats.org/officeDocument/2006/relationships/hyperlink" Target="http://mlb.mlb.com/team/player.jsp?player_id=519294" TargetMode="External"/><Relationship Id="rId715" Type="http://schemas.openxmlformats.org/officeDocument/2006/relationships/hyperlink" Target="http://mlb.mlb.com/team/player.jsp?player_id=544150" TargetMode="External"/><Relationship Id="rId105" Type="http://schemas.openxmlformats.org/officeDocument/2006/relationships/hyperlink" Target="http://mlb.mlb.com/team/player.jsp?player_id=519437" TargetMode="External"/><Relationship Id="rId147" Type="http://schemas.openxmlformats.org/officeDocument/2006/relationships/hyperlink" Target="http://mlb.mlb.com/team/player.jsp?player_id=518748" TargetMode="External"/><Relationship Id="rId312" Type="http://schemas.openxmlformats.org/officeDocument/2006/relationships/hyperlink" Target="http://mlb.mlb.com/team/player.jsp?player_id=445926" TargetMode="External"/><Relationship Id="rId354" Type="http://schemas.openxmlformats.org/officeDocument/2006/relationships/hyperlink" Target="http://mlb.mlb.com/team/player.jsp?player_id=519344" TargetMode="External"/><Relationship Id="rId757" Type="http://schemas.openxmlformats.org/officeDocument/2006/relationships/hyperlink" Target="http://mlb.mlb.com/team/player.jsp?player_id=572096" TargetMode="External"/><Relationship Id="rId799" Type="http://schemas.openxmlformats.org/officeDocument/2006/relationships/hyperlink" Target="http://mlb.mlb.com/team/player.jsp?player_id=453286" TargetMode="External"/><Relationship Id="rId51" Type="http://schemas.openxmlformats.org/officeDocument/2006/relationships/hyperlink" Target="http://mlb.mlb.com/team/player.jsp?player_id=643327" TargetMode="External"/><Relationship Id="rId93" Type="http://schemas.openxmlformats.org/officeDocument/2006/relationships/hyperlink" Target="http://mlb.mlb.com/team/player.jsp?player_id=592422" TargetMode="External"/><Relationship Id="rId189" Type="http://schemas.openxmlformats.org/officeDocument/2006/relationships/hyperlink" Target="http://mlb.mlb.com/team/player.jsp?player_id=534947" TargetMode="External"/><Relationship Id="rId396" Type="http://schemas.openxmlformats.org/officeDocument/2006/relationships/hyperlink" Target="http://mlb.mlb.com/team/player.jsp?player_id=605228" TargetMode="External"/><Relationship Id="rId561" Type="http://schemas.openxmlformats.org/officeDocument/2006/relationships/hyperlink" Target="http://mlb.mlb.com/team/player.jsp?player_id=592527" TargetMode="External"/><Relationship Id="rId617" Type="http://schemas.openxmlformats.org/officeDocument/2006/relationships/hyperlink" Target="http://mlb.mlb.com/team/player.jsp?player_id=543037" TargetMode="External"/><Relationship Id="rId659" Type="http://schemas.openxmlformats.org/officeDocument/2006/relationships/hyperlink" Target="http://mlb.mlb.com/team/player.jsp?player_id=599998" TargetMode="External"/><Relationship Id="rId824" Type="http://schemas.openxmlformats.org/officeDocument/2006/relationships/hyperlink" Target="http://mlb.mlb.com/team/player.jsp?player_id=430634" TargetMode="External"/><Relationship Id="rId214" Type="http://schemas.openxmlformats.org/officeDocument/2006/relationships/hyperlink" Target="http://mlb.mlb.com/team/player.jsp?player_id=628452" TargetMode="External"/><Relationship Id="rId256" Type="http://schemas.openxmlformats.org/officeDocument/2006/relationships/hyperlink" Target="http://mlb.mlb.com/team/player.jsp?player_id=608566" TargetMode="External"/><Relationship Id="rId298" Type="http://schemas.openxmlformats.org/officeDocument/2006/relationships/hyperlink" Target="http://mlb.mlb.com/team/player.jsp?player_id=448179" TargetMode="External"/><Relationship Id="rId421" Type="http://schemas.openxmlformats.org/officeDocument/2006/relationships/hyperlink" Target="http://mlb.mlb.com/team/player.jsp?player_id=543746" TargetMode="External"/><Relationship Id="rId463" Type="http://schemas.openxmlformats.org/officeDocument/2006/relationships/hyperlink" Target="http://mlb.mlb.com/team/player.jsp?player_id=503449" TargetMode="External"/><Relationship Id="rId519" Type="http://schemas.openxmlformats.org/officeDocument/2006/relationships/hyperlink" Target="http://mlb.mlb.com/team/player.jsp?player_id=570257" TargetMode="External"/><Relationship Id="rId670" Type="http://schemas.openxmlformats.org/officeDocument/2006/relationships/hyperlink" Target="http://mlb.mlb.com/team/player.jsp?player_id=407845" TargetMode="External"/><Relationship Id="rId116" Type="http://schemas.openxmlformats.org/officeDocument/2006/relationships/hyperlink" Target="http://mlb.mlb.com/team/player.jsp?player_id=276351" TargetMode="External"/><Relationship Id="rId158" Type="http://schemas.openxmlformats.org/officeDocument/2006/relationships/hyperlink" Target="http://mlb.mlb.com/team/player.jsp?player_id=594772" TargetMode="External"/><Relationship Id="rId323" Type="http://schemas.openxmlformats.org/officeDocument/2006/relationships/hyperlink" Target="http://mlb.mlb.com/team/player.jsp?player_id=519344" TargetMode="External"/><Relationship Id="rId530" Type="http://schemas.openxmlformats.org/officeDocument/2006/relationships/hyperlink" Target="http://mlb.mlb.com/team/player.jsp?player_id=621107" TargetMode="External"/><Relationship Id="rId726" Type="http://schemas.openxmlformats.org/officeDocument/2006/relationships/hyperlink" Target="http://mlb.mlb.com/team/player.jsp?player_id=502004" TargetMode="External"/><Relationship Id="rId768" Type="http://schemas.openxmlformats.org/officeDocument/2006/relationships/hyperlink" Target="http://mlb.mlb.com/team/player.jsp?player_id=621052" TargetMode="External"/><Relationship Id="rId20" Type="http://schemas.openxmlformats.org/officeDocument/2006/relationships/hyperlink" Target="http://mlb.mlb.com/team/player.jsp?player_id=571946" TargetMode="External"/><Relationship Id="rId62" Type="http://schemas.openxmlformats.org/officeDocument/2006/relationships/hyperlink" Target="http://mlb.mlb.com/team/player.jsp?player_id=606291" TargetMode="External"/><Relationship Id="rId365" Type="http://schemas.openxmlformats.org/officeDocument/2006/relationships/hyperlink" Target="http://mlb.mlb.com/team/player.jsp?player_id=605228" TargetMode="External"/><Relationship Id="rId572" Type="http://schemas.openxmlformats.org/officeDocument/2006/relationships/hyperlink" Target="http://mlb.mlb.com/team/player.jsp?player_id=456124" TargetMode="External"/><Relationship Id="rId628" Type="http://schemas.openxmlformats.org/officeDocument/2006/relationships/hyperlink" Target="http://mlb.mlb.com/team/player.jsp?player_id=434538" TargetMode="External"/><Relationship Id="rId835" Type="http://schemas.openxmlformats.org/officeDocument/2006/relationships/hyperlink" Target="http://mlb.mlb.com/team/player.jsp?player_id=502009" TargetMode="External"/><Relationship Id="rId225" Type="http://schemas.openxmlformats.org/officeDocument/2006/relationships/hyperlink" Target="http://mlb.mlb.com/team/player.jsp?player_id=595001" TargetMode="External"/><Relationship Id="rId267" Type="http://schemas.openxmlformats.org/officeDocument/2006/relationships/hyperlink" Target="http://mlb.mlb.com/team/player.jsp?player_id=543261" TargetMode="External"/><Relationship Id="rId432" Type="http://schemas.openxmlformats.org/officeDocument/2006/relationships/hyperlink" Target="http://mlb.mlb.com/team/player.jsp?player_id=502624" TargetMode="External"/><Relationship Id="rId474" Type="http://schemas.openxmlformats.org/officeDocument/2006/relationships/hyperlink" Target="http://mlb.mlb.com/team/player.jsp?player_id=477569" TargetMode="External"/><Relationship Id="rId127" Type="http://schemas.openxmlformats.org/officeDocument/2006/relationships/hyperlink" Target="http://mlb.mlb.com/team/player.jsp?player_id=433584" TargetMode="External"/><Relationship Id="rId681" Type="http://schemas.openxmlformats.org/officeDocument/2006/relationships/hyperlink" Target="http://mlb.mlb.com/team/player.jsp?player_id=448306" TargetMode="External"/><Relationship Id="rId737" Type="http://schemas.openxmlformats.org/officeDocument/2006/relationships/hyperlink" Target="http://mlb.mlb.com/team/player.jsp?player_id=519043" TargetMode="External"/><Relationship Id="rId779" Type="http://schemas.openxmlformats.org/officeDocument/2006/relationships/hyperlink" Target="http://mlb.mlb.com/team/player.jsp?player_id=425794" TargetMode="External"/><Relationship Id="rId31" Type="http://schemas.openxmlformats.org/officeDocument/2006/relationships/hyperlink" Target="http://mlb.mlb.com/team/player.jsp?player_id=571863" TargetMode="External"/><Relationship Id="rId73" Type="http://schemas.openxmlformats.org/officeDocument/2006/relationships/hyperlink" Target="http://mlb.mlb.com/team/player.jsp?player_id=502032" TargetMode="External"/><Relationship Id="rId169" Type="http://schemas.openxmlformats.org/officeDocument/2006/relationships/hyperlink" Target="http://mlb.mlb.com/team/player.jsp?player_id=605218" TargetMode="External"/><Relationship Id="rId334" Type="http://schemas.openxmlformats.org/officeDocument/2006/relationships/hyperlink" Target="http://mlb.mlb.com/team/player.jsp?player_id=520980" TargetMode="External"/><Relationship Id="rId376" Type="http://schemas.openxmlformats.org/officeDocument/2006/relationships/hyperlink" Target="http://mlb.mlb.com/team/player.jsp?player_id=407845" TargetMode="External"/><Relationship Id="rId541" Type="http://schemas.openxmlformats.org/officeDocument/2006/relationships/hyperlink" Target="http://mlb.mlb.com/team/player.jsp?player_id=621385" TargetMode="External"/><Relationship Id="rId583" Type="http://schemas.openxmlformats.org/officeDocument/2006/relationships/hyperlink" Target="http://mlb.mlb.com/team/player.jsp?player_id=491703" TargetMode="External"/><Relationship Id="rId639" Type="http://schemas.openxmlformats.org/officeDocument/2006/relationships/hyperlink" Target="http://mlb.mlb.com/team/player.jsp?player_id=453344" TargetMode="External"/><Relationship Id="rId790" Type="http://schemas.openxmlformats.org/officeDocument/2006/relationships/hyperlink" Target="http://mlb.mlb.com/team/player.jsp?player_id=641627" TargetMode="External"/><Relationship Id="rId804" Type="http://schemas.openxmlformats.org/officeDocument/2006/relationships/hyperlink" Target="http://mlb.mlb.com/team/player.jsp?player_id=433589" TargetMode="External"/><Relationship Id="rId4" Type="http://schemas.openxmlformats.org/officeDocument/2006/relationships/hyperlink" Target="http://mlb.mlb.com/team/player.jsp?player_id=446899" TargetMode="External"/><Relationship Id="rId180" Type="http://schemas.openxmlformats.org/officeDocument/2006/relationships/hyperlink" Target="http://mlb.mlb.com/team/player.jsp?player_id=451085" TargetMode="External"/><Relationship Id="rId236" Type="http://schemas.openxmlformats.org/officeDocument/2006/relationships/hyperlink" Target="http://mlb.mlb.com/team/player.jsp?player_id=621209" TargetMode="External"/><Relationship Id="rId278" Type="http://schemas.openxmlformats.org/officeDocument/2006/relationships/hyperlink" Target="http://mlb.mlb.com/team/player.jsp?player_id=656546" TargetMode="External"/><Relationship Id="rId401" Type="http://schemas.openxmlformats.org/officeDocument/2006/relationships/hyperlink" Target="http://mlb.mlb.com/team/player.jsp?player_id=543408" TargetMode="External"/><Relationship Id="rId443" Type="http://schemas.openxmlformats.org/officeDocument/2006/relationships/hyperlink" Target="http://mlb.mlb.com/team/player.jsp?player_id=518693" TargetMode="External"/><Relationship Id="rId650" Type="http://schemas.openxmlformats.org/officeDocument/2006/relationships/hyperlink" Target="http://mlb.mlb.com/team/player.jsp?player_id=594027" TargetMode="External"/><Relationship Id="rId303" Type="http://schemas.openxmlformats.org/officeDocument/2006/relationships/hyperlink" Target="http://mlb.mlb.com/team/player.jsp?player_id=520980" TargetMode="External"/><Relationship Id="rId485" Type="http://schemas.openxmlformats.org/officeDocument/2006/relationships/hyperlink" Target="http://mlb.mlb.com/team/player.jsp?player_id=592340" TargetMode="External"/><Relationship Id="rId692" Type="http://schemas.openxmlformats.org/officeDocument/2006/relationships/hyperlink" Target="http://mlb.mlb.com/team/player.jsp?player_id=407819" TargetMode="External"/><Relationship Id="rId706" Type="http://schemas.openxmlformats.org/officeDocument/2006/relationships/hyperlink" Target="http://mlb.mlb.com/team/player.jsp?player_id=519293" TargetMode="External"/><Relationship Id="rId748" Type="http://schemas.openxmlformats.org/officeDocument/2006/relationships/hyperlink" Target="http://mlb.mlb.com/team/player.jsp?player_id=493200" TargetMode="External"/><Relationship Id="rId42" Type="http://schemas.openxmlformats.org/officeDocument/2006/relationships/hyperlink" Target="http://mlb.mlb.com/team/player.jsp?player_id=592662" TargetMode="External"/><Relationship Id="rId84" Type="http://schemas.openxmlformats.org/officeDocument/2006/relationships/hyperlink" Target="http://mlb.mlb.com/team/player.jsp?player_id=543901" TargetMode="External"/><Relationship Id="rId138" Type="http://schemas.openxmlformats.org/officeDocument/2006/relationships/hyperlink" Target="http://mlb.mlb.com/team/player.jsp?player_id=467008" TargetMode="External"/><Relationship Id="rId345" Type="http://schemas.openxmlformats.org/officeDocument/2006/relationships/hyperlink" Target="http://mlb.mlb.com/team/player.jsp?player_id=431148" TargetMode="External"/><Relationship Id="rId387" Type="http://schemas.openxmlformats.org/officeDocument/2006/relationships/hyperlink" Target="http://mlb.mlb.com/team/player.jsp?player_id=595235" TargetMode="External"/><Relationship Id="rId510" Type="http://schemas.openxmlformats.org/officeDocument/2006/relationships/hyperlink" Target="http://mlb.mlb.com/team/player.jsp?player_id=518774" TargetMode="External"/><Relationship Id="rId552" Type="http://schemas.openxmlformats.org/officeDocument/2006/relationships/hyperlink" Target="http://mlb.mlb.com/team/player.jsp?player_id=592826" TargetMode="External"/><Relationship Id="rId594" Type="http://schemas.openxmlformats.org/officeDocument/2006/relationships/hyperlink" Target="http://mlb.mlb.com/team/player.jsp?player_id=477003" TargetMode="External"/><Relationship Id="rId608" Type="http://schemas.openxmlformats.org/officeDocument/2006/relationships/hyperlink" Target="http://mlb.mlb.com/team/player.jsp?player_id=452061" TargetMode="External"/><Relationship Id="rId815" Type="http://schemas.openxmlformats.org/officeDocument/2006/relationships/hyperlink" Target="http://mlb.mlb.com/team/player.jsp?player_id=519240" TargetMode="External"/><Relationship Id="rId191" Type="http://schemas.openxmlformats.org/officeDocument/2006/relationships/hyperlink" Target="http://mlb.mlb.com/team/player.jsp?player_id=572102" TargetMode="External"/><Relationship Id="rId205" Type="http://schemas.openxmlformats.org/officeDocument/2006/relationships/hyperlink" Target="http://mlb.mlb.com/team/player.jsp?player_id=502457" TargetMode="External"/><Relationship Id="rId247" Type="http://schemas.openxmlformats.org/officeDocument/2006/relationships/hyperlink" Target="http://mlb.mlb.com/team/player.jsp?player_id=457429" TargetMode="External"/><Relationship Id="rId412" Type="http://schemas.openxmlformats.org/officeDocument/2006/relationships/hyperlink" Target="http://mlb.mlb.com/team/player.jsp?player_id=518560" TargetMode="External"/><Relationship Id="rId107" Type="http://schemas.openxmlformats.org/officeDocument/2006/relationships/hyperlink" Target="http://mlb.mlb.com/team/player.jsp?player_id=468396" TargetMode="External"/><Relationship Id="rId289" Type="http://schemas.openxmlformats.org/officeDocument/2006/relationships/hyperlink" Target="http://mlb.mlb.com/team/player.jsp?player_id=572750" TargetMode="External"/><Relationship Id="rId454" Type="http://schemas.openxmlformats.org/officeDocument/2006/relationships/hyperlink" Target="http://mlb.mlb.com/team/player.jsp?player_id=608718" TargetMode="External"/><Relationship Id="rId496" Type="http://schemas.openxmlformats.org/officeDocument/2006/relationships/hyperlink" Target="http://mlb.mlb.com/team/player.jsp?player_id=477569" TargetMode="External"/><Relationship Id="rId661" Type="http://schemas.openxmlformats.org/officeDocument/2006/relationships/hyperlink" Target="http://mlb.mlb.com/team/player.jsp?player_id=429719" TargetMode="External"/><Relationship Id="rId717" Type="http://schemas.openxmlformats.org/officeDocument/2006/relationships/hyperlink" Target="http://mlb.mlb.com/team/player.jsp?player_id=408241" TargetMode="External"/><Relationship Id="rId759" Type="http://schemas.openxmlformats.org/officeDocument/2006/relationships/hyperlink" Target="http://mlb.mlb.com/team/player.jsp?player_id=448802" TargetMode="External"/><Relationship Id="rId11" Type="http://schemas.openxmlformats.org/officeDocument/2006/relationships/hyperlink" Target="http://mlb.mlb.com/team/player.jsp?player_id=475138" TargetMode="External"/><Relationship Id="rId53" Type="http://schemas.openxmlformats.org/officeDocument/2006/relationships/hyperlink" Target="http://mlb.mlb.com/team/player.jsp?player_id=657205" TargetMode="External"/><Relationship Id="rId149" Type="http://schemas.openxmlformats.org/officeDocument/2006/relationships/hyperlink" Target="http://mlb.mlb.com/team/player.jsp?player_id=607359" TargetMode="External"/><Relationship Id="rId314" Type="http://schemas.openxmlformats.org/officeDocument/2006/relationships/hyperlink" Target="http://mlb.mlb.com/team/player.jsp?player_id=431148" TargetMode="External"/><Relationship Id="rId356" Type="http://schemas.openxmlformats.org/officeDocument/2006/relationships/hyperlink" Target="http://mlb.mlb.com/team/player.jsp?player_id=474463" TargetMode="External"/><Relationship Id="rId398" Type="http://schemas.openxmlformats.org/officeDocument/2006/relationships/hyperlink" Target="http://mlb.mlb.com/team/player.jsp?player_id=621295" TargetMode="External"/><Relationship Id="rId521" Type="http://schemas.openxmlformats.org/officeDocument/2006/relationships/hyperlink" Target="http://mlb.mlb.com/team/player.jsp?player_id=595191" TargetMode="External"/><Relationship Id="rId563" Type="http://schemas.openxmlformats.org/officeDocument/2006/relationships/hyperlink" Target="http://mlb.mlb.com/team/player.jsp?player_id=605396" TargetMode="External"/><Relationship Id="rId619" Type="http://schemas.openxmlformats.org/officeDocument/2006/relationships/hyperlink" Target="http://mlb.mlb.com/team/player.jsp?player_id=455374" TargetMode="External"/><Relationship Id="rId770" Type="http://schemas.openxmlformats.org/officeDocument/2006/relationships/hyperlink" Target="http://mlb.mlb.com/team/player.jsp?player_id=435043" TargetMode="External"/><Relationship Id="rId95" Type="http://schemas.openxmlformats.org/officeDocument/2006/relationships/hyperlink" Target="http://mlb.mlb.com/team/player.jsp?player_id=623406" TargetMode="External"/><Relationship Id="rId160" Type="http://schemas.openxmlformats.org/officeDocument/2006/relationships/hyperlink" Target="http://mlb.mlb.com/team/player.jsp?player_id=452657" TargetMode="External"/><Relationship Id="rId216" Type="http://schemas.openxmlformats.org/officeDocument/2006/relationships/hyperlink" Target="http://mlb.mlb.com/team/player.jsp?player_id=471822" TargetMode="External"/><Relationship Id="rId423" Type="http://schemas.openxmlformats.org/officeDocument/2006/relationships/hyperlink" Target="http://mlb.mlb.com/team/player.jsp?player_id=448614" TargetMode="External"/><Relationship Id="rId826" Type="http://schemas.openxmlformats.org/officeDocument/2006/relationships/hyperlink" Target="http://mlb.mlb.com/team/player.jsp?player_id=544931" TargetMode="External"/><Relationship Id="rId258" Type="http://schemas.openxmlformats.org/officeDocument/2006/relationships/hyperlink" Target="http://mlb.mlb.com/team/player.jsp?player_id=608032" TargetMode="External"/><Relationship Id="rId465" Type="http://schemas.openxmlformats.org/officeDocument/2006/relationships/hyperlink" Target="http://mlb.mlb.com/team/player.jsp?player_id=571911" TargetMode="External"/><Relationship Id="rId630" Type="http://schemas.openxmlformats.org/officeDocument/2006/relationships/hyperlink" Target="http://mlb.mlb.com/team/player.jsp?player_id=517448" TargetMode="External"/><Relationship Id="rId672" Type="http://schemas.openxmlformats.org/officeDocument/2006/relationships/hyperlink" Target="http://mlb.mlb.com/team/player.jsp?player_id=519141" TargetMode="External"/><Relationship Id="rId728" Type="http://schemas.openxmlformats.org/officeDocument/2006/relationships/hyperlink" Target="http://mlb.mlb.com/team/player.jsp?player_id=518516" TargetMode="External"/><Relationship Id="rId22" Type="http://schemas.openxmlformats.org/officeDocument/2006/relationships/hyperlink" Target="http://mlb.mlb.com/team/player.jsp?player_id=643327" TargetMode="External"/><Relationship Id="rId64" Type="http://schemas.openxmlformats.org/officeDocument/2006/relationships/hyperlink" Target="http://mlb.mlb.com/team/player.jsp?player_id=462382" TargetMode="External"/><Relationship Id="rId118" Type="http://schemas.openxmlformats.org/officeDocument/2006/relationships/hyperlink" Target="http://mlb.mlb.com/team/player.jsp?player_id=621408" TargetMode="External"/><Relationship Id="rId325" Type="http://schemas.openxmlformats.org/officeDocument/2006/relationships/hyperlink" Target="http://mlb.mlb.com/team/player.jsp?player_id=474463" TargetMode="External"/><Relationship Id="rId367" Type="http://schemas.openxmlformats.org/officeDocument/2006/relationships/hyperlink" Target="http://mlb.mlb.com/team/player.jsp?player_id=621295" TargetMode="External"/><Relationship Id="rId532" Type="http://schemas.openxmlformats.org/officeDocument/2006/relationships/hyperlink" Target="http://mlb.mlb.com/team/player.jsp?player_id=605894" TargetMode="External"/><Relationship Id="rId574" Type="http://schemas.openxmlformats.org/officeDocument/2006/relationships/hyperlink" Target="http://mlb.mlb.com/team/player.jsp?player_id=453281" TargetMode="External"/><Relationship Id="rId171" Type="http://schemas.openxmlformats.org/officeDocument/2006/relationships/hyperlink" Target="http://mlb.mlb.com/team/player.jsp?player_id=615868" TargetMode="External"/><Relationship Id="rId227" Type="http://schemas.openxmlformats.org/officeDocument/2006/relationships/hyperlink" Target="http://mlb.mlb.com/team/player.jsp?player_id=543483" TargetMode="External"/><Relationship Id="rId781" Type="http://schemas.openxmlformats.org/officeDocument/2006/relationships/hyperlink" Target="http://mlb.mlb.com/team/player.jsp?player_id=502190" TargetMode="External"/><Relationship Id="rId837" Type="http://schemas.openxmlformats.org/officeDocument/2006/relationships/printerSettings" Target="../printerSettings/printerSettings6.bin"/><Relationship Id="rId269" Type="http://schemas.openxmlformats.org/officeDocument/2006/relationships/hyperlink" Target="http://mlb.mlb.com/team/player.jsp?player_id=571735" TargetMode="External"/><Relationship Id="rId434" Type="http://schemas.openxmlformats.org/officeDocument/2006/relationships/hyperlink" Target="http://mlb.mlb.com/team/player.jsp?player_id=519076" TargetMode="External"/><Relationship Id="rId476" Type="http://schemas.openxmlformats.org/officeDocument/2006/relationships/hyperlink" Target="http://mlb.mlb.com/team/player.jsp?player_id=544727" TargetMode="External"/><Relationship Id="rId641" Type="http://schemas.openxmlformats.org/officeDocument/2006/relationships/hyperlink" Target="http://mlb.mlb.com/team/player.jsp?player_id=453385" TargetMode="External"/><Relationship Id="rId683" Type="http://schemas.openxmlformats.org/officeDocument/2006/relationships/hyperlink" Target="http://mlb.mlb.com/team/player.jsp?player_id=607727" TargetMode="External"/><Relationship Id="rId739" Type="http://schemas.openxmlformats.org/officeDocument/2006/relationships/hyperlink" Target="http://mlb.mlb.com/team/player.jsp?player_id=544150" TargetMode="External"/><Relationship Id="rId33" Type="http://schemas.openxmlformats.org/officeDocument/2006/relationships/hyperlink" Target="http://mlb.mlb.com/team/player.jsp?player_id=446899" TargetMode="External"/><Relationship Id="rId129" Type="http://schemas.openxmlformats.org/officeDocument/2006/relationships/hyperlink" Target="http://mlb.mlb.com/team/player.jsp?player_id=150274" TargetMode="External"/><Relationship Id="rId280" Type="http://schemas.openxmlformats.org/officeDocument/2006/relationships/hyperlink" Target="http://mlb.mlb.com/team/player.jsp?player_id=623184" TargetMode="External"/><Relationship Id="rId336" Type="http://schemas.openxmlformats.org/officeDocument/2006/relationships/hyperlink" Target="http://mlb.mlb.com/team/player.jsp?player_id=554340" TargetMode="External"/><Relationship Id="rId501" Type="http://schemas.openxmlformats.org/officeDocument/2006/relationships/hyperlink" Target="http://mlb.mlb.com/team/player.jsp?player_id=460283" TargetMode="External"/><Relationship Id="rId543" Type="http://schemas.openxmlformats.org/officeDocument/2006/relationships/hyperlink" Target="http://mlb.mlb.com/team/player.jsp?player_id=572119" TargetMode="External"/><Relationship Id="rId75" Type="http://schemas.openxmlformats.org/officeDocument/2006/relationships/hyperlink" Target="http://mlb.mlb.com/team/player.jsp?player_id=592314" TargetMode="External"/><Relationship Id="rId140" Type="http://schemas.openxmlformats.org/officeDocument/2006/relationships/hyperlink" Target="http://mlb.mlb.com/team/player.jsp?player_id=453562" TargetMode="External"/><Relationship Id="rId182" Type="http://schemas.openxmlformats.org/officeDocument/2006/relationships/hyperlink" Target="http://mlb.mlb.com/team/player.jsp?player_id=628452" TargetMode="External"/><Relationship Id="rId378" Type="http://schemas.openxmlformats.org/officeDocument/2006/relationships/hyperlink" Target="http://mlb.mlb.com/team/player.jsp?player_id=543054" TargetMode="External"/><Relationship Id="rId403" Type="http://schemas.openxmlformats.org/officeDocument/2006/relationships/hyperlink" Target="http://mlb.mlb.com/team/player.jsp?player_id=543017" TargetMode="External"/><Relationship Id="rId585" Type="http://schemas.openxmlformats.org/officeDocument/2006/relationships/hyperlink" Target="http://mlb.mlb.com/team/player.jsp?player_id=543037" TargetMode="External"/><Relationship Id="rId750" Type="http://schemas.openxmlformats.org/officeDocument/2006/relationships/hyperlink" Target="http://mlb.mlb.com/team/player.jsp?player_id=462515" TargetMode="External"/><Relationship Id="rId792" Type="http://schemas.openxmlformats.org/officeDocument/2006/relationships/hyperlink" Target="http://mlb.mlb.com/team/player.jsp?player_id=279571" TargetMode="External"/><Relationship Id="rId806" Type="http://schemas.openxmlformats.org/officeDocument/2006/relationships/hyperlink" Target="http://mlb.mlb.com/team/player.jsp?player_id=461829" TargetMode="External"/><Relationship Id="rId6" Type="http://schemas.openxmlformats.org/officeDocument/2006/relationships/hyperlink" Target="http://mlb.mlb.com/team/player.jsp?player_id=545332" TargetMode="External"/><Relationship Id="rId238" Type="http://schemas.openxmlformats.org/officeDocument/2006/relationships/hyperlink" Target="http://mlb.mlb.com/team/player.jsp?player_id=593974" TargetMode="External"/><Relationship Id="rId445" Type="http://schemas.openxmlformats.org/officeDocument/2006/relationships/hyperlink" Target="http://mlb.mlb.com/team/player.jsp?player_id=516414" TargetMode="External"/><Relationship Id="rId487" Type="http://schemas.openxmlformats.org/officeDocument/2006/relationships/hyperlink" Target="http://mlb.mlb.com/team/player.jsp?player_id=455374" TargetMode="External"/><Relationship Id="rId610" Type="http://schemas.openxmlformats.org/officeDocument/2006/relationships/hyperlink" Target="http://mlb.mlb.com/team/player.jsp?player_id=453265" TargetMode="External"/><Relationship Id="rId652" Type="http://schemas.openxmlformats.org/officeDocument/2006/relationships/hyperlink" Target="http://mlb.mlb.com/team/player.jsp?player_id=543506" TargetMode="External"/><Relationship Id="rId694" Type="http://schemas.openxmlformats.org/officeDocument/2006/relationships/hyperlink" Target="http://mlb.mlb.com/team/player.jsp?player_id=453646" TargetMode="External"/><Relationship Id="rId708" Type="http://schemas.openxmlformats.org/officeDocument/2006/relationships/hyperlink" Target="http://mlb.mlb.com/team/player.jsp?player_id=595345" TargetMode="External"/><Relationship Id="rId291" Type="http://schemas.openxmlformats.org/officeDocument/2006/relationships/hyperlink" Target="http://mlb.mlb.com/team/player.jsp?player_id=571539" TargetMode="External"/><Relationship Id="rId305" Type="http://schemas.openxmlformats.org/officeDocument/2006/relationships/hyperlink" Target="http://mlb.mlb.com/team/player.jsp?player_id=554340" TargetMode="External"/><Relationship Id="rId347" Type="http://schemas.openxmlformats.org/officeDocument/2006/relationships/hyperlink" Target="http://mlb.mlb.com/team/player.jsp?player_id=435221" TargetMode="External"/><Relationship Id="rId512" Type="http://schemas.openxmlformats.org/officeDocument/2006/relationships/hyperlink" Target="http://mlb.mlb.com/team/player.jsp?player_id=572831" TargetMode="External"/><Relationship Id="rId44" Type="http://schemas.openxmlformats.org/officeDocument/2006/relationships/hyperlink" Target="http://mlb.mlb.com/team/player.jsp?player_id=605151" TargetMode="External"/><Relationship Id="rId86" Type="http://schemas.openxmlformats.org/officeDocument/2006/relationships/hyperlink" Target="http://mlb.mlb.com/team/player.jsp?player_id=592433" TargetMode="External"/><Relationship Id="rId151" Type="http://schemas.openxmlformats.org/officeDocument/2006/relationships/hyperlink" Target="http://mlb.mlb.com/team/player.jsp?player_id=453385" TargetMode="External"/><Relationship Id="rId389" Type="http://schemas.openxmlformats.org/officeDocument/2006/relationships/hyperlink" Target="http://mlb.mlb.com/team/player.jsp?player_id=607067" TargetMode="External"/><Relationship Id="rId554" Type="http://schemas.openxmlformats.org/officeDocument/2006/relationships/hyperlink" Target="http://mlb.mlb.com/team/player.jsp?player_id=605400" TargetMode="External"/><Relationship Id="rId596" Type="http://schemas.openxmlformats.org/officeDocument/2006/relationships/hyperlink" Target="http://mlb.mlb.com/team/player.jsp?player_id=434538" TargetMode="External"/><Relationship Id="rId761" Type="http://schemas.openxmlformats.org/officeDocument/2006/relationships/hyperlink" Target="http://mlb.mlb.com/team/player.jsp?player_id=608379" TargetMode="External"/><Relationship Id="rId817" Type="http://schemas.openxmlformats.org/officeDocument/2006/relationships/hyperlink" Target="http://mlb.mlb.com/team/player.jsp?player_id=453343" TargetMode="External"/><Relationship Id="rId193" Type="http://schemas.openxmlformats.org/officeDocument/2006/relationships/hyperlink" Target="http://mlb.mlb.com/team/player.jsp?player_id=595001" TargetMode="External"/><Relationship Id="rId207" Type="http://schemas.openxmlformats.org/officeDocument/2006/relationships/hyperlink" Target="http://mlb.mlb.com/team/player.jsp?player_id=430580" TargetMode="External"/><Relationship Id="rId249" Type="http://schemas.openxmlformats.org/officeDocument/2006/relationships/hyperlink" Target="http://mlb.mlb.com/team/player.jsp?player_id=543022" TargetMode="External"/><Relationship Id="rId414" Type="http://schemas.openxmlformats.org/officeDocument/2006/relationships/hyperlink" Target="http://mlb.mlb.com/team/player.jsp?player_id=429780" TargetMode="External"/><Relationship Id="rId456" Type="http://schemas.openxmlformats.org/officeDocument/2006/relationships/hyperlink" Target="http://mlb.mlb.com/team/player.jsp?player_id=430641" TargetMode="External"/><Relationship Id="rId498" Type="http://schemas.openxmlformats.org/officeDocument/2006/relationships/hyperlink" Target="http://mlb.mlb.com/team/player.jsp?player_id=544727" TargetMode="External"/><Relationship Id="rId621" Type="http://schemas.openxmlformats.org/officeDocument/2006/relationships/hyperlink" Target="http://mlb.mlb.com/team/player.jsp?player_id=607192" TargetMode="External"/><Relationship Id="rId663" Type="http://schemas.openxmlformats.org/officeDocument/2006/relationships/hyperlink" Target="http://mlb.mlb.com/team/player.jsp?player_id=543054" TargetMode="External"/><Relationship Id="rId13" Type="http://schemas.openxmlformats.org/officeDocument/2006/relationships/hyperlink" Target="http://mlb.mlb.com/team/player.jsp?player_id=592662" TargetMode="External"/><Relationship Id="rId109" Type="http://schemas.openxmlformats.org/officeDocument/2006/relationships/hyperlink" Target="http://mlb.mlb.com/team/player.jsp?player_id=594792" TargetMode="External"/><Relationship Id="rId260" Type="http://schemas.openxmlformats.org/officeDocument/2006/relationships/hyperlink" Target="http://mlb.mlb.com/team/player.jsp?player_id=407822" TargetMode="External"/><Relationship Id="rId316" Type="http://schemas.openxmlformats.org/officeDocument/2006/relationships/hyperlink" Target="http://mlb.mlb.com/team/player.jsp?player_id=435221" TargetMode="External"/><Relationship Id="rId523" Type="http://schemas.openxmlformats.org/officeDocument/2006/relationships/hyperlink" Target="http://mlb.mlb.com/team/player.jsp?player_id=591693" TargetMode="External"/><Relationship Id="rId719" Type="http://schemas.openxmlformats.org/officeDocument/2006/relationships/hyperlink" Target="http://mlb.mlb.com/team/player.jsp?player_id=519186" TargetMode="External"/><Relationship Id="rId55" Type="http://schemas.openxmlformats.org/officeDocument/2006/relationships/hyperlink" Target="http://mlb.mlb.com/team/player.jsp?player_id=611093" TargetMode="External"/><Relationship Id="rId97" Type="http://schemas.openxmlformats.org/officeDocument/2006/relationships/hyperlink" Target="http://mlb.mlb.com/team/player.jsp?player_id=606291" TargetMode="External"/><Relationship Id="rId120" Type="http://schemas.openxmlformats.org/officeDocument/2006/relationships/hyperlink" Target="http://mlb.mlb.com/team/player.jsp?player_id=543391" TargetMode="External"/><Relationship Id="rId358" Type="http://schemas.openxmlformats.org/officeDocument/2006/relationships/hyperlink" Target="http://mlb.mlb.com/team/player.jsp?player_id=607067" TargetMode="External"/><Relationship Id="rId565" Type="http://schemas.openxmlformats.org/officeDocument/2006/relationships/hyperlink" Target="http://mlb.mlb.com/team/player.jsp?player_id=472610" TargetMode="External"/><Relationship Id="rId730" Type="http://schemas.openxmlformats.org/officeDocument/2006/relationships/hyperlink" Target="http://mlb.mlb.com/team/player.jsp?player_id=519293" TargetMode="External"/><Relationship Id="rId772" Type="http://schemas.openxmlformats.org/officeDocument/2006/relationships/hyperlink" Target="http://mlb.mlb.com/team/player.jsp?player_id=543779" TargetMode="External"/><Relationship Id="rId828" Type="http://schemas.openxmlformats.org/officeDocument/2006/relationships/hyperlink" Target="http://mlb.mlb.com/team/player.jsp?player_id=433589" TargetMode="External"/><Relationship Id="rId162" Type="http://schemas.openxmlformats.org/officeDocument/2006/relationships/hyperlink" Target="http://mlb.mlb.com/team/player.jsp?player_id=502239" TargetMode="External"/><Relationship Id="rId218" Type="http://schemas.openxmlformats.org/officeDocument/2006/relationships/hyperlink" Target="http://mlb.mlb.com/team/player.jsp?player_id=573185" TargetMode="External"/><Relationship Id="rId425" Type="http://schemas.openxmlformats.org/officeDocument/2006/relationships/hyperlink" Target="http://mlb.mlb.com/team/player.jsp?player_id=572788" TargetMode="External"/><Relationship Id="rId467" Type="http://schemas.openxmlformats.org/officeDocument/2006/relationships/hyperlink" Target="http://mlb.mlb.com/team/player.jsp?player_id=457779" TargetMode="External"/><Relationship Id="rId632" Type="http://schemas.openxmlformats.org/officeDocument/2006/relationships/hyperlink" Target="http://mlb.mlb.com/team/player.jsp?player_id=458537" TargetMode="External"/><Relationship Id="rId271" Type="http://schemas.openxmlformats.org/officeDocument/2006/relationships/hyperlink" Target="http://mlb.mlb.com/team/player.jsp?player_id=542881" TargetMode="External"/><Relationship Id="rId674" Type="http://schemas.openxmlformats.org/officeDocument/2006/relationships/hyperlink" Target="http://mlb.mlb.com/team/player.jsp?player_id=488748" TargetMode="External"/><Relationship Id="rId24" Type="http://schemas.openxmlformats.org/officeDocument/2006/relationships/hyperlink" Target="http://mlb.mlb.com/team/player.jsp?player_id=657205" TargetMode="External"/><Relationship Id="rId66" Type="http://schemas.openxmlformats.org/officeDocument/2006/relationships/hyperlink" Target="http://mlb.mlb.com/team/player.jsp?player_id=571871" TargetMode="External"/><Relationship Id="rId131" Type="http://schemas.openxmlformats.org/officeDocument/2006/relationships/hyperlink" Target="http://mlb.mlb.com/team/player.jsp?player_id=642239" TargetMode="External"/><Relationship Id="rId327" Type="http://schemas.openxmlformats.org/officeDocument/2006/relationships/hyperlink" Target="http://mlb.mlb.com/team/player.jsp?player_id=502051" TargetMode="External"/><Relationship Id="rId369" Type="http://schemas.openxmlformats.org/officeDocument/2006/relationships/hyperlink" Target="http://mlb.mlb.com/team/player.jsp?player_id=543045" TargetMode="External"/><Relationship Id="rId534" Type="http://schemas.openxmlformats.org/officeDocument/2006/relationships/hyperlink" Target="http://mlb.mlb.com/team/player.jsp?player_id=592527" TargetMode="External"/><Relationship Id="rId576" Type="http://schemas.openxmlformats.org/officeDocument/2006/relationships/hyperlink" Target="http://mlb.mlb.com/team/player.jsp?player_id=452061" TargetMode="External"/><Relationship Id="rId741" Type="http://schemas.openxmlformats.org/officeDocument/2006/relationships/hyperlink" Target="http://mlb.mlb.com/team/player.jsp?player_id=408241" TargetMode="External"/><Relationship Id="rId783" Type="http://schemas.openxmlformats.org/officeDocument/2006/relationships/hyperlink" Target="http://mlb.mlb.com/team/player.jsp?player_id=518883" TargetMode="External"/><Relationship Id="rId173" Type="http://schemas.openxmlformats.org/officeDocument/2006/relationships/hyperlink" Target="http://mlb.mlb.com/team/player.jsp?player_id=518748" TargetMode="External"/><Relationship Id="rId229" Type="http://schemas.openxmlformats.org/officeDocument/2006/relationships/hyperlink" Target="http://mlb.mlb.com/team/player.jsp?player_id=500724" TargetMode="External"/><Relationship Id="rId380" Type="http://schemas.openxmlformats.org/officeDocument/2006/relationships/hyperlink" Target="http://mlb.mlb.com/team/player.jsp?player_id=570632" TargetMode="External"/><Relationship Id="rId436" Type="http://schemas.openxmlformats.org/officeDocument/2006/relationships/hyperlink" Target="http://mlb.mlb.com/team/player.jsp?player_id=503449" TargetMode="External"/><Relationship Id="rId601" Type="http://schemas.openxmlformats.org/officeDocument/2006/relationships/hyperlink" Target="http://mlb.mlb.com/team/player.jsp?player_id=504083" TargetMode="External"/><Relationship Id="rId643" Type="http://schemas.openxmlformats.org/officeDocument/2006/relationships/hyperlink" Target="http://mlb.mlb.com/team/player.jsp?player_id=543272" TargetMode="External"/><Relationship Id="rId240" Type="http://schemas.openxmlformats.org/officeDocument/2006/relationships/hyperlink" Target="http://mlb.mlb.com/team/player.jsp?player_id=500765" TargetMode="External"/><Relationship Id="rId478" Type="http://schemas.openxmlformats.org/officeDocument/2006/relationships/hyperlink" Target="http://mlb.mlb.com/team/player.jsp?player_id=607625" TargetMode="External"/><Relationship Id="rId685" Type="http://schemas.openxmlformats.org/officeDocument/2006/relationships/hyperlink" Target="http://mlb.mlb.com/team/player.jsp?player_id=488768" TargetMode="External"/><Relationship Id="rId35" Type="http://schemas.openxmlformats.org/officeDocument/2006/relationships/hyperlink" Target="http://mlb.mlb.com/team/player.jsp?player_id=545332" TargetMode="External"/><Relationship Id="rId77" Type="http://schemas.openxmlformats.org/officeDocument/2006/relationships/hyperlink" Target="http://mlb.mlb.com/team/player.jsp?player_id=607231" TargetMode="External"/><Relationship Id="rId100" Type="http://schemas.openxmlformats.org/officeDocument/2006/relationships/hyperlink" Target="http://mlb.mlb.com/team/player.jsp?player_id=543017" TargetMode="External"/><Relationship Id="rId282" Type="http://schemas.openxmlformats.org/officeDocument/2006/relationships/hyperlink" Target="http://mlb.mlb.com/team/player.jsp?player_id=430589" TargetMode="External"/><Relationship Id="rId338" Type="http://schemas.openxmlformats.org/officeDocument/2006/relationships/hyperlink" Target="http://mlb.mlb.com/team/player.jsp?player_id=628711" TargetMode="External"/><Relationship Id="rId503" Type="http://schemas.openxmlformats.org/officeDocument/2006/relationships/hyperlink" Target="http://mlb.mlb.com/team/player.jsp?player_id=571927" TargetMode="External"/><Relationship Id="rId545" Type="http://schemas.openxmlformats.org/officeDocument/2006/relationships/hyperlink" Target="http://mlb.mlb.com/team/player.jsp?player_id=593576" TargetMode="External"/><Relationship Id="rId587" Type="http://schemas.openxmlformats.org/officeDocument/2006/relationships/hyperlink" Target="http://mlb.mlb.com/team/player.jsp?player_id=455374" TargetMode="External"/><Relationship Id="rId710" Type="http://schemas.openxmlformats.org/officeDocument/2006/relationships/hyperlink" Target="http://mlb.mlb.com/team/player.jsp?player_id=608717" TargetMode="External"/><Relationship Id="rId752" Type="http://schemas.openxmlformats.org/officeDocument/2006/relationships/hyperlink" Target="http://mlb.mlb.com/team/player.jsp?player_id=593372" TargetMode="External"/><Relationship Id="rId808" Type="http://schemas.openxmlformats.org/officeDocument/2006/relationships/hyperlink" Target="http://mlb.mlb.com/team/player.jsp?player_id=424144" TargetMode="External"/><Relationship Id="rId8" Type="http://schemas.openxmlformats.org/officeDocument/2006/relationships/hyperlink" Target="http://mlb.mlb.com/team/player.jsp?player_id=461325" TargetMode="External"/><Relationship Id="rId142" Type="http://schemas.openxmlformats.org/officeDocument/2006/relationships/hyperlink" Target="http://mlb.mlb.com/team/player.jsp?player_id=444468" TargetMode="External"/><Relationship Id="rId184" Type="http://schemas.openxmlformats.org/officeDocument/2006/relationships/hyperlink" Target="http://mlb.mlb.com/team/player.jsp?player_id=471822" TargetMode="External"/><Relationship Id="rId391" Type="http://schemas.openxmlformats.org/officeDocument/2006/relationships/hyperlink" Target="http://mlb.mlb.com/team/player.jsp?player_id=596331" TargetMode="External"/><Relationship Id="rId405" Type="http://schemas.openxmlformats.org/officeDocument/2006/relationships/hyperlink" Target="http://mlb.mlb.com/team/player.jsp?player_id=592593" TargetMode="External"/><Relationship Id="rId447" Type="http://schemas.openxmlformats.org/officeDocument/2006/relationships/hyperlink" Target="http://mlb.mlb.com/team/player.jsp?player_id=502026" TargetMode="External"/><Relationship Id="rId612" Type="http://schemas.openxmlformats.org/officeDocument/2006/relationships/hyperlink" Target="http://mlb.mlb.com/team/player.jsp?player_id=553878" TargetMode="External"/><Relationship Id="rId794" Type="http://schemas.openxmlformats.org/officeDocument/2006/relationships/hyperlink" Target="http://mlb.mlb.com/team/player.jsp?player_id=595014" TargetMode="External"/><Relationship Id="rId251" Type="http://schemas.openxmlformats.org/officeDocument/2006/relationships/hyperlink" Target="http://mlb.mlb.com/team/player.jsp?player_id=459429" TargetMode="External"/><Relationship Id="rId489" Type="http://schemas.openxmlformats.org/officeDocument/2006/relationships/hyperlink" Target="http://mlb.mlb.com/team/player.jsp?player_id=548337" TargetMode="External"/><Relationship Id="rId654" Type="http://schemas.openxmlformats.org/officeDocument/2006/relationships/hyperlink" Target="http://mlb.mlb.com/team/player.jsp?player_id=543184" TargetMode="External"/><Relationship Id="rId696" Type="http://schemas.openxmlformats.org/officeDocument/2006/relationships/hyperlink" Target="http://mlb.mlb.com/team/player.jsp?player_id=605304" TargetMode="External"/><Relationship Id="rId46" Type="http://schemas.openxmlformats.org/officeDocument/2006/relationships/hyperlink" Target="http://mlb.mlb.com/team/player.jsp?player_id=543339" TargetMode="External"/><Relationship Id="rId293" Type="http://schemas.openxmlformats.org/officeDocument/2006/relationships/hyperlink" Target="http://mlb.mlb.com/team/player.jsp?player_id=456071" TargetMode="External"/><Relationship Id="rId307" Type="http://schemas.openxmlformats.org/officeDocument/2006/relationships/hyperlink" Target="http://mlb.mlb.com/team/player.jsp?player_id=628711" TargetMode="External"/><Relationship Id="rId349" Type="http://schemas.openxmlformats.org/officeDocument/2006/relationships/hyperlink" Target="http://mlb.mlb.com/team/player.jsp?player_id=501822" TargetMode="External"/><Relationship Id="rId514" Type="http://schemas.openxmlformats.org/officeDocument/2006/relationships/hyperlink" Target="http://mlb.mlb.com/team/player.jsp?player_id=543219" TargetMode="External"/><Relationship Id="rId556" Type="http://schemas.openxmlformats.org/officeDocument/2006/relationships/hyperlink" Target="http://mlb.mlb.com/team/player.jsp?player_id=491646" TargetMode="External"/><Relationship Id="rId721" Type="http://schemas.openxmlformats.org/officeDocument/2006/relationships/hyperlink" Target="http://mlb.mlb.com/team/player.jsp?player_id=458678" TargetMode="External"/><Relationship Id="rId763" Type="http://schemas.openxmlformats.org/officeDocument/2006/relationships/hyperlink" Target="http://mlb.mlb.com/team/player.jsp?player_id=596133" TargetMode="External"/><Relationship Id="rId88" Type="http://schemas.openxmlformats.org/officeDocument/2006/relationships/hyperlink" Target="http://mlb.mlb.com/team/player.jsp?player_id=572283" TargetMode="External"/><Relationship Id="rId111" Type="http://schemas.openxmlformats.org/officeDocument/2006/relationships/hyperlink" Target="http://mlb.mlb.com/team/player.jsp?player_id=527055" TargetMode="External"/><Relationship Id="rId153" Type="http://schemas.openxmlformats.org/officeDocument/2006/relationships/hyperlink" Target="http://mlb.mlb.com/team/player.jsp?player_id=407908" TargetMode="External"/><Relationship Id="rId195" Type="http://schemas.openxmlformats.org/officeDocument/2006/relationships/hyperlink" Target="http://mlb.mlb.com/team/player.jsp?player_id=543483" TargetMode="External"/><Relationship Id="rId209" Type="http://schemas.openxmlformats.org/officeDocument/2006/relationships/hyperlink" Target="http://mlb.mlb.com/team/player.jsp?player_id=543532" TargetMode="External"/><Relationship Id="rId360" Type="http://schemas.openxmlformats.org/officeDocument/2006/relationships/hyperlink" Target="http://mlb.mlb.com/team/player.jsp?player_id=596331" TargetMode="External"/><Relationship Id="rId416" Type="http://schemas.openxmlformats.org/officeDocument/2006/relationships/hyperlink" Target="http://mlb.mlb.com/team/player.jsp?player_id=457456" TargetMode="External"/><Relationship Id="rId598" Type="http://schemas.openxmlformats.org/officeDocument/2006/relationships/hyperlink" Target="http://mlb.mlb.com/team/player.jsp?player_id=517448" TargetMode="External"/><Relationship Id="rId819" Type="http://schemas.openxmlformats.org/officeDocument/2006/relationships/hyperlink" Target="http://mlb.mlb.com/team/player.jsp?player_id=519301" TargetMode="External"/><Relationship Id="rId220" Type="http://schemas.openxmlformats.org/officeDocument/2006/relationships/hyperlink" Target="http://mlb.mlb.com/team/player.jsp?player_id=502028" TargetMode="External"/><Relationship Id="rId458" Type="http://schemas.openxmlformats.org/officeDocument/2006/relationships/hyperlink" Target="http://mlb.mlb.com/team/player.jsp?player_id=425626" TargetMode="External"/><Relationship Id="rId623" Type="http://schemas.openxmlformats.org/officeDocument/2006/relationships/hyperlink" Target="http://mlb.mlb.com/team/player.jsp?player_id=504379" TargetMode="External"/><Relationship Id="rId665" Type="http://schemas.openxmlformats.org/officeDocument/2006/relationships/hyperlink" Target="http://mlb.mlb.com/team/player.jsp?player_id=475115" TargetMode="External"/><Relationship Id="rId830" Type="http://schemas.openxmlformats.org/officeDocument/2006/relationships/hyperlink" Target="http://mlb.mlb.com/team/player.jsp?player_id=461829" TargetMode="External"/><Relationship Id="rId15" Type="http://schemas.openxmlformats.org/officeDocument/2006/relationships/hyperlink" Target="http://mlb.mlb.com/team/player.jsp?player_id=605151" TargetMode="External"/><Relationship Id="rId57" Type="http://schemas.openxmlformats.org/officeDocument/2006/relationships/hyperlink" Target="http://mlb.mlb.com/team/player.jsp?player_id=594857" TargetMode="External"/><Relationship Id="rId262" Type="http://schemas.openxmlformats.org/officeDocument/2006/relationships/hyperlink" Target="http://mlb.mlb.com/team/player.jsp?player_id=543475" TargetMode="External"/><Relationship Id="rId318" Type="http://schemas.openxmlformats.org/officeDocument/2006/relationships/hyperlink" Target="http://mlb.mlb.com/team/player.jsp?player_id=501822" TargetMode="External"/><Relationship Id="rId525" Type="http://schemas.openxmlformats.org/officeDocument/2006/relationships/hyperlink" Target="http://mlb.mlb.com/team/player.jsp?player_id=592826" TargetMode="External"/><Relationship Id="rId567" Type="http://schemas.openxmlformats.org/officeDocument/2006/relationships/hyperlink" Target="http://mlb.mlb.com/team/player.jsp?player_id=607309" TargetMode="External"/><Relationship Id="rId732" Type="http://schemas.openxmlformats.org/officeDocument/2006/relationships/hyperlink" Target="http://mlb.mlb.com/team/player.jsp?player_id=595345" TargetMode="External"/><Relationship Id="rId99" Type="http://schemas.openxmlformats.org/officeDocument/2006/relationships/hyperlink" Target="http://mlb.mlb.com/team/player.jsp?player_id=462382" TargetMode="External"/><Relationship Id="rId122" Type="http://schemas.openxmlformats.org/officeDocument/2006/relationships/hyperlink" Target="http://mlb.mlb.com/team/player.jsp?player_id=554234" TargetMode="External"/><Relationship Id="rId164" Type="http://schemas.openxmlformats.org/officeDocument/2006/relationships/hyperlink" Target="http://mlb.mlb.com/team/player.jsp?player_id=467008" TargetMode="External"/><Relationship Id="rId371" Type="http://schemas.openxmlformats.org/officeDocument/2006/relationships/hyperlink" Target="http://mlb.mlb.com/team/player.jsp?player_id=444520" TargetMode="External"/><Relationship Id="rId774" Type="http://schemas.openxmlformats.org/officeDocument/2006/relationships/hyperlink" Target="http://mlb.mlb.com/team/player.jsp?player_id=544928" TargetMode="External"/><Relationship Id="rId427" Type="http://schemas.openxmlformats.org/officeDocument/2006/relationships/hyperlink" Target="http://mlb.mlb.com/team/player.jsp?player_id=608718" TargetMode="External"/><Relationship Id="rId469" Type="http://schemas.openxmlformats.org/officeDocument/2006/relationships/hyperlink" Target="http://mlb.mlb.com/team/player.jsp?player_id=592341" TargetMode="External"/><Relationship Id="rId634" Type="http://schemas.openxmlformats.org/officeDocument/2006/relationships/hyperlink" Target="http://mlb.mlb.com/team/player.jsp?player_id=489197" TargetMode="External"/><Relationship Id="rId676" Type="http://schemas.openxmlformats.org/officeDocument/2006/relationships/hyperlink" Target="http://mlb.mlb.com/team/player.jsp?player_id=594857" TargetMode="External"/><Relationship Id="rId26" Type="http://schemas.openxmlformats.org/officeDocument/2006/relationships/hyperlink" Target="http://mlb.mlb.com/team/player.jsp?player_id=611093" TargetMode="External"/><Relationship Id="rId231" Type="http://schemas.openxmlformats.org/officeDocument/2006/relationships/hyperlink" Target="http://mlb.mlb.com/team/player.jsp?player_id=456701" TargetMode="External"/><Relationship Id="rId273" Type="http://schemas.openxmlformats.org/officeDocument/2006/relationships/hyperlink" Target="http://mlb.mlb.com/team/player.jsp?player_id=543734" TargetMode="External"/><Relationship Id="rId329" Type="http://schemas.openxmlformats.org/officeDocument/2006/relationships/hyperlink" Target="http://mlb.mlb.com/team/player.jsp?player_id=448179" TargetMode="External"/><Relationship Id="rId480" Type="http://schemas.openxmlformats.org/officeDocument/2006/relationships/hyperlink" Target="http://mlb.mlb.com/team/player.jsp?player_id=594798" TargetMode="External"/><Relationship Id="rId536" Type="http://schemas.openxmlformats.org/officeDocument/2006/relationships/hyperlink" Target="http://mlb.mlb.com/team/player.jsp?player_id=605396" TargetMode="External"/><Relationship Id="rId701" Type="http://schemas.openxmlformats.org/officeDocument/2006/relationships/hyperlink" Target="http://mlb.mlb.com/team/player.jsp?player_id=571882" TargetMode="External"/><Relationship Id="rId68" Type="http://schemas.openxmlformats.org/officeDocument/2006/relationships/hyperlink" Target="http://mlb.mlb.com/team/player.jsp?player_id=449173" TargetMode="External"/><Relationship Id="rId133" Type="http://schemas.openxmlformats.org/officeDocument/2006/relationships/hyperlink" Target="http://mlb.mlb.com/team/player.jsp?player_id=543294" TargetMode="External"/><Relationship Id="rId175" Type="http://schemas.openxmlformats.org/officeDocument/2006/relationships/hyperlink" Target="http://mlb.mlb.com/team/player.jsp?player_id=607359" TargetMode="External"/><Relationship Id="rId340" Type="http://schemas.openxmlformats.org/officeDocument/2006/relationships/hyperlink" Target="http://mlb.mlb.com/team/player.jsp?player_id=622072" TargetMode="External"/><Relationship Id="rId578" Type="http://schemas.openxmlformats.org/officeDocument/2006/relationships/hyperlink" Target="http://mlb.mlb.com/team/player.jsp?player_id=453265" TargetMode="External"/><Relationship Id="rId743" Type="http://schemas.openxmlformats.org/officeDocument/2006/relationships/hyperlink" Target="http://mlb.mlb.com/team/player.jsp?player_id=519186" TargetMode="External"/><Relationship Id="rId785" Type="http://schemas.openxmlformats.org/officeDocument/2006/relationships/hyperlink" Target="http://mlb.mlb.com/team/player.jsp?player_id=425532" TargetMode="External"/><Relationship Id="rId200" Type="http://schemas.openxmlformats.org/officeDocument/2006/relationships/hyperlink" Target="http://mlb.mlb.com/team/player.jsp?player_id=447755" TargetMode="External"/><Relationship Id="rId382" Type="http://schemas.openxmlformats.org/officeDocument/2006/relationships/hyperlink" Target="http://mlb.mlb.com/team/player.jsp?player_id=592169" TargetMode="External"/><Relationship Id="rId438" Type="http://schemas.openxmlformats.org/officeDocument/2006/relationships/hyperlink" Target="http://mlb.mlb.com/team/player.jsp?player_id=571911" TargetMode="External"/><Relationship Id="rId603" Type="http://schemas.openxmlformats.org/officeDocument/2006/relationships/hyperlink" Target="http://mlb.mlb.com/team/player.jsp?player_id=457435" TargetMode="External"/><Relationship Id="rId645" Type="http://schemas.openxmlformats.org/officeDocument/2006/relationships/hyperlink" Target="http://mlb.mlb.com/team/player.jsp?player_id=518560" TargetMode="External"/><Relationship Id="rId687" Type="http://schemas.openxmlformats.org/officeDocument/2006/relationships/hyperlink" Target="http://mlb.mlb.com/team/player.jsp?player_id=607067" TargetMode="External"/><Relationship Id="rId810" Type="http://schemas.openxmlformats.org/officeDocument/2006/relationships/hyperlink" Target="http://mlb.mlb.com/team/player.jsp?player_id=595918" TargetMode="External"/><Relationship Id="rId242" Type="http://schemas.openxmlformats.org/officeDocument/2006/relationships/hyperlink" Target="http://mlb.mlb.com/team/player.jsp?player_id=593582" TargetMode="External"/><Relationship Id="rId284" Type="http://schemas.openxmlformats.org/officeDocument/2006/relationships/hyperlink" Target="http://mlb.mlb.com/team/player.jsp?player_id=542674" TargetMode="External"/><Relationship Id="rId491" Type="http://schemas.openxmlformats.org/officeDocument/2006/relationships/hyperlink" Target="http://mlb.mlb.com/team/player.jsp?player_id=593679" TargetMode="External"/><Relationship Id="rId505" Type="http://schemas.openxmlformats.org/officeDocument/2006/relationships/hyperlink" Target="http://mlb.mlb.com/team/player.jsp?player_id=570663" TargetMode="External"/><Relationship Id="rId712" Type="http://schemas.openxmlformats.org/officeDocument/2006/relationships/hyperlink" Target="http://mlb.mlb.com/team/player.jsp?player_id=425657" TargetMode="External"/><Relationship Id="rId37" Type="http://schemas.openxmlformats.org/officeDocument/2006/relationships/hyperlink" Target="http://mlb.mlb.com/team/player.jsp?player_id=461325" TargetMode="External"/><Relationship Id="rId79" Type="http://schemas.openxmlformats.org/officeDocument/2006/relationships/hyperlink" Target="http://mlb.mlb.com/team/player.jsp?player_id=605538" TargetMode="External"/><Relationship Id="rId102" Type="http://schemas.openxmlformats.org/officeDocument/2006/relationships/hyperlink" Target="http://mlb.mlb.com/team/player.jsp?player_id=527054" TargetMode="External"/><Relationship Id="rId144" Type="http://schemas.openxmlformats.org/officeDocument/2006/relationships/hyperlink" Target="http://mlb.mlb.com/team/player.jsp?player_id=434628" TargetMode="External"/><Relationship Id="rId547" Type="http://schemas.openxmlformats.org/officeDocument/2006/relationships/hyperlink" Target="http://mlb.mlb.com/team/player.jsp?player_id=648737" TargetMode="External"/><Relationship Id="rId589" Type="http://schemas.openxmlformats.org/officeDocument/2006/relationships/hyperlink" Target="http://mlb.mlb.com/team/player.jsp?player_id=607192" TargetMode="External"/><Relationship Id="rId754" Type="http://schemas.openxmlformats.org/officeDocument/2006/relationships/hyperlink" Target="http://mlb.mlb.com/team/player.jsp?player_id=595307" TargetMode="External"/><Relationship Id="rId796" Type="http://schemas.openxmlformats.org/officeDocument/2006/relationships/hyperlink" Target="http://mlb.mlb.com/team/player.jsp?player_id=514669" TargetMode="External"/><Relationship Id="rId90" Type="http://schemas.openxmlformats.org/officeDocument/2006/relationships/hyperlink" Target="http://mlb.mlb.com/team/player.jsp?player_id=447714" TargetMode="External"/><Relationship Id="rId186" Type="http://schemas.openxmlformats.org/officeDocument/2006/relationships/hyperlink" Target="http://mlb.mlb.com/team/player.jsp?player_id=573185" TargetMode="External"/><Relationship Id="rId351" Type="http://schemas.openxmlformats.org/officeDocument/2006/relationships/hyperlink" Target="http://mlb.mlb.com/team/player.jsp?player_id=592254" TargetMode="External"/><Relationship Id="rId393" Type="http://schemas.openxmlformats.org/officeDocument/2006/relationships/hyperlink" Target="http://mlb.mlb.com/team/player.jsp?player_id=573109" TargetMode="External"/><Relationship Id="rId407" Type="http://schemas.openxmlformats.org/officeDocument/2006/relationships/hyperlink" Target="http://mlb.mlb.com/team/player.jsp?player_id=407845" TargetMode="External"/><Relationship Id="rId449" Type="http://schemas.openxmlformats.org/officeDocument/2006/relationships/hyperlink" Target="http://mlb.mlb.com/team/player.jsp?player_id=606930" TargetMode="External"/><Relationship Id="rId614" Type="http://schemas.openxmlformats.org/officeDocument/2006/relationships/hyperlink" Target="http://mlb.mlb.com/team/player.jsp?player_id=491708" TargetMode="External"/><Relationship Id="rId656" Type="http://schemas.openxmlformats.org/officeDocument/2006/relationships/hyperlink" Target="http://mlb.mlb.com/team/player.jsp?player_id=570714" TargetMode="External"/><Relationship Id="rId821" Type="http://schemas.openxmlformats.org/officeDocument/2006/relationships/hyperlink" Target="http://mlb.mlb.com/team/player.jsp?player_id=518875" TargetMode="External"/><Relationship Id="rId211" Type="http://schemas.openxmlformats.org/officeDocument/2006/relationships/hyperlink" Target="http://mlb.mlb.com/team/player.jsp?player_id=543331" TargetMode="External"/><Relationship Id="rId253" Type="http://schemas.openxmlformats.org/officeDocument/2006/relationships/hyperlink" Target="http://mlb.mlb.com/team/player.jsp?player_id=656546" TargetMode="External"/><Relationship Id="rId295" Type="http://schemas.openxmlformats.org/officeDocument/2006/relationships/hyperlink" Target="http://mlb.mlb.com/team/player.jsp?player_id=516910" TargetMode="External"/><Relationship Id="rId309" Type="http://schemas.openxmlformats.org/officeDocument/2006/relationships/hyperlink" Target="http://mlb.mlb.com/team/player.jsp?player_id=622072" TargetMode="External"/><Relationship Id="rId460" Type="http://schemas.openxmlformats.org/officeDocument/2006/relationships/hyperlink" Target="http://mlb.mlb.com/team/player.jsp?player_id=490063" TargetMode="External"/><Relationship Id="rId516" Type="http://schemas.openxmlformats.org/officeDocument/2006/relationships/hyperlink" Target="http://mlb.mlb.com/team/player.jsp?player_id=477003" TargetMode="External"/><Relationship Id="rId698" Type="http://schemas.openxmlformats.org/officeDocument/2006/relationships/hyperlink" Target="http://mlb.mlb.com/team/player.jsp?player_id=457779" TargetMode="External"/><Relationship Id="rId48" Type="http://schemas.openxmlformats.org/officeDocument/2006/relationships/hyperlink" Target="http://mlb.mlb.com/team/player.jsp?player_id=542609" TargetMode="External"/><Relationship Id="rId113" Type="http://schemas.openxmlformats.org/officeDocument/2006/relationships/hyperlink" Target="http://mlb.mlb.com/team/player.jsp?player_id=503444" TargetMode="External"/><Relationship Id="rId320" Type="http://schemas.openxmlformats.org/officeDocument/2006/relationships/hyperlink" Target="http://mlb.mlb.com/team/player.jsp?player_id=592254" TargetMode="External"/><Relationship Id="rId558" Type="http://schemas.openxmlformats.org/officeDocument/2006/relationships/hyperlink" Target="http://mlb.mlb.com/team/player.jsp?player_id=542587" TargetMode="External"/><Relationship Id="rId723" Type="http://schemas.openxmlformats.org/officeDocument/2006/relationships/hyperlink" Target="http://mlb.mlb.com/team/player.jsp?player_id=150274" TargetMode="External"/><Relationship Id="rId765" Type="http://schemas.openxmlformats.org/officeDocument/2006/relationships/hyperlink" Target="http://mlb.mlb.com/team/player.jsp?player_id=592815" TargetMode="External"/><Relationship Id="rId155" Type="http://schemas.openxmlformats.org/officeDocument/2006/relationships/hyperlink" Target="http://mlb.mlb.com/team/player.jsp?player_id=150274" TargetMode="External"/><Relationship Id="rId197" Type="http://schemas.openxmlformats.org/officeDocument/2006/relationships/hyperlink" Target="http://mlb.mlb.com/team/player.jsp?player_id=500724" TargetMode="External"/><Relationship Id="rId362" Type="http://schemas.openxmlformats.org/officeDocument/2006/relationships/hyperlink" Target="http://mlb.mlb.com/team/player.jsp?player_id=573109" TargetMode="External"/><Relationship Id="rId418" Type="http://schemas.openxmlformats.org/officeDocument/2006/relationships/hyperlink" Target="http://mlb.mlb.com/team/player.jsp?player_id=595235" TargetMode="External"/><Relationship Id="rId625" Type="http://schemas.openxmlformats.org/officeDocument/2006/relationships/hyperlink" Target="http://mlb.mlb.com/team/player.jsp?player_id=643230" TargetMode="External"/><Relationship Id="rId832" Type="http://schemas.openxmlformats.org/officeDocument/2006/relationships/hyperlink" Target="http://mlb.mlb.com/team/player.jsp?player_id=424144" TargetMode="External"/><Relationship Id="rId222" Type="http://schemas.openxmlformats.org/officeDocument/2006/relationships/hyperlink" Target="http://mlb.mlb.com/team/player.jsp?player_id=571561" TargetMode="External"/><Relationship Id="rId264" Type="http://schemas.openxmlformats.org/officeDocument/2006/relationships/hyperlink" Target="http://mlb.mlb.com/team/player.jsp?player_id=572750" TargetMode="External"/><Relationship Id="rId471" Type="http://schemas.openxmlformats.org/officeDocument/2006/relationships/hyperlink" Target="http://mlb.mlb.com/team/player.jsp?player_id=594985" TargetMode="External"/><Relationship Id="rId667" Type="http://schemas.openxmlformats.org/officeDocument/2006/relationships/hyperlink" Target="http://mlb.mlb.com/team/player.jsp?player_id=506560" TargetMode="External"/><Relationship Id="rId17" Type="http://schemas.openxmlformats.org/officeDocument/2006/relationships/hyperlink" Target="http://mlb.mlb.com/team/player.jsp?player_id=543339" TargetMode="External"/><Relationship Id="rId59" Type="http://schemas.openxmlformats.org/officeDocument/2006/relationships/hyperlink" Target="http://mlb.mlb.com/team/player.jsp?player_id=595465" TargetMode="External"/><Relationship Id="rId124" Type="http://schemas.openxmlformats.org/officeDocument/2006/relationships/hyperlink" Target="http://mlb.mlb.com/team/player.jsp?player_id=547007" TargetMode="External"/><Relationship Id="rId527" Type="http://schemas.openxmlformats.org/officeDocument/2006/relationships/hyperlink" Target="http://mlb.mlb.com/team/player.jsp?player_id=605400" TargetMode="External"/><Relationship Id="rId569" Type="http://schemas.openxmlformats.org/officeDocument/2006/relationships/hyperlink" Target="http://mlb.mlb.com/team/player.jsp?player_id=460701" TargetMode="External"/><Relationship Id="rId734" Type="http://schemas.openxmlformats.org/officeDocument/2006/relationships/hyperlink" Target="http://mlb.mlb.com/team/player.jsp?player_id=608717" TargetMode="External"/><Relationship Id="rId776" Type="http://schemas.openxmlformats.org/officeDocument/2006/relationships/hyperlink" Target="http://mlb.mlb.com/team/player.jsp?player_id=621199" TargetMode="External"/><Relationship Id="rId70" Type="http://schemas.openxmlformats.org/officeDocument/2006/relationships/hyperlink" Target="http://mlb.mlb.com/team/player.jsp?player_id=519437" TargetMode="External"/><Relationship Id="rId166" Type="http://schemas.openxmlformats.org/officeDocument/2006/relationships/hyperlink" Target="http://mlb.mlb.com/team/player.jsp?player_id=453562" TargetMode="External"/><Relationship Id="rId331" Type="http://schemas.openxmlformats.org/officeDocument/2006/relationships/hyperlink" Target="http://mlb.mlb.com/team/player.jsp?player_id=594795" TargetMode="External"/><Relationship Id="rId373" Type="http://schemas.openxmlformats.org/officeDocument/2006/relationships/hyperlink" Target="http://mlb.mlb.com/team/player.jsp?player_id=612672" TargetMode="External"/><Relationship Id="rId429" Type="http://schemas.openxmlformats.org/officeDocument/2006/relationships/hyperlink" Target="http://mlb.mlb.com/team/player.jsp?player_id=430641" TargetMode="External"/><Relationship Id="rId580" Type="http://schemas.openxmlformats.org/officeDocument/2006/relationships/hyperlink" Target="http://mlb.mlb.com/team/player.jsp?player_id=553878" TargetMode="External"/><Relationship Id="rId636" Type="http://schemas.openxmlformats.org/officeDocument/2006/relationships/hyperlink" Target="http://mlb.mlb.com/team/player.jsp?player_id=542194" TargetMode="External"/><Relationship Id="rId801" Type="http://schemas.openxmlformats.org/officeDocument/2006/relationships/hyperlink" Target="http://mlb.mlb.com/team/player.jsp?player_id=605452" TargetMode="External"/><Relationship Id="rId1" Type="http://schemas.openxmlformats.org/officeDocument/2006/relationships/hyperlink" Target="http://mlb.mlb.com/team/player.jsp?player_id=621281" TargetMode="External"/><Relationship Id="rId233" Type="http://schemas.openxmlformats.org/officeDocument/2006/relationships/hyperlink" Target="http://mlb.mlb.com/team/player.jsp?player_id=642003" TargetMode="External"/><Relationship Id="rId440" Type="http://schemas.openxmlformats.org/officeDocument/2006/relationships/hyperlink" Target="http://mlb.mlb.com/team/player.jsp?player_id=457779" TargetMode="External"/><Relationship Id="rId678" Type="http://schemas.openxmlformats.org/officeDocument/2006/relationships/hyperlink" Target="http://mlb.mlb.com/team/player.jsp?player_id=571473" TargetMode="External"/><Relationship Id="rId28" Type="http://schemas.openxmlformats.org/officeDocument/2006/relationships/hyperlink" Target="http://mlb.mlb.com/team/player.jsp?player_id=594857" TargetMode="External"/><Relationship Id="rId275" Type="http://schemas.openxmlformats.org/officeDocument/2006/relationships/hyperlink" Target="http://mlb.mlb.com/team/player.jsp?player_id=592351" TargetMode="External"/><Relationship Id="rId300" Type="http://schemas.openxmlformats.org/officeDocument/2006/relationships/hyperlink" Target="http://mlb.mlb.com/team/player.jsp?player_id=594795" TargetMode="External"/><Relationship Id="rId482" Type="http://schemas.openxmlformats.org/officeDocument/2006/relationships/hyperlink" Target="http://mlb.mlb.com/team/player.jsp?player_id=112526" TargetMode="External"/><Relationship Id="rId538" Type="http://schemas.openxmlformats.org/officeDocument/2006/relationships/hyperlink" Target="http://mlb.mlb.com/team/player.jsp?player_id=472610" TargetMode="External"/><Relationship Id="rId703" Type="http://schemas.openxmlformats.org/officeDocument/2006/relationships/hyperlink" Target="http://mlb.mlb.com/team/player.jsp?player_id=489265" TargetMode="External"/><Relationship Id="rId745" Type="http://schemas.openxmlformats.org/officeDocument/2006/relationships/hyperlink" Target="http://mlb.mlb.com/team/player.jsp?player_id=458678" TargetMode="External"/><Relationship Id="rId81" Type="http://schemas.openxmlformats.org/officeDocument/2006/relationships/hyperlink" Target="http://mlb.mlb.com/team/player.jsp?player_id=276351" TargetMode="External"/><Relationship Id="rId135" Type="http://schemas.openxmlformats.org/officeDocument/2006/relationships/hyperlink" Target="http://mlb.mlb.com/team/player.jsp?player_id=501925" TargetMode="External"/><Relationship Id="rId177" Type="http://schemas.openxmlformats.org/officeDocument/2006/relationships/hyperlink" Target="http://mlb.mlb.com/team/player.jsp?player_id=453385" TargetMode="External"/><Relationship Id="rId342" Type="http://schemas.openxmlformats.org/officeDocument/2006/relationships/hyperlink" Target="http://mlb.mlb.com/team/player.jsp?player_id=434442" TargetMode="External"/><Relationship Id="rId384" Type="http://schemas.openxmlformats.org/officeDocument/2006/relationships/hyperlink" Target="http://mlb.mlb.com/team/player.jsp?player_id=628333" TargetMode="External"/><Relationship Id="rId591" Type="http://schemas.openxmlformats.org/officeDocument/2006/relationships/hyperlink" Target="http://mlb.mlb.com/team/player.jsp?player_id=504379" TargetMode="External"/><Relationship Id="rId605" Type="http://schemas.openxmlformats.org/officeDocument/2006/relationships/hyperlink" Target="http://mlb.mlb.com/team/player.jsp?player_id=517629" TargetMode="External"/><Relationship Id="rId787" Type="http://schemas.openxmlformats.org/officeDocument/2006/relationships/hyperlink" Target="http://mlb.mlb.com/team/player.jsp?player_id=514913" TargetMode="External"/><Relationship Id="rId812" Type="http://schemas.openxmlformats.org/officeDocument/2006/relationships/hyperlink" Target="http://mlb.mlb.com/team/player.jsp?player_id=608337" TargetMode="External"/><Relationship Id="rId202" Type="http://schemas.openxmlformats.org/officeDocument/2006/relationships/hyperlink" Target="http://mlb.mlb.com/team/player.jsp?player_id=571584" TargetMode="External"/><Relationship Id="rId244" Type="http://schemas.openxmlformats.org/officeDocument/2006/relationships/hyperlink" Target="http://mlb.mlb.com/team/player.jsp?player_id=643550" TargetMode="External"/><Relationship Id="rId647" Type="http://schemas.openxmlformats.org/officeDocument/2006/relationships/hyperlink" Target="http://mlb.mlb.com/team/player.jsp?player_id=534812" TargetMode="External"/><Relationship Id="rId689" Type="http://schemas.openxmlformats.org/officeDocument/2006/relationships/hyperlink" Target="http://mlb.mlb.com/team/player.jsp?player_id=523848" TargetMode="External"/><Relationship Id="rId39" Type="http://schemas.openxmlformats.org/officeDocument/2006/relationships/hyperlink" Target="http://mlb.mlb.com/team/player.jsp?player_id=517414" TargetMode="External"/><Relationship Id="rId286" Type="http://schemas.openxmlformats.org/officeDocument/2006/relationships/hyperlink" Target="http://mlb.mlb.com/team/player.jsp?player_id=502522" TargetMode="External"/><Relationship Id="rId451" Type="http://schemas.openxmlformats.org/officeDocument/2006/relationships/hyperlink" Target="http://mlb.mlb.com/team/player.jsp?player_id=448855" TargetMode="External"/><Relationship Id="rId493" Type="http://schemas.openxmlformats.org/officeDocument/2006/relationships/hyperlink" Target="http://mlb.mlb.com/team/player.jsp?player_id=606160" TargetMode="External"/><Relationship Id="rId507" Type="http://schemas.openxmlformats.org/officeDocument/2006/relationships/hyperlink" Target="http://mlb.mlb.com/team/player.jsp?player_id=592340" TargetMode="External"/><Relationship Id="rId549" Type="http://schemas.openxmlformats.org/officeDocument/2006/relationships/hyperlink" Target="http://mlb.mlb.com/team/player.jsp?player_id=476451" TargetMode="External"/><Relationship Id="rId714" Type="http://schemas.openxmlformats.org/officeDocument/2006/relationships/hyperlink" Target="http://mlb.mlb.com/team/player.jsp?player_id=518715" TargetMode="External"/><Relationship Id="rId756" Type="http://schemas.openxmlformats.org/officeDocument/2006/relationships/hyperlink" Target="http://mlb.mlb.com/team/player.jsp?player_id=455009" TargetMode="External"/><Relationship Id="rId50" Type="http://schemas.openxmlformats.org/officeDocument/2006/relationships/hyperlink" Target="http://mlb.mlb.com/team/player.jsp?player_id=608678" TargetMode="External"/><Relationship Id="rId104" Type="http://schemas.openxmlformats.org/officeDocument/2006/relationships/hyperlink" Target="http://mlb.mlb.com/team/player.jsp?player_id=542432" TargetMode="External"/><Relationship Id="rId146" Type="http://schemas.openxmlformats.org/officeDocument/2006/relationships/hyperlink" Target="http://mlb.mlb.com/team/player.jsp?player_id=570240" TargetMode="External"/><Relationship Id="rId188" Type="http://schemas.openxmlformats.org/officeDocument/2006/relationships/hyperlink" Target="http://mlb.mlb.com/team/player.jsp?player_id=502028" TargetMode="External"/><Relationship Id="rId311" Type="http://schemas.openxmlformats.org/officeDocument/2006/relationships/hyperlink" Target="http://mlb.mlb.com/team/player.jsp?player_id=434442" TargetMode="External"/><Relationship Id="rId353" Type="http://schemas.openxmlformats.org/officeDocument/2006/relationships/hyperlink" Target="http://mlb.mlb.com/team/player.jsp?player_id=502211" TargetMode="External"/><Relationship Id="rId395" Type="http://schemas.openxmlformats.org/officeDocument/2006/relationships/hyperlink" Target="http://mlb.mlb.com/team/player.jsp?player_id=607457" TargetMode="External"/><Relationship Id="rId409" Type="http://schemas.openxmlformats.org/officeDocument/2006/relationships/hyperlink" Target="http://mlb.mlb.com/team/player.jsp?player_id=543054" TargetMode="External"/><Relationship Id="rId560" Type="http://schemas.openxmlformats.org/officeDocument/2006/relationships/hyperlink" Target="http://mlb.mlb.com/team/player.jsp?player_id=622097" TargetMode="External"/><Relationship Id="rId798" Type="http://schemas.openxmlformats.org/officeDocument/2006/relationships/hyperlink" Target="http://mlb.mlb.com/team/player.jsp?player_id=543699" TargetMode="External"/><Relationship Id="rId92" Type="http://schemas.openxmlformats.org/officeDocument/2006/relationships/hyperlink" Target="http://mlb.mlb.com/team/player.jsp?player_id=433584" TargetMode="External"/><Relationship Id="rId213" Type="http://schemas.openxmlformats.org/officeDocument/2006/relationships/hyperlink" Target="http://mlb.mlb.com/team/player.jsp?player_id=534627" TargetMode="External"/><Relationship Id="rId420" Type="http://schemas.openxmlformats.org/officeDocument/2006/relationships/hyperlink" Target="http://mlb.mlb.com/team/player.jsp?player_id=502026" TargetMode="External"/><Relationship Id="rId616" Type="http://schemas.openxmlformats.org/officeDocument/2006/relationships/hyperlink" Target="http://mlb.mlb.com/team/player.jsp?player_id=519263" TargetMode="External"/><Relationship Id="rId658" Type="http://schemas.openxmlformats.org/officeDocument/2006/relationships/hyperlink" Target="http://mlb.mlb.com/team/player.jsp?player_id=606131" TargetMode="External"/><Relationship Id="rId823" Type="http://schemas.openxmlformats.org/officeDocument/2006/relationships/hyperlink" Target="http://mlb.mlb.com/team/player.jsp?player_id=453286" TargetMode="External"/><Relationship Id="rId255" Type="http://schemas.openxmlformats.org/officeDocument/2006/relationships/hyperlink" Target="http://mlb.mlb.com/team/player.jsp?player_id=623184" TargetMode="External"/><Relationship Id="rId297" Type="http://schemas.openxmlformats.org/officeDocument/2006/relationships/hyperlink" Target="http://mlb.mlb.com/team/player.jsp?player_id=477132" TargetMode="External"/><Relationship Id="rId462" Type="http://schemas.openxmlformats.org/officeDocument/2006/relationships/hyperlink" Target="http://mlb.mlb.com/team/player.jsp?player_id=608349" TargetMode="External"/><Relationship Id="rId518" Type="http://schemas.openxmlformats.org/officeDocument/2006/relationships/hyperlink" Target="http://mlb.mlb.com/team/player.jsp?player_id=593576" TargetMode="External"/><Relationship Id="rId725" Type="http://schemas.openxmlformats.org/officeDocument/2006/relationships/hyperlink" Target="http://mlb.mlb.com/team/player.jsp?player_id=571882" TargetMode="External"/><Relationship Id="rId115" Type="http://schemas.openxmlformats.org/officeDocument/2006/relationships/hyperlink" Target="http://mlb.mlb.com/team/player.jsp?player_id=605152" TargetMode="External"/><Relationship Id="rId157" Type="http://schemas.openxmlformats.org/officeDocument/2006/relationships/hyperlink" Target="http://mlb.mlb.com/team/player.jsp?player_id=642239" TargetMode="External"/><Relationship Id="rId322" Type="http://schemas.openxmlformats.org/officeDocument/2006/relationships/hyperlink" Target="http://mlb.mlb.com/team/player.jsp?player_id=502211" TargetMode="External"/><Relationship Id="rId364" Type="http://schemas.openxmlformats.org/officeDocument/2006/relationships/hyperlink" Target="http://mlb.mlb.com/team/player.jsp?player_id=607457" TargetMode="External"/><Relationship Id="rId767" Type="http://schemas.openxmlformats.org/officeDocument/2006/relationships/hyperlink" Target="http://mlb.mlb.com/team/player.jsp?player_id=594577" TargetMode="External"/><Relationship Id="rId61" Type="http://schemas.openxmlformats.org/officeDocument/2006/relationships/hyperlink" Target="http://mlb.mlb.com/team/player.jsp?player_id=518567" TargetMode="External"/><Relationship Id="rId199" Type="http://schemas.openxmlformats.org/officeDocument/2006/relationships/hyperlink" Target="http://mlb.mlb.com/team/player.jsp?player_id=456701" TargetMode="External"/><Relationship Id="rId571" Type="http://schemas.openxmlformats.org/officeDocument/2006/relationships/hyperlink" Target="http://mlb.mlb.com/team/player.jsp?player_id=457435" TargetMode="External"/><Relationship Id="rId627" Type="http://schemas.openxmlformats.org/officeDocument/2006/relationships/hyperlink" Target="http://mlb.mlb.com/team/player.jsp?player_id=502046" TargetMode="External"/><Relationship Id="rId669" Type="http://schemas.openxmlformats.org/officeDocument/2006/relationships/hyperlink" Target="http://mlb.mlb.com/team/player.jsp?player_id=600526" TargetMode="External"/><Relationship Id="rId834" Type="http://schemas.openxmlformats.org/officeDocument/2006/relationships/hyperlink" Target="http://mlb.mlb.com/team/player.jsp?player_id=595918" TargetMode="External"/><Relationship Id="rId19" Type="http://schemas.openxmlformats.org/officeDocument/2006/relationships/hyperlink" Target="http://mlb.mlb.com/team/player.jsp?player_id=542609" TargetMode="External"/><Relationship Id="rId224" Type="http://schemas.openxmlformats.org/officeDocument/2006/relationships/hyperlink" Target="http://mlb.mlb.com/team/player.jsp?player_id=456027" TargetMode="External"/><Relationship Id="rId266" Type="http://schemas.openxmlformats.org/officeDocument/2006/relationships/hyperlink" Target="http://mlb.mlb.com/team/player.jsp?player_id=571539" TargetMode="External"/><Relationship Id="rId431" Type="http://schemas.openxmlformats.org/officeDocument/2006/relationships/hyperlink" Target="http://mlb.mlb.com/team/player.jsp?player_id=425626" TargetMode="External"/><Relationship Id="rId473" Type="http://schemas.openxmlformats.org/officeDocument/2006/relationships/hyperlink" Target="http://mlb.mlb.com/team/player.jsp?player_id=592665" TargetMode="External"/><Relationship Id="rId529" Type="http://schemas.openxmlformats.org/officeDocument/2006/relationships/hyperlink" Target="http://mlb.mlb.com/team/player.jsp?player_id=491646" TargetMode="External"/><Relationship Id="rId680" Type="http://schemas.openxmlformats.org/officeDocument/2006/relationships/hyperlink" Target="http://mlb.mlb.com/team/player.jsp?player_id=572362" TargetMode="External"/><Relationship Id="rId736" Type="http://schemas.openxmlformats.org/officeDocument/2006/relationships/hyperlink" Target="http://mlb.mlb.com/team/player.jsp?player_id=425657" TargetMode="External"/><Relationship Id="rId30" Type="http://schemas.openxmlformats.org/officeDocument/2006/relationships/hyperlink" Target="http://mlb.mlb.com/team/player.jsp?player_id=621281" TargetMode="External"/><Relationship Id="rId126" Type="http://schemas.openxmlformats.org/officeDocument/2006/relationships/hyperlink" Target="http://mlb.mlb.com/team/player.jsp?player_id=594760" TargetMode="External"/><Relationship Id="rId168" Type="http://schemas.openxmlformats.org/officeDocument/2006/relationships/hyperlink" Target="http://mlb.mlb.com/team/player.jsp?player_id=444468" TargetMode="External"/><Relationship Id="rId333" Type="http://schemas.openxmlformats.org/officeDocument/2006/relationships/hyperlink" Target="http://mlb.mlb.com/team/player.jsp?player_id=451661" TargetMode="External"/><Relationship Id="rId540" Type="http://schemas.openxmlformats.org/officeDocument/2006/relationships/hyperlink" Target="http://mlb.mlb.com/team/player.jsp?player_id=607309" TargetMode="External"/><Relationship Id="rId778" Type="http://schemas.openxmlformats.org/officeDocument/2006/relationships/hyperlink" Target="http://mlb.mlb.com/team/player.jsp?player_id=572096" TargetMode="External"/><Relationship Id="rId72" Type="http://schemas.openxmlformats.org/officeDocument/2006/relationships/hyperlink" Target="http://mlb.mlb.com/team/player.jsp?player_id=468396" TargetMode="External"/><Relationship Id="rId375" Type="http://schemas.openxmlformats.org/officeDocument/2006/relationships/hyperlink" Target="http://mlb.mlb.com/team/player.jsp?player_id=605222" TargetMode="External"/><Relationship Id="rId582" Type="http://schemas.openxmlformats.org/officeDocument/2006/relationships/hyperlink" Target="http://mlb.mlb.com/team/player.jsp?player_id=491708" TargetMode="External"/><Relationship Id="rId638" Type="http://schemas.openxmlformats.org/officeDocument/2006/relationships/hyperlink" Target="http://mlb.mlb.com/team/player.jsp?player_id=407845" TargetMode="External"/><Relationship Id="rId803" Type="http://schemas.openxmlformats.org/officeDocument/2006/relationships/hyperlink" Target="http://mlb.mlb.com/team/player.jsp?player_id=449097" TargetMode="External"/><Relationship Id="rId3" Type="http://schemas.openxmlformats.org/officeDocument/2006/relationships/hyperlink" Target="http://mlb.mlb.com/team/player.jsp?player_id=501936" TargetMode="External"/><Relationship Id="rId235" Type="http://schemas.openxmlformats.org/officeDocument/2006/relationships/hyperlink" Target="http://mlb.mlb.com/team/player.jsp?player_id=642229" TargetMode="External"/><Relationship Id="rId277" Type="http://schemas.openxmlformats.org/officeDocument/2006/relationships/hyperlink" Target="http://mlb.mlb.com/team/player.jsp?player_id=518452" TargetMode="External"/><Relationship Id="rId400" Type="http://schemas.openxmlformats.org/officeDocument/2006/relationships/hyperlink" Target="http://mlb.mlb.com/team/player.jsp?player_id=543045" TargetMode="External"/><Relationship Id="rId442" Type="http://schemas.openxmlformats.org/officeDocument/2006/relationships/hyperlink" Target="http://mlb.mlb.com/team/player.jsp?player_id=592341" TargetMode="External"/><Relationship Id="rId484" Type="http://schemas.openxmlformats.org/officeDocument/2006/relationships/hyperlink" Target="http://mlb.mlb.com/team/player.jsp?player_id=449104" TargetMode="External"/><Relationship Id="rId705" Type="http://schemas.openxmlformats.org/officeDocument/2006/relationships/hyperlink" Target="http://mlb.mlb.com/team/player.jsp?player_id=456501" TargetMode="External"/><Relationship Id="rId137" Type="http://schemas.openxmlformats.org/officeDocument/2006/relationships/hyperlink" Target="http://mlb.mlb.com/team/player.jsp?player_id=543557" TargetMode="External"/><Relationship Id="rId302" Type="http://schemas.openxmlformats.org/officeDocument/2006/relationships/hyperlink" Target="http://mlb.mlb.com/team/player.jsp?player_id=451661" TargetMode="External"/><Relationship Id="rId344" Type="http://schemas.openxmlformats.org/officeDocument/2006/relationships/hyperlink" Target="http://mlb.mlb.com/team/player.jsp?player_id=502272" TargetMode="External"/><Relationship Id="rId691" Type="http://schemas.openxmlformats.org/officeDocument/2006/relationships/hyperlink" Target="http://mlb.mlb.com/team/player.jsp?player_id=599998" TargetMode="External"/><Relationship Id="rId747" Type="http://schemas.openxmlformats.org/officeDocument/2006/relationships/hyperlink" Target="http://mlb.mlb.com/team/player.jsp?player_id=621052" TargetMode="External"/><Relationship Id="rId789" Type="http://schemas.openxmlformats.org/officeDocument/2006/relationships/hyperlink" Target="http://mlb.mlb.com/team/player.jsp?player_id=594840" TargetMode="External"/><Relationship Id="rId41" Type="http://schemas.openxmlformats.org/officeDocument/2006/relationships/hyperlink" Target="http://mlb.mlb.com/team/player.jsp?player_id=518567" TargetMode="External"/><Relationship Id="rId83" Type="http://schemas.openxmlformats.org/officeDocument/2006/relationships/hyperlink" Target="http://mlb.mlb.com/team/player.jsp?player_id=621408" TargetMode="External"/><Relationship Id="rId179" Type="http://schemas.openxmlformats.org/officeDocument/2006/relationships/hyperlink" Target="http://mlb.mlb.com/team/player.jsp?player_id=407908" TargetMode="External"/><Relationship Id="rId386" Type="http://schemas.openxmlformats.org/officeDocument/2006/relationships/hyperlink" Target="http://mlb.mlb.com/team/player.jsp?player_id=643297" TargetMode="External"/><Relationship Id="rId551" Type="http://schemas.openxmlformats.org/officeDocument/2006/relationships/hyperlink" Target="http://mlb.mlb.com/team/player.jsp?player_id=456696" TargetMode="External"/><Relationship Id="rId593" Type="http://schemas.openxmlformats.org/officeDocument/2006/relationships/hyperlink" Target="http://mlb.mlb.com/team/player.jsp?player_id=643230" TargetMode="External"/><Relationship Id="rId607" Type="http://schemas.openxmlformats.org/officeDocument/2006/relationships/hyperlink" Target="http://mlb.mlb.com/team/player.jsp?player_id=453343" TargetMode="External"/><Relationship Id="rId649" Type="http://schemas.openxmlformats.org/officeDocument/2006/relationships/hyperlink" Target="http://mlb.mlb.com/team/player.jsp?player_id=448306" TargetMode="External"/><Relationship Id="rId814" Type="http://schemas.openxmlformats.org/officeDocument/2006/relationships/hyperlink" Target="http://mlb.mlb.com/team/player.jsp?player_id=641627" TargetMode="External"/><Relationship Id="rId190" Type="http://schemas.openxmlformats.org/officeDocument/2006/relationships/hyperlink" Target="http://mlb.mlb.com/team/player.jsp?player_id=571561" TargetMode="External"/><Relationship Id="rId204" Type="http://schemas.openxmlformats.org/officeDocument/2006/relationships/hyperlink" Target="http://mlb.mlb.com/team/player.jsp?player_id=621209" TargetMode="External"/><Relationship Id="rId246" Type="http://schemas.openxmlformats.org/officeDocument/2006/relationships/hyperlink" Target="http://mlb.mlb.com/team/player.jsp?player_id=542881" TargetMode="External"/><Relationship Id="rId288" Type="http://schemas.openxmlformats.org/officeDocument/2006/relationships/hyperlink" Target="http://mlb.mlb.com/team/player.jsp?player_id=612434" TargetMode="External"/><Relationship Id="rId411" Type="http://schemas.openxmlformats.org/officeDocument/2006/relationships/hyperlink" Target="http://mlb.mlb.com/team/player.jsp?player_id=570632" TargetMode="External"/><Relationship Id="rId453" Type="http://schemas.openxmlformats.org/officeDocument/2006/relationships/hyperlink" Target="http://mlb.mlb.com/team/player.jsp?player_id=501697" TargetMode="External"/><Relationship Id="rId509" Type="http://schemas.openxmlformats.org/officeDocument/2006/relationships/hyperlink" Target="http://mlb.mlb.com/team/player.jsp?player_id=455374" TargetMode="External"/><Relationship Id="rId660" Type="http://schemas.openxmlformats.org/officeDocument/2006/relationships/hyperlink" Target="http://mlb.mlb.com/team/player.jsp?player_id=407819" TargetMode="External"/><Relationship Id="rId106" Type="http://schemas.openxmlformats.org/officeDocument/2006/relationships/hyperlink" Target="http://mlb.mlb.com/team/player.jsp?player_id=475054" TargetMode="External"/><Relationship Id="rId313" Type="http://schemas.openxmlformats.org/officeDocument/2006/relationships/hyperlink" Target="http://mlb.mlb.com/team/player.jsp?player_id=502272" TargetMode="External"/><Relationship Id="rId495" Type="http://schemas.openxmlformats.org/officeDocument/2006/relationships/hyperlink" Target="http://mlb.mlb.com/team/player.jsp?player_id=592665" TargetMode="External"/><Relationship Id="rId716" Type="http://schemas.openxmlformats.org/officeDocument/2006/relationships/hyperlink" Target="http://mlb.mlb.com/team/player.jsp?player_id=592612" TargetMode="External"/><Relationship Id="rId758" Type="http://schemas.openxmlformats.org/officeDocument/2006/relationships/hyperlink" Target="http://mlb.mlb.com/team/player.jsp?player_id=425794" TargetMode="External"/><Relationship Id="rId10" Type="http://schemas.openxmlformats.org/officeDocument/2006/relationships/hyperlink" Target="http://mlb.mlb.com/team/player.jsp?player_id=517414" TargetMode="External"/><Relationship Id="rId52" Type="http://schemas.openxmlformats.org/officeDocument/2006/relationships/hyperlink" Target="http://mlb.mlb.com/team/player.jsp?player_id=605177" TargetMode="External"/><Relationship Id="rId94" Type="http://schemas.openxmlformats.org/officeDocument/2006/relationships/hyperlink" Target="http://mlb.mlb.com/team/player.jsp?player_id=595465" TargetMode="External"/><Relationship Id="rId148" Type="http://schemas.openxmlformats.org/officeDocument/2006/relationships/hyperlink" Target="http://mlb.mlb.com/team/player.jsp?player_id=519166" TargetMode="External"/><Relationship Id="rId355" Type="http://schemas.openxmlformats.org/officeDocument/2006/relationships/hyperlink" Target="http://mlb.mlb.com/team/player.jsp?player_id=547943" TargetMode="External"/><Relationship Id="rId397" Type="http://schemas.openxmlformats.org/officeDocument/2006/relationships/hyperlink" Target="http://mlb.mlb.com/team/player.jsp?player_id=457768" TargetMode="External"/><Relationship Id="rId520" Type="http://schemas.openxmlformats.org/officeDocument/2006/relationships/hyperlink" Target="http://mlb.mlb.com/team/player.jsp?player_id=648737" TargetMode="External"/><Relationship Id="rId562" Type="http://schemas.openxmlformats.org/officeDocument/2006/relationships/hyperlink" Target="http://mlb.mlb.com/team/player.jsp?player_id=605388" TargetMode="External"/><Relationship Id="rId618" Type="http://schemas.openxmlformats.org/officeDocument/2006/relationships/hyperlink" Target="http://mlb.mlb.com/team/player.jsp?player_id=543456" TargetMode="External"/><Relationship Id="rId825" Type="http://schemas.openxmlformats.org/officeDocument/2006/relationships/hyperlink" Target="http://mlb.mlb.com/team/player.jsp?player_id=605452" TargetMode="External"/><Relationship Id="rId215" Type="http://schemas.openxmlformats.org/officeDocument/2006/relationships/hyperlink" Target="http://mlb.mlb.com/team/player.jsp?player_id=547179" TargetMode="External"/><Relationship Id="rId257" Type="http://schemas.openxmlformats.org/officeDocument/2006/relationships/hyperlink" Target="http://mlb.mlb.com/team/player.jsp?player_id=430589" TargetMode="External"/><Relationship Id="rId422" Type="http://schemas.openxmlformats.org/officeDocument/2006/relationships/hyperlink" Target="http://mlb.mlb.com/team/player.jsp?player_id=606930" TargetMode="External"/><Relationship Id="rId464" Type="http://schemas.openxmlformats.org/officeDocument/2006/relationships/hyperlink" Target="http://mlb.mlb.com/team/player.jsp?player_id=518468" TargetMode="External"/><Relationship Id="rId299" Type="http://schemas.openxmlformats.org/officeDocument/2006/relationships/hyperlink" Target="http://mlb.mlb.com/team/player.jsp?player_id=445276" TargetMode="External"/><Relationship Id="rId727" Type="http://schemas.openxmlformats.org/officeDocument/2006/relationships/hyperlink" Target="http://mlb.mlb.com/team/player.jsp?player_id=489265" TargetMode="External"/><Relationship Id="rId63" Type="http://schemas.openxmlformats.org/officeDocument/2006/relationships/hyperlink" Target="http://mlb.mlb.com/team/player.jsp?player_id=516714" TargetMode="External"/><Relationship Id="rId159" Type="http://schemas.openxmlformats.org/officeDocument/2006/relationships/hyperlink" Target="http://mlb.mlb.com/team/player.jsp?player_id=543294" TargetMode="External"/><Relationship Id="rId366" Type="http://schemas.openxmlformats.org/officeDocument/2006/relationships/hyperlink" Target="http://mlb.mlb.com/team/player.jsp?player_id=457768" TargetMode="External"/><Relationship Id="rId573" Type="http://schemas.openxmlformats.org/officeDocument/2006/relationships/hyperlink" Target="http://mlb.mlb.com/team/player.jsp?player_id=517629" TargetMode="External"/><Relationship Id="rId780" Type="http://schemas.openxmlformats.org/officeDocument/2006/relationships/hyperlink" Target="http://mlb.mlb.com/team/player.jsp?player_id=448802" TargetMode="External"/><Relationship Id="rId226" Type="http://schemas.openxmlformats.org/officeDocument/2006/relationships/hyperlink" Target="http://mlb.mlb.com/team/player.jsp?player_id=596112" TargetMode="External"/><Relationship Id="rId433" Type="http://schemas.openxmlformats.org/officeDocument/2006/relationships/hyperlink" Target="http://mlb.mlb.com/team/player.jsp?player_id=490063" TargetMode="External"/><Relationship Id="rId640" Type="http://schemas.openxmlformats.org/officeDocument/2006/relationships/hyperlink" Target="http://mlb.mlb.com/team/player.jsp?player_id=519141" TargetMode="External"/><Relationship Id="rId738" Type="http://schemas.openxmlformats.org/officeDocument/2006/relationships/hyperlink" Target="http://mlb.mlb.com/team/player.jsp?player_id=518715" TargetMode="External"/><Relationship Id="rId74" Type="http://schemas.openxmlformats.org/officeDocument/2006/relationships/hyperlink" Target="http://mlb.mlb.com/team/player.jsp?player_id=594792" TargetMode="External"/><Relationship Id="rId377" Type="http://schemas.openxmlformats.org/officeDocument/2006/relationships/hyperlink" Target="http://mlb.mlb.com/team/player.jsp?player_id=429719" TargetMode="External"/><Relationship Id="rId500" Type="http://schemas.openxmlformats.org/officeDocument/2006/relationships/hyperlink" Target="http://mlb.mlb.com/team/player.jsp?player_id=607625" TargetMode="External"/><Relationship Id="rId584" Type="http://schemas.openxmlformats.org/officeDocument/2006/relationships/hyperlink" Target="http://mlb.mlb.com/team/player.jsp?player_id=519263" TargetMode="External"/><Relationship Id="rId805" Type="http://schemas.openxmlformats.org/officeDocument/2006/relationships/hyperlink" Target="http://mlb.mlb.com/team/player.jsp?player_id=553878" TargetMode="External"/><Relationship Id="rId5" Type="http://schemas.openxmlformats.org/officeDocument/2006/relationships/hyperlink" Target="http://mlb.mlb.com/team/player.jsp?player_id=553883" TargetMode="External"/><Relationship Id="rId237" Type="http://schemas.openxmlformats.org/officeDocument/2006/relationships/hyperlink" Target="http://mlb.mlb.com/team/player.jsp?player_id=502457" TargetMode="External"/><Relationship Id="rId791" Type="http://schemas.openxmlformats.org/officeDocument/2006/relationships/hyperlink" Target="http://mlb.mlb.com/team/player.jsp?player_id=519240" TargetMode="External"/><Relationship Id="rId444" Type="http://schemas.openxmlformats.org/officeDocument/2006/relationships/hyperlink" Target="http://mlb.mlb.com/team/player.jsp?player_id=594985" TargetMode="External"/><Relationship Id="rId651" Type="http://schemas.openxmlformats.org/officeDocument/2006/relationships/hyperlink" Target="http://mlb.mlb.com/team/player.jsp?player_id=607727" TargetMode="External"/><Relationship Id="rId749" Type="http://schemas.openxmlformats.org/officeDocument/2006/relationships/hyperlink" Target="http://mlb.mlb.com/team/player.jsp?player_id=435043" TargetMode="External"/><Relationship Id="rId290" Type="http://schemas.openxmlformats.org/officeDocument/2006/relationships/hyperlink" Target="http://mlb.mlb.com/team/player.jsp?player_id=548357" TargetMode="External"/><Relationship Id="rId304" Type="http://schemas.openxmlformats.org/officeDocument/2006/relationships/hyperlink" Target="http://mlb.mlb.com/team/player.jsp?player_id=501593" TargetMode="External"/><Relationship Id="rId388" Type="http://schemas.openxmlformats.org/officeDocument/2006/relationships/hyperlink" Target="http://mlb.mlb.com/team/player.jsp?player_id=572309" TargetMode="External"/><Relationship Id="rId511" Type="http://schemas.openxmlformats.org/officeDocument/2006/relationships/hyperlink" Target="http://mlb.mlb.com/team/player.jsp?player_id=548337" TargetMode="External"/><Relationship Id="rId609" Type="http://schemas.openxmlformats.org/officeDocument/2006/relationships/hyperlink" Target="http://mlb.mlb.com/team/player.jsp?player_id=453172" TargetMode="External"/><Relationship Id="rId85" Type="http://schemas.openxmlformats.org/officeDocument/2006/relationships/hyperlink" Target="http://mlb.mlb.com/team/player.jsp?player_id=543391" TargetMode="External"/><Relationship Id="rId150" Type="http://schemas.openxmlformats.org/officeDocument/2006/relationships/hyperlink" Target="http://mlb.mlb.com/team/player.jsp?player_id=476589" TargetMode="External"/><Relationship Id="rId595" Type="http://schemas.openxmlformats.org/officeDocument/2006/relationships/hyperlink" Target="http://mlb.mlb.com/team/player.jsp?player_id=502046" TargetMode="External"/><Relationship Id="rId816" Type="http://schemas.openxmlformats.org/officeDocument/2006/relationships/hyperlink" Target="http://mlb.mlb.com/team/player.jsp?player_id=279571" TargetMode="External"/><Relationship Id="rId248" Type="http://schemas.openxmlformats.org/officeDocument/2006/relationships/hyperlink" Target="http://mlb.mlb.com/team/player.jsp?player_id=543734" TargetMode="External"/><Relationship Id="rId455" Type="http://schemas.openxmlformats.org/officeDocument/2006/relationships/hyperlink" Target="http://mlb.mlb.com/team/player.jsp?player_id=519293" TargetMode="External"/><Relationship Id="rId662" Type="http://schemas.openxmlformats.org/officeDocument/2006/relationships/hyperlink" Target="http://mlb.mlb.com/team/player.jsp?player_id=453646" TargetMode="External"/><Relationship Id="rId12" Type="http://schemas.openxmlformats.org/officeDocument/2006/relationships/hyperlink" Target="http://mlb.mlb.com/team/player.jsp?player_id=518567" TargetMode="External"/><Relationship Id="rId108" Type="http://schemas.openxmlformats.org/officeDocument/2006/relationships/hyperlink" Target="http://mlb.mlb.com/team/player.jsp?player_id=502032" TargetMode="External"/><Relationship Id="rId315" Type="http://schemas.openxmlformats.org/officeDocument/2006/relationships/hyperlink" Target="http://mlb.mlb.com/team/player.jsp?player_id=488786" TargetMode="External"/><Relationship Id="rId522" Type="http://schemas.openxmlformats.org/officeDocument/2006/relationships/hyperlink" Target="http://mlb.mlb.com/team/player.jsp?player_id=476451" TargetMode="External"/><Relationship Id="rId96" Type="http://schemas.openxmlformats.org/officeDocument/2006/relationships/hyperlink" Target="http://mlb.mlb.com/team/player.jsp?player_id=518567" TargetMode="External"/><Relationship Id="rId161" Type="http://schemas.openxmlformats.org/officeDocument/2006/relationships/hyperlink" Target="http://mlb.mlb.com/team/player.jsp?player_id=501925" TargetMode="External"/><Relationship Id="rId399" Type="http://schemas.openxmlformats.org/officeDocument/2006/relationships/hyperlink" Target="http://mlb.mlb.com/team/player.jsp?player_id=445197" TargetMode="External"/><Relationship Id="rId827" Type="http://schemas.openxmlformats.org/officeDocument/2006/relationships/hyperlink" Target="http://mlb.mlb.com/team/player.jsp?player_id=449097"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mlb.mlb.com/team/player.jsp?player_id=429717" TargetMode="External"/><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3" Type="http://schemas.openxmlformats.org/officeDocument/2006/relationships/hyperlink" Target="http://mlb.mlb.com/team/player.jsp?player_id=452666" TargetMode="External"/><Relationship Id="rId21" Type="http://schemas.openxmlformats.org/officeDocument/2006/relationships/hyperlink" Target="http://mlb.mlb.com/team/player.jsp?player_id=501697" TargetMode="External"/><Relationship Id="rId7" Type="http://schemas.openxmlformats.org/officeDocument/2006/relationships/hyperlink" Target="http://mlb.mlb.com/team/player.jsp?player_id=150188"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drawing" Target="../drawings/drawing4.xm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printerSettings" Target="../printerSettings/printerSettings7.bin"/><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547"/>
  <sheetViews>
    <sheetView topLeftCell="X1" zoomScaleNormal="100" workbookViewId="0">
      <pane ySplit="1" topLeftCell="A2" activePane="bottomLeft" state="frozen"/>
      <selection pane="bottomLeft" activeCell="AU218" sqref="AU218"/>
    </sheetView>
  </sheetViews>
  <sheetFormatPr defaultRowHeight="12.75" x14ac:dyDescent="0.2"/>
  <cols>
    <col min="1" max="1" width="16.5703125" style="108" bestFit="1" customWidth="1"/>
    <col min="2" max="2" width="6.140625" bestFit="1" customWidth="1"/>
    <col min="3" max="3" width="3.28515625" style="3" bestFit="1" customWidth="1"/>
    <col min="4" max="4" width="3.28515625" bestFit="1" customWidth="1"/>
    <col min="5" max="5" width="6.5703125" style="3" bestFit="1" customWidth="1"/>
    <col min="6" max="6" width="3.28515625" bestFit="1" customWidth="1"/>
    <col min="7" max="7" width="3.85546875" style="20" bestFit="1" customWidth="1"/>
    <col min="8" max="8" width="4" style="176" bestFit="1" customWidth="1"/>
    <col min="9" max="9" width="4.85546875" style="180" bestFit="1" customWidth="1"/>
    <col min="10" max="10" width="3.5703125" style="21" customWidth="1"/>
    <col min="11" max="11" width="5" bestFit="1" customWidth="1"/>
    <col min="12" max="12" width="7.140625" style="111" bestFit="1" customWidth="1"/>
    <col min="13" max="13" width="4.42578125" bestFit="1" customWidth="1"/>
    <col min="14" max="14" width="4.42578125" style="3" bestFit="1" customWidth="1"/>
    <col min="15" max="15" width="4.42578125" bestFit="1" customWidth="1"/>
    <col min="16" max="16" width="4" bestFit="1" customWidth="1"/>
    <col min="17" max="17" width="3.5703125" bestFit="1" customWidth="1"/>
    <col min="18" max="18" width="4.140625" style="23" bestFit="1" customWidth="1"/>
    <col min="19" max="19" width="4.42578125" style="10" bestFit="1" customWidth="1"/>
    <col min="20" max="20" width="4.5703125" style="22" bestFit="1" customWidth="1"/>
    <col min="21" max="21" width="5.5703125" style="22" bestFit="1" customWidth="1"/>
    <col min="22" max="22" width="5.5703125" style="2" bestFit="1" customWidth="1"/>
    <col min="23" max="23" width="5.85546875" bestFit="1" customWidth="1"/>
    <col min="24" max="24" width="2.28515625" style="16" customWidth="1"/>
    <col min="25" max="25" width="7.7109375" style="16" bestFit="1" customWidth="1"/>
    <col min="26" max="26" width="10" style="43" bestFit="1" customWidth="1"/>
    <col min="27" max="27" width="9.85546875" style="16" bestFit="1" customWidth="1"/>
    <col min="28" max="28" width="7.140625" style="43" bestFit="1" customWidth="1"/>
    <col min="29" max="29" width="10" style="43" bestFit="1" customWidth="1"/>
    <col min="30" max="30" width="9.85546875" style="16" bestFit="1" customWidth="1"/>
    <col min="31" max="31" width="7.7109375" style="43" bestFit="1" customWidth="1"/>
    <col min="32" max="32" width="7.85546875" style="43" bestFit="1" customWidth="1"/>
    <col min="33" max="33" width="6.7109375" style="43" bestFit="1" customWidth="1"/>
    <col min="34" max="34" width="7.7109375" style="16" bestFit="1" customWidth="1"/>
    <col min="35" max="35" width="16.5703125" style="108" bestFit="1" customWidth="1"/>
    <col min="36" max="36" width="5.5703125" style="5" bestFit="1" customWidth="1"/>
    <col min="37" max="37" width="7.5703125" style="5" customWidth="1"/>
    <col min="38" max="38" width="7" style="5" bestFit="1" customWidth="1"/>
    <col min="39" max="39" width="8.5703125" style="43" bestFit="1" customWidth="1"/>
    <col min="40" max="40" width="8.140625" style="14" bestFit="1" customWidth="1"/>
    <col min="41" max="41" width="9.42578125" style="14" bestFit="1" customWidth="1"/>
    <col min="42" max="42" width="9.140625" style="14" bestFit="1" customWidth="1"/>
    <col min="43" max="43" width="2.42578125" style="24" customWidth="1"/>
    <col min="44" max="44" width="11.42578125" style="113" bestFit="1" customWidth="1"/>
    <col min="45" max="45" width="7.140625" style="113" bestFit="1" customWidth="1"/>
    <col min="46" max="46" width="9.28515625" style="113" bestFit="1" customWidth="1"/>
    <col min="47" max="47" width="10.7109375" style="113" bestFit="1" customWidth="1"/>
    <col min="48" max="48" width="9.140625" style="24"/>
    <col min="49" max="49" width="7.140625" style="108" bestFit="1" customWidth="1"/>
    <col min="50" max="16384" width="9.140625" style="24"/>
  </cols>
  <sheetData>
    <row r="1" spans="1:49" s="30" customFormat="1" x14ac:dyDescent="0.2">
      <c r="A1" s="69" t="s">
        <v>106</v>
      </c>
      <c r="B1" s="18" t="s">
        <v>157</v>
      </c>
      <c r="C1" s="103" t="s">
        <v>85</v>
      </c>
      <c r="D1" s="18" t="s">
        <v>86</v>
      </c>
      <c r="E1" s="103" t="s">
        <v>87</v>
      </c>
      <c r="F1" s="18" t="s">
        <v>108</v>
      </c>
      <c r="G1" s="18" t="s">
        <v>88</v>
      </c>
      <c r="H1" s="143" t="s">
        <v>89</v>
      </c>
      <c r="I1" s="175" t="s">
        <v>317</v>
      </c>
      <c r="J1" s="14" t="s">
        <v>90</v>
      </c>
      <c r="K1" s="14" t="s">
        <v>158</v>
      </c>
      <c r="L1" s="103" t="s">
        <v>91</v>
      </c>
      <c r="M1" s="18" t="s">
        <v>92</v>
      </c>
      <c r="N1" s="18" t="s">
        <v>93</v>
      </c>
      <c r="O1" s="18" t="s">
        <v>94</v>
      </c>
      <c r="P1" s="18" t="s">
        <v>95</v>
      </c>
      <c r="Q1" s="18" t="s">
        <v>96</v>
      </c>
      <c r="R1" s="18" t="s">
        <v>98</v>
      </c>
      <c r="S1" s="18" t="s">
        <v>97</v>
      </c>
      <c r="T1" s="18" t="s">
        <v>109</v>
      </c>
      <c r="U1" s="155" t="s">
        <v>91</v>
      </c>
      <c r="V1" s="250" t="s">
        <v>1517</v>
      </c>
      <c r="W1" s="155" t="s">
        <v>1072</v>
      </c>
      <c r="X1" s="117"/>
      <c r="Y1" s="117" t="s">
        <v>2</v>
      </c>
      <c r="Z1" s="116" t="s">
        <v>3</v>
      </c>
      <c r="AA1" s="117" t="s">
        <v>4</v>
      </c>
      <c r="AB1" s="118" t="s">
        <v>5</v>
      </c>
      <c r="AC1" s="116" t="s">
        <v>6</v>
      </c>
      <c r="AD1" s="117" t="s">
        <v>7</v>
      </c>
      <c r="AE1" s="119" t="s">
        <v>8</v>
      </c>
      <c r="AF1" s="119" t="s">
        <v>81</v>
      </c>
      <c r="AG1" s="119" t="s">
        <v>9</v>
      </c>
      <c r="AH1" s="128" t="s">
        <v>10</v>
      </c>
      <c r="AI1" s="69" t="s">
        <v>106</v>
      </c>
      <c r="AJ1" s="59" t="s">
        <v>11</v>
      </c>
      <c r="AK1" s="59" t="s">
        <v>12</v>
      </c>
      <c r="AL1" s="59" t="s">
        <v>13</v>
      </c>
      <c r="AM1" s="57" t="s">
        <v>83</v>
      </c>
      <c r="AN1" s="57" t="s">
        <v>99</v>
      </c>
      <c r="AO1" s="57" t="s">
        <v>84</v>
      </c>
      <c r="AP1" s="57" t="s">
        <v>191</v>
      </c>
      <c r="AR1" s="112" t="s">
        <v>319</v>
      </c>
      <c r="AS1" s="112"/>
      <c r="AT1" s="112"/>
      <c r="AU1" s="112"/>
      <c r="AW1" s="103" t="s">
        <v>91</v>
      </c>
    </row>
    <row r="2" spans="1:49" x14ac:dyDescent="0.2">
      <c r="A2" s="107"/>
      <c r="C2"/>
      <c r="D2" s="3"/>
      <c r="G2" s="62"/>
      <c r="I2" s="176"/>
      <c r="J2" s="62"/>
      <c r="K2" s="62"/>
      <c r="L2" s="259">
        <f>INDEX('C-P-RollAdj'!$P$4:$P$900,MATCH((T2),'C-P-RollAdj'!$O$4:$O$900,FALSE),0)</f>
        <v>0</v>
      </c>
      <c r="M2" s="3"/>
      <c r="N2"/>
      <c r="R2"/>
      <c r="S2"/>
      <c r="T2"/>
      <c r="U2"/>
      <c r="X2" s="50"/>
      <c r="Y2" s="50"/>
      <c r="Z2" s="6"/>
      <c r="AB2" s="16"/>
      <c r="AC2" s="6"/>
      <c r="AE2" s="17"/>
      <c r="AF2" s="17"/>
      <c r="AG2" s="17"/>
      <c r="AH2" s="4"/>
      <c r="AI2" s="107"/>
      <c r="AM2" s="14"/>
      <c r="AW2" s="109"/>
    </row>
    <row r="3" spans="1:49" x14ac:dyDescent="0.2">
      <c r="A3" s="41" t="s">
        <v>444</v>
      </c>
      <c r="B3" s="76" t="s">
        <v>145</v>
      </c>
      <c r="C3" s="76">
        <v>10</v>
      </c>
      <c r="D3" s="76">
        <v>4</v>
      </c>
      <c r="E3" s="97">
        <v>2.0499999999999998</v>
      </c>
      <c r="F3" s="76">
        <v>71</v>
      </c>
      <c r="G3" s="76">
        <v>0</v>
      </c>
      <c r="H3" s="76">
        <v>0</v>
      </c>
      <c r="I3" s="76">
        <v>0</v>
      </c>
      <c r="J3" s="76">
        <v>2</v>
      </c>
      <c r="K3" s="76">
        <v>7</v>
      </c>
      <c r="L3" s="258">
        <f>INDEX('C-P-RollAdj'!$P$4:$P$900,MATCH((U3),'C-P-RollAdj'!$O$4:$O$900,FALSE),0)</f>
        <v>79</v>
      </c>
      <c r="M3" s="76">
        <v>57</v>
      </c>
      <c r="N3" s="76">
        <v>23</v>
      </c>
      <c r="O3" s="76">
        <v>18</v>
      </c>
      <c r="P3" s="76">
        <v>7</v>
      </c>
      <c r="Q3" s="76">
        <v>25</v>
      </c>
      <c r="R3" s="76">
        <v>1</v>
      </c>
      <c r="S3" s="76">
        <v>92</v>
      </c>
      <c r="T3" s="76">
        <v>311</v>
      </c>
      <c r="U3" s="76">
        <v>79</v>
      </c>
      <c r="V3" s="100">
        <v>0.20100000000000001</v>
      </c>
      <c r="W3" s="76">
        <v>1.04</v>
      </c>
      <c r="X3" s="76"/>
      <c r="Y3" s="50">
        <f>+(Q3-R3)/(T3-R3)*100</f>
        <v>7.741935483870968</v>
      </c>
      <c r="Z3" s="6">
        <f>IF(Y3&lt;LeagueRatings!$K$10,((LeagueRatings!$K$10-Y3)/LeagueRatings!$K$10)*36,(LeagueRatings!$K$10-Y3)*6.48)</f>
        <v>3.8445008012641226</v>
      </c>
      <c r="AA3" s="16">
        <f>INDEX('C-P-RollAdj'!$B$4:$B$76,MATCH(INT(Z3),'C-P-RollAdj'!$A$4:$A$76,FALSE),0)</f>
        <v>-0.24</v>
      </c>
      <c r="AB3" s="16">
        <f>(P3/(T3-R3))*100</f>
        <v>2.258064516129032</v>
      </c>
      <c r="AC3" s="6">
        <f>IF(AB3&lt;LeagueRatings!$K$8,((LeagueRatings!$K$8-AB3)/LeagueRatings!$K$8)*36,(LeagueRatings!$K$8-AB3)/LeagueRatings!$K$11)</f>
        <v>10.61436770235504</v>
      </c>
      <c r="AD3" s="16">
        <f>INDEX('C-P-RollAdj'!$F$4:$F$76,MATCH(INT(AC3),'C-P-RollAdj'!$E$4:$E$76,FALSE),0)</f>
        <v>-0.73</v>
      </c>
      <c r="AE3" s="17">
        <f>+((LeagueRatings!$I$6-E3)*5)+9.5</f>
        <v>20.258051455277403</v>
      </c>
      <c r="AF3" s="17">
        <f>IF(AE3&lt;4,4,AE3)</f>
        <v>20.258051455277403</v>
      </c>
      <c r="AG3" s="17">
        <f>IF(M3&lt;L3,((1-(M3/L3))*7)-0.07,(1-(M3/L3))*5)</f>
        <v>1.879367088607595</v>
      </c>
      <c r="AH3" s="4">
        <f>+AA3+AD3+AF3+AG3</f>
        <v>21.167418543884999</v>
      </c>
      <c r="AI3" s="41" t="s">
        <v>444</v>
      </c>
      <c r="AJ3" s="5" t="s">
        <v>28</v>
      </c>
      <c r="AK3" s="219">
        <f>INDEX('C-P-RollAdj'!$J$4:$J$76,MATCH(INT(Z3),'C-P-RollAdj'!$I$4:$I$76,FALSE),0)</f>
        <v>13</v>
      </c>
      <c r="AL3" s="219">
        <f>INDEX('C-P-RollAdj'!$J$4:$J$76,MATCH(INT(AC3),'C-P-RollAdj'!$I$4:$I$76,FALSE),0)</f>
        <v>24</v>
      </c>
      <c r="AM3" s="14">
        <f>+AR3*LeagueRatings!$K$27</f>
        <v>43.888888888888893</v>
      </c>
      <c r="AN3" s="72">
        <f>F3*LeagueRatings!$K$27</f>
        <v>39.444444444444443</v>
      </c>
      <c r="AO3" s="72">
        <f>G3*LeagueRatings!$K$27</f>
        <v>0</v>
      </c>
      <c r="AP3" s="72">
        <f>T3*LeagueRatings!$K$27</f>
        <v>172.77777777777777</v>
      </c>
      <c r="AR3" s="72">
        <f>ROUNDUP(L3,0)</f>
        <v>79</v>
      </c>
      <c r="AW3" s="144">
        <v>40</v>
      </c>
    </row>
    <row r="4" spans="1:49" x14ac:dyDescent="0.2">
      <c r="A4" s="41" t="s">
        <v>493</v>
      </c>
      <c r="B4" s="76" t="s">
        <v>145</v>
      </c>
      <c r="C4" s="76">
        <v>2</v>
      </c>
      <c r="D4" s="76">
        <v>1</v>
      </c>
      <c r="E4" s="97">
        <v>0.54</v>
      </c>
      <c r="F4" s="76">
        <v>69</v>
      </c>
      <c r="G4" s="76">
        <v>0</v>
      </c>
      <c r="H4" s="76">
        <v>0</v>
      </c>
      <c r="I4" s="76">
        <v>0</v>
      </c>
      <c r="J4" s="76">
        <v>47</v>
      </c>
      <c r="K4" s="76">
        <v>47</v>
      </c>
      <c r="L4" s="258">
        <f>INDEX('C-P-RollAdj'!$P$4:$P$900,MATCH((U4),'C-P-RollAdj'!$O$4:$O$900,FALSE),0)</f>
        <v>67</v>
      </c>
      <c r="M4" s="76">
        <v>38</v>
      </c>
      <c r="N4" s="76">
        <v>7</v>
      </c>
      <c r="O4" s="76">
        <v>4</v>
      </c>
      <c r="P4" s="76">
        <v>1</v>
      </c>
      <c r="Q4" s="76">
        <v>18</v>
      </c>
      <c r="R4" s="76">
        <v>3</v>
      </c>
      <c r="S4" s="76">
        <v>74</v>
      </c>
      <c r="T4" s="76">
        <v>254</v>
      </c>
      <c r="U4" s="76">
        <v>67</v>
      </c>
      <c r="V4" s="100">
        <v>0.16200000000000001</v>
      </c>
      <c r="W4" s="76">
        <v>0.84</v>
      </c>
      <c r="X4" s="76"/>
      <c r="Y4" s="50">
        <f t="shared" ref="Y4:Y17" si="0">+(Q4-R4)/(T4-R4)*100</f>
        <v>5.9760956175298805</v>
      </c>
      <c r="Z4" s="6">
        <f>IF(Y4&lt;LeagueRatings!$K$10,((LeagueRatings!$K$10-Y4)/LeagueRatings!$K$10)*36,(LeagueRatings!$K$10-Y4)*6.48)</f>
        <v>11.178773028864239</v>
      </c>
      <c r="AA4" s="16">
        <f>INDEX('C-P-RollAdj'!$B$4:$B$76,MATCH(INT(Z4),'C-P-RollAdj'!$A$4:$A$76,FALSE),0)</f>
        <v>-0.92</v>
      </c>
      <c r="AB4" s="16">
        <f t="shared" ref="AB4:AB67" si="1">(P4/(T4-R4))*100</f>
        <v>0.39840637450199201</v>
      </c>
      <c r="AC4" s="6">
        <f>IF(AB4&lt;LeagueRatings!$K$8,((LeagueRatings!$K$8-AB4)/LeagueRatings!$K$8)*36,(LeagueRatings!$K$8-AB4)/LeagueRatings!$K$11)</f>
        <v>31.521032434678464</v>
      </c>
      <c r="AD4" s="16">
        <f>INDEX('C-P-RollAdj'!$F$4:$F$76,MATCH(INT(AC4),'C-P-RollAdj'!$E$4:$E$76,FALSE),0)</f>
        <v>-2.71</v>
      </c>
      <c r="AE4" s="17">
        <f>+((LeagueRatings!$I$6-E4)*5)+9.5</f>
        <v>27.808051455277404</v>
      </c>
      <c r="AF4" s="17">
        <f t="shared" ref="AF4:AF67" si="2">IF(AE4&lt;4,4,AE4)</f>
        <v>27.808051455277404</v>
      </c>
      <c r="AG4" s="17">
        <f t="shared" ref="AG4:AG67" si="3">IF(M4&lt;L4,((1-(M4/L4))*7)-0.07,(1-(M4/L4))*5)</f>
        <v>2.959850746268657</v>
      </c>
      <c r="AH4" s="4">
        <f t="shared" ref="AH4:AH67" si="4">+AA4+AD4+AF4+AG4</f>
        <v>27.137902201546062</v>
      </c>
      <c r="AI4" s="41" t="s">
        <v>493</v>
      </c>
      <c r="AJ4" s="5" t="s">
        <v>142</v>
      </c>
      <c r="AK4" s="219">
        <f>INDEX('C-P-RollAdj'!$J$4:$J$76,MATCH(INT(Z4),'C-P-RollAdj'!$I$4:$I$76,FALSE),0)</f>
        <v>25</v>
      </c>
      <c r="AL4" s="219">
        <f>INDEX('C-P-RollAdj'!$J$4:$J$76,MATCH(INT(AC4),'C-P-RollAdj'!$I$4:$I$76,FALSE),0)</f>
        <v>61</v>
      </c>
      <c r="AM4" s="14">
        <f>+AR4*LeagueRatings!$K$27</f>
        <v>37.222222222222221</v>
      </c>
      <c r="AN4" s="72">
        <f>F4*LeagueRatings!$K$27</f>
        <v>38.333333333333336</v>
      </c>
      <c r="AO4" s="72">
        <f>G4*LeagueRatings!$K$27</f>
        <v>0</v>
      </c>
      <c r="AP4" s="72">
        <f>T4*LeagueRatings!$K$27</f>
        <v>141.11111111111111</v>
      </c>
      <c r="AR4" s="72">
        <f>ROUNDUP(L4,0)</f>
        <v>67</v>
      </c>
      <c r="AW4" s="144">
        <v>137</v>
      </c>
    </row>
    <row r="5" spans="1:49" s="26" customFormat="1" x14ac:dyDescent="0.2">
      <c r="A5" s="41" t="s">
        <v>1299</v>
      </c>
      <c r="B5" s="76" t="s">
        <v>145</v>
      </c>
      <c r="C5" s="76">
        <v>10</v>
      </c>
      <c r="D5" s="76">
        <v>6</v>
      </c>
      <c r="E5" s="97">
        <v>4.0199999999999996</v>
      </c>
      <c r="F5" s="76">
        <v>36</v>
      </c>
      <c r="G5" s="76">
        <v>14</v>
      </c>
      <c r="H5" s="76">
        <v>0</v>
      </c>
      <c r="I5" s="76">
        <v>0</v>
      </c>
      <c r="J5" s="76">
        <v>0</v>
      </c>
      <c r="K5" s="76">
        <v>0</v>
      </c>
      <c r="L5" s="258">
        <f>INDEX('C-P-RollAdj'!$P$4:$P$900,MATCH((U5),'C-P-RollAdj'!$O$4:$O$900,FALSE),0)</f>
        <v>109.67</v>
      </c>
      <c r="M5" s="76">
        <v>109</v>
      </c>
      <c r="N5" s="76">
        <v>52</v>
      </c>
      <c r="O5" s="76">
        <v>49</v>
      </c>
      <c r="P5" s="76">
        <v>18</v>
      </c>
      <c r="Q5" s="76">
        <v>42</v>
      </c>
      <c r="R5" s="76">
        <v>4</v>
      </c>
      <c r="S5" s="76">
        <v>104</v>
      </c>
      <c r="T5" s="76">
        <v>474</v>
      </c>
      <c r="U5" s="76">
        <v>109.2</v>
      </c>
      <c r="V5" s="100">
        <v>0.25700000000000001</v>
      </c>
      <c r="W5" s="76">
        <v>1.38</v>
      </c>
      <c r="X5" s="76"/>
      <c r="Y5" s="50">
        <f t="shared" si="0"/>
        <v>8.085106382978724</v>
      </c>
      <c r="Z5" s="6">
        <f>IF(Y5&lt;LeagueRatings!$K$10,((LeagueRatings!$K$10-Y5)/LeagueRatings!$K$10)*36,(LeagueRatings!$K$10-Y5)*6.48)</f>
        <v>2.4191683899726377</v>
      </c>
      <c r="AA5" s="16">
        <f>INDEX('C-P-RollAdj'!$B$4:$B$76,MATCH(INT(Z5),'C-P-RollAdj'!$A$4:$A$76,FALSE),0)</f>
        <v>-0.16</v>
      </c>
      <c r="AB5" s="16">
        <f t="shared" si="1"/>
        <v>3.8297872340425529</v>
      </c>
      <c r="AC5" s="6">
        <f>IF(AB5&lt;LeagueRatings!$K$8,((LeagueRatings!$K$8-AB5)/LeagueRatings!$K$8)*36,(LeagueRatings!$K$8-AB5)/LeagueRatings!$K$11)</f>
        <v>-4.9831856503344607</v>
      </c>
      <c r="AD5" s="16">
        <f>INDEX('C-P-RollAdj'!$F$4:$F$76,MATCH(INT(AC5),'C-P-RollAdj'!$E$4:$E$76,FALSE),0)</f>
        <v>0.42</v>
      </c>
      <c r="AE5" s="17">
        <f>+((LeagueRatings!$I$6-E5)*5)+9.5</f>
        <v>10.408051455277405</v>
      </c>
      <c r="AF5" s="17">
        <f t="shared" si="2"/>
        <v>10.408051455277405</v>
      </c>
      <c r="AG5" s="17">
        <f t="shared" si="3"/>
        <v>-2.723534239080877E-2</v>
      </c>
      <c r="AH5" s="4">
        <f t="shared" si="4"/>
        <v>10.640816112886597</v>
      </c>
      <c r="AI5" s="41" t="s">
        <v>1299</v>
      </c>
      <c r="AJ5" s="5" t="s">
        <v>68</v>
      </c>
      <c r="AK5" s="219">
        <f>INDEX('C-P-RollAdj'!$J$4:$J$76,MATCH(INT(Z5),'C-P-RollAdj'!$I$4:$I$76,FALSE),0)</f>
        <v>12</v>
      </c>
      <c r="AL5" s="219">
        <f>INDEX('C-P-RollAdj'!$J$4:$J$76,MATCH(INT(AC5),'C-P-RollAdj'!$I$4:$I$76,FALSE),0)</f>
        <v>-15</v>
      </c>
      <c r="AM5" s="14">
        <f>+AR5*LeagueRatings!$K$27</f>
        <v>61.111111111111114</v>
      </c>
      <c r="AN5" s="72">
        <f>F5*LeagueRatings!$K$27</f>
        <v>20</v>
      </c>
      <c r="AO5" s="72">
        <f>G5*LeagueRatings!$K$27</f>
        <v>7.7777777777777786</v>
      </c>
      <c r="AP5" s="72">
        <f>T5*LeagueRatings!$K$27</f>
        <v>263.33333333333337</v>
      </c>
      <c r="AR5" s="72">
        <f t="shared" ref="AR5:AR67" si="5">ROUNDUP(L5,0)</f>
        <v>110</v>
      </c>
      <c r="AS5" s="113"/>
      <c r="AT5" s="113"/>
      <c r="AU5" s="113"/>
      <c r="AW5" s="144">
        <v>90.67</v>
      </c>
    </row>
    <row r="6" spans="1:49" x14ac:dyDescent="0.2">
      <c r="A6" s="41" t="s">
        <v>406</v>
      </c>
      <c r="B6" s="76" t="s">
        <v>145</v>
      </c>
      <c r="C6" s="76">
        <v>6</v>
      </c>
      <c r="D6" s="76">
        <v>8</v>
      </c>
      <c r="E6" s="97">
        <v>5.42</v>
      </c>
      <c r="F6" s="76">
        <v>23</v>
      </c>
      <c r="G6" s="76">
        <v>23</v>
      </c>
      <c r="H6" s="76">
        <v>0</v>
      </c>
      <c r="I6" s="76">
        <v>0</v>
      </c>
      <c r="J6" s="76">
        <v>0</v>
      </c>
      <c r="K6" s="76">
        <v>0</v>
      </c>
      <c r="L6" s="258">
        <f>INDEX('C-P-RollAdj'!$P$4:$P$900,MATCH((U6),'C-P-RollAdj'!$O$4:$O$900,FALSE),0)</f>
        <v>118</v>
      </c>
      <c r="M6" s="76">
        <v>126</v>
      </c>
      <c r="N6" s="76">
        <v>74</v>
      </c>
      <c r="O6" s="76">
        <v>71</v>
      </c>
      <c r="P6" s="76">
        <v>16</v>
      </c>
      <c r="Q6" s="76">
        <v>61</v>
      </c>
      <c r="R6" s="76">
        <v>2</v>
      </c>
      <c r="S6" s="76">
        <v>85</v>
      </c>
      <c r="T6" s="76">
        <v>526</v>
      </c>
      <c r="U6" s="76">
        <v>118</v>
      </c>
      <c r="V6" s="100">
        <v>0.27600000000000002</v>
      </c>
      <c r="W6" s="76">
        <v>1.58</v>
      </c>
      <c r="X6" s="76"/>
      <c r="Y6" s="50">
        <f t="shared" si="0"/>
        <v>11.259541984732824</v>
      </c>
      <c r="Z6" s="6">
        <f>IF(Y6&lt;LeagueRatings!$K$10,((LeagueRatings!$K$10-Y6)/LeagueRatings!$K$10)*36,(LeagueRatings!$K$10-Y6)*6.48)</f>
        <v>-16.79605156687504</v>
      </c>
      <c r="AA6" s="16">
        <f>INDEX('C-P-RollAdj'!$B$4:$B$76,MATCH(INT(Z6),'C-P-RollAdj'!$A$4:$A$76,FALSE),0)</f>
        <v>1.93</v>
      </c>
      <c r="AB6" s="16">
        <f t="shared" si="1"/>
        <v>3.0534351145038165</v>
      </c>
      <c r="AC6" s="6">
        <f>IF(AB6&lt;LeagueRatings!$K$8,((LeagueRatings!$K$8-AB6)/LeagueRatings!$K$8)*36,(LeagueRatings!$K$8-AB6)/LeagueRatings!$K$11)</f>
        <v>1.6726455299021259</v>
      </c>
      <c r="AD6" s="16">
        <f>INDEX('C-P-RollAdj'!$F$4:$F$76,MATCH(INT(AC6),'C-P-RollAdj'!$E$4:$E$76,FALSE),0)</f>
        <v>-7.0000000000000007E-2</v>
      </c>
      <c r="AE6" s="17">
        <f>+((LeagueRatings!$I$6-E6)*5)+9.5</f>
        <v>3.4080514552774037</v>
      </c>
      <c r="AF6" s="17">
        <f t="shared" si="2"/>
        <v>4</v>
      </c>
      <c r="AG6" s="17">
        <f t="shared" si="3"/>
        <v>-0.33898305084745783</v>
      </c>
      <c r="AH6" s="4">
        <f t="shared" si="4"/>
        <v>5.5210169491525418</v>
      </c>
      <c r="AI6" s="41" t="s">
        <v>406</v>
      </c>
      <c r="AJ6" s="5" t="s">
        <v>24</v>
      </c>
      <c r="AK6" s="219">
        <f>INDEX('C-P-RollAdj'!$J$4:$J$76,MATCH(INT(Z6),'C-P-RollAdj'!$I$4:$I$76,FALSE),0)</f>
        <v>-35</v>
      </c>
      <c r="AL6" s="219">
        <f>INDEX('C-P-RollAdj'!$J$4:$J$76,MATCH(INT(AC6),'C-P-RollAdj'!$I$4:$I$76,FALSE),0)</f>
        <v>11</v>
      </c>
      <c r="AM6" s="14">
        <f>+AR6*LeagueRatings!$K$27</f>
        <v>65.555555555555557</v>
      </c>
      <c r="AN6" s="72">
        <f>F6*LeagueRatings!$K$27</f>
        <v>12.777777777777779</v>
      </c>
      <c r="AO6" s="72">
        <f>G6*LeagueRatings!$K$27</f>
        <v>12.777777777777779</v>
      </c>
      <c r="AP6" s="72">
        <f>T6*LeagueRatings!$K$27</f>
        <v>292.22222222222223</v>
      </c>
      <c r="AR6" s="72">
        <f t="shared" si="5"/>
        <v>118</v>
      </c>
      <c r="AW6" s="144">
        <v>47.67</v>
      </c>
    </row>
    <row r="7" spans="1:49" x14ac:dyDescent="0.2">
      <c r="A7" s="41" t="s">
        <v>495</v>
      </c>
      <c r="B7" s="76" t="s">
        <v>145</v>
      </c>
      <c r="C7" s="76">
        <v>9</v>
      </c>
      <c r="D7" s="76">
        <v>12</v>
      </c>
      <c r="E7" s="97">
        <v>3.61</v>
      </c>
      <c r="F7" s="76">
        <v>30</v>
      </c>
      <c r="G7" s="76">
        <v>30</v>
      </c>
      <c r="H7" s="76">
        <v>0</v>
      </c>
      <c r="I7" s="76">
        <v>0</v>
      </c>
      <c r="J7" s="76">
        <v>0</v>
      </c>
      <c r="K7" s="76">
        <v>0</v>
      </c>
      <c r="L7" s="258">
        <f>INDEX('C-P-RollAdj'!$P$4:$P$900,MATCH((U7),'C-P-RollAdj'!$O$4:$O$900,FALSE),0)</f>
        <v>179.67000000000002</v>
      </c>
      <c r="M7" s="76">
        <v>183</v>
      </c>
      <c r="N7" s="76">
        <v>76</v>
      </c>
      <c r="O7" s="76">
        <v>72</v>
      </c>
      <c r="P7" s="76">
        <v>28</v>
      </c>
      <c r="Q7" s="76">
        <v>47</v>
      </c>
      <c r="R7" s="76">
        <v>1</v>
      </c>
      <c r="S7" s="76">
        <v>174</v>
      </c>
      <c r="T7" s="76">
        <v>757</v>
      </c>
      <c r="U7" s="76">
        <v>179.2</v>
      </c>
      <c r="V7" s="100">
        <v>0.26200000000000001</v>
      </c>
      <c r="W7" s="76">
        <v>1.28</v>
      </c>
      <c r="X7" s="76"/>
      <c r="Y7" s="50">
        <f t="shared" si="0"/>
        <v>6.0846560846560847</v>
      </c>
      <c r="Z7" s="6">
        <f>IF(Y7&lt;LeagueRatings!$K$10,((LeagueRatings!$K$10-Y7)/LeagueRatings!$K$10)*36,(LeagueRatings!$K$10-Y7)*6.48)</f>
        <v>10.727875960429145</v>
      </c>
      <c r="AA7" s="16">
        <f>INDEX('C-P-RollAdj'!$B$4:$B$76,MATCH(INT(Z7),'C-P-RollAdj'!$A$4:$A$76,FALSE),0)</f>
        <v>-0.83000000000000007</v>
      </c>
      <c r="AB7" s="16">
        <f t="shared" si="1"/>
        <v>3.7037037037037033</v>
      </c>
      <c r="AC7" s="6">
        <f>IF(AB7&lt;LeagueRatings!$K$8,((LeagueRatings!$K$8-AB7)/LeagueRatings!$K$8)*36,(LeagueRatings!$K$8-AB7)/LeagueRatings!$K$11)</f>
        <v>-3.9820253570855355</v>
      </c>
      <c r="AD7" s="16">
        <f>INDEX('C-P-RollAdj'!$F$4:$F$76,MATCH(INT(AC7),'C-P-RollAdj'!$E$4:$E$76,FALSE),0)</f>
        <v>0.32999999999999996</v>
      </c>
      <c r="AE7" s="17">
        <f>+((LeagueRatings!$I$6-E7)*5)+9.5</f>
        <v>12.458051455277404</v>
      </c>
      <c r="AF7" s="17">
        <f t="shared" si="2"/>
        <v>12.458051455277404</v>
      </c>
      <c r="AG7" s="17">
        <f t="shared" si="3"/>
        <v>-9.2669894807145825E-2</v>
      </c>
      <c r="AH7" s="4">
        <f t="shared" si="4"/>
        <v>11.865381560470258</v>
      </c>
      <c r="AI7" s="41" t="s">
        <v>495</v>
      </c>
      <c r="AJ7" s="5" t="s">
        <v>59</v>
      </c>
      <c r="AK7" s="219">
        <f>INDEX('C-P-RollAdj'!$J$4:$J$76,MATCH(INT(Z7),'C-P-RollAdj'!$I$4:$I$76,FALSE),0)</f>
        <v>24</v>
      </c>
      <c r="AL7" s="219">
        <f>INDEX('C-P-RollAdj'!$J$4:$J$76,MATCH(INT(AC7),'C-P-RollAdj'!$I$4:$I$76,FALSE),0)</f>
        <v>-14</v>
      </c>
      <c r="AM7" s="14">
        <f>+AR7*LeagueRatings!$K$27</f>
        <v>100</v>
      </c>
      <c r="AN7" s="72">
        <f>F7*LeagueRatings!$K$27</f>
        <v>16.666666666666668</v>
      </c>
      <c r="AO7" s="72">
        <f>G7*LeagueRatings!$K$27</f>
        <v>16.666666666666668</v>
      </c>
      <c r="AP7" s="72">
        <f>T7*LeagueRatings!$K$27</f>
        <v>420.5555555555556</v>
      </c>
      <c r="AR7" s="72">
        <f t="shared" si="5"/>
        <v>180</v>
      </c>
      <c r="AW7" s="144">
        <v>171.33</v>
      </c>
    </row>
    <row r="8" spans="1:49" x14ac:dyDescent="0.2">
      <c r="A8" s="41" t="s">
        <v>1168</v>
      </c>
      <c r="B8" s="76" t="s">
        <v>145</v>
      </c>
      <c r="C8" s="76">
        <v>8</v>
      </c>
      <c r="D8" s="76">
        <v>2</v>
      </c>
      <c r="E8" s="97">
        <v>3.13</v>
      </c>
      <c r="F8" s="76">
        <v>66</v>
      </c>
      <c r="G8" s="76">
        <v>0</v>
      </c>
      <c r="H8" s="76">
        <v>0</v>
      </c>
      <c r="I8" s="76">
        <v>0</v>
      </c>
      <c r="J8" s="76">
        <v>0</v>
      </c>
      <c r="K8" s="76">
        <v>1</v>
      </c>
      <c r="L8" s="258">
        <f>INDEX('C-P-RollAdj'!$P$4:$P$900,MATCH((U8),'C-P-RollAdj'!$O$4:$O$900,FALSE),0)</f>
        <v>74.67</v>
      </c>
      <c r="M8" s="76">
        <v>59</v>
      </c>
      <c r="N8" s="76">
        <v>28</v>
      </c>
      <c r="O8" s="76">
        <v>26</v>
      </c>
      <c r="P8" s="76">
        <v>6</v>
      </c>
      <c r="Q8" s="76">
        <v>36</v>
      </c>
      <c r="R8" s="76">
        <v>2</v>
      </c>
      <c r="S8" s="76">
        <v>96</v>
      </c>
      <c r="T8" s="76">
        <v>313</v>
      </c>
      <c r="U8" s="76">
        <v>74.2</v>
      </c>
      <c r="V8" s="100">
        <v>0.22</v>
      </c>
      <c r="W8" s="76">
        <v>1.27</v>
      </c>
      <c r="X8" s="76"/>
      <c r="Y8" s="50">
        <f t="shared" si="0"/>
        <v>10.932475884244374</v>
      </c>
      <c r="Z8" s="6">
        <f>IF(Y8&lt;LeagueRatings!$K$10,((LeagueRatings!$K$10-Y8)/LeagueRatings!$K$10)*36,(LeagueRatings!$K$10-Y8)*6.48)</f>
        <v>-14.676663235709883</v>
      </c>
      <c r="AA8" s="16">
        <f>INDEX('C-P-RollAdj'!$B$4:$B$76,MATCH(INT(Z8),'C-P-RollAdj'!$A$4:$A$76,FALSE),0)</f>
        <v>1.63</v>
      </c>
      <c r="AB8" s="16">
        <f t="shared" si="1"/>
        <v>1.929260450160772</v>
      </c>
      <c r="AC8" s="6">
        <f>IF(AB8&lt;LeagueRatings!$K$8,((LeagueRatings!$K$8-AB8)/LeagueRatings!$K$8)*36,(LeagueRatings!$K$8-AB8)/LeagueRatings!$K$11)</f>
        <v>14.310851596867417</v>
      </c>
      <c r="AD8" s="16">
        <f>INDEX('C-P-RollAdj'!$F$4:$F$76,MATCH(INT(AC8),'C-P-RollAdj'!$E$4:$E$76,FALSE),0)</f>
        <v>-1.05</v>
      </c>
      <c r="AE8" s="17">
        <f>+((LeagueRatings!$I$6-E8)*5)+9.5</f>
        <v>14.858051455277405</v>
      </c>
      <c r="AF8" s="17">
        <f t="shared" si="2"/>
        <v>14.858051455277405</v>
      </c>
      <c r="AG8" s="17">
        <f t="shared" si="3"/>
        <v>1.3989969197803671</v>
      </c>
      <c r="AH8" s="4">
        <f t="shared" si="4"/>
        <v>16.837048375057773</v>
      </c>
      <c r="AI8" s="41" t="s">
        <v>1168</v>
      </c>
      <c r="AJ8" s="5" t="s">
        <v>53</v>
      </c>
      <c r="AK8" s="219">
        <f>INDEX('C-P-RollAdj'!$J$4:$J$76,MATCH(INT(Z8),'C-P-RollAdj'!$I$4:$I$76,FALSE),0)</f>
        <v>-33</v>
      </c>
      <c r="AL8" s="219">
        <f>INDEX('C-P-RollAdj'!$J$4:$J$76,MATCH(INT(AC8),'C-P-RollAdj'!$I$4:$I$76,FALSE),0)</f>
        <v>32</v>
      </c>
      <c r="AM8" s="14">
        <f>+AR8*LeagueRatings!$K$27</f>
        <v>41.666666666666671</v>
      </c>
      <c r="AN8" s="72">
        <f>F8*LeagueRatings!$K$27</f>
        <v>36.666666666666671</v>
      </c>
      <c r="AO8" s="72">
        <f>G8*LeagueRatings!$K$27</f>
        <v>0</v>
      </c>
      <c r="AP8" s="72">
        <f>T8*LeagueRatings!$K$27</f>
        <v>173.88888888888889</v>
      </c>
      <c r="AR8" s="72">
        <f t="shared" si="5"/>
        <v>75</v>
      </c>
      <c r="AW8" s="144">
        <v>139.33000000000001</v>
      </c>
    </row>
    <row r="9" spans="1:49" x14ac:dyDescent="0.2">
      <c r="A9" s="41" t="s">
        <v>1298</v>
      </c>
      <c r="B9" s="76" t="s">
        <v>145</v>
      </c>
      <c r="C9" s="76">
        <v>0</v>
      </c>
      <c r="D9" s="76">
        <v>0</v>
      </c>
      <c r="E9" s="97">
        <v>0.49</v>
      </c>
      <c r="F9" s="76">
        <v>22</v>
      </c>
      <c r="G9" s="76">
        <v>0</v>
      </c>
      <c r="H9" s="76">
        <v>0</v>
      </c>
      <c r="I9" s="76">
        <v>0</v>
      </c>
      <c r="J9" s="76">
        <v>0</v>
      </c>
      <c r="K9" s="76">
        <v>0</v>
      </c>
      <c r="L9" s="258">
        <f>INDEX('C-P-RollAdj'!$P$4:$P$900,MATCH((U9),'C-P-RollAdj'!$O$4:$O$900,FALSE),0)</f>
        <v>18.329999999999998</v>
      </c>
      <c r="M9" s="76">
        <v>12</v>
      </c>
      <c r="N9" s="76">
        <v>1</v>
      </c>
      <c r="O9" s="76">
        <v>1</v>
      </c>
      <c r="P9" s="76">
        <v>1</v>
      </c>
      <c r="Q9" s="76">
        <v>6</v>
      </c>
      <c r="R9" s="76">
        <v>1</v>
      </c>
      <c r="S9" s="76">
        <v>12</v>
      </c>
      <c r="T9" s="76">
        <v>71</v>
      </c>
      <c r="U9" s="76">
        <v>18.100000000000001</v>
      </c>
      <c r="V9" s="100">
        <v>0.19400000000000001</v>
      </c>
      <c r="W9" s="76">
        <v>0.98</v>
      </c>
      <c r="X9" s="76"/>
      <c r="Y9" s="50">
        <f t="shared" si="0"/>
        <v>7.1428571428571423</v>
      </c>
      <c r="Z9" s="6">
        <f>IF(Y9&lt;LeagueRatings!$K$10,((LeagueRatings!$K$10-Y9)/LeagueRatings!$K$10)*36,(LeagueRatings!$K$10-Y9)*6.48)</f>
        <v>6.3327239535472595</v>
      </c>
      <c r="AA9" s="16">
        <f>INDEX('C-P-RollAdj'!$B$4:$B$76,MATCH(INT(Z9),'C-P-RollAdj'!$A$4:$A$76,FALSE),0)</f>
        <v>-0.48</v>
      </c>
      <c r="AB9" s="16">
        <f t="shared" si="1"/>
        <v>1.4285714285714286</v>
      </c>
      <c r="AC9" s="6">
        <f>IF(AB9&lt;LeagueRatings!$K$8,((LeagueRatings!$K$8-AB9)/LeagueRatings!$K$8)*36,(LeagueRatings!$K$8-AB9)/LeagueRatings!$K$11)</f>
        <v>19.939702015775637</v>
      </c>
      <c r="AD9" s="16">
        <f>INDEX('C-P-RollAdj'!$F$4:$F$76,MATCH(INT(AC9),'C-P-RollAdj'!$E$4:$E$76,FALSE),0)</f>
        <v>-1.5</v>
      </c>
      <c r="AE9" s="17">
        <f>+((LeagueRatings!$I$6-E9)*5)+9.5</f>
        <v>28.058051455277401</v>
      </c>
      <c r="AF9" s="17">
        <f t="shared" si="2"/>
        <v>28.058051455277401</v>
      </c>
      <c r="AG9" s="17">
        <f t="shared" si="3"/>
        <v>2.3473486088379705</v>
      </c>
      <c r="AH9" s="4">
        <f t="shared" si="4"/>
        <v>28.425400064115372</v>
      </c>
      <c r="AI9" s="41" t="s">
        <v>1298</v>
      </c>
      <c r="AJ9" s="5" t="s">
        <v>1518</v>
      </c>
      <c r="AK9" s="219">
        <f>INDEX('C-P-RollAdj'!$J$4:$J$76,MATCH(INT(Z9),'C-P-RollAdj'!$I$4:$I$76,FALSE),0)</f>
        <v>16</v>
      </c>
      <c r="AL9" s="219">
        <f>INDEX('C-P-RollAdj'!$J$4:$J$76,MATCH(INT(AC9),'C-P-RollAdj'!$I$4:$I$76,FALSE),0)</f>
        <v>41</v>
      </c>
      <c r="AM9" s="14">
        <f>+AR9*LeagueRatings!$K$27</f>
        <v>10.555555555555555</v>
      </c>
      <c r="AN9" s="72">
        <f>F9*LeagueRatings!$K$27</f>
        <v>12.222222222222223</v>
      </c>
      <c r="AO9" s="72">
        <f>G9*LeagueRatings!$K$27</f>
        <v>0</v>
      </c>
      <c r="AP9" s="72">
        <f>T9*LeagueRatings!$K$27</f>
        <v>39.444444444444443</v>
      </c>
      <c r="AR9" s="72">
        <f t="shared" si="5"/>
        <v>19</v>
      </c>
      <c r="AW9" s="144">
        <v>86.33</v>
      </c>
    </row>
    <row r="10" spans="1:49" x14ac:dyDescent="0.2">
      <c r="A10" s="41" t="s">
        <v>486</v>
      </c>
      <c r="B10" s="76" t="s">
        <v>145</v>
      </c>
      <c r="C10" s="76">
        <v>0</v>
      </c>
      <c r="D10" s="76">
        <v>0</v>
      </c>
      <c r="E10" s="97">
        <v>2.19</v>
      </c>
      <c r="F10" s="76">
        <v>12</v>
      </c>
      <c r="G10" s="76">
        <v>0</v>
      </c>
      <c r="H10" s="76">
        <v>0</v>
      </c>
      <c r="I10" s="76">
        <v>0</v>
      </c>
      <c r="J10" s="76">
        <v>0</v>
      </c>
      <c r="K10" s="76">
        <v>0</v>
      </c>
      <c r="L10" s="258">
        <f>INDEX('C-P-RollAdj'!$P$4:$P$900,MATCH((U10),'C-P-RollAdj'!$O$4:$O$900,FALSE),0)</f>
        <v>12.33</v>
      </c>
      <c r="M10" s="76">
        <v>14</v>
      </c>
      <c r="N10" s="76">
        <v>3</v>
      </c>
      <c r="O10" s="76">
        <v>3</v>
      </c>
      <c r="P10" s="76">
        <v>0</v>
      </c>
      <c r="Q10" s="76">
        <v>3</v>
      </c>
      <c r="R10" s="76">
        <v>0</v>
      </c>
      <c r="S10" s="76">
        <v>6</v>
      </c>
      <c r="T10" s="76">
        <v>49</v>
      </c>
      <c r="U10" s="76">
        <v>12.1</v>
      </c>
      <c r="V10" s="100">
        <v>0.30399999999999999</v>
      </c>
      <c r="W10" s="76">
        <v>1.38</v>
      </c>
      <c r="X10" s="76"/>
      <c r="Y10" s="50">
        <f t="shared" si="0"/>
        <v>6.1224489795918364</v>
      </c>
      <c r="Z10" s="6">
        <f>IF(Y10&lt;LeagueRatings!$K$10,((LeagueRatings!$K$10-Y10)/LeagueRatings!$K$10)*36,(LeagueRatings!$K$10-Y10)*6.48)</f>
        <v>10.57090624589765</v>
      </c>
      <c r="AA10" s="16">
        <f>INDEX('C-P-RollAdj'!$B$4:$B$76,MATCH(INT(Z10),'C-P-RollAdj'!$A$4:$A$76,FALSE),0)</f>
        <v>-0.83000000000000007</v>
      </c>
      <c r="AB10" s="16">
        <f t="shared" si="1"/>
        <v>0</v>
      </c>
      <c r="AC10" s="6">
        <f>IF(AB10&lt;LeagueRatings!$K$8,((LeagueRatings!$K$8-AB10)/LeagueRatings!$K$8)*36,(LeagueRatings!$K$8-AB10)/LeagueRatings!$K$11)</f>
        <v>36</v>
      </c>
      <c r="AD10" s="16">
        <f>INDEX('C-P-RollAdj'!$F$4:$F$76,MATCH(INT(AC10),'C-P-RollAdj'!$E$4:$E$76,FALSE),0)</f>
        <v>-3.26</v>
      </c>
      <c r="AE10" s="17">
        <f>+((LeagueRatings!$I$6-E10)*5)+9.5</f>
        <v>19.558051455277404</v>
      </c>
      <c r="AF10" s="17">
        <f t="shared" si="2"/>
        <v>19.558051455277404</v>
      </c>
      <c r="AG10" s="17">
        <f t="shared" si="3"/>
        <v>-0.67721005677210067</v>
      </c>
      <c r="AH10" s="4">
        <f t="shared" si="4"/>
        <v>14.790841398505304</v>
      </c>
      <c r="AI10" s="41" t="s">
        <v>486</v>
      </c>
      <c r="AJ10" s="5" t="s">
        <v>14</v>
      </c>
      <c r="AK10" s="219">
        <f>INDEX('C-P-RollAdj'!$J$4:$J$76,MATCH(INT(Z10),'C-P-RollAdj'!$I$4:$I$76,FALSE),0)</f>
        <v>24</v>
      </c>
      <c r="AL10" s="219">
        <f>INDEX('C-P-RollAdj'!$J$4:$J$76,MATCH(INT(AC10),'C-P-RollAdj'!$I$4:$I$76,FALSE),0)</f>
        <v>66</v>
      </c>
      <c r="AM10" s="14">
        <f>+AR10*LeagueRatings!$K$27</f>
        <v>7.2222222222222223</v>
      </c>
      <c r="AN10" s="72">
        <f>F10*LeagueRatings!$K$27</f>
        <v>6.666666666666667</v>
      </c>
      <c r="AO10" s="72">
        <f>G10*LeagueRatings!$K$27</f>
        <v>0</v>
      </c>
      <c r="AP10" s="72">
        <f>T10*LeagueRatings!$K$27</f>
        <v>27.222222222222225</v>
      </c>
      <c r="AR10" s="72">
        <f t="shared" si="5"/>
        <v>13</v>
      </c>
      <c r="AW10" s="144">
        <v>70.33</v>
      </c>
    </row>
    <row r="11" spans="1:49" s="26" customFormat="1" x14ac:dyDescent="0.2">
      <c r="A11" s="41" t="s">
        <v>526</v>
      </c>
      <c r="B11" s="76" t="s">
        <v>145</v>
      </c>
      <c r="C11" s="76">
        <v>8</v>
      </c>
      <c r="D11" s="76">
        <v>12</v>
      </c>
      <c r="E11" s="97">
        <v>5.44</v>
      </c>
      <c r="F11" s="76">
        <v>29</v>
      </c>
      <c r="G11" s="76">
        <v>25</v>
      </c>
      <c r="H11" s="76">
        <v>1</v>
      </c>
      <c r="I11" s="76">
        <v>0</v>
      </c>
      <c r="J11" s="76">
        <v>1</v>
      </c>
      <c r="K11" s="76">
        <v>1</v>
      </c>
      <c r="L11" s="258">
        <f>INDEX('C-P-RollAdj'!$P$4:$P$900,MATCH((U11),'C-P-RollAdj'!$O$4:$O$900,FALSE),0)</f>
        <v>142.32999999999998</v>
      </c>
      <c r="M11" s="76">
        <v>150</v>
      </c>
      <c r="N11" s="76">
        <v>93</v>
      </c>
      <c r="O11" s="76">
        <v>86</v>
      </c>
      <c r="P11" s="76">
        <v>16</v>
      </c>
      <c r="Q11" s="76">
        <v>72</v>
      </c>
      <c r="R11" s="76">
        <v>1</v>
      </c>
      <c r="S11" s="76">
        <v>125</v>
      </c>
      <c r="T11" s="76">
        <v>638</v>
      </c>
      <c r="U11" s="76">
        <v>142.1</v>
      </c>
      <c r="V11" s="100">
        <v>0.26800000000000002</v>
      </c>
      <c r="W11" s="76">
        <v>1.56</v>
      </c>
      <c r="X11" s="76"/>
      <c r="Y11" s="50">
        <f t="shared" si="0"/>
        <v>11.145996860282574</v>
      </c>
      <c r="Z11" s="6">
        <f>IF(Y11&lt;LeagueRatings!$K$10,((LeagueRatings!$K$10-Y11)/LeagueRatings!$K$10)*36,(LeagueRatings!$K$10-Y11)*6.48)</f>
        <v>-16.060279160437421</v>
      </c>
      <c r="AA11" s="16">
        <f>INDEX('C-P-RollAdj'!$B$4:$B$76,MATCH(INT(Z11),'C-P-RollAdj'!$A$4:$A$76,FALSE),0)</f>
        <v>1.93</v>
      </c>
      <c r="AB11" s="16">
        <f t="shared" si="1"/>
        <v>2.5117739403453689</v>
      </c>
      <c r="AC11" s="6">
        <f>IF(AB11&lt;LeagueRatings!$K$8,((LeagueRatings!$K$8-AB11)/LeagueRatings!$K$8)*36,(LeagueRatings!$K$8-AB11)/LeagueRatings!$K$11)</f>
        <v>7.7621134343307885</v>
      </c>
      <c r="AD11" s="16">
        <f>INDEX('C-P-RollAdj'!$F$4:$F$76,MATCH(INT(AC11),'C-P-RollAdj'!$E$4:$E$76,FALSE),0)</f>
        <v>-0.49000000000000005</v>
      </c>
      <c r="AE11" s="17">
        <f>+((LeagueRatings!$I$6-E11)*5)+9.5</f>
        <v>3.3080514552774014</v>
      </c>
      <c r="AF11" s="17">
        <f t="shared" si="2"/>
        <v>4</v>
      </c>
      <c r="AG11" s="17">
        <f t="shared" si="3"/>
        <v>-0.26944424927984323</v>
      </c>
      <c r="AH11" s="4">
        <f t="shared" si="4"/>
        <v>5.1705557507201565</v>
      </c>
      <c r="AI11" s="41" t="s">
        <v>526</v>
      </c>
      <c r="AJ11" s="5" t="s">
        <v>24</v>
      </c>
      <c r="AK11" s="219">
        <f>INDEX('C-P-RollAdj'!$J$4:$J$76,MATCH(INT(Z11),'C-P-RollAdj'!$I$4:$I$76,FALSE),0)</f>
        <v>-35</v>
      </c>
      <c r="AL11" s="219">
        <f>INDEX('C-P-RollAdj'!$J$4:$J$76,MATCH(INT(AC11),'C-P-RollAdj'!$I$4:$I$76,FALSE),0)</f>
        <v>21</v>
      </c>
      <c r="AM11" s="14">
        <f>+AR11*LeagueRatings!$K$27</f>
        <v>79.444444444444443</v>
      </c>
      <c r="AN11" s="72">
        <f>F11*LeagueRatings!$K$27</f>
        <v>16.111111111111111</v>
      </c>
      <c r="AO11" s="72">
        <f>G11*LeagueRatings!$K$27</f>
        <v>13.888888888888889</v>
      </c>
      <c r="AP11" s="72">
        <f>T11*LeagueRatings!$K$27</f>
        <v>354.44444444444446</v>
      </c>
      <c r="AR11" s="72">
        <f t="shared" si="5"/>
        <v>143</v>
      </c>
      <c r="AS11" s="113"/>
      <c r="AT11" s="113"/>
      <c r="AU11" s="113"/>
      <c r="AW11" s="144">
        <v>51</v>
      </c>
    </row>
    <row r="12" spans="1:49" x14ac:dyDescent="0.2">
      <c r="A12" s="41" t="s">
        <v>323</v>
      </c>
      <c r="B12" s="76" t="s">
        <v>145</v>
      </c>
      <c r="C12" s="76">
        <v>2</v>
      </c>
      <c r="D12" s="76">
        <v>5</v>
      </c>
      <c r="E12" s="97">
        <v>6.17</v>
      </c>
      <c r="F12" s="76">
        <v>11</v>
      </c>
      <c r="G12" s="76">
        <v>11</v>
      </c>
      <c r="H12" s="76">
        <v>0</v>
      </c>
      <c r="I12" s="76">
        <v>0</v>
      </c>
      <c r="J12" s="76">
        <v>0</v>
      </c>
      <c r="K12" s="76">
        <v>0</v>
      </c>
      <c r="L12" s="258">
        <f>INDEX('C-P-RollAdj'!$P$4:$P$900,MATCH((U12),'C-P-RollAdj'!$O$4:$O$900,FALSE),0)</f>
        <v>54</v>
      </c>
      <c r="M12" s="76">
        <v>70</v>
      </c>
      <c r="N12" s="76">
        <v>38</v>
      </c>
      <c r="O12" s="76">
        <v>37</v>
      </c>
      <c r="P12" s="76">
        <v>7</v>
      </c>
      <c r="Q12" s="76">
        <v>15</v>
      </c>
      <c r="R12" s="76">
        <v>0</v>
      </c>
      <c r="S12" s="76">
        <v>55</v>
      </c>
      <c r="T12" s="76">
        <v>242</v>
      </c>
      <c r="U12" s="76">
        <v>54</v>
      </c>
      <c r="V12" s="100">
        <v>0.315</v>
      </c>
      <c r="W12" s="76">
        <v>1.57</v>
      </c>
      <c r="X12" s="76"/>
      <c r="Y12" s="50">
        <f t="shared" si="0"/>
        <v>6.1983471074380168</v>
      </c>
      <c r="Z12" s="6">
        <f>IF(Y12&lt;LeagueRatings!$K$10,((LeagueRatings!$K$10-Y12)/LeagueRatings!$K$10)*36,(LeagueRatings!$K$10-Y12)*6.48)</f>
        <v>10.255669546466628</v>
      </c>
      <c r="AA12" s="16">
        <f>INDEX('C-P-RollAdj'!$B$4:$B$76,MATCH(INT(Z12),'C-P-RollAdj'!$A$4:$A$76,FALSE),0)</f>
        <v>-0.83000000000000007</v>
      </c>
      <c r="AB12" s="16">
        <f t="shared" si="1"/>
        <v>2.8925619834710745</v>
      </c>
      <c r="AC12" s="6">
        <f>IF(AB12&lt;LeagueRatings!$K$8,((LeagueRatings!$K$8-AB12)/LeagueRatings!$K$8)*36,(LeagueRatings!$K$8-AB12)/LeagueRatings!$K$11)</f>
        <v>3.4812148253308322</v>
      </c>
      <c r="AD12" s="16">
        <f>INDEX('C-P-RollAdj'!$F$4:$F$76,MATCH(INT(AC12),'C-P-RollAdj'!$E$4:$E$76,FALSE),0)</f>
        <v>-0.21000000000000002</v>
      </c>
      <c r="AE12" s="17">
        <f>+((LeagueRatings!$I$6-E12)*5)+9.5</f>
        <v>-0.34194854472259628</v>
      </c>
      <c r="AF12" s="17">
        <f t="shared" si="2"/>
        <v>4</v>
      </c>
      <c r="AG12" s="17">
        <f t="shared" si="3"/>
        <v>-1.4814814814814814</v>
      </c>
      <c r="AH12" s="4">
        <f t="shared" si="4"/>
        <v>1.4785185185185186</v>
      </c>
      <c r="AI12" s="41" t="s">
        <v>323</v>
      </c>
      <c r="AJ12" s="5" t="s">
        <v>50</v>
      </c>
      <c r="AK12" s="219">
        <f>INDEX('C-P-RollAdj'!$J$4:$J$76,MATCH(INT(Z12),'C-P-RollAdj'!$I$4:$I$76,FALSE),0)</f>
        <v>24</v>
      </c>
      <c r="AL12" s="219">
        <f>INDEX('C-P-RollAdj'!$J$4:$J$76,MATCH(INT(AC12),'C-P-RollAdj'!$I$4:$I$76,FALSE),0)</f>
        <v>13</v>
      </c>
      <c r="AM12" s="14">
        <f>+AR12*LeagueRatings!$K$27</f>
        <v>30</v>
      </c>
      <c r="AN12" s="72">
        <f>F12*LeagueRatings!$K$27</f>
        <v>6.1111111111111116</v>
      </c>
      <c r="AO12" s="72">
        <f>G12*LeagueRatings!$K$27</f>
        <v>6.1111111111111116</v>
      </c>
      <c r="AP12" s="72">
        <f>T12*LeagueRatings!$K$27</f>
        <v>134.44444444444446</v>
      </c>
      <c r="AR12" s="72">
        <f t="shared" si="5"/>
        <v>54</v>
      </c>
      <c r="AW12" s="144">
        <v>74.67</v>
      </c>
    </row>
    <row r="13" spans="1:49" x14ac:dyDescent="0.2">
      <c r="A13" s="41" t="s">
        <v>485</v>
      </c>
      <c r="B13" s="76" t="s">
        <v>145</v>
      </c>
      <c r="C13" s="76">
        <v>3</v>
      </c>
      <c r="D13" s="76">
        <v>1</v>
      </c>
      <c r="E13" s="97">
        <v>3.77</v>
      </c>
      <c r="F13" s="76">
        <v>34</v>
      </c>
      <c r="G13" s="76">
        <v>0</v>
      </c>
      <c r="H13" s="76">
        <v>0</v>
      </c>
      <c r="I13" s="76">
        <v>0</v>
      </c>
      <c r="J13" s="76">
        <v>3</v>
      </c>
      <c r="K13" s="76">
        <v>5</v>
      </c>
      <c r="L13" s="258">
        <f>INDEX('C-P-RollAdj'!$P$4:$P$900,MATCH((U13),'C-P-RollAdj'!$O$4:$O$900,FALSE),0)</f>
        <v>31</v>
      </c>
      <c r="M13" s="76">
        <v>25</v>
      </c>
      <c r="N13" s="76">
        <v>13</v>
      </c>
      <c r="O13" s="76">
        <v>13</v>
      </c>
      <c r="P13" s="76">
        <v>6</v>
      </c>
      <c r="Q13" s="76">
        <v>13</v>
      </c>
      <c r="R13" s="76">
        <v>2</v>
      </c>
      <c r="S13" s="76">
        <v>38</v>
      </c>
      <c r="T13" s="76">
        <v>131</v>
      </c>
      <c r="U13" s="76">
        <v>31</v>
      </c>
      <c r="V13" s="100">
        <v>0.214</v>
      </c>
      <c r="W13" s="76">
        <v>1.23</v>
      </c>
      <c r="X13" s="76"/>
      <c r="Y13" s="50">
        <f t="shared" si="0"/>
        <v>8.5271317829457356</v>
      </c>
      <c r="Z13" s="6">
        <f>IF(Y13&lt;LeagueRatings!$K$10,((LeagueRatings!$K$10-Y13)/LeagueRatings!$K$10)*36,(LeagueRatings!$K$10-Y13)*6.48)</f>
        <v>0.58325185152153525</v>
      </c>
      <c r="AA13" s="16">
        <f>INDEX('C-P-RollAdj'!$B$4:$B$76,MATCH(INT(Z13),'C-P-RollAdj'!$A$4:$A$76,FALSE),0)</f>
        <v>0</v>
      </c>
      <c r="AB13" s="16">
        <f t="shared" si="1"/>
        <v>4.6511627906976747</v>
      </c>
      <c r="AC13" s="6">
        <f>IF(AB13&lt;LeagueRatings!$K$8,((LeagueRatings!$K$8-AB13)/LeagueRatings!$K$8)*36,(LeagueRatings!$K$8-AB13)/LeagueRatings!$K$11)</f>
        <v>-11.505279304900853</v>
      </c>
      <c r="AD13" s="16">
        <f>INDEX('C-P-RollAdj'!$F$4:$F$76,MATCH(INT(AC13),'C-P-RollAdj'!$E$4:$E$76,FALSE),0)</f>
        <v>1.1400000000000001</v>
      </c>
      <c r="AE13" s="17">
        <f>+((LeagueRatings!$I$6-E13)*5)+9.5</f>
        <v>11.658051455277404</v>
      </c>
      <c r="AF13" s="17">
        <f t="shared" si="2"/>
        <v>11.658051455277404</v>
      </c>
      <c r="AG13" s="17">
        <f t="shared" si="3"/>
        <v>1.2848387096774196</v>
      </c>
      <c r="AH13" s="4">
        <f t="shared" si="4"/>
        <v>14.082890164954824</v>
      </c>
      <c r="AI13" s="41" t="s">
        <v>485</v>
      </c>
      <c r="AJ13" s="9" t="s">
        <v>21</v>
      </c>
      <c r="AK13" s="219">
        <f>INDEX('C-P-RollAdj'!$J$4:$J$76,MATCH(INT(Z13),'C-P-RollAdj'!$I$4:$I$76,FALSE),0)</f>
        <v>0</v>
      </c>
      <c r="AL13" s="219">
        <f>INDEX('C-P-RollAdj'!$J$4:$J$76,MATCH(INT(AC13),'C-P-RollAdj'!$I$4:$I$76,FALSE),0)</f>
        <v>-26</v>
      </c>
      <c r="AM13" s="14">
        <f>+AR13*LeagueRatings!$K$27</f>
        <v>17.222222222222221</v>
      </c>
      <c r="AN13" s="72">
        <f>F13*LeagueRatings!$K$27</f>
        <v>18.888888888888889</v>
      </c>
      <c r="AO13" s="72">
        <f>G13*LeagueRatings!$K$27</f>
        <v>0</v>
      </c>
      <c r="AP13" s="72">
        <f>T13*LeagueRatings!$K$27</f>
        <v>72.777777777777786</v>
      </c>
      <c r="AR13" s="72">
        <f t="shared" si="5"/>
        <v>31</v>
      </c>
      <c r="AW13" s="144">
        <v>50.67</v>
      </c>
    </row>
    <row r="14" spans="1:49" s="28" customFormat="1" x14ac:dyDescent="0.2">
      <c r="A14" s="41" t="s">
        <v>489</v>
      </c>
      <c r="B14" s="76" t="s">
        <v>145</v>
      </c>
      <c r="C14" s="76">
        <v>16</v>
      </c>
      <c r="D14" s="76">
        <v>6</v>
      </c>
      <c r="E14" s="97">
        <v>3.77</v>
      </c>
      <c r="F14" s="76">
        <v>30</v>
      </c>
      <c r="G14" s="76">
        <v>30</v>
      </c>
      <c r="H14" s="76">
        <v>0</v>
      </c>
      <c r="I14" s="76">
        <v>0</v>
      </c>
      <c r="J14" s="76">
        <v>0</v>
      </c>
      <c r="K14" s="76">
        <v>0</v>
      </c>
      <c r="L14" s="258">
        <f>INDEX('C-P-RollAdj'!$P$4:$P$900,MATCH((U14),'C-P-RollAdj'!$O$4:$O$900,FALSE),0)</f>
        <v>172</v>
      </c>
      <c r="M14" s="76">
        <v>155</v>
      </c>
      <c r="N14" s="76">
        <v>73</v>
      </c>
      <c r="O14" s="76">
        <v>72</v>
      </c>
      <c r="P14" s="76">
        <v>19</v>
      </c>
      <c r="Q14" s="76">
        <v>66</v>
      </c>
      <c r="R14" s="76">
        <v>1</v>
      </c>
      <c r="S14" s="76">
        <v>140</v>
      </c>
      <c r="T14" s="76">
        <v>715</v>
      </c>
      <c r="U14" s="76">
        <v>172</v>
      </c>
      <c r="V14" s="100">
        <v>0.24399999999999999</v>
      </c>
      <c r="W14" s="76">
        <v>1.28</v>
      </c>
      <c r="X14" s="76"/>
      <c r="Y14" s="50">
        <f t="shared" si="0"/>
        <v>9.1036414565826327</v>
      </c>
      <c r="Z14" s="6">
        <f>IF(Y14&lt;LeagueRatings!$K$10,((LeagueRatings!$K$10-Y14)/LeagueRatings!$K$10)*36,(LeagueRatings!$K$10-Y14)*6.48)</f>
        <v>-2.8258161444617995</v>
      </c>
      <c r="AA14" s="16">
        <f>INDEX('C-P-RollAdj'!$B$4:$B$76,MATCH(INT(Z14),'C-P-RollAdj'!$A$4:$A$76,FALSE),0)</f>
        <v>0.27</v>
      </c>
      <c r="AB14" s="16">
        <f t="shared" si="1"/>
        <v>2.661064425770308</v>
      </c>
      <c r="AC14" s="6">
        <f>IF(AB14&lt;LeagueRatings!$K$8,((LeagueRatings!$K$8-AB14)/LeagueRatings!$K$8)*36,(LeagueRatings!$K$8-AB14)/LeagueRatings!$K$11)</f>
        <v>6.083758656836971</v>
      </c>
      <c r="AD14" s="16">
        <f>INDEX('C-P-RollAdj'!$F$4:$F$76,MATCH(INT(AC14),'C-P-RollAdj'!$E$4:$E$76,FALSE),0)</f>
        <v>-0.42000000000000004</v>
      </c>
      <c r="AE14" s="17">
        <f>+((LeagueRatings!$I$6-E14)*5)+9.5</f>
        <v>11.658051455277404</v>
      </c>
      <c r="AF14" s="17">
        <f t="shared" si="2"/>
        <v>11.658051455277404</v>
      </c>
      <c r="AG14" s="17">
        <f t="shared" si="3"/>
        <v>0.62186046511627868</v>
      </c>
      <c r="AH14" s="4">
        <f t="shared" si="4"/>
        <v>12.129911920393681</v>
      </c>
      <c r="AI14" s="41" t="s">
        <v>489</v>
      </c>
      <c r="AJ14" s="9" t="s">
        <v>59</v>
      </c>
      <c r="AK14" s="219">
        <f>INDEX('C-P-RollAdj'!$J$4:$J$76,MATCH(INT(Z14),'C-P-RollAdj'!$I$4:$I$76,FALSE),0)</f>
        <v>-13</v>
      </c>
      <c r="AL14" s="219">
        <f>INDEX('C-P-RollAdj'!$J$4:$J$76,MATCH(INT(AC14),'C-P-RollAdj'!$I$4:$I$76,FALSE),0)</f>
        <v>16</v>
      </c>
      <c r="AM14" s="14">
        <f>+AR14*LeagueRatings!$K$27</f>
        <v>95.555555555555557</v>
      </c>
      <c r="AN14" s="72">
        <f>F14*LeagueRatings!$K$27</f>
        <v>16.666666666666668</v>
      </c>
      <c r="AO14" s="72">
        <f>G14*LeagueRatings!$K$27</f>
        <v>16.666666666666668</v>
      </c>
      <c r="AP14" s="72">
        <f>T14*LeagueRatings!$K$27</f>
        <v>397.22222222222223</v>
      </c>
      <c r="AR14" s="72">
        <f t="shared" si="5"/>
        <v>172</v>
      </c>
      <c r="AS14" s="113"/>
      <c r="AT14" s="113"/>
      <c r="AU14" s="113"/>
      <c r="AW14" s="144">
        <v>62</v>
      </c>
    </row>
    <row r="15" spans="1:49" s="26" customFormat="1" x14ac:dyDescent="0.2">
      <c r="A15" s="41" t="s">
        <v>1170</v>
      </c>
      <c r="B15" s="76" t="s">
        <v>145</v>
      </c>
      <c r="C15" s="76">
        <v>4</v>
      </c>
      <c r="D15" s="76">
        <v>6</v>
      </c>
      <c r="E15" s="97">
        <v>5.27</v>
      </c>
      <c r="F15" s="76">
        <v>24</v>
      </c>
      <c r="G15" s="76">
        <v>13</v>
      </c>
      <c r="H15" s="76">
        <v>0</v>
      </c>
      <c r="I15" s="76">
        <v>0</v>
      </c>
      <c r="J15" s="76">
        <v>0</v>
      </c>
      <c r="K15" s="76">
        <v>0</v>
      </c>
      <c r="L15" s="258">
        <f>INDEX('C-P-RollAdj'!$P$4:$P$900,MATCH((U15),'C-P-RollAdj'!$O$4:$O$900,FALSE),0)</f>
        <v>94</v>
      </c>
      <c r="M15" s="76">
        <v>110</v>
      </c>
      <c r="N15" s="76">
        <v>57</v>
      </c>
      <c r="O15" s="76">
        <v>55</v>
      </c>
      <c r="P15" s="76">
        <v>15</v>
      </c>
      <c r="Q15" s="76">
        <v>24</v>
      </c>
      <c r="R15" s="76">
        <v>1</v>
      </c>
      <c r="S15" s="76">
        <v>55</v>
      </c>
      <c r="T15" s="76">
        <v>414</v>
      </c>
      <c r="U15" s="76">
        <v>94</v>
      </c>
      <c r="V15" s="100">
        <v>0.28799999999999998</v>
      </c>
      <c r="W15" s="76">
        <v>1.43</v>
      </c>
      <c r="X15" s="76"/>
      <c r="Y15" s="50">
        <f t="shared" si="0"/>
        <v>5.5690072639225177</v>
      </c>
      <c r="Z15" s="6">
        <f>IF(Y15&lt;LeagueRatings!$K$10,((LeagueRatings!$K$10-Y15)/LeagueRatings!$K$10)*36,(LeagueRatings!$K$10-Y15)*6.48)</f>
        <v>12.869581387511422</v>
      </c>
      <c r="AA15" s="16">
        <f>INDEX('C-P-RollAdj'!$B$4:$B$76,MATCH(INT(Z15),'C-P-RollAdj'!$A$4:$A$76,FALSE),0)</f>
        <v>-1.01</v>
      </c>
      <c r="AB15" s="16">
        <f t="shared" si="1"/>
        <v>3.6319612590799029</v>
      </c>
      <c r="AC15" s="6">
        <f>IF(AB15&lt;LeagueRatings!$K$8,((LeagueRatings!$K$8-AB15)/LeagueRatings!$K$8)*36,(LeagueRatings!$K$8-AB15)/LeagueRatings!$K$11)</f>
        <v>-3.4123578778761008</v>
      </c>
      <c r="AD15" s="16">
        <f>INDEX('C-P-RollAdj'!$F$4:$F$76,MATCH(INT(AC15),'C-P-RollAdj'!$E$4:$E$76,FALSE),0)</f>
        <v>0.32999999999999996</v>
      </c>
      <c r="AE15" s="17">
        <f>+((LeagueRatings!$I$6-E15)*5)+9.5</f>
        <v>4.1580514552774055</v>
      </c>
      <c r="AF15" s="17">
        <f t="shared" si="2"/>
        <v>4.1580514552774055</v>
      </c>
      <c r="AG15" s="17">
        <f t="shared" si="3"/>
        <v>-0.85106382978723416</v>
      </c>
      <c r="AH15" s="4">
        <f t="shared" si="4"/>
        <v>2.6269876254901714</v>
      </c>
      <c r="AI15" s="41" t="s">
        <v>1170</v>
      </c>
      <c r="AJ15" s="5" t="s">
        <v>78</v>
      </c>
      <c r="AK15" s="219">
        <f>INDEX('C-P-RollAdj'!$J$4:$J$76,MATCH(INT(Z15),'C-P-RollAdj'!$I$4:$I$76,FALSE),0)</f>
        <v>26</v>
      </c>
      <c r="AL15" s="219">
        <f>INDEX('C-P-RollAdj'!$J$4:$J$76,MATCH(INT(AC15),'C-P-RollAdj'!$I$4:$I$76,FALSE),0)</f>
        <v>-14</v>
      </c>
      <c r="AM15" s="14">
        <f>+AR15*LeagueRatings!$K$27</f>
        <v>52.222222222222221</v>
      </c>
      <c r="AN15" s="72">
        <f>F15*LeagueRatings!$K$27</f>
        <v>13.333333333333334</v>
      </c>
      <c r="AO15" s="72">
        <f>G15*LeagueRatings!$K$27</f>
        <v>7.2222222222222223</v>
      </c>
      <c r="AP15" s="72">
        <f>T15*LeagueRatings!$K$27</f>
        <v>230</v>
      </c>
      <c r="AR15" s="72">
        <f t="shared" si="5"/>
        <v>94</v>
      </c>
      <c r="AS15" s="113"/>
      <c r="AT15" s="113"/>
      <c r="AU15" s="113"/>
      <c r="AW15" s="144">
        <v>56</v>
      </c>
    </row>
    <row r="16" spans="1:49" x14ac:dyDescent="0.2">
      <c r="A16" s="41" t="s">
        <v>581</v>
      </c>
      <c r="B16" s="76" t="s">
        <v>145</v>
      </c>
      <c r="C16" s="76">
        <v>2</v>
      </c>
      <c r="D16" s="76">
        <v>2</v>
      </c>
      <c r="E16" s="97">
        <v>3.53</v>
      </c>
      <c r="F16" s="76">
        <v>35</v>
      </c>
      <c r="G16" s="76">
        <v>4</v>
      </c>
      <c r="H16" s="76">
        <v>0</v>
      </c>
      <c r="I16" s="76">
        <v>0</v>
      </c>
      <c r="J16" s="76">
        <v>1</v>
      </c>
      <c r="K16" s="76">
        <v>1</v>
      </c>
      <c r="L16" s="258">
        <f>INDEX('C-P-RollAdj'!$P$4:$P$900,MATCH((U16),'C-P-RollAdj'!$O$4:$O$900,FALSE),0)</f>
        <v>86.67</v>
      </c>
      <c r="M16" s="76">
        <v>84</v>
      </c>
      <c r="N16" s="76">
        <v>37</v>
      </c>
      <c r="O16" s="76">
        <v>34</v>
      </c>
      <c r="P16" s="76">
        <v>11</v>
      </c>
      <c r="Q16" s="76">
        <v>35</v>
      </c>
      <c r="R16" s="76">
        <v>0</v>
      </c>
      <c r="S16" s="76">
        <v>56</v>
      </c>
      <c r="T16" s="76">
        <v>365</v>
      </c>
      <c r="U16" s="76">
        <v>86.2</v>
      </c>
      <c r="V16" s="100">
        <v>0.26100000000000001</v>
      </c>
      <c r="W16" s="76">
        <v>1.37</v>
      </c>
      <c r="X16" s="76"/>
      <c r="Y16" s="50">
        <f t="shared" si="0"/>
        <v>9.5890410958904102</v>
      </c>
      <c r="Z16" s="6">
        <f>IF(Y16&lt;LeagueRatings!$K$10,((LeagueRatings!$K$10-Y16)/LeagueRatings!$K$10)*36,(LeagueRatings!$K$10-Y16)*6.48)</f>
        <v>-5.9712058071761982</v>
      </c>
      <c r="AA16" s="16">
        <f>INDEX('C-P-RollAdj'!$B$4:$B$76,MATCH(INT(Z16),'C-P-RollAdj'!$A$4:$A$76,FALSE),0)</f>
        <v>0.54</v>
      </c>
      <c r="AB16" s="16">
        <f>(P16/(T16-R16))*100</f>
        <v>3.0136986301369864</v>
      </c>
      <c r="AC16" s="6">
        <f>IF(AB16&lt;LeagueRatings!$K$8,((LeagueRatings!$K$8-AB16)/LeagueRatings!$K$8)*36,(LeagueRatings!$K$8-AB16)/LeagueRatings!$K$11)</f>
        <v>2.1193713757458621</v>
      </c>
      <c r="AD16" s="16">
        <f>INDEX('C-P-RollAdj'!$F$4:$F$76,MATCH(INT(AC16),'C-P-RollAdj'!$E$4:$E$76,FALSE),0)</f>
        <v>-0.14000000000000001</v>
      </c>
      <c r="AE16" s="17">
        <f>+((LeagueRatings!$I$6-E16)*5)+9.5</f>
        <v>12.858051455277405</v>
      </c>
      <c r="AF16" s="17">
        <f>IF(AE16&lt;4,4,AE16)</f>
        <v>12.858051455277405</v>
      </c>
      <c r="AG16" s="17">
        <f>IF(M16&lt;L16,((1-(M16/L16))*7)-0.07,(1-(M16/L16))*5)</f>
        <v>0.14564555209415059</v>
      </c>
      <c r="AH16" s="4">
        <f>+AA16+AD16+AF16+AG16</f>
        <v>13.403697007371555</v>
      </c>
      <c r="AI16" s="41" t="s">
        <v>581</v>
      </c>
      <c r="AJ16" s="5" t="s">
        <v>16</v>
      </c>
      <c r="AK16" s="219">
        <f>INDEX('C-P-RollAdj'!$J$4:$J$76,MATCH(INT(Z16),'C-P-RollAdj'!$I$4:$I$76,FALSE),0)</f>
        <v>-16</v>
      </c>
      <c r="AL16" s="219">
        <f>INDEX('C-P-RollAdj'!$J$4:$J$76,MATCH(INT(AC16),'C-P-RollAdj'!$I$4:$I$76,FALSE),0)</f>
        <v>12</v>
      </c>
      <c r="AM16" s="14">
        <f>+AR16*LeagueRatings!$K$27</f>
        <v>48.333333333333336</v>
      </c>
      <c r="AN16" s="72">
        <f>F16*LeagueRatings!$K$27</f>
        <v>19.444444444444446</v>
      </c>
      <c r="AO16" s="72">
        <f>G16*LeagueRatings!$K$27</f>
        <v>2.2222222222222223</v>
      </c>
      <c r="AP16" s="72">
        <f>T16*LeagueRatings!$K$27</f>
        <v>202.7777777777778</v>
      </c>
      <c r="AR16" s="72">
        <f>ROUNDUP(L16,0)</f>
        <v>87</v>
      </c>
      <c r="AW16" s="144">
        <v>22</v>
      </c>
    </row>
    <row r="17" spans="1:49" x14ac:dyDescent="0.2">
      <c r="A17" s="41" t="s">
        <v>1171</v>
      </c>
      <c r="B17" s="76" t="s">
        <v>145</v>
      </c>
      <c r="C17" s="76">
        <v>3</v>
      </c>
      <c r="D17" s="76">
        <v>4</v>
      </c>
      <c r="E17" s="97">
        <v>5.79</v>
      </c>
      <c r="F17" s="76">
        <v>18</v>
      </c>
      <c r="G17" s="76">
        <v>12</v>
      </c>
      <c r="H17" s="76">
        <v>0</v>
      </c>
      <c r="I17" s="76">
        <v>0</v>
      </c>
      <c r="J17" s="76">
        <v>0</v>
      </c>
      <c r="K17" s="76">
        <v>0</v>
      </c>
      <c r="L17" s="258">
        <f>INDEX('C-P-RollAdj'!$P$4:$P$900,MATCH((U17),'C-P-RollAdj'!$O$4:$O$900,FALSE),0)</f>
        <v>74.67</v>
      </c>
      <c r="M17" s="76">
        <v>81</v>
      </c>
      <c r="N17" s="76">
        <v>53</v>
      </c>
      <c r="O17" s="76">
        <v>48</v>
      </c>
      <c r="P17" s="76">
        <v>12</v>
      </c>
      <c r="Q17" s="76">
        <v>26</v>
      </c>
      <c r="R17" s="76">
        <v>0</v>
      </c>
      <c r="S17" s="76">
        <v>50</v>
      </c>
      <c r="T17" s="76">
        <v>328</v>
      </c>
      <c r="U17" s="76">
        <v>74.2</v>
      </c>
      <c r="V17" s="100">
        <v>0.28199999999999997</v>
      </c>
      <c r="W17" s="76">
        <v>1.43</v>
      </c>
      <c r="X17" s="76"/>
      <c r="Y17" s="50">
        <f t="shared" si="0"/>
        <v>7.9268292682926829</v>
      </c>
      <c r="Z17" s="6">
        <f>IF(Y17&lt;LeagueRatings!$K$10,((LeagueRatings!$K$10-Y17)/LeagueRatings!$K$10)*36,(LeagueRatings!$K$10-Y17)*6.48)</f>
        <v>3.0765595094243952</v>
      </c>
      <c r="AA17" s="16">
        <f>INDEX('C-P-RollAdj'!$B$4:$B$76,MATCH(INT(Z17),'C-P-RollAdj'!$A$4:$A$76,FALSE),0)</f>
        <v>-0.24</v>
      </c>
      <c r="AB17" s="16">
        <f t="shared" si="1"/>
        <v>3.6585365853658534</v>
      </c>
      <c r="AC17" s="6">
        <f>IF(AB17&lt;LeagueRatings!$K$8,((LeagueRatings!$K$8-AB17)/LeagueRatings!$K$8)*36,(LeagueRatings!$K$8-AB17)/LeagueRatings!$K$11)</f>
        <v>-3.623377995936913</v>
      </c>
      <c r="AD17" s="16">
        <f>INDEX('C-P-RollAdj'!$F$4:$F$76,MATCH(INT(AC17),'C-P-RollAdj'!$E$4:$E$76,FALSE),0)</f>
        <v>0.32999999999999996</v>
      </c>
      <c r="AE17" s="17">
        <f>+((LeagueRatings!$I$6-E17)*5)+9.5</f>
        <v>1.5580514552774032</v>
      </c>
      <c r="AF17" s="17">
        <f t="shared" si="2"/>
        <v>4</v>
      </c>
      <c r="AG17" s="17">
        <f t="shared" si="3"/>
        <v>-0.423865006026517</v>
      </c>
      <c r="AH17" s="4">
        <f t="shared" si="4"/>
        <v>3.6661349939734826</v>
      </c>
      <c r="AI17" s="41" t="s">
        <v>1171</v>
      </c>
      <c r="AJ17" s="5" t="s">
        <v>60</v>
      </c>
      <c r="AK17" s="219">
        <f>INDEX('C-P-RollAdj'!$J$4:$J$76,MATCH(INT(Z17),'C-P-RollAdj'!$I$4:$I$76,FALSE),0)</f>
        <v>13</v>
      </c>
      <c r="AL17" s="219">
        <f>INDEX('C-P-RollAdj'!$J$4:$J$76,MATCH(INT(AC17),'C-P-RollAdj'!$I$4:$I$76,FALSE),0)</f>
        <v>-14</v>
      </c>
      <c r="AM17" s="14">
        <f>+AR17*LeagueRatings!$K$27</f>
        <v>41.666666666666671</v>
      </c>
      <c r="AN17" s="72">
        <f>F17*LeagueRatings!$K$27</f>
        <v>10</v>
      </c>
      <c r="AO17" s="72">
        <f>G17*LeagueRatings!$K$27</f>
        <v>6.666666666666667</v>
      </c>
      <c r="AP17" s="72">
        <f>T17*LeagueRatings!$K$27</f>
        <v>182.22222222222223</v>
      </c>
      <c r="AR17" s="72">
        <f t="shared" si="5"/>
        <v>75</v>
      </c>
      <c r="AW17" s="144">
        <v>22</v>
      </c>
    </row>
    <row r="18" spans="1:49" x14ac:dyDescent="0.2">
      <c r="A18" s="107"/>
      <c r="C18"/>
      <c r="D18" s="3"/>
      <c r="G18" s="62"/>
      <c r="I18" s="176"/>
      <c r="J18" s="62"/>
      <c r="K18" s="3"/>
      <c r="N18"/>
      <c r="R18" s="62"/>
      <c r="S18" s="2"/>
      <c r="T18"/>
      <c r="U18"/>
      <c r="X18" s="50"/>
      <c r="Y18" s="50"/>
      <c r="Z18" s="6"/>
      <c r="AB18" s="16"/>
      <c r="AC18" s="6"/>
      <c r="AE18" s="17"/>
      <c r="AF18" s="17"/>
      <c r="AG18" s="17"/>
      <c r="AH18" s="4"/>
      <c r="AI18" s="107"/>
      <c r="AJ18" s="60"/>
      <c r="AK18" s="60"/>
      <c r="AL18" s="60"/>
      <c r="AM18" s="14"/>
      <c r="AN18" s="72"/>
      <c r="AO18" s="72"/>
      <c r="AP18" s="72"/>
      <c r="AR18" s="72"/>
      <c r="AW18" s="111"/>
    </row>
    <row r="19" spans="1:49" s="122" customFormat="1" x14ac:dyDescent="0.2">
      <c r="A19" s="69" t="s">
        <v>106</v>
      </c>
      <c r="B19" s="70" t="s">
        <v>157</v>
      </c>
      <c r="C19" s="71" t="s">
        <v>85</v>
      </c>
      <c r="D19" s="70" t="s">
        <v>86</v>
      </c>
      <c r="E19" s="71" t="s">
        <v>87</v>
      </c>
      <c r="F19" s="70" t="s">
        <v>108</v>
      </c>
      <c r="G19" s="70" t="s">
        <v>88</v>
      </c>
      <c r="H19" s="182" t="s">
        <v>89</v>
      </c>
      <c r="I19" s="178" t="s">
        <v>317</v>
      </c>
      <c r="J19" s="72" t="s">
        <v>90</v>
      </c>
      <c r="K19" s="72" t="s">
        <v>158</v>
      </c>
      <c r="L19" s="71" t="s">
        <v>91</v>
      </c>
      <c r="M19" s="70" t="s">
        <v>92</v>
      </c>
      <c r="N19" s="70" t="s">
        <v>93</v>
      </c>
      <c r="O19" s="70" t="s">
        <v>94</v>
      </c>
      <c r="P19" s="70" t="s">
        <v>95</v>
      </c>
      <c r="Q19" s="70" t="s">
        <v>96</v>
      </c>
      <c r="R19" s="70" t="s">
        <v>98</v>
      </c>
      <c r="S19" s="70" t="s">
        <v>97</v>
      </c>
      <c r="T19" s="70" t="s">
        <v>109</v>
      </c>
      <c r="U19" s="155" t="s">
        <v>91</v>
      </c>
      <c r="V19" s="250" t="s">
        <v>1517</v>
      </c>
      <c r="W19" s="155" t="s">
        <v>1072</v>
      </c>
      <c r="X19" s="117"/>
      <c r="Y19" s="117" t="s">
        <v>2</v>
      </c>
      <c r="Z19" s="116" t="s">
        <v>3</v>
      </c>
      <c r="AA19" s="117" t="s">
        <v>4</v>
      </c>
      <c r="AB19" s="118" t="s">
        <v>5</v>
      </c>
      <c r="AC19" s="116" t="s">
        <v>6</v>
      </c>
      <c r="AD19" s="117" t="s">
        <v>7</v>
      </c>
      <c r="AE19" s="119" t="s">
        <v>8</v>
      </c>
      <c r="AF19" s="119" t="s">
        <v>81</v>
      </c>
      <c r="AG19" s="119" t="s">
        <v>9</v>
      </c>
      <c r="AH19" s="128" t="s">
        <v>10</v>
      </c>
      <c r="AI19" s="69" t="s">
        <v>106</v>
      </c>
      <c r="AJ19" s="7" t="s">
        <v>11</v>
      </c>
      <c r="AK19" s="7" t="s">
        <v>12</v>
      </c>
      <c r="AL19" s="7" t="s">
        <v>13</v>
      </c>
      <c r="AM19" s="14"/>
      <c r="AN19" s="72"/>
      <c r="AO19" s="72"/>
      <c r="AP19" s="72"/>
      <c r="AR19" s="72"/>
      <c r="AS19" s="114"/>
      <c r="AT19" s="114"/>
      <c r="AU19" s="114"/>
      <c r="AW19" s="71" t="s">
        <v>91</v>
      </c>
    </row>
    <row r="20" spans="1:49" s="122" customFormat="1" x14ac:dyDescent="0.2">
      <c r="A20" s="69"/>
      <c r="B20" s="70"/>
      <c r="C20" s="71"/>
      <c r="D20" s="70"/>
      <c r="E20" s="71"/>
      <c r="F20" s="70"/>
      <c r="G20" s="70"/>
      <c r="H20" s="182"/>
      <c r="I20" s="178"/>
      <c r="J20" s="72"/>
      <c r="K20" s="72"/>
      <c r="L20" s="71"/>
      <c r="M20" s="70"/>
      <c r="N20" s="70"/>
      <c r="O20" s="70"/>
      <c r="P20" s="70"/>
      <c r="R20" s="70"/>
      <c r="S20" s="70"/>
      <c r="T20" s="70"/>
      <c r="U20" s="70"/>
      <c r="V20" s="267"/>
      <c r="X20" s="50"/>
      <c r="Y20" s="50"/>
      <c r="Z20" s="6"/>
      <c r="AA20" s="16"/>
      <c r="AB20" s="16"/>
      <c r="AC20" s="6"/>
      <c r="AD20" s="16"/>
      <c r="AE20" s="17"/>
      <c r="AF20" s="17"/>
      <c r="AG20" s="17"/>
      <c r="AH20" s="4"/>
      <c r="AI20" s="69"/>
      <c r="AJ20" s="7"/>
      <c r="AK20" s="7"/>
      <c r="AL20" s="7"/>
      <c r="AM20" s="14"/>
      <c r="AN20" s="72"/>
      <c r="AO20" s="72"/>
      <c r="AP20" s="72"/>
      <c r="AR20" s="72"/>
      <c r="AS20" s="113"/>
      <c r="AT20" s="113"/>
      <c r="AU20" s="113"/>
      <c r="AW20" s="71"/>
    </row>
    <row r="21" spans="1:49" x14ac:dyDescent="0.2">
      <c r="A21" s="41" t="s">
        <v>477</v>
      </c>
      <c r="B21" s="76" t="s">
        <v>146</v>
      </c>
      <c r="C21" s="76">
        <v>0</v>
      </c>
      <c r="D21" s="76">
        <v>2</v>
      </c>
      <c r="E21" s="97">
        <v>6.39</v>
      </c>
      <c r="F21" s="76">
        <v>18</v>
      </c>
      <c r="G21" s="76">
        <v>0</v>
      </c>
      <c r="H21" s="76">
        <v>0</v>
      </c>
      <c r="I21" s="76">
        <v>0</v>
      </c>
      <c r="J21" s="76">
        <v>0</v>
      </c>
      <c r="K21" s="76">
        <v>3</v>
      </c>
      <c r="L21" s="258">
        <f>INDEX('C-P-RollAdj'!$P$4:$P$900,MATCH((U21),'C-P-RollAdj'!$O$4:$O$900,FALSE),0)</f>
        <v>12.67</v>
      </c>
      <c r="M21" s="76">
        <v>13</v>
      </c>
      <c r="N21" s="76">
        <v>9</v>
      </c>
      <c r="O21" s="76">
        <v>9</v>
      </c>
      <c r="P21" s="76">
        <v>2</v>
      </c>
      <c r="Q21" s="76">
        <v>8</v>
      </c>
      <c r="R21" s="76">
        <v>0</v>
      </c>
      <c r="S21" s="76">
        <v>12</v>
      </c>
      <c r="T21" s="76">
        <v>60</v>
      </c>
      <c r="U21" s="76">
        <v>12.2</v>
      </c>
      <c r="V21" s="100">
        <v>0.255</v>
      </c>
      <c r="W21" s="76">
        <v>1.66</v>
      </c>
      <c r="X21" s="50"/>
      <c r="Y21" s="50">
        <f t="shared" ref="Y21:Y35" si="6">+(Q21-R21)/(T21-R21)*100</f>
        <v>13.333333333333334</v>
      </c>
      <c r="Z21" s="6">
        <f>IF(Y21&lt;LeagueRatings!$K$10,((LeagueRatings!$K$10-Y21)/LeagueRatings!$K$10)*36,(LeagueRatings!$K$10-Y21)*6.48)</f>
        <v>-30.234219505806344</v>
      </c>
      <c r="AA21" s="16">
        <f>INDEX('C-P-RollAdj'!$B$4:$B$76,MATCH(INT(Z21),'C-P-RollAdj'!$A$4:$A$76,FALSE),0)</f>
        <v>4.3899999999999997</v>
      </c>
      <c r="AB21" s="16">
        <f t="shared" si="1"/>
        <v>3.3333333333333335</v>
      </c>
      <c r="AC21" s="6">
        <f>IF(AB21&lt;LeagueRatings!$K$8,((LeagueRatings!$K$8-AB21)/LeagueRatings!$K$8)*36,(LeagueRatings!$K$8-AB21)/LeagueRatings!$K$11)</f>
        <v>-1.0411169956668271</v>
      </c>
      <c r="AD21" s="16">
        <f>INDEX('C-P-RollAdj'!$F$4:$F$76,MATCH(INT(AC21),'C-P-RollAdj'!$E$4:$E$76,FALSE),0)</f>
        <v>0.16</v>
      </c>
      <c r="AE21" s="17">
        <f>+((LeagueRatings!$I$6-E21)*5)+9.5</f>
        <v>-1.4419485447225959</v>
      </c>
      <c r="AF21" s="17">
        <f t="shared" si="2"/>
        <v>4</v>
      </c>
      <c r="AG21" s="17">
        <f t="shared" si="3"/>
        <v>-0.13022888713496439</v>
      </c>
      <c r="AH21" s="4">
        <f t="shared" si="4"/>
        <v>8.4197711128650354</v>
      </c>
      <c r="AI21" s="41" t="s">
        <v>477</v>
      </c>
      <c r="AJ21" s="60" t="s">
        <v>34</v>
      </c>
      <c r="AK21" s="219">
        <f>INDEX('C-P-RollAdj'!$J$4:$J$76,MATCH(INT(Z21),'C-P-RollAdj'!$I$4:$I$76,FALSE),0)</f>
        <v>-61</v>
      </c>
      <c r="AL21" s="219">
        <f>INDEX('C-P-RollAdj'!$J$4:$J$76,MATCH(INT(AC21),'C-P-RollAdj'!$I$4:$I$76,FALSE),0)</f>
        <v>-12</v>
      </c>
      <c r="AM21" s="14">
        <f>+AR21*LeagueRatings!$K$27</f>
        <v>7.2222222222222223</v>
      </c>
      <c r="AN21" s="72">
        <f>F21*LeagueRatings!$K$27</f>
        <v>10</v>
      </c>
      <c r="AO21" s="72">
        <f>G21*LeagueRatings!$K$27</f>
        <v>0</v>
      </c>
      <c r="AP21" s="72">
        <f>T21*LeagueRatings!$K$27</f>
        <v>33.333333333333336</v>
      </c>
      <c r="AR21" s="72">
        <f t="shared" si="5"/>
        <v>13</v>
      </c>
      <c r="AW21" s="144">
        <v>37</v>
      </c>
    </row>
    <row r="22" spans="1:49" s="26" customFormat="1" x14ac:dyDescent="0.2">
      <c r="A22" s="41" t="s">
        <v>788</v>
      </c>
      <c r="B22" s="76" t="s">
        <v>146</v>
      </c>
      <c r="C22" s="76">
        <v>4</v>
      </c>
      <c r="D22" s="76">
        <v>3</v>
      </c>
      <c r="E22" s="97">
        <v>4.05</v>
      </c>
      <c r="F22" s="76">
        <v>62</v>
      </c>
      <c r="G22" s="76">
        <v>0</v>
      </c>
      <c r="H22" s="76">
        <v>0</v>
      </c>
      <c r="I22" s="76">
        <v>0</v>
      </c>
      <c r="J22" s="76">
        <v>1</v>
      </c>
      <c r="K22" s="76">
        <v>2</v>
      </c>
      <c r="L22" s="258">
        <f>INDEX('C-P-RollAdj'!$P$4:$P$900,MATCH((U22),'C-P-RollAdj'!$O$4:$O$900,FALSE),0)</f>
        <v>66.67</v>
      </c>
      <c r="M22" s="76">
        <v>62</v>
      </c>
      <c r="N22" s="76">
        <v>32</v>
      </c>
      <c r="O22" s="76">
        <v>30</v>
      </c>
      <c r="P22" s="76">
        <v>6</v>
      </c>
      <c r="Q22" s="76">
        <v>31</v>
      </c>
      <c r="R22" s="76">
        <v>1</v>
      </c>
      <c r="S22" s="76">
        <v>71</v>
      </c>
      <c r="T22" s="76">
        <v>287</v>
      </c>
      <c r="U22" s="76">
        <v>66.2</v>
      </c>
      <c r="V22" s="100">
        <v>0.248</v>
      </c>
      <c r="W22" s="76">
        <v>1.4</v>
      </c>
      <c r="X22" s="50"/>
      <c r="Y22" s="50">
        <f t="shared" si="6"/>
        <v>10.48951048951049</v>
      </c>
      <c r="Z22" s="6">
        <f>IF(Y22&lt;LeagueRatings!$K$10,((LeagueRatings!$K$10-Y22)/LeagueRatings!$K$10)*36,(LeagueRatings!$K$10-Y22)*6.48)</f>
        <v>-11.806247477834315</v>
      </c>
      <c r="AA22" s="16">
        <f>INDEX('C-P-RollAdj'!$B$4:$B$76,MATCH(INT(Z22),'C-P-RollAdj'!$A$4:$A$76,FALSE),0)</f>
        <v>1.24</v>
      </c>
      <c r="AB22" s="16">
        <f t="shared" si="1"/>
        <v>2.0979020979020979</v>
      </c>
      <c r="AC22" s="6">
        <f>IF(AB22&lt;LeagueRatings!$K$8,((LeagueRatings!$K$8-AB22)/LeagueRatings!$K$8)*36,(LeagueRatings!$K$8-AB22)/LeagueRatings!$K$11)</f>
        <v>12.414947016174011</v>
      </c>
      <c r="AD22" s="16">
        <f>INDEX('C-P-RollAdj'!$F$4:$F$76,MATCH(INT(AC22),'C-P-RollAdj'!$E$4:$E$76,FALSE),0)</f>
        <v>-0.89</v>
      </c>
      <c r="AE22" s="17">
        <f>+((LeagueRatings!$I$6-E22)*5)+9.5</f>
        <v>10.258051455277403</v>
      </c>
      <c r="AF22" s="17">
        <f t="shared" si="2"/>
        <v>10.258051455277403</v>
      </c>
      <c r="AG22" s="17">
        <f t="shared" si="3"/>
        <v>0.42032548372581396</v>
      </c>
      <c r="AH22" s="4">
        <f t="shared" si="4"/>
        <v>11.028376939003216</v>
      </c>
      <c r="AI22" s="41" t="s">
        <v>788</v>
      </c>
      <c r="AJ22" s="5" t="s">
        <v>68</v>
      </c>
      <c r="AK22" s="219">
        <f>INDEX('C-P-RollAdj'!$J$4:$J$76,MATCH(INT(Z22),'C-P-RollAdj'!$I$4:$I$76,FALSE),0)</f>
        <v>-26</v>
      </c>
      <c r="AL22" s="219">
        <f>INDEX('C-P-RollAdj'!$J$4:$J$76,MATCH(INT(AC22),'C-P-RollAdj'!$I$4:$I$76,FALSE),0)</f>
        <v>26</v>
      </c>
      <c r="AM22" s="14">
        <f>+AR22*LeagueRatings!$K$27</f>
        <v>37.222222222222221</v>
      </c>
      <c r="AN22" s="72">
        <f>F22*LeagueRatings!$K$27</f>
        <v>34.444444444444443</v>
      </c>
      <c r="AO22" s="72">
        <f>G22*LeagueRatings!$K$27</f>
        <v>0</v>
      </c>
      <c r="AP22" s="72">
        <f>T22*LeagueRatings!$K$27</f>
        <v>159.44444444444446</v>
      </c>
      <c r="AR22" s="72">
        <f t="shared" si="5"/>
        <v>67</v>
      </c>
      <c r="AS22" s="113"/>
      <c r="AT22" s="113"/>
      <c r="AU22" s="113"/>
      <c r="AW22" s="144">
        <v>28.67</v>
      </c>
    </row>
    <row r="23" spans="1:49" s="26" customFormat="1" x14ac:dyDescent="0.2">
      <c r="A23" s="41" t="s">
        <v>497</v>
      </c>
      <c r="B23" s="76" t="s">
        <v>146</v>
      </c>
      <c r="C23" s="76">
        <v>8</v>
      </c>
      <c r="D23" s="76">
        <v>10</v>
      </c>
      <c r="E23" s="97">
        <v>4.78</v>
      </c>
      <c r="F23" s="76">
        <v>37</v>
      </c>
      <c r="G23" s="76">
        <v>21</v>
      </c>
      <c r="H23" s="76">
        <v>0</v>
      </c>
      <c r="I23" s="76">
        <v>0</v>
      </c>
      <c r="J23" s="76">
        <v>0</v>
      </c>
      <c r="K23" s="76">
        <v>0</v>
      </c>
      <c r="L23" s="258">
        <f>INDEX('C-P-RollAdj'!$P$4:$P$900,MATCH((U23),'C-P-RollAdj'!$O$4:$O$900,FALSE),0)</f>
        <v>139.32999999999998</v>
      </c>
      <c r="M23" s="76">
        <v>130</v>
      </c>
      <c r="N23" s="76">
        <v>80</v>
      </c>
      <c r="O23" s="76">
        <v>74</v>
      </c>
      <c r="P23" s="76">
        <v>21</v>
      </c>
      <c r="Q23" s="76">
        <v>55</v>
      </c>
      <c r="R23" s="76">
        <v>1</v>
      </c>
      <c r="S23" s="76">
        <v>93</v>
      </c>
      <c r="T23" s="76">
        <v>588</v>
      </c>
      <c r="U23" s="76">
        <v>139.1</v>
      </c>
      <c r="V23" s="100">
        <v>0.25</v>
      </c>
      <c r="W23" s="76">
        <v>1.33</v>
      </c>
      <c r="X23" s="50"/>
      <c r="Y23" s="50">
        <f t="shared" si="6"/>
        <v>9.1993185689948902</v>
      </c>
      <c r="Z23" s="6">
        <f>IF(Y23&lt;LeagueRatings!$K$10,((LeagueRatings!$K$10-Y23)/LeagueRatings!$K$10)*36,(LeagueRatings!$K$10-Y23)*6.48)</f>
        <v>-3.4458038328932283</v>
      </c>
      <c r="AA23" s="16">
        <f>INDEX('C-P-RollAdj'!$B$4:$B$76,MATCH(INT(Z23),'C-P-RollAdj'!$A$4:$A$76,FALSE),0)</f>
        <v>0.36</v>
      </c>
      <c r="AB23" s="16">
        <f t="shared" si="1"/>
        <v>3.5775127768313459</v>
      </c>
      <c r="AC23" s="6">
        <f>IF(AB23&lt;LeagueRatings!$K$8,((LeagueRatings!$K$8-AB23)/LeagueRatings!$K$8)*36,(LeagueRatings!$K$8-AB23)/LeagueRatings!$K$11)</f>
        <v>-2.9800122867554841</v>
      </c>
      <c r="AD23" s="16">
        <f>INDEX('C-P-RollAdj'!$F$4:$F$76,MATCH(INT(AC23),'C-P-RollAdj'!$E$4:$E$76,FALSE),0)</f>
        <v>0.24</v>
      </c>
      <c r="AE23" s="17">
        <f>+((LeagueRatings!$I$6-E23)*5)+9.5</f>
        <v>6.6080514552774021</v>
      </c>
      <c r="AF23" s="17">
        <f t="shared" si="2"/>
        <v>6.6080514552774021</v>
      </c>
      <c r="AG23" s="17">
        <f t="shared" si="3"/>
        <v>0.39874327137012772</v>
      </c>
      <c r="AH23" s="4">
        <f t="shared" si="4"/>
        <v>7.6067947266475295</v>
      </c>
      <c r="AI23" s="41" t="s">
        <v>497</v>
      </c>
      <c r="AJ23" s="5" t="s">
        <v>55</v>
      </c>
      <c r="AK23" s="219">
        <f>INDEX('C-P-RollAdj'!$J$4:$J$76,MATCH(INT(Z23),'C-P-RollAdj'!$I$4:$I$76,FALSE),0)</f>
        <v>-14</v>
      </c>
      <c r="AL23" s="219">
        <f>INDEX('C-P-RollAdj'!$J$4:$J$76,MATCH(INT(AC23),'C-P-RollAdj'!$I$4:$I$76,FALSE),0)</f>
        <v>-13</v>
      </c>
      <c r="AM23" s="14">
        <f>+AR23*LeagueRatings!$K$27</f>
        <v>77.777777777777786</v>
      </c>
      <c r="AN23" s="72">
        <f>F23*LeagueRatings!$K$27</f>
        <v>20.555555555555557</v>
      </c>
      <c r="AO23" s="72">
        <f>G23*LeagueRatings!$K$27</f>
        <v>11.666666666666668</v>
      </c>
      <c r="AP23" s="72">
        <f>T23*LeagueRatings!$K$27</f>
        <v>326.66666666666669</v>
      </c>
      <c r="AR23" s="72">
        <f t="shared" si="5"/>
        <v>140</v>
      </c>
      <c r="AS23" s="113"/>
      <c r="AT23" s="113"/>
      <c r="AU23" s="113"/>
      <c r="AW23" s="144">
        <v>59.67</v>
      </c>
    </row>
    <row r="24" spans="1:49" x14ac:dyDescent="0.2">
      <c r="A24" s="41" t="s">
        <v>447</v>
      </c>
      <c r="B24" s="76" t="s">
        <v>146</v>
      </c>
      <c r="C24" s="76">
        <v>4</v>
      </c>
      <c r="D24" s="76">
        <v>1</v>
      </c>
      <c r="E24" s="97">
        <v>2.65</v>
      </c>
      <c r="F24" s="76">
        <v>38</v>
      </c>
      <c r="G24" s="76">
        <v>0</v>
      </c>
      <c r="H24" s="76">
        <v>0</v>
      </c>
      <c r="I24" s="76">
        <v>0</v>
      </c>
      <c r="J24" s="76">
        <v>0</v>
      </c>
      <c r="K24" s="76">
        <v>2</v>
      </c>
      <c r="L24" s="258">
        <f>INDEX('C-P-RollAdj'!$P$4:$P$900,MATCH((U24),'C-P-RollAdj'!$O$4:$O$900,FALSE),0)</f>
        <v>51</v>
      </c>
      <c r="M24" s="76">
        <v>51</v>
      </c>
      <c r="N24" s="76">
        <v>23</v>
      </c>
      <c r="O24" s="76">
        <v>15</v>
      </c>
      <c r="P24" s="76">
        <v>6</v>
      </c>
      <c r="Q24" s="76">
        <v>17</v>
      </c>
      <c r="R24" s="76">
        <v>1</v>
      </c>
      <c r="S24" s="76">
        <v>47</v>
      </c>
      <c r="T24" s="76">
        <v>223</v>
      </c>
      <c r="U24" s="76">
        <v>51</v>
      </c>
      <c r="V24" s="100">
        <v>0.249</v>
      </c>
      <c r="W24" s="76">
        <v>1.33</v>
      </c>
      <c r="X24" s="50"/>
      <c r="Y24" s="50">
        <f t="shared" si="6"/>
        <v>7.2072072072072073</v>
      </c>
      <c r="Z24" s="6">
        <f>IF(Y24&lt;LeagueRatings!$K$10,((LeagueRatings!$K$10-Y24)/LeagueRatings!$K$10)*36,(LeagueRatings!$K$10-Y24)*6.48)</f>
        <v>6.0654511963720061</v>
      </c>
      <c r="AA24" s="16">
        <f>INDEX('C-P-RollAdj'!$B$4:$B$76,MATCH(INT(Z24),'C-P-RollAdj'!$A$4:$A$76,FALSE),0)</f>
        <v>-0.48</v>
      </c>
      <c r="AB24" s="16">
        <f t="shared" si="1"/>
        <v>2.7027027027027026</v>
      </c>
      <c r="AC24" s="6">
        <f>IF(AB24&lt;LeagueRatings!$K$8,((LeagueRatings!$K$8-AB24)/LeagueRatings!$K$8)*36,(LeagueRatings!$K$8-AB24)/LeagueRatings!$K$11)</f>
        <v>5.6156524622782307</v>
      </c>
      <c r="AD24" s="16">
        <f>INDEX('C-P-RollAdj'!$F$4:$F$76,MATCH(INT(AC24),'C-P-RollAdj'!$E$4:$E$76,FALSE),0)</f>
        <v>-0.35000000000000003</v>
      </c>
      <c r="AE24" s="17">
        <f>+((LeagueRatings!$I$6-E24)*5)+9.5</f>
        <v>17.258051455277403</v>
      </c>
      <c r="AF24" s="17">
        <f t="shared" si="2"/>
        <v>17.258051455277403</v>
      </c>
      <c r="AG24" s="17">
        <f t="shared" si="3"/>
        <v>0</v>
      </c>
      <c r="AH24" s="4">
        <f t="shared" si="4"/>
        <v>16.428051455277405</v>
      </c>
      <c r="AI24" s="41" t="s">
        <v>447</v>
      </c>
      <c r="AJ24" s="5" t="s">
        <v>31</v>
      </c>
      <c r="AK24" s="219">
        <f>INDEX('C-P-RollAdj'!$J$4:$J$76,MATCH(INT(Z24),'C-P-RollAdj'!$I$4:$I$76,FALSE),0)</f>
        <v>16</v>
      </c>
      <c r="AL24" s="219">
        <f>INDEX('C-P-RollAdj'!$J$4:$J$76,MATCH(INT(AC24),'C-P-RollAdj'!$I$4:$I$76,FALSE),0)</f>
        <v>15</v>
      </c>
      <c r="AM24" s="14">
        <f>+AR24*LeagueRatings!$K$27</f>
        <v>28.333333333333336</v>
      </c>
      <c r="AN24" s="72">
        <f>F24*LeagueRatings!$K$27</f>
        <v>21.111111111111111</v>
      </c>
      <c r="AO24" s="72">
        <f>G24*LeagueRatings!$K$27</f>
        <v>0</v>
      </c>
      <c r="AP24" s="72">
        <f>T24*LeagueRatings!$K$27</f>
        <v>123.8888888888889</v>
      </c>
      <c r="AR24" s="72">
        <f t="shared" si="5"/>
        <v>51</v>
      </c>
      <c r="AW24" s="144">
        <v>108.33</v>
      </c>
    </row>
    <row r="25" spans="1:49" s="26" customFormat="1" x14ac:dyDescent="0.2">
      <c r="A25" s="41" t="s">
        <v>463</v>
      </c>
      <c r="B25" s="76" t="s">
        <v>146</v>
      </c>
      <c r="C25" s="76">
        <v>4</v>
      </c>
      <c r="D25" s="76">
        <v>0</v>
      </c>
      <c r="E25" s="97">
        <v>5.18</v>
      </c>
      <c r="F25" s="76">
        <v>20</v>
      </c>
      <c r="G25" s="76">
        <v>6</v>
      </c>
      <c r="H25" s="76">
        <v>0</v>
      </c>
      <c r="I25" s="76">
        <v>0</v>
      </c>
      <c r="J25" s="76">
        <v>0</v>
      </c>
      <c r="K25" s="76">
        <v>1</v>
      </c>
      <c r="L25" s="258">
        <f>INDEX('C-P-RollAdj'!$P$4:$P$900,MATCH((U25),'C-P-RollAdj'!$O$4:$O$900,FALSE),0)</f>
        <v>40</v>
      </c>
      <c r="M25" s="76">
        <v>44</v>
      </c>
      <c r="N25" s="76">
        <v>23</v>
      </c>
      <c r="O25" s="76">
        <v>23</v>
      </c>
      <c r="P25" s="76">
        <v>5</v>
      </c>
      <c r="Q25" s="76">
        <v>24</v>
      </c>
      <c r="R25" s="76">
        <v>0</v>
      </c>
      <c r="S25" s="76">
        <v>48</v>
      </c>
      <c r="T25" s="76">
        <v>188</v>
      </c>
      <c r="U25" s="76">
        <v>40</v>
      </c>
      <c r="V25" s="100">
        <v>0.27800000000000002</v>
      </c>
      <c r="W25" s="76">
        <v>1.7</v>
      </c>
      <c r="X25" s="50"/>
      <c r="Y25" s="50">
        <f t="shared" si="6"/>
        <v>12.76595744680851</v>
      </c>
      <c r="Z25" s="6">
        <f>IF(Y25&lt;LeagueRatings!$K$10,((LeagueRatings!$K$10-Y25)/LeagueRatings!$K$10)*36,(LeagueRatings!$K$10-Y25)*6.48)</f>
        <v>-26.557623761125488</v>
      </c>
      <c r="AA25" s="16">
        <f>INDEX('C-P-RollAdj'!$B$4:$B$76,MATCH(INT(Z25),'C-P-RollAdj'!$A$4:$A$76,FALSE),0)</f>
        <v>3.61</v>
      </c>
      <c r="AB25" s="16">
        <f t="shared" si="1"/>
        <v>2.6595744680851063</v>
      </c>
      <c r="AC25" s="6">
        <f>IF(AB25&lt;LeagueRatings!$K$8,((LeagueRatings!$K$8-AB25)/LeagueRatings!$K$8)*36,(LeagueRatings!$K$8-AB25)/LeagueRatings!$K$11)</f>
        <v>6.100509071922728</v>
      </c>
      <c r="AD25" s="16">
        <f>INDEX('C-P-RollAdj'!$F$4:$F$76,MATCH(INT(AC25),'C-P-RollAdj'!$E$4:$E$76,FALSE),0)</f>
        <v>-0.42000000000000004</v>
      </c>
      <c r="AE25" s="17">
        <f>+((LeagueRatings!$I$6-E25)*5)+9.5</f>
        <v>4.6080514552774048</v>
      </c>
      <c r="AF25" s="17">
        <f t="shared" si="2"/>
        <v>4.6080514552774048</v>
      </c>
      <c r="AG25" s="17">
        <f t="shared" si="3"/>
        <v>-0.50000000000000044</v>
      </c>
      <c r="AH25" s="4">
        <f t="shared" si="4"/>
        <v>7.2980514552774043</v>
      </c>
      <c r="AI25" s="41" t="s">
        <v>463</v>
      </c>
      <c r="AJ25" s="5" t="s">
        <v>55</v>
      </c>
      <c r="AK25" s="219">
        <f>INDEX('C-P-RollAdj'!$J$4:$J$76,MATCH(INT(Z25),'C-P-RollAdj'!$I$4:$I$76,FALSE),0)</f>
        <v>-53</v>
      </c>
      <c r="AL25" s="219">
        <f>INDEX('C-P-RollAdj'!$J$4:$J$76,MATCH(INT(AC25),'C-P-RollAdj'!$I$4:$I$76,FALSE),0)</f>
        <v>16</v>
      </c>
      <c r="AM25" s="14">
        <f>+AR25*LeagueRatings!$K$27</f>
        <v>22.222222222222221</v>
      </c>
      <c r="AN25" s="72">
        <f>F25*LeagueRatings!$K$27</f>
        <v>11.111111111111111</v>
      </c>
      <c r="AO25" s="72">
        <f>G25*LeagueRatings!$K$27</f>
        <v>3.3333333333333335</v>
      </c>
      <c r="AP25" s="72">
        <f>T25*LeagueRatings!$K$27</f>
        <v>104.44444444444444</v>
      </c>
      <c r="AR25" s="72">
        <f t="shared" si="5"/>
        <v>40</v>
      </c>
      <c r="AS25" s="113"/>
      <c r="AT25" s="113"/>
      <c r="AU25" s="113"/>
      <c r="AW25" s="144">
        <v>171.33</v>
      </c>
    </row>
    <row r="26" spans="1:49" x14ac:dyDescent="0.2">
      <c r="A26" s="41" t="s">
        <v>332</v>
      </c>
      <c r="B26" s="76" t="s">
        <v>146</v>
      </c>
      <c r="C26" s="76">
        <v>2</v>
      </c>
      <c r="D26" s="76">
        <v>6</v>
      </c>
      <c r="E26" s="97">
        <v>3.4</v>
      </c>
      <c r="F26" s="76">
        <v>57</v>
      </c>
      <c r="G26" s="76">
        <v>0</v>
      </c>
      <c r="H26" s="76">
        <v>0</v>
      </c>
      <c r="I26" s="76">
        <v>0</v>
      </c>
      <c r="J26" s="76">
        <v>31</v>
      </c>
      <c r="K26" s="76">
        <v>33</v>
      </c>
      <c r="L26" s="258">
        <f>INDEX('C-P-RollAdj'!$P$4:$P$900,MATCH((U26),'C-P-RollAdj'!$O$4:$O$900,FALSE),0)</f>
        <v>53</v>
      </c>
      <c r="M26" s="76">
        <v>28</v>
      </c>
      <c r="N26" s="76">
        <v>22</v>
      </c>
      <c r="O26" s="76">
        <v>20</v>
      </c>
      <c r="P26" s="76">
        <v>4</v>
      </c>
      <c r="Q26" s="76">
        <v>30</v>
      </c>
      <c r="R26" s="76">
        <v>0</v>
      </c>
      <c r="S26" s="76">
        <v>83</v>
      </c>
      <c r="T26" s="76">
        <v>220</v>
      </c>
      <c r="U26" s="76">
        <v>53</v>
      </c>
      <c r="V26" s="100">
        <v>0.152</v>
      </c>
      <c r="W26" s="76">
        <v>1.0900000000000001</v>
      </c>
      <c r="X26" s="50"/>
      <c r="Y26" s="50">
        <f t="shared" si="6"/>
        <v>13.636363636363635</v>
      </c>
      <c r="Z26" s="6">
        <f>IF(Y26&lt;LeagueRatings!$K$10,((LeagueRatings!$K$10-Y26)/LeagueRatings!$K$10)*36,(LeagueRatings!$K$10-Y26)*6.48)</f>
        <v>-32.197855869442698</v>
      </c>
      <c r="AA26" s="16">
        <f>INDEX('C-P-RollAdj'!$B$4:$B$76,MATCH(INT(Z26),'C-P-RollAdj'!$A$4:$A$76,FALSE),0)</f>
        <v>4.8099999999999996</v>
      </c>
      <c r="AB26" s="16">
        <f t="shared" si="1"/>
        <v>1.8181818181818181</v>
      </c>
      <c r="AC26" s="6">
        <f>IF(AB26&lt;LeagueRatings!$K$8,((LeagueRatings!$K$8-AB26)/LeagueRatings!$K$8)*36,(LeagueRatings!$K$8-AB26)/LeagueRatings!$K$11)</f>
        <v>15.559620747350811</v>
      </c>
      <c r="AD26" s="16">
        <f>INDEX('C-P-RollAdj'!$F$4:$F$76,MATCH(INT(AC26),'C-P-RollAdj'!$E$4:$E$76,FALSE),0)</f>
        <v>-1.1400000000000001</v>
      </c>
      <c r="AE26" s="17">
        <f>+((LeagueRatings!$I$6-E26)*5)+9.5</f>
        <v>13.508051455277403</v>
      </c>
      <c r="AF26" s="17">
        <f t="shared" si="2"/>
        <v>13.508051455277403</v>
      </c>
      <c r="AG26" s="17">
        <f t="shared" si="3"/>
        <v>3.2318867924528303</v>
      </c>
      <c r="AH26" s="4">
        <f t="shared" si="4"/>
        <v>20.409938247730231</v>
      </c>
      <c r="AI26" s="41" t="s">
        <v>332</v>
      </c>
      <c r="AJ26" s="5" t="s">
        <v>72</v>
      </c>
      <c r="AK26" s="219">
        <f>INDEX('C-P-RollAdj'!$J$4:$J$76,MATCH(INT(Z26),'C-P-RollAdj'!$I$4:$I$76,FALSE),0)</f>
        <v>-63</v>
      </c>
      <c r="AL26" s="219">
        <f>INDEX('C-P-RollAdj'!$J$4:$J$76,MATCH(INT(AC26),'C-P-RollAdj'!$I$4:$I$76,FALSE),0)</f>
        <v>33</v>
      </c>
      <c r="AM26" s="14">
        <f>+AR26*LeagueRatings!$K$27</f>
        <v>29.444444444444446</v>
      </c>
      <c r="AN26" s="72">
        <f>F26*LeagueRatings!$K$27</f>
        <v>31.666666666666668</v>
      </c>
      <c r="AO26" s="72">
        <f>G26*LeagueRatings!$K$27</f>
        <v>0</v>
      </c>
      <c r="AP26" s="72">
        <f>T26*LeagueRatings!$K$27</f>
        <v>122.22222222222223</v>
      </c>
      <c r="AR26" s="72">
        <f t="shared" si="5"/>
        <v>53</v>
      </c>
      <c r="AW26" s="144">
        <v>162.33000000000001</v>
      </c>
    </row>
    <row r="27" spans="1:49" s="26" customFormat="1" x14ac:dyDescent="0.2">
      <c r="A27" s="41" t="s">
        <v>372</v>
      </c>
      <c r="B27" s="76" t="s">
        <v>146</v>
      </c>
      <c r="C27" s="76">
        <v>3</v>
      </c>
      <c r="D27" s="76">
        <v>5</v>
      </c>
      <c r="E27" s="97">
        <v>4.59</v>
      </c>
      <c r="F27" s="76">
        <v>14</v>
      </c>
      <c r="G27" s="76">
        <v>13</v>
      </c>
      <c r="H27" s="76">
        <v>0</v>
      </c>
      <c r="I27" s="76">
        <v>0</v>
      </c>
      <c r="J27" s="76">
        <v>0</v>
      </c>
      <c r="K27" s="76">
        <v>0</v>
      </c>
      <c r="L27" s="258">
        <f>INDEX('C-P-RollAdj'!$P$4:$P$900,MATCH((U27),'C-P-RollAdj'!$O$4:$O$900,FALSE),0)</f>
        <v>68.67</v>
      </c>
      <c r="M27" s="76">
        <v>70</v>
      </c>
      <c r="N27" s="76">
        <v>35</v>
      </c>
      <c r="O27" s="76">
        <v>35</v>
      </c>
      <c r="P27" s="76">
        <v>14</v>
      </c>
      <c r="Q27" s="76">
        <v>24</v>
      </c>
      <c r="R27" s="76">
        <v>1</v>
      </c>
      <c r="S27" s="76">
        <v>71</v>
      </c>
      <c r="T27" s="76">
        <v>292</v>
      </c>
      <c r="U27" s="76">
        <v>68.2</v>
      </c>
      <c r="V27" s="100">
        <v>0.26200000000000001</v>
      </c>
      <c r="W27" s="76">
        <v>1.37</v>
      </c>
      <c r="X27" s="50"/>
      <c r="Y27" s="50">
        <f t="shared" si="6"/>
        <v>7.9037800687285218</v>
      </c>
      <c r="Z27" s="6">
        <f>IF(Y27&lt;LeagueRatings!$K$10,((LeagueRatings!$K$10-Y27)/LeagueRatings!$K$10)*36,(LeagueRatings!$K$10-Y27)*6.48)</f>
        <v>3.1722924846811598</v>
      </c>
      <c r="AA27" s="16">
        <f>INDEX('C-P-RollAdj'!$B$4:$B$76,MATCH(INT(Z27),'C-P-RollAdj'!$A$4:$A$76,FALSE),0)</f>
        <v>-0.24</v>
      </c>
      <c r="AB27" s="16">
        <f t="shared" si="1"/>
        <v>4.8109965635738838</v>
      </c>
      <c r="AC27" s="6">
        <f>IF(AB27&lt;LeagueRatings!$K$8,((LeagueRatings!$K$8-AB27)/LeagueRatings!$K$8)*36,(LeagueRatings!$K$8-AB27)/LeagueRatings!$K$11)</f>
        <v>-12.774431798440459</v>
      </c>
      <c r="AD27" s="16">
        <f>INDEX('C-P-RollAdj'!$F$4:$F$76,MATCH(INT(AC27),'C-P-RollAdj'!$E$4:$E$76,FALSE),0)</f>
        <v>1.2599999999999998</v>
      </c>
      <c r="AE27" s="17">
        <f>+((LeagueRatings!$I$6-E27)*5)+9.5</f>
        <v>7.5580514552774041</v>
      </c>
      <c r="AF27" s="17">
        <f t="shared" si="2"/>
        <v>7.5580514552774041</v>
      </c>
      <c r="AG27" s="17">
        <f t="shared" si="3"/>
        <v>-9.6839959225279992E-2</v>
      </c>
      <c r="AH27" s="4">
        <f t="shared" si="4"/>
        <v>8.4812114960521239</v>
      </c>
      <c r="AI27" s="41" t="s">
        <v>372</v>
      </c>
      <c r="AJ27" s="5" t="s">
        <v>34</v>
      </c>
      <c r="AK27" s="219">
        <f>INDEX('C-P-RollAdj'!$J$4:$J$76,MATCH(INT(Z27),'C-P-RollAdj'!$I$4:$I$76,FALSE),0)</f>
        <v>13</v>
      </c>
      <c r="AL27" s="219">
        <f>INDEX('C-P-RollAdj'!$J$4:$J$76,MATCH(INT(AC27),'C-P-RollAdj'!$I$4:$I$76,FALSE),0)</f>
        <v>-31</v>
      </c>
      <c r="AM27" s="14">
        <f>+AR27*LeagueRatings!$K$27</f>
        <v>38.333333333333336</v>
      </c>
      <c r="AN27" s="72">
        <f>F27*LeagueRatings!$K$27</f>
        <v>7.7777777777777786</v>
      </c>
      <c r="AO27" s="72">
        <f>G27*LeagueRatings!$K$27</f>
        <v>7.2222222222222223</v>
      </c>
      <c r="AP27" s="72">
        <f>T27*LeagueRatings!$K$27</f>
        <v>162.22222222222223</v>
      </c>
      <c r="AR27" s="72">
        <f t="shared" si="5"/>
        <v>69</v>
      </c>
      <c r="AS27" s="113"/>
      <c r="AT27" s="113"/>
      <c r="AU27" s="113"/>
      <c r="AW27" s="144">
        <v>189.33</v>
      </c>
    </row>
    <row r="28" spans="1:49" s="26" customFormat="1" x14ac:dyDescent="0.2">
      <c r="A28" s="41" t="s">
        <v>542</v>
      </c>
      <c r="B28" s="76" t="s">
        <v>146</v>
      </c>
      <c r="C28" s="76">
        <v>22</v>
      </c>
      <c r="D28" s="76">
        <v>4</v>
      </c>
      <c r="E28" s="97">
        <v>3.15</v>
      </c>
      <c r="F28" s="76">
        <v>33</v>
      </c>
      <c r="G28" s="76">
        <v>33</v>
      </c>
      <c r="H28" s="76">
        <v>3</v>
      </c>
      <c r="I28" s="76">
        <v>0</v>
      </c>
      <c r="J28" s="76">
        <v>0</v>
      </c>
      <c r="K28" s="76">
        <v>0</v>
      </c>
      <c r="L28" s="258">
        <f>INDEX('C-P-RollAdj'!$P$4:$P$900,MATCH((U28),'C-P-RollAdj'!$O$4:$O$900,FALSE),0)</f>
        <v>223</v>
      </c>
      <c r="M28" s="76">
        <v>193</v>
      </c>
      <c r="N28" s="76">
        <v>85</v>
      </c>
      <c r="O28" s="76">
        <v>78</v>
      </c>
      <c r="P28" s="76">
        <v>23</v>
      </c>
      <c r="Q28" s="76">
        <v>32</v>
      </c>
      <c r="R28" s="76">
        <v>0</v>
      </c>
      <c r="S28" s="76">
        <v>189</v>
      </c>
      <c r="T28" s="76">
        <v>890</v>
      </c>
      <c r="U28" s="76">
        <v>223</v>
      </c>
      <c r="V28" s="100">
        <v>0.23</v>
      </c>
      <c r="W28" s="76">
        <v>1.01</v>
      </c>
      <c r="X28" s="50"/>
      <c r="Y28" s="50">
        <f t="shared" si="6"/>
        <v>3.5955056179775284</v>
      </c>
      <c r="Z28" s="6">
        <f>IF(Y28&lt;LeagueRatings!$K$10,((LeagueRatings!$K$10-Y28)/LeagueRatings!$K$10)*36,(LeagueRatings!$K$10-Y28)*6.48)</f>
        <v>21.066359922684462</v>
      </c>
      <c r="AA28" s="16">
        <f>INDEX('C-P-RollAdj'!$B$4:$B$76,MATCH(INT(Z28),'C-P-RollAdj'!$A$4:$A$76,FALSE),0)</f>
        <v>-1.8900000000000001</v>
      </c>
      <c r="AB28" s="16">
        <f t="shared" si="1"/>
        <v>2.584269662921348</v>
      </c>
      <c r="AC28" s="6">
        <f>IF(AB28&lt;LeagueRatings!$K$8,((LeagueRatings!$K$8-AB28)/LeagueRatings!$K$8)*36,(LeagueRatings!$K$8-AB28)/LeagueRatings!$K$11)</f>
        <v>6.9471013993244695</v>
      </c>
      <c r="AD28" s="16">
        <f>INDEX('C-P-RollAdj'!$F$4:$F$76,MATCH(INT(AC28),'C-P-RollAdj'!$E$4:$E$76,FALSE),0)</f>
        <v>-0.42000000000000004</v>
      </c>
      <c r="AE28" s="17">
        <f>+((LeagueRatings!$I$6-E28)*5)+9.5</f>
        <v>14.758051455277403</v>
      </c>
      <c r="AF28" s="17">
        <f t="shared" si="2"/>
        <v>14.758051455277403</v>
      </c>
      <c r="AG28" s="17">
        <f t="shared" si="3"/>
        <v>0.8717040358744399</v>
      </c>
      <c r="AH28" s="4">
        <f t="shared" si="4"/>
        <v>13.319755491151843</v>
      </c>
      <c r="AI28" s="41" t="s">
        <v>542</v>
      </c>
      <c r="AJ28" s="5" t="s">
        <v>16</v>
      </c>
      <c r="AK28" s="219">
        <f>INDEX('C-P-RollAdj'!$J$4:$J$76,MATCH(INT(Z28),'C-P-RollAdj'!$I$4:$I$76,FALSE),0)</f>
        <v>43</v>
      </c>
      <c r="AL28" s="219">
        <f>INDEX('C-P-RollAdj'!$J$4:$J$76,MATCH(INT(AC28),'C-P-RollAdj'!$I$4:$I$76,FALSE),0)</f>
        <v>16</v>
      </c>
      <c r="AM28" s="14">
        <f>+AR28*LeagueRatings!$K$27</f>
        <v>123.8888888888889</v>
      </c>
      <c r="AN28" s="72">
        <f>F28*LeagueRatings!$K$27</f>
        <v>18.333333333333336</v>
      </c>
      <c r="AO28" s="72">
        <f>G28*LeagueRatings!$K$27</f>
        <v>18.333333333333336</v>
      </c>
      <c r="AP28" s="72">
        <f>T28*LeagueRatings!$K$27</f>
        <v>494.44444444444446</v>
      </c>
      <c r="AR28" s="72">
        <f t="shared" si="5"/>
        <v>223</v>
      </c>
      <c r="AS28" s="113"/>
      <c r="AT28" s="113"/>
      <c r="AU28" s="113"/>
      <c r="AW28" s="144">
        <v>213.33</v>
      </c>
    </row>
    <row r="29" spans="1:49" s="26" customFormat="1" x14ac:dyDescent="0.2">
      <c r="A29" s="41" t="s">
        <v>628</v>
      </c>
      <c r="B29" s="76" t="s">
        <v>146</v>
      </c>
      <c r="C29" s="76">
        <v>17</v>
      </c>
      <c r="D29" s="76">
        <v>9</v>
      </c>
      <c r="E29" s="97">
        <v>3.99</v>
      </c>
      <c r="F29" s="76">
        <v>35</v>
      </c>
      <c r="G29" s="76">
        <v>35</v>
      </c>
      <c r="H29" s="76">
        <v>2</v>
      </c>
      <c r="I29" s="76">
        <v>0</v>
      </c>
      <c r="J29" s="76">
        <v>0</v>
      </c>
      <c r="K29" s="76">
        <v>0</v>
      </c>
      <c r="L29" s="258">
        <f>INDEX('C-P-RollAdj'!$P$4:$P$900,MATCH((U29),'C-P-RollAdj'!$O$4:$O$900,FALSE),0)</f>
        <v>230</v>
      </c>
      <c r="M29" s="76">
        <v>227</v>
      </c>
      <c r="N29" s="76">
        <v>106</v>
      </c>
      <c r="O29" s="76">
        <v>102</v>
      </c>
      <c r="P29" s="76">
        <v>30</v>
      </c>
      <c r="Q29" s="76">
        <v>50</v>
      </c>
      <c r="R29" s="76">
        <v>1</v>
      </c>
      <c r="S29" s="76">
        <v>228</v>
      </c>
      <c r="T29" s="76">
        <v>951</v>
      </c>
      <c r="U29" s="76">
        <v>230</v>
      </c>
      <c r="V29" s="100">
        <v>0.25800000000000001</v>
      </c>
      <c r="W29" s="76">
        <v>1.2</v>
      </c>
      <c r="X29" s="50"/>
      <c r="Y29" s="50">
        <f t="shared" si="6"/>
        <v>5.1578947368421053</v>
      </c>
      <c r="Z29" s="6">
        <f>IF(Y29&lt;LeagueRatings!$K$10,((LeagueRatings!$K$10-Y29)/LeagueRatings!$K$10)*36,(LeagueRatings!$K$10-Y29)*6.48)</f>
        <v>14.577103823298335</v>
      </c>
      <c r="AA29" s="16">
        <f>INDEX('C-P-RollAdj'!$B$4:$B$76,MATCH(INT(Z29),'C-P-RollAdj'!$A$4:$A$76,FALSE),0)</f>
        <v>-1.19</v>
      </c>
      <c r="AB29" s="16">
        <f t="shared" si="1"/>
        <v>3.1578947368421053</v>
      </c>
      <c r="AC29" s="6">
        <f>IF(AB29&lt;LeagueRatings!$K$8,((LeagueRatings!$K$8-AB29)/LeagueRatings!$K$8)*36,(LeagueRatings!$K$8-AB29)/LeagueRatings!$K$11)</f>
        <v>0.49828866645140579</v>
      </c>
      <c r="AD29" s="16">
        <f>INDEX('C-P-RollAdj'!$F$4:$F$76,MATCH(INT(AC29),'C-P-RollAdj'!$E$4:$E$76,FALSE),0)</f>
        <v>0</v>
      </c>
      <c r="AE29" s="17">
        <f>+((LeagueRatings!$I$6-E29)*5)+9.5</f>
        <v>10.558051455277402</v>
      </c>
      <c r="AF29" s="17">
        <f t="shared" si="2"/>
        <v>10.558051455277402</v>
      </c>
      <c r="AG29" s="17">
        <f t="shared" si="3"/>
        <v>2.13043478260872E-2</v>
      </c>
      <c r="AH29" s="4">
        <f t="shared" si="4"/>
        <v>9.3893558031034896</v>
      </c>
      <c r="AI29" s="41" t="s">
        <v>628</v>
      </c>
      <c r="AJ29" s="5" t="s">
        <v>39</v>
      </c>
      <c r="AK29" s="219">
        <f>INDEX('C-P-RollAdj'!$J$4:$J$76,MATCH(INT(Z29),'C-P-RollAdj'!$I$4:$I$76,FALSE),0)</f>
        <v>32</v>
      </c>
      <c r="AL29" s="219">
        <f>INDEX('C-P-RollAdj'!$J$4:$J$76,MATCH(INT(AC29),'C-P-RollAdj'!$I$4:$I$76,FALSE),0)</f>
        <v>0</v>
      </c>
      <c r="AM29" s="14">
        <f>+AR29*LeagueRatings!$K$27</f>
        <v>127.77777777777779</v>
      </c>
      <c r="AN29" s="72">
        <f>F29*LeagueRatings!$K$27</f>
        <v>19.444444444444446</v>
      </c>
      <c r="AO29" s="72">
        <f>G29*LeagueRatings!$K$27</f>
        <v>19.444444444444446</v>
      </c>
      <c r="AP29" s="72">
        <f>T29*LeagueRatings!$K$27</f>
        <v>528.33333333333337</v>
      </c>
      <c r="AR29" s="72">
        <f t="shared" si="5"/>
        <v>230</v>
      </c>
      <c r="AS29" s="113"/>
      <c r="AT29" s="113"/>
      <c r="AU29" s="113"/>
      <c r="AW29" s="144">
        <v>30.67</v>
      </c>
    </row>
    <row r="30" spans="1:49" x14ac:dyDescent="0.2">
      <c r="A30" s="41" t="s">
        <v>1173</v>
      </c>
      <c r="B30" s="76" t="s">
        <v>146</v>
      </c>
      <c r="C30" s="76">
        <v>3</v>
      </c>
      <c r="D30" s="76">
        <v>7</v>
      </c>
      <c r="E30" s="97">
        <v>4.71</v>
      </c>
      <c r="F30" s="76">
        <v>20</v>
      </c>
      <c r="G30" s="76">
        <v>20</v>
      </c>
      <c r="H30" s="76">
        <v>0</v>
      </c>
      <c r="I30" s="76">
        <v>0</v>
      </c>
      <c r="J30" s="76">
        <v>0</v>
      </c>
      <c r="K30" s="76">
        <v>0</v>
      </c>
      <c r="L30" s="258">
        <f>INDEX('C-P-RollAdj'!$P$4:$P$900,MATCH((U30),'C-P-RollAdj'!$O$4:$O$900,FALSE),0)</f>
        <v>107</v>
      </c>
      <c r="M30" s="76">
        <v>99</v>
      </c>
      <c r="N30" s="76">
        <v>58</v>
      </c>
      <c r="O30" s="76">
        <v>56</v>
      </c>
      <c r="P30" s="76">
        <v>16</v>
      </c>
      <c r="Q30" s="76">
        <v>40</v>
      </c>
      <c r="R30" s="76">
        <v>1</v>
      </c>
      <c r="S30" s="76">
        <v>100</v>
      </c>
      <c r="T30" s="76">
        <v>458</v>
      </c>
      <c r="U30" s="76">
        <v>107</v>
      </c>
      <c r="V30" s="100">
        <v>0.24099999999999999</v>
      </c>
      <c r="W30" s="76">
        <v>1.3</v>
      </c>
      <c r="X30" s="50"/>
      <c r="Y30" s="50">
        <f t="shared" si="6"/>
        <v>8.5339168490153181</v>
      </c>
      <c r="Z30" s="6">
        <f>IF(Y30&lt;LeagueRatings!$K$10,((LeagueRatings!$K$10-Y30)/LeagueRatings!$K$10)*36,(LeagueRatings!$K$10-Y30)*6.48)</f>
        <v>0.55507063159037373</v>
      </c>
      <c r="AA30" s="16">
        <f>INDEX('C-P-RollAdj'!$B$4:$B$76,MATCH(INT(Z30),'C-P-RollAdj'!$A$4:$A$76,FALSE),0)</f>
        <v>0</v>
      </c>
      <c r="AB30" s="16">
        <f t="shared" si="1"/>
        <v>3.5010940919037199</v>
      </c>
      <c r="AC30" s="6">
        <f>IF(AB30&lt;LeagueRatings!$K$8,((LeagueRatings!$K$8-AB30)/LeagueRatings!$K$8)*36,(LeagueRatings!$K$8-AB30)/LeagueRatings!$K$11)</f>
        <v>-2.3732133431803346</v>
      </c>
      <c r="AD30" s="16">
        <f>INDEX('C-P-RollAdj'!$F$4:$F$76,MATCH(INT(AC30),'C-P-RollAdj'!$E$4:$E$76,FALSE),0)</f>
        <v>0.24</v>
      </c>
      <c r="AE30" s="17">
        <f>+((LeagueRatings!$I$6-E30)*5)+9.5</f>
        <v>6.9580514552774035</v>
      </c>
      <c r="AF30" s="17">
        <f t="shared" si="2"/>
        <v>6.9580514552774035</v>
      </c>
      <c r="AG30" s="17">
        <f t="shared" si="3"/>
        <v>0.45336448598130846</v>
      </c>
      <c r="AH30" s="4">
        <f t="shared" si="4"/>
        <v>7.6514159412587119</v>
      </c>
      <c r="AI30" s="41" t="s">
        <v>1173</v>
      </c>
      <c r="AJ30" s="7" t="s">
        <v>55</v>
      </c>
      <c r="AK30" s="219">
        <f>INDEX('C-P-RollAdj'!$J$4:$J$76,MATCH(INT(Z30),'C-P-RollAdj'!$I$4:$I$76,FALSE),0)</f>
        <v>0</v>
      </c>
      <c r="AL30" s="219">
        <f>INDEX('C-P-RollAdj'!$J$4:$J$76,MATCH(INT(AC30),'C-P-RollAdj'!$I$4:$I$76,FALSE),0)</f>
        <v>-13</v>
      </c>
      <c r="AM30" s="14">
        <f>+AR30*LeagueRatings!$K$27</f>
        <v>59.44444444444445</v>
      </c>
      <c r="AN30" s="72">
        <f>F30*LeagueRatings!$K$27</f>
        <v>11.111111111111111</v>
      </c>
      <c r="AO30" s="72">
        <f>G30*LeagueRatings!$K$27</f>
        <v>11.111111111111111</v>
      </c>
      <c r="AP30" s="72">
        <f>T30*LeagueRatings!$K$27</f>
        <v>254.44444444444446</v>
      </c>
      <c r="AR30" s="72">
        <f t="shared" si="5"/>
        <v>107</v>
      </c>
      <c r="AW30" s="144">
        <v>64.67</v>
      </c>
    </row>
    <row r="31" spans="1:49" s="26" customFormat="1" x14ac:dyDescent="0.2">
      <c r="A31" s="41" t="s">
        <v>1174</v>
      </c>
      <c r="B31" s="76" t="s">
        <v>146</v>
      </c>
      <c r="C31" s="76">
        <v>3</v>
      </c>
      <c r="D31" s="76">
        <v>2</v>
      </c>
      <c r="E31" s="97">
        <v>3.25</v>
      </c>
      <c r="F31" s="76">
        <v>54</v>
      </c>
      <c r="G31" s="76">
        <v>0</v>
      </c>
      <c r="H31" s="76">
        <v>0</v>
      </c>
      <c r="I31" s="76">
        <v>0</v>
      </c>
      <c r="J31" s="76">
        <v>0</v>
      </c>
      <c r="K31" s="76">
        <v>0</v>
      </c>
      <c r="L31" s="258">
        <f>INDEX('C-P-RollAdj'!$P$4:$P$900,MATCH((U31),'C-P-RollAdj'!$O$4:$O$900,FALSE),0)</f>
        <v>55.33</v>
      </c>
      <c r="M31" s="76">
        <v>47</v>
      </c>
      <c r="N31" s="76">
        <v>21</v>
      </c>
      <c r="O31" s="76">
        <v>20</v>
      </c>
      <c r="P31" s="76">
        <v>2</v>
      </c>
      <c r="Q31" s="76">
        <v>23</v>
      </c>
      <c r="R31" s="76">
        <v>0</v>
      </c>
      <c r="S31" s="76">
        <v>56</v>
      </c>
      <c r="T31" s="76">
        <v>238</v>
      </c>
      <c r="U31" s="76">
        <v>55.1</v>
      </c>
      <c r="V31" s="100">
        <v>0.22800000000000001</v>
      </c>
      <c r="W31" s="76">
        <v>1.27</v>
      </c>
      <c r="X31" s="50"/>
      <c r="Y31" s="50">
        <f t="shared" si="6"/>
        <v>9.6638655462184886</v>
      </c>
      <c r="Z31" s="6">
        <f>IF(Y31&lt;LeagueRatings!$K$10,((LeagueRatings!$K$10-Y31)/LeagueRatings!$K$10)*36,(LeagueRatings!$K$10-Y31)*6.48)</f>
        <v>-6.4560682453021458</v>
      </c>
      <c r="AA31" s="16">
        <f>INDEX('C-P-RollAdj'!$B$4:$B$76,MATCH(INT(Z31),'C-P-RollAdj'!$A$4:$A$76,FALSE),0)</f>
        <v>0.65</v>
      </c>
      <c r="AB31" s="16">
        <f t="shared" si="1"/>
        <v>0.84033613445378152</v>
      </c>
      <c r="AC31" s="6">
        <f>IF(AB31&lt;LeagueRatings!$K$8,((LeagueRatings!$K$8-AB31)/LeagueRatings!$K$8)*36,(LeagueRatings!$K$8-AB31)/LeagueRatings!$K$11)</f>
        <v>26.552765891632724</v>
      </c>
      <c r="AD31" s="16">
        <f>INDEX('C-P-RollAdj'!$F$4:$F$76,MATCH(INT(AC31),'C-P-RollAdj'!$E$4:$E$76,FALSE),0)</f>
        <v>-2.1799999999999997</v>
      </c>
      <c r="AE31" s="17">
        <f>+((LeagueRatings!$I$6-E31)*5)+9.5</f>
        <v>14.258051455277403</v>
      </c>
      <c r="AF31" s="17">
        <f t="shared" si="2"/>
        <v>14.258051455277403</v>
      </c>
      <c r="AG31" s="17">
        <f t="shared" si="3"/>
        <v>0.98385866618470996</v>
      </c>
      <c r="AH31" s="4">
        <f t="shared" si="4"/>
        <v>13.711910121462115</v>
      </c>
      <c r="AI31" s="41" t="s">
        <v>1174</v>
      </c>
      <c r="AJ31" s="9" t="s">
        <v>21</v>
      </c>
      <c r="AK31" s="219">
        <f>INDEX('C-P-RollAdj'!$J$4:$J$76,MATCH(INT(Z31),'C-P-RollAdj'!$I$4:$I$76,FALSE),0)</f>
        <v>-21</v>
      </c>
      <c r="AL31" s="219">
        <f>INDEX('C-P-RollAdj'!$J$4:$J$76,MATCH(INT(AC31),'C-P-RollAdj'!$I$4:$I$76,FALSE),0)</f>
        <v>52</v>
      </c>
      <c r="AM31" s="14">
        <f>+AR31*LeagueRatings!$K$27</f>
        <v>31.111111111111114</v>
      </c>
      <c r="AN31" s="72">
        <f>F31*LeagueRatings!$K$27</f>
        <v>30</v>
      </c>
      <c r="AO31" s="72">
        <f>G31*LeagueRatings!$K$27</f>
        <v>0</v>
      </c>
      <c r="AP31" s="72">
        <f>T31*LeagueRatings!$K$27</f>
        <v>132.22222222222223</v>
      </c>
      <c r="AR31" s="72">
        <f t="shared" si="5"/>
        <v>56</v>
      </c>
      <c r="AS31" s="113"/>
      <c r="AT31" s="113"/>
      <c r="AU31" s="113"/>
      <c r="AW31" s="144">
        <v>68.33</v>
      </c>
    </row>
    <row r="32" spans="1:49" s="26" customFormat="1" x14ac:dyDescent="0.2">
      <c r="A32" s="41" t="s">
        <v>500</v>
      </c>
      <c r="B32" s="76" t="s">
        <v>146</v>
      </c>
      <c r="C32" s="76">
        <v>3</v>
      </c>
      <c r="D32" s="76">
        <v>2</v>
      </c>
      <c r="E32" s="97">
        <v>4.17</v>
      </c>
      <c r="F32" s="76">
        <v>53</v>
      </c>
      <c r="G32" s="76">
        <v>0</v>
      </c>
      <c r="H32" s="76">
        <v>0</v>
      </c>
      <c r="I32" s="76">
        <v>0</v>
      </c>
      <c r="J32" s="76">
        <v>0</v>
      </c>
      <c r="K32" s="76">
        <v>2</v>
      </c>
      <c r="L32" s="258">
        <f>INDEX('C-P-RollAdj'!$P$4:$P$900,MATCH((U32),'C-P-RollAdj'!$O$4:$O$900,FALSE),0)</f>
        <v>49.67</v>
      </c>
      <c r="M32" s="76">
        <v>47</v>
      </c>
      <c r="N32" s="76">
        <v>23</v>
      </c>
      <c r="O32" s="76">
        <v>23</v>
      </c>
      <c r="P32" s="76">
        <v>9</v>
      </c>
      <c r="Q32" s="76">
        <v>14</v>
      </c>
      <c r="R32" s="76">
        <v>1</v>
      </c>
      <c r="S32" s="76">
        <v>54</v>
      </c>
      <c r="T32" s="76">
        <v>208</v>
      </c>
      <c r="U32" s="76">
        <v>49.2</v>
      </c>
      <c r="V32" s="100">
        <v>0.245</v>
      </c>
      <c r="W32" s="76">
        <v>1.23</v>
      </c>
      <c r="X32" s="50"/>
      <c r="Y32" s="50">
        <f t="shared" si="6"/>
        <v>6.2801932367149762</v>
      </c>
      <c r="Z32" s="6">
        <f>IF(Y32&lt;LeagueRatings!$K$10,((LeagueRatings!$K$10-Y32)/LeagueRatings!$K$10)*36,(LeagueRatings!$K$10-Y32)*6.48)</f>
        <v>9.9157283069835778</v>
      </c>
      <c r="AA32" s="16">
        <f>INDEX('C-P-RollAdj'!$B$4:$B$76,MATCH(INT(Z32),'C-P-RollAdj'!$A$4:$A$76,FALSE),0)</f>
        <v>-0.74</v>
      </c>
      <c r="AB32" s="16">
        <f>(P32/(T32-R32))*100</f>
        <v>4.3478260869565215</v>
      </c>
      <c r="AC32" s="6">
        <f>IF(AB32&lt;LeagueRatings!$K$8,((LeagueRatings!$K$8-AB32)/LeagueRatings!$K$8)*36,(LeagueRatings!$K$8-AB32)/LeagueRatings!$K$11)</f>
        <v>-9.0966485943354716</v>
      </c>
      <c r="AD32" s="16">
        <f>INDEX('C-P-RollAdj'!$F$4:$F$76,MATCH(INT(AC32),'C-P-RollAdj'!$E$4:$E$76,FALSE),0)</f>
        <v>0.92</v>
      </c>
      <c r="AE32" s="17">
        <f>+((LeagueRatings!$I$6-E32)*5)+9.5</f>
        <v>9.6580514552774037</v>
      </c>
      <c r="AF32" s="17">
        <f>IF(AE32&lt;4,4,AE32)</f>
        <v>9.6580514552774037</v>
      </c>
      <c r="AG32" s="17">
        <f>IF(M32&lt;L32,((1-(M32/L32))*7)-0.07,(1-(M32/L32))*5)</f>
        <v>0.30628347090799307</v>
      </c>
      <c r="AH32" s="4">
        <f>+AA32+AD32+AF32+AG32</f>
        <v>10.144334926185396</v>
      </c>
      <c r="AI32" s="41" t="s">
        <v>500</v>
      </c>
      <c r="AJ32" s="5" t="s">
        <v>39</v>
      </c>
      <c r="AK32" s="219">
        <f>INDEX('C-P-RollAdj'!$J$4:$J$76,MATCH(INT(Z32),'C-P-RollAdj'!$I$4:$I$76,FALSE),0)</f>
        <v>23</v>
      </c>
      <c r="AL32" s="219">
        <f>INDEX('C-P-RollAdj'!$J$4:$J$76,MATCH(INT(AC32),'C-P-RollAdj'!$I$4:$I$76,FALSE),0)</f>
        <v>-24</v>
      </c>
      <c r="AM32" s="14">
        <f>+AR32*LeagueRatings!$K$27</f>
        <v>27.777777777777779</v>
      </c>
      <c r="AN32" s="72">
        <f>F32*LeagueRatings!$K$27</f>
        <v>29.444444444444446</v>
      </c>
      <c r="AO32" s="72">
        <f>G32*LeagueRatings!$K$27</f>
        <v>0</v>
      </c>
      <c r="AP32" s="72">
        <f>T32*LeagueRatings!$K$27</f>
        <v>115.55555555555556</v>
      </c>
      <c r="AR32" s="72">
        <f>ROUNDUP(L32,0)</f>
        <v>50</v>
      </c>
      <c r="AS32" s="113"/>
      <c r="AT32" s="113"/>
      <c r="AU32" s="113"/>
      <c r="AW32" s="144">
        <v>15.33</v>
      </c>
    </row>
    <row r="33" spans="1:49" s="27" customFormat="1" x14ac:dyDescent="0.2">
      <c r="A33" s="41" t="s">
        <v>496</v>
      </c>
      <c r="B33" s="76" t="s">
        <v>146</v>
      </c>
      <c r="C33" s="76">
        <v>2</v>
      </c>
      <c r="D33" s="76">
        <v>3</v>
      </c>
      <c r="E33" s="97">
        <v>3.45</v>
      </c>
      <c r="F33" s="76">
        <v>50</v>
      </c>
      <c r="G33" s="76">
        <v>0</v>
      </c>
      <c r="H33" s="76">
        <v>0</v>
      </c>
      <c r="I33" s="76">
        <v>0</v>
      </c>
      <c r="J33" s="76">
        <v>7</v>
      </c>
      <c r="K33" s="76">
        <v>9</v>
      </c>
      <c r="L33" s="258">
        <f>INDEX('C-P-RollAdj'!$P$4:$P$900,MATCH((U33),'C-P-RollAdj'!$O$4:$O$900,FALSE),0)</f>
        <v>47</v>
      </c>
      <c r="M33" s="76">
        <v>34</v>
      </c>
      <c r="N33" s="76">
        <v>18</v>
      </c>
      <c r="O33" s="76">
        <v>18</v>
      </c>
      <c r="P33" s="76">
        <v>8</v>
      </c>
      <c r="Q33" s="76">
        <v>11</v>
      </c>
      <c r="R33" s="76">
        <v>1</v>
      </c>
      <c r="S33" s="76">
        <v>63</v>
      </c>
      <c r="T33" s="76">
        <v>184</v>
      </c>
      <c r="U33" s="76">
        <v>47</v>
      </c>
      <c r="V33" s="100">
        <v>0.2</v>
      </c>
      <c r="W33" s="76">
        <v>0.96</v>
      </c>
      <c r="X33" s="50"/>
      <c r="Y33" s="50">
        <f t="shared" si="6"/>
        <v>5.4644808743169397</v>
      </c>
      <c r="Z33" s="6">
        <f>IF(Y33&lt;LeagueRatings!$K$10,((LeagueRatings!$K$10-Y33)/LeagueRatings!$K$10)*36,(LeagueRatings!$K$10-Y33)*6.48)</f>
        <v>13.303723243150907</v>
      </c>
      <c r="AA33" s="16">
        <f>INDEX('C-P-RollAdj'!$B$4:$B$76,MATCH(INT(Z33),'C-P-RollAdj'!$A$4:$A$76,FALSE),0)</f>
        <v>-1.1000000000000001</v>
      </c>
      <c r="AB33" s="16">
        <f>(P33/(T33-R33))*100</f>
        <v>4.3715846994535523</v>
      </c>
      <c r="AC33" s="6">
        <f>IF(AB33&lt;LeagueRatings!$K$8,((LeagueRatings!$K$8-AB33)/LeagueRatings!$K$8)*36,(LeagueRatings!$K$8-AB33)/LeagueRatings!$K$11)</f>
        <v>-9.2853027301356796</v>
      </c>
      <c r="AD33" s="16">
        <f>INDEX('C-P-RollAdj'!$F$4:$F$76,MATCH(INT(AC33),'C-P-RollAdj'!$E$4:$E$76,FALSE),0)</f>
        <v>0.92</v>
      </c>
      <c r="AE33" s="17">
        <f>+((LeagueRatings!$I$6-E33)*5)+9.5</f>
        <v>13.258051455277403</v>
      </c>
      <c r="AF33" s="17">
        <f>IF(AE33&lt;4,4,AE33)</f>
        <v>13.258051455277403</v>
      </c>
      <c r="AG33" s="17">
        <f>IF(M33&lt;L33,((1-(M33/L33))*7)-0.07,(1-(M33/L33))*5)</f>
        <v>1.866170212765957</v>
      </c>
      <c r="AH33" s="4">
        <f>+AA33+AD33+AF33+AG33</f>
        <v>14.94422166804336</v>
      </c>
      <c r="AI33" s="41" t="s">
        <v>496</v>
      </c>
      <c r="AJ33" s="5" t="s">
        <v>14</v>
      </c>
      <c r="AK33" s="219">
        <f>INDEX('C-P-RollAdj'!$J$4:$J$76,MATCH(INT(Z33),'C-P-RollAdj'!$I$4:$I$76,FALSE),0)</f>
        <v>31</v>
      </c>
      <c r="AL33" s="219">
        <f>INDEX('C-P-RollAdj'!$J$4:$J$76,MATCH(INT(AC33),'C-P-RollAdj'!$I$4:$I$76,FALSE),0)</f>
        <v>-24</v>
      </c>
      <c r="AM33" s="14">
        <f>+AR33*LeagueRatings!$K$27</f>
        <v>26.111111111111111</v>
      </c>
      <c r="AN33" s="72">
        <f>F33*LeagueRatings!$K$27</f>
        <v>27.777777777777779</v>
      </c>
      <c r="AO33" s="72">
        <f>G33*LeagueRatings!$K$27</f>
        <v>0</v>
      </c>
      <c r="AP33" s="72">
        <f>T33*LeagueRatings!$K$27</f>
        <v>102.22222222222223</v>
      </c>
      <c r="AR33" s="72">
        <f>ROUNDUP(L33,0)</f>
        <v>47</v>
      </c>
      <c r="AS33" s="113"/>
      <c r="AT33" s="113"/>
      <c r="AU33" s="113"/>
      <c r="AW33" s="144">
        <v>74.33</v>
      </c>
    </row>
    <row r="34" spans="1:49" s="26" customFormat="1" x14ac:dyDescent="0.2">
      <c r="A34" s="41" t="s">
        <v>508</v>
      </c>
      <c r="B34" s="76" t="s">
        <v>146</v>
      </c>
      <c r="C34" s="76">
        <v>13</v>
      </c>
      <c r="D34" s="76">
        <v>6</v>
      </c>
      <c r="E34" s="97">
        <v>3.33</v>
      </c>
      <c r="F34" s="76">
        <v>24</v>
      </c>
      <c r="G34" s="76">
        <v>24</v>
      </c>
      <c r="H34" s="76">
        <v>4</v>
      </c>
      <c r="I34" s="76">
        <v>1</v>
      </c>
      <c r="J34" s="76">
        <v>0</v>
      </c>
      <c r="K34" s="76">
        <v>0</v>
      </c>
      <c r="L34" s="258">
        <f>INDEX('C-P-RollAdj'!$P$4:$P$900,MATCH((U34),'C-P-RollAdj'!$O$4:$O$900,FALSE),0)</f>
        <v>156.67000000000002</v>
      </c>
      <c r="M34" s="76">
        <v>138</v>
      </c>
      <c r="N34" s="76">
        <v>74</v>
      </c>
      <c r="O34" s="76">
        <v>58</v>
      </c>
      <c r="P34" s="76">
        <v>12</v>
      </c>
      <c r="Q34" s="76">
        <v>57</v>
      </c>
      <c r="R34" s="76">
        <v>1</v>
      </c>
      <c r="S34" s="76">
        <v>127</v>
      </c>
      <c r="T34" s="76">
        <v>656</v>
      </c>
      <c r="U34" s="76">
        <v>156.19999999999999</v>
      </c>
      <c r="V34" s="100">
        <v>0.23499999999999999</v>
      </c>
      <c r="W34" s="76">
        <v>1.24</v>
      </c>
      <c r="X34" s="50"/>
      <c r="Y34" s="50">
        <f t="shared" si="6"/>
        <v>8.5496183206106871</v>
      </c>
      <c r="Z34" s="6">
        <f>IF(Y34&lt;LeagueRatings!$K$10,((LeagueRatings!$K$10-Y34)/LeagueRatings!$K$10)*36,(LeagueRatings!$K$10-Y34)*6.48)</f>
        <v>0.48985584668862514</v>
      </c>
      <c r="AA34" s="16">
        <f>INDEX('C-P-RollAdj'!$B$4:$B$76,MATCH(INT(Z34),'C-P-RollAdj'!$A$4:$A$76,FALSE),0)</f>
        <v>0</v>
      </c>
      <c r="AB34" s="16">
        <f t="shared" si="1"/>
        <v>1.8320610687022902</v>
      </c>
      <c r="AC34" s="6">
        <f>IF(AB34&lt;LeagueRatings!$K$8,((LeagueRatings!$K$8-AB34)/LeagueRatings!$K$8)*36,(LeagueRatings!$K$8-AB34)/LeagueRatings!$K$11)</f>
        <v>15.403587317941271</v>
      </c>
      <c r="AD34" s="16">
        <f>INDEX('C-P-RollAdj'!$F$4:$F$76,MATCH(INT(AC34),'C-P-RollAdj'!$E$4:$E$76,FALSE),0)</f>
        <v>-1.1400000000000001</v>
      </c>
      <c r="AE34" s="17">
        <f>+((LeagueRatings!$I$6-E34)*5)+9.5</f>
        <v>13.858051455277403</v>
      </c>
      <c r="AF34" s="17">
        <f t="shared" si="2"/>
        <v>13.858051455277403</v>
      </c>
      <c r="AG34" s="17">
        <f t="shared" si="3"/>
        <v>0.76417374098423485</v>
      </c>
      <c r="AH34" s="4">
        <f t="shared" si="4"/>
        <v>13.482225196261638</v>
      </c>
      <c r="AI34" s="41" t="s">
        <v>508</v>
      </c>
      <c r="AJ34" s="5" t="s">
        <v>16</v>
      </c>
      <c r="AK34" s="219">
        <f>INDEX('C-P-RollAdj'!$J$4:$J$76,MATCH(INT(Z34),'C-P-RollAdj'!$I$4:$I$76,FALSE),0)</f>
        <v>0</v>
      </c>
      <c r="AL34" s="219">
        <f>INDEX('C-P-RollAdj'!$J$4:$J$76,MATCH(INT(AC34),'C-P-RollAdj'!$I$4:$I$76,FALSE),0)</f>
        <v>33</v>
      </c>
      <c r="AM34" s="14">
        <f>+AR34*LeagueRatings!$K$27</f>
        <v>87.222222222222229</v>
      </c>
      <c r="AN34" s="72">
        <f>F34*LeagueRatings!$K$27</f>
        <v>13.333333333333334</v>
      </c>
      <c r="AO34" s="72">
        <f>G34*LeagueRatings!$K$27</f>
        <v>13.333333333333334</v>
      </c>
      <c r="AP34" s="72">
        <f>T34*LeagueRatings!$K$27</f>
        <v>364.44444444444446</v>
      </c>
      <c r="AR34" s="72">
        <f t="shared" si="5"/>
        <v>157</v>
      </c>
      <c r="AS34" s="113"/>
      <c r="AT34" s="113"/>
      <c r="AU34" s="113"/>
      <c r="AW34" s="144">
        <v>15.33</v>
      </c>
    </row>
    <row r="35" spans="1:49" s="27" customFormat="1" x14ac:dyDescent="0.2">
      <c r="A35" s="41" t="s">
        <v>320</v>
      </c>
      <c r="B35" s="76" t="s">
        <v>146</v>
      </c>
      <c r="C35" s="76">
        <v>2</v>
      </c>
      <c r="D35" s="76">
        <v>4</v>
      </c>
      <c r="E35" s="97">
        <v>1.52</v>
      </c>
      <c r="F35" s="76">
        <v>33</v>
      </c>
      <c r="G35" s="76">
        <v>0</v>
      </c>
      <c r="H35" s="76">
        <v>0</v>
      </c>
      <c r="I35" s="76">
        <v>0</v>
      </c>
      <c r="J35" s="76">
        <v>4</v>
      </c>
      <c r="K35" s="76">
        <v>8</v>
      </c>
      <c r="L35" s="258">
        <f>INDEX('C-P-RollAdj'!$P$4:$P$900,MATCH((U35),'C-P-RollAdj'!$O$4:$O$900,FALSE),0)</f>
        <v>29.67</v>
      </c>
      <c r="M35" s="76">
        <v>26</v>
      </c>
      <c r="N35" s="76">
        <v>8</v>
      </c>
      <c r="O35" s="76">
        <v>5</v>
      </c>
      <c r="P35" s="76">
        <v>1</v>
      </c>
      <c r="Q35" s="76">
        <v>11</v>
      </c>
      <c r="R35" s="76">
        <v>2</v>
      </c>
      <c r="S35" s="76">
        <v>31</v>
      </c>
      <c r="T35" s="76">
        <v>124</v>
      </c>
      <c r="U35" s="76">
        <v>29.2</v>
      </c>
      <c r="V35" s="100">
        <v>0.23400000000000001</v>
      </c>
      <c r="W35" s="76">
        <v>1.25</v>
      </c>
      <c r="X35" s="50"/>
      <c r="Y35" s="50">
        <f t="shared" si="6"/>
        <v>7.3770491803278686</v>
      </c>
      <c r="Z35" s="6">
        <f>IF(Y35&lt;LeagueRatings!$K$10,((LeagueRatings!$K$10-Y35)/LeagueRatings!$K$10)*36,(LeagueRatings!$K$10-Y35)*6.48)</f>
        <v>5.3600263782537256</v>
      </c>
      <c r="AA35" s="16">
        <f>INDEX('C-P-RollAdj'!$B$4:$B$76,MATCH(INT(Z35),'C-P-RollAdj'!$A$4:$A$76,FALSE),0)</f>
        <v>-0.4</v>
      </c>
      <c r="AB35" s="16">
        <f t="shared" si="1"/>
        <v>0.81967213114754101</v>
      </c>
      <c r="AC35" s="6">
        <f>IF(AB35&lt;LeagueRatings!$K$8,((LeagueRatings!$K$8-AB35)/LeagueRatings!$K$8)*36,(LeagueRatings!$K$8-AB35)/LeagueRatings!$K$11)</f>
        <v>26.785074927084381</v>
      </c>
      <c r="AD35" s="16">
        <f>INDEX('C-P-RollAdj'!$F$4:$F$76,MATCH(INT(AC35),'C-P-RollAdj'!$E$4:$E$76,FALSE),0)</f>
        <v>-2.1799999999999997</v>
      </c>
      <c r="AE35" s="17">
        <f>+((LeagueRatings!$I$6-E35)*5)+9.5</f>
        <v>22.908051455277402</v>
      </c>
      <c r="AF35" s="17">
        <f t="shared" si="2"/>
        <v>22.908051455277402</v>
      </c>
      <c r="AG35" s="17">
        <f t="shared" si="3"/>
        <v>0.79585776879002412</v>
      </c>
      <c r="AH35" s="4">
        <f t="shared" si="4"/>
        <v>21.123909224067429</v>
      </c>
      <c r="AI35" s="41" t="s">
        <v>320</v>
      </c>
      <c r="AJ35" s="5" t="s">
        <v>28</v>
      </c>
      <c r="AK35" s="219">
        <f>INDEX('C-P-RollAdj'!$J$4:$J$76,MATCH(INT(Z35),'C-P-RollAdj'!$I$4:$I$76,FALSE),0)</f>
        <v>15</v>
      </c>
      <c r="AL35" s="219">
        <f>INDEX('C-P-RollAdj'!$J$4:$J$76,MATCH(INT(AC35),'C-P-RollAdj'!$I$4:$I$76,FALSE),0)</f>
        <v>52</v>
      </c>
      <c r="AM35" s="14">
        <f>+AR35*LeagueRatings!$K$27</f>
        <v>16.666666666666668</v>
      </c>
      <c r="AN35" s="72">
        <f>F35*LeagueRatings!$K$27</f>
        <v>18.333333333333336</v>
      </c>
      <c r="AO35" s="72">
        <f>G35*LeagueRatings!$K$27</f>
        <v>0</v>
      </c>
      <c r="AP35" s="72">
        <f>T35*LeagueRatings!$K$27</f>
        <v>68.888888888888886</v>
      </c>
      <c r="AR35" s="72">
        <f t="shared" si="5"/>
        <v>30</v>
      </c>
      <c r="AS35" s="113"/>
      <c r="AT35" s="113"/>
      <c r="AU35" s="113"/>
      <c r="AW35" s="144">
        <v>74.33</v>
      </c>
    </row>
    <row r="36" spans="1:49" s="26" customFormat="1" x14ac:dyDescent="0.2">
      <c r="A36" s="107"/>
      <c r="B36"/>
      <c r="C36"/>
      <c r="D36" s="3"/>
      <c r="E36" s="3"/>
      <c r="F36"/>
      <c r="G36" s="62"/>
      <c r="H36" s="176"/>
      <c r="I36" s="176"/>
      <c r="J36" s="62"/>
      <c r="K36" s="3"/>
      <c r="L36" s="111"/>
      <c r="M36"/>
      <c r="N36"/>
      <c r="O36"/>
      <c r="P36"/>
      <c r="R36" s="62"/>
      <c r="S36" s="2"/>
      <c r="T36"/>
      <c r="U36"/>
      <c r="V36" s="268"/>
      <c r="X36" s="50"/>
      <c r="Y36" s="50"/>
      <c r="Z36" s="6"/>
      <c r="AA36" s="16"/>
      <c r="AB36" s="16"/>
      <c r="AC36" s="6"/>
      <c r="AD36" s="16"/>
      <c r="AE36" s="17"/>
      <c r="AF36" s="17"/>
      <c r="AG36" s="17"/>
      <c r="AH36" s="4"/>
      <c r="AI36" s="107"/>
      <c r="AJ36" s="5"/>
      <c r="AK36" s="5"/>
      <c r="AL36" s="5"/>
      <c r="AM36" s="14"/>
      <c r="AN36" s="72"/>
      <c r="AO36" s="72"/>
      <c r="AP36" s="72"/>
      <c r="AR36" s="72"/>
      <c r="AS36" s="113"/>
      <c r="AT36" s="113"/>
      <c r="AU36" s="113"/>
      <c r="AW36" s="111"/>
    </row>
    <row r="37" spans="1:49" s="122" customFormat="1" x14ac:dyDescent="0.2">
      <c r="A37" s="69" t="s">
        <v>106</v>
      </c>
      <c r="B37" s="70" t="s">
        <v>157</v>
      </c>
      <c r="C37" s="71" t="s">
        <v>85</v>
      </c>
      <c r="D37" s="70" t="s">
        <v>86</v>
      </c>
      <c r="E37" s="71" t="s">
        <v>87</v>
      </c>
      <c r="F37" s="70" t="s">
        <v>108</v>
      </c>
      <c r="G37" s="70" t="s">
        <v>88</v>
      </c>
      <c r="H37" s="182" t="s">
        <v>89</v>
      </c>
      <c r="I37" s="178" t="s">
        <v>317</v>
      </c>
      <c r="J37" s="72" t="s">
        <v>90</v>
      </c>
      <c r="K37" s="72" t="s">
        <v>158</v>
      </c>
      <c r="L37" s="71" t="s">
        <v>91</v>
      </c>
      <c r="M37" s="70" t="s">
        <v>92</v>
      </c>
      <c r="N37" s="70" t="s">
        <v>93</v>
      </c>
      <c r="O37" s="70" t="s">
        <v>94</v>
      </c>
      <c r="P37" s="70" t="s">
        <v>95</v>
      </c>
      <c r="Q37" s="70" t="s">
        <v>96</v>
      </c>
      <c r="R37" s="70" t="s">
        <v>98</v>
      </c>
      <c r="S37" s="70" t="s">
        <v>97</v>
      </c>
      <c r="T37" s="70" t="s">
        <v>109</v>
      </c>
      <c r="U37" s="155" t="s">
        <v>91</v>
      </c>
      <c r="V37" s="250" t="s">
        <v>1517</v>
      </c>
      <c r="W37" s="155" t="s">
        <v>1072</v>
      </c>
      <c r="X37" s="117"/>
      <c r="Y37" s="117" t="s">
        <v>2</v>
      </c>
      <c r="Z37" s="116" t="s">
        <v>3</v>
      </c>
      <c r="AA37" s="117" t="s">
        <v>4</v>
      </c>
      <c r="AB37" s="118" t="s">
        <v>5</v>
      </c>
      <c r="AC37" s="116" t="s">
        <v>6</v>
      </c>
      <c r="AD37" s="117" t="s">
        <v>7</v>
      </c>
      <c r="AE37" s="119" t="s">
        <v>8</v>
      </c>
      <c r="AF37" s="119" t="s">
        <v>81</v>
      </c>
      <c r="AG37" s="119" t="s">
        <v>9</v>
      </c>
      <c r="AH37" s="128" t="s">
        <v>10</v>
      </c>
      <c r="AI37" s="69" t="s">
        <v>106</v>
      </c>
      <c r="AJ37" s="7" t="s">
        <v>11</v>
      </c>
      <c r="AK37" s="7" t="s">
        <v>12</v>
      </c>
      <c r="AL37" s="7" t="s">
        <v>13</v>
      </c>
      <c r="AM37" s="14"/>
      <c r="AN37" s="72"/>
      <c r="AO37" s="72"/>
      <c r="AP37" s="72"/>
      <c r="AR37" s="72"/>
      <c r="AS37" s="114"/>
      <c r="AT37" s="114"/>
      <c r="AU37" s="114"/>
      <c r="AW37" s="71" t="s">
        <v>91</v>
      </c>
    </row>
    <row r="38" spans="1:49" s="122" customFormat="1" x14ac:dyDescent="0.2">
      <c r="A38" s="69"/>
      <c r="B38" s="70"/>
      <c r="C38" s="71"/>
      <c r="D38" s="70"/>
      <c r="E38" s="71"/>
      <c r="F38" s="70"/>
      <c r="G38" s="70"/>
      <c r="H38" s="182"/>
      <c r="I38" s="178"/>
      <c r="J38" s="72"/>
      <c r="K38" s="72"/>
      <c r="L38" s="71"/>
      <c r="M38" s="70"/>
      <c r="N38" s="70"/>
      <c r="O38" s="70"/>
      <c r="P38" s="70"/>
      <c r="R38" s="70"/>
      <c r="S38" s="70"/>
      <c r="T38" s="70"/>
      <c r="U38" s="70"/>
      <c r="V38" s="267"/>
      <c r="X38" s="50"/>
      <c r="Y38" s="50"/>
      <c r="Z38" s="6"/>
      <c r="AA38" s="16"/>
      <c r="AB38" s="16"/>
      <c r="AC38" s="6"/>
      <c r="AD38" s="16"/>
      <c r="AE38" s="17"/>
      <c r="AF38" s="17"/>
      <c r="AG38" s="17"/>
      <c r="AH38" s="4"/>
      <c r="AI38" s="69"/>
      <c r="AJ38" s="7"/>
      <c r="AK38" s="7"/>
      <c r="AL38" s="7"/>
      <c r="AM38" s="14"/>
      <c r="AN38" s="72"/>
      <c r="AO38" s="72"/>
      <c r="AP38" s="72"/>
      <c r="AR38" s="72"/>
      <c r="AS38" s="113"/>
      <c r="AT38" s="113"/>
      <c r="AU38" s="113"/>
      <c r="AW38" s="71"/>
    </row>
    <row r="39" spans="1:49" x14ac:dyDescent="0.2">
      <c r="A39" s="41" t="s">
        <v>524</v>
      </c>
      <c r="B39" s="76" t="s">
        <v>147</v>
      </c>
      <c r="C39" s="76">
        <v>2</v>
      </c>
      <c r="D39" s="76">
        <v>6</v>
      </c>
      <c r="E39" s="97">
        <v>6.31</v>
      </c>
      <c r="F39" s="76">
        <v>58</v>
      </c>
      <c r="G39" s="76">
        <v>1</v>
      </c>
      <c r="H39" s="76">
        <v>0</v>
      </c>
      <c r="I39" s="76">
        <v>0</v>
      </c>
      <c r="J39" s="76">
        <v>0</v>
      </c>
      <c r="K39" s="76">
        <v>4</v>
      </c>
      <c r="L39" s="258">
        <f>INDEX('C-P-RollAdj'!$P$4:$P$900,MATCH((U39),'C-P-RollAdj'!$O$4:$O$900,FALSE),0)</f>
        <v>51.33</v>
      </c>
      <c r="M39" s="76">
        <v>67</v>
      </c>
      <c r="N39" s="76">
        <v>44</v>
      </c>
      <c r="O39" s="76">
        <v>36</v>
      </c>
      <c r="P39" s="76">
        <v>10</v>
      </c>
      <c r="Q39" s="76">
        <v>19</v>
      </c>
      <c r="R39" s="76">
        <v>1</v>
      </c>
      <c r="S39" s="76">
        <v>30</v>
      </c>
      <c r="T39" s="76">
        <v>237</v>
      </c>
      <c r="U39" s="76">
        <v>51.1</v>
      </c>
      <c r="V39" s="100">
        <v>0.32100000000000001</v>
      </c>
      <c r="W39" s="76">
        <v>1.68</v>
      </c>
      <c r="X39" s="50"/>
      <c r="Y39" s="50">
        <f t="shared" ref="Y39:Y52" si="7">+(Q39-R39)/(T39-R39)*100</f>
        <v>7.6271186440677967</v>
      </c>
      <c r="Z39" s="6">
        <f>IF(Y39&lt;LeagueRatings!$K$10,((LeagueRatings!$K$10-Y39)/LeagueRatings!$K$10)*36,(LeagueRatings!$K$10-Y39)*6.48)</f>
        <v>4.3213832046352056</v>
      </c>
      <c r="AA39" s="16">
        <f>INDEX('C-P-RollAdj'!$B$4:$B$76,MATCH(INT(Z39),'C-P-RollAdj'!$A$4:$A$76,FALSE),0)</f>
        <v>-0.32</v>
      </c>
      <c r="AB39" s="16">
        <f t="shared" si="1"/>
        <v>4.2372881355932197</v>
      </c>
      <c r="AC39" s="6">
        <f>IF(AB39&lt;LeagueRatings!$K$8,((LeagueRatings!$K$8-AB39)/LeagueRatings!$K$8)*36,(LeagueRatings!$K$8-AB39)/LeagueRatings!$K$11)</f>
        <v>-8.2189272337057133</v>
      </c>
      <c r="AD39" s="16">
        <f>INDEX('C-P-RollAdj'!$F$4:$F$76,MATCH(INT(AC39),'C-P-RollAdj'!$E$4:$E$76,FALSE),0)</f>
        <v>0.81</v>
      </c>
      <c r="AE39" s="17">
        <f>+((LeagueRatings!$I$6-E39)*5)+9.5</f>
        <v>-1.0419485447225938</v>
      </c>
      <c r="AF39" s="17">
        <f t="shared" si="2"/>
        <v>4</v>
      </c>
      <c r="AG39" s="17">
        <f t="shared" si="3"/>
        <v>-1.5263978180401327</v>
      </c>
      <c r="AH39" s="4">
        <f t="shared" si="4"/>
        <v>2.9636021819598675</v>
      </c>
      <c r="AI39" s="41" t="s">
        <v>524</v>
      </c>
      <c r="AJ39" s="5" t="s">
        <v>78</v>
      </c>
      <c r="AK39" s="219">
        <f>INDEX('C-P-RollAdj'!$J$4:$J$76,MATCH(INT(Z39),'C-P-RollAdj'!$I$4:$I$76,FALSE),0)</f>
        <v>14</v>
      </c>
      <c r="AL39" s="219">
        <f>INDEX('C-P-RollAdj'!$J$4:$J$76,MATCH(INT(AC39),'C-P-RollAdj'!$I$4:$I$76,FALSE),0)</f>
        <v>-23</v>
      </c>
      <c r="AM39" s="14">
        <f>+AR39*LeagueRatings!$K$27</f>
        <v>28.888888888888889</v>
      </c>
      <c r="AN39" s="72">
        <f>F39*LeagueRatings!$K$27</f>
        <v>32.222222222222221</v>
      </c>
      <c r="AO39" s="72">
        <f>G39*LeagueRatings!$K$27</f>
        <v>0.55555555555555558</v>
      </c>
      <c r="AP39" s="72">
        <f>T39*LeagueRatings!$K$27</f>
        <v>131.66666666666669</v>
      </c>
      <c r="AR39" s="72">
        <f t="shared" si="5"/>
        <v>52</v>
      </c>
      <c r="AW39" s="97">
        <v>128.33000000000001</v>
      </c>
    </row>
    <row r="40" spans="1:49" x14ac:dyDescent="0.2">
      <c r="A40" s="41" t="s">
        <v>1178</v>
      </c>
      <c r="B40" s="76" t="s">
        <v>147</v>
      </c>
      <c r="C40" s="76">
        <v>2</v>
      </c>
      <c r="D40" s="76">
        <v>2</v>
      </c>
      <c r="E40" s="97">
        <v>6.39</v>
      </c>
      <c r="F40" s="76">
        <v>25</v>
      </c>
      <c r="G40" s="76">
        <v>0</v>
      </c>
      <c r="H40" s="76">
        <v>0</v>
      </c>
      <c r="I40" s="76">
        <v>0</v>
      </c>
      <c r="J40" s="76">
        <v>0</v>
      </c>
      <c r="K40" s="76">
        <v>1</v>
      </c>
      <c r="L40" s="258">
        <f>INDEX('C-P-RollAdj'!$P$4:$P$900,MATCH((U40),'C-P-RollAdj'!$O$4:$O$900,FALSE),0)</f>
        <v>25.33</v>
      </c>
      <c r="M40" s="76">
        <v>31</v>
      </c>
      <c r="N40" s="76">
        <v>18</v>
      </c>
      <c r="O40" s="76">
        <v>18</v>
      </c>
      <c r="P40" s="76">
        <v>3</v>
      </c>
      <c r="Q40" s="76">
        <v>17</v>
      </c>
      <c r="R40" s="76">
        <v>1</v>
      </c>
      <c r="S40" s="76">
        <v>20</v>
      </c>
      <c r="T40" s="76">
        <v>123</v>
      </c>
      <c r="U40" s="76">
        <v>25.1</v>
      </c>
      <c r="V40" s="100">
        <v>0.30099999999999999</v>
      </c>
      <c r="W40" s="76">
        <v>1.89</v>
      </c>
      <c r="X40" s="50"/>
      <c r="Y40" s="50">
        <f t="shared" si="7"/>
        <v>13.114754098360656</v>
      </c>
      <c r="Z40" s="6">
        <f>IF(Y40&lt;LeagueRatings!$K$10,((LeagueRatings!$K$10-Y40)/LeagueRatings!$K$10)*36,(LeagueRatings!$K$10-Y40)*6.48)</f>
        <v>-28.817826063183393</v>
      </c>
      <c r="AA40" s="16">
        <f>INDEX('C-P-RollAdj'!$B$4:$B$76,MATCH(INT(Z40),'C-P-RollAdj'!$A$4:$A$76,FALSE),0)</f>
        <v>3.99</v>
      </c>
      <c r="AB40" s="16">
        <f t="shared" si="1"/>
        <v>2.459016393442623</v>
      </c>
      <c r="AC40" s="6">
        <f>IF(AB40&lt;LeagueRatings!$K$8,((LeagueRatings!$K$8-AB40)/LeagueRatings!$K$8)*36,(LeagueRatings!$K$8-AB40)/LeagueRatings!$K$11)</f>
        <v>8.3552247812531437</v>
      </c>
      <c r="AD40" s="16">
        <f>INDEX('C-P-RollAdj'!$F$4:$F$76,MATCH(INT(AC40),'C-P-RollAdj'!$E$4:$E$76,FALSE),0)</f>
        <v>-0.56999999999999995</v>
      </c>
      <c r="AE40" s="17">
        <f>+((LeagueRatings!$I$6-E40)*5)+9.5</f>
        <v>-1.4419485447225959</v>
      </c>
      <c r="AF40" s="17">
        <f t="shared" si="2"/>
        <v>4</v>
      </c>
      <c r="AG40" s="17">
        <f t="shared" si="3"/>
        <v>-1.1192262139755238</v>
      </c>
      <c r="AH40" s="4">
        <f t="shared" si="4"/>
        <v>6.3007737860244761</v>
      </c>
      <c r="AI40" s="41" t="s">
        <v>1178</v>
      </c>
      <c r="AJ40" s="5" t="s">
        <v>66</v>
      </c>
      <c r="AK40" s="219">
        <f>INDEX('C-P-RollAdj'!$J$4:$J$76,MATCH(INT(Z40),'C-P-RollAdj'!$I$4:$I$76,FALSE),0)</f>
        <v>-55</v>
      </c>
      <c r="AL40" s="219">
        <f>INDEX('C-P-RollAdj'!$J$4:$J$76,MATCH(INT(AC40),'C-P-RollAdj'!$I$4:$I$76,FALSE),0)</f>
        <v>22</v>
      </c>
      <c r="AM40" s="14">
        <f>+AR40*LeagueRatings!$K$27</f>
        <v>14.444444444444445</v>
      </c>
      <c r="AN40" s="72">
        <f>F40*LeagueRatings!$K$27</f>
        <v>13.888888888888889</v>
      </c>
      <c r="AO40" s="72">
        <f>G40*LeagueRatings!$K$27</f>
        <v>0</v>
      </c>
      <c r="AP40" s="72">
        <f>T40*LeagueRatings!$K$27</f>
        <v>68.333333333333343</v>
      </c>
      <c r="AR40" s="72">
        <f t="shared" si="5"/>
        <v>26</v>
      </c>
      <c r="AW40" s="97">
        <v>36.67</v>
      </c>
    </row>
    <row r="41" spans="1:49" x14ac:dyDescent="0.2">
      <c r="A41" s="41" t="s">
        <v>409</v>
      </c>
      <c r="B41" s="76" t="s">
        <v>147</v>
      </c>
      <c r="C41" s="76">
        <v>5</v>
      </c>
      <c r="D41" s="76">
        <v>8</v>
      </c>
      <c r="E41" s="97">
        <v>3.73</v>
      </c>
      <c r="F41" s="76">
        <v>24</v>
      </c>
      <c r="G41" s="76">
        <v>23</v>
      </c>
      <c r="H41" s="76">
        <v>0</v>
      </c>
      <c r="I41" s="76">
        <v>0</v>
      </c>
      <c r="J41" s="76">
        <v>0</v>
      </c>
      <c r="K41" s="76">
        <v>0</v>
      </c>
      <c r="L41" s="258">
        <f>INDEX('C-P-RollAdj'!$P$4:$P$900,MATCH((U41),'C-P-RollAdj'!$O$4:$O$900,FALSE),0)</f>
        <v>135</v>
      </c>
      <c r="M41" s="76">
        <v>132</v>
      </c>
      <c r="N41" s="76">
        <v>61</v>
      </c>
      <c r="O41" s="76">
        <v>56</v>
      </c>
      <c r="P41" s="76">
        <v>11</v>
      </c>
      <c r="Q41" s="76">
        <v>35</v>
      </c>
      <c r="R41" s="76">
        <v>1</v>
      </c>
      <c r="S41" s="76">
        <v>95</v>
      </c>
      <c r="T41" s="76">
        <v>566</v>
      </c>
      <c r="U41" s="76">
        <v>135</v>
      </c>
      <c r="V41" s="100">
        <v>0.254</v>
      </c>
      <c r="W41" s="76">
        <v>1.24</v>
      </c>
      <c r="X41" s="50"/>
      <c r="Y41" s="50">
        <f t="shared" si="7"/>
        <v>6.0176991150442474</v>
      </c>
      <c r="Z41" s="6">
        <f>IF(Y41&lt;LeagueRatings!$K$10,((LeagueRatings!$K$10-Y41)/LeagueRatings!$K$10)*36,(LeagueRatings!$K$10-Y41)*6.48)</f>
        <v>11.005976286528309</v>
      </c>
      <c r="AA41" s="16">
        <f>INDEX('C-P-RollAdj'!$B$4:$B$76,MATCH(INT(Z41),'C-P-RollAdj'!$A$4:$A$76,FALSE),0)</f>
        <v>-0.92</v>
      </c>
      <c r="AB41" s="16">
        <f t="shared" si="1"/>
        <v>1.9469026548672566</v>
      </c>
      <c r="AC41" s="6">
        <f>IF(AB41&lt;LeagueRatings!$K$8,((LeagueRatings!$K$8-AB41)/LeagueRatings!$K$8)*36,(LeagueRatings!$K$8-AB41)/LeagueRatings!$K$11)</f>
        <v>14.112514251588035</v>
      </c>
      <c r="AD41" s="16">
        <f>INDEX('C-P-RollAdj'!$F$4:$F$76,MATCH(INT(AC41),'C-P-RollAdj'!$E$4:$E$76,FALSE),0)</f>
        <v>-1.05</v>
      </c>
      <c r="AE41" s="17">
        <f>+((LeagueRatings!$I$6-E41)*5)+9.5</f>
        <v>11.858051455277403</v>
      </c>
      <c r="AF41" s="17">
        <f t="shared" si="2"/>
        <v>11.858051455277403</v>
      </c>
      <c r="AG41" s="17">
        <f t="shared" si="3"/>
        <v>8.5555555555555773E-2</v>
      </c>
      <c r="AH41" s="4">
        <f t="shared" si="4"/>
        <v>9.9736070108329589</v>
      </c>
      <c r="AI41" s="41" t="s">
        <v>409</v>
      </c>
      <c r="AJ41" s="5" t="s">
        <v>39</v>
      </c>
      <c r="AK41" s="219">
        <f>INDEX('C-P-RollAdj'!$J$4:$J$76,MATCH(INT(Z41),'C-P-RollAdj'!$I$4:$I$76,FALSE),0)</f>
        <v>25</v>
      </c>
      <c r="AL41" s="219">
        <f>INDEX('C-P-RollAdj'!$J$4:$J$76,MATCH(INT(AC41),'C-P-RollAdj'!$I$4:$I$76,FALSE),0)</f>
        <v>32</v>
      </c>
      <c r="AM41" s="14">
        <f>+AR41*LeagueRatings!$K$27</f>
        <v>75</v>
      </c>
      <c r="AN41" s="72">
        <f>F41*LeagueRatings!$K$27</f>
        <v>13.333333333333334</v>
      </c>
      <c r="AO41" s="72">
        <f>G41*LeagueRatings!$K$27</f>
        <v>12.777777777777779</v>
      </c>
      <c r="AP41" s="72">
        <f>T41*LeagueRatings!$K$27</f>
        <v>314.44444444444446</v>
      </c>
      <c r="AR41" s="72">
        <f t="shared" si="5"/>
        <v>135</v>
      </c>
      <c r="AW41" s="97">
        <v>138.33000000000001</v>
      </c>
    </row>
    <row r="42" spans="1:49" s="26" customFormat="1" x14ac:dyDescent="0.2">
      <c r="A42" s="41" t="s">
        <v>395</v>
      </c>
      <c r="B42" s="76" t="s">
        <v>147</v>
      </c>
      <c r="C42" s="76">
        <v>4</v>
      </c>
      <c r="D42" s="76">
        <v>3</v>
      </c>
      <c r="E42" s="97">
        <v>2.08</v>
      </c>
      <c r="F42" s="76">
        <v>64</v>
      </c>
      <c r="G42" s="76">
        <v>0</v>
      </c>
      <c r="H42" s="76">
        <v>0</v>
      </c>
      <c r="I42" s="76">
        <v>0</v>
      </c>
      <c r="J42" s="76">
        <v>1</v>
      </c>
      <c r="K42" s="76">
        <v>3</v>
      </c>
      <c r="L42" s="258">
        <f>INDEX('C-P-RollAdj'!$P$4:$P$900,MATCH((U42),'C-P-RollAdj'!$O$4:$O$900,FALSE),0)</f>
        <v>60.67</v>
      </c>
      <c r="M42" s="76">
        <v>57</v>
      </c>
      <c r="N42" s="76">
        <v>18</v>
      </c>
      <c r="O42" s="76">
        <v>14</v>
      </c>
      <c r="P42" s="76">
        <v>1</v>
      </c>
      <c r="Q42" s="76">
        <v>28</v>
      </c>
      <c r="R42" s="76">
        <v>0</v>
      </c>
      <c r="S42" s="76">
        <v>46</v>
      </c>
      <c r="T42" s="76">
        <v>259</v>
      </c>
      <c r="U42" s="76">
        <v>60.2</v>
      </c>
      <c r="V42" s="100">
        <v>0.25900000000000001</v>
      </c>
      <c r="W42" s="76">
        <v>1.4</v>
      </c>
      <c r="X42" s="50"/>
      <c r="Y42" s="50">
        <f t="shared" si="7"/>
        <v>10.810810810810811</v>
      </c>
      <c r="Z42" s="6">
        <f>IF(Y42&lt;LeagueRatings!$K$10,((LeagueRatings!$K$10-Y42)/LeagueRatings!$K$10)*36,(LeagueRatings!$K$10-Y42)*6.48)</f>
        <v>-13.888273559860393</v>
      </c>
      <c r="AA42" s="16">
        <f>INDEX('C-P-RollAdj'!$B$4:$B$76,MATCH(INT(Z42),'C-P-RollAdj'!$A$4:$A$76,FALSE),0)</f>
        <v>1.5</v>
      </c>
      <c r="AB42" s="16">
        <f t="shared" si="1"/>
        <v>0.38610038610038611</v>
      </c>
      <c r="AC42" s="6">
        <f>IF(AB42&lt;LeagueRatings!$K$8,((LeagueRatings!$K$8-AB42)/LeagueRatings!$K$8)*36,(LeagueRatings!$K$8-AB42)/LeagueRatings!$K$11)</f>
        <v>31.659378923182601</v>
      </c>
      <c r="AD42" s="16">
        <f>INDEX('C-P-RollAdj'!$F$4:$F$76,MATCH(INT(AC42),'C-P-RollAdj'!$E$4:$E$76,FALSE),0)</f>
        <v>-2.71</v>
      </c>
      <c r="AE42" s="17">
        <f>+((LeagueRatings!$I$6-E42)*5)+9.5</f>
        <v>20.108051455277405</v>
      </c>
      <c r="AF42" s="17">
        <f t="shared" si="2"/>
        <v>20.108051455277405</v>
      </c>
      <c r="AG42" s="17">
        <f t="shared" si="3"/>
        <v>0.35343827262238375</v>
      </c>
      <c r="AH42" s="4">
        <f t="shared" si="4"/>
        <v>19.251489727899788</v>
      </c>
      <c r="AI42" s="41" t="s">
        <v>395</v>
      </c>
      <c r="AJ42" s="7" t="s">
        <v>67</v>
      </c>
      <c r="AK42" s="219">
        <f>INDEX('C-P-RollAdj'!$J$4:$J$76,MATCH(INT(Z42),'C-P-RollAdj'!$I$4:$I$76,FALSE),0)</f>
        <v>-32</v>
      </c>
      <c r="AL42" s="219">
        <f>INDEX('C-P-RollAdj'!$J$4:$J$76,MATCH(INT(AC42),'C-P-RollAdj'!$I$4:$I$76,FALSE),0)</f>
        <v>61</v>
      </c>
      <c r="AM42" s="14">
        <f>+AR42*LeagueRatings!$K$27</f>
        <v>33.888888888888893</v>
      </c>
      <c r="AN42" s="72">
        <f>F42*LeagueRatings!$K$27</f>
        <v>35.555555555555557</v>
      </c>
      <c r="AO42" s="72">
        <f>G42*LeagueRatings!$K$27</f>
        <v>0</v>
      </c>
      <c r="AP42" s="72">
        <f>T42*LeagueRatings!$K$27</f>
        <v>143.88888888888889</v>
      </c>
      <c r="AR42" s="72">
        <f t="shared" si="5"/>
        <v>61</v>
      </c>
      <c r="AS42" s="113"/>
      <c r="AT42" s="113"/>
      <c r="AU42" s="113"/>
      <c r="AW42" s="97">
        <v>78</v>
      </c>
    </row>
    <row r="43" spans="1:49" x14ac:dyDescent="0.2">
      <c r="A43" s="41" t="s">
        <v>517</v>
      </c>
      <c r="B43" s="76" t="s">
        <v>147</v>
      </c>
      <c r="C43" s="76">
        <v>5</v>
      </c>
      <c r="D43" s="76">
        <v>3</v>
      </c>
      <c r="E43" s="97">
        <v>2.29</v>
      </c>
      <c r="F43" s="76">
        <v>71</v>
      </c>
      <c r="G43" s="76">
        <v>0</v>
      </c>
      <c r="H43" s="76">
        <v>0</v>
      </c>
      <c r="I43" s="76">
        <v>0</v>
      </c>
      <c r="J43" s="76">
        <v>3</v>
      </c>
      <c r="K43" s="76">
        <v>12</v>
      </c>
      <c r="L43" s="258">
        <f>INDEX('C-P-RollAdj'!$P$4:$P$900,MATCH((U43),'C-P-RollAdj'!$O$4:$O$900,FALSE),0)</f>
        <v>70.67</v>
      </c>
      <c r="M43" s="76">
        <v>48</v>
      </c>
      <c r="N43" s="76">
        <v>20</v>
      </c>
      <c r="O43" s="76">
        <v>18</v>
      </c>
      <c r="P43" s="76">
        <v>7</v>
      </c>
      <c r="Q43" s="76">
        <v>15</v>
      </c>
      <c r="R43" s="76">
        <v>3</v>
      </c>
      <c r="S43" s="76">
        <v>80</v>
      </c>
      <c r="T43" s="76">
        <v>274</v>
      </c>
      <c r="U43" s="76">
        <v>70.2</v>
      </c>
      <c r="V43" s="100">
        <v>0.19</v>
      </c>
      <c r="W43" s="76">
        <v>0.89</v>
      </c>
      <c r="X43" s="50"/>
      <c r="Y43" s="50">
        <f t="shared" si="7"/>
        <v>4.428044280442804</v>
      </c>
      <c r="Z43" s="6">
        <f>IF(Y43&lt;LeagueRatings!$K$10,((LeagueRatings!$K$10-Y43)/LeagueRatings!$K$10)*36,(LeagueRatings!$K$10-Y43)*6.48)</f>
        <v>17.608478318066197</v>
      </c>
      <c r="AA43" s="16">
        <f>INDEX('C-P-RollAdj'!$B$4:$B$76,MATCH(INT(Z43),'C-P-RollAdj'!$A$4:$A$76,FALSE),0)</f>
        <v>-1.49</v>
      </c>
      <c r="AB43" s="16">
        <f t="shared" si="1"/>
        <v>2.5830258302583027</v>
      </c>
      <c r="AC43" s="6">
        <f>IF(AB43&lt;LeagueRatings!$K$8,((LeagueRatings!$K$8-AB43)/LeagueRatings!$K$8)*36,(LeagueRatings!$K$8-AB43)/LeagueRatings!$K$11)</f>
        <v>6.9610848255721827</v>
      </c>
      <c r="AD43" s="16">
        <f>INDEX('C-P-RollAdj'!$F$4:$F$76,MATCH(INT(AC43),'C-P-RollAdj'!$E$4:$E$76,FALSE),0)</f>
        <v>-0.42000000000000004</v>
      </c>
      <c r="AE43" s="17">
        <f>+((LeagueRatings!$I$6-E43)*5)+9.5</f>
        <v>19.058051455277404</v>
      </c>
      <c r="AF43" s="17">
        <f t="shared" si="2"/>
        <v>19.058051455277404</v>
      </c>
      <c r="AG43" s="17">
        <f t="shared" si="3"/>
        <v>2.1755072873921044</v>
      </c>
      <c r="AH43" s="4">
        <f t="shared" si="4"/>
        <v>19.323558742669508</v>
      </c>
      <c r="AI43" s="41" t="s">
        <v>517</v>
      </c>
      <c r="AJ43" s="60" t="s">
        <v>67</v>
      </c>
      <c r="AK43" s="219">
        <f>INDEX('C-P-RollAdj'!$J$4:$J$76,MATCH(INT(Z43),'C-P-RollAdj'!$I$4:$I$76,FALSE),0)</f>
        <v>35</v>
      </c>
      <c r="AL43" s="219">
        <f>INDEX('C-P-RollAdj'!$J$4:$J$76,MATCH(INT(AC43),'C-P-RollAdj'!$I$4:$I$76,FALSE),0)</f>
        <v>16</v>
      </c>
      <c r="AM43" s="14">
        <f>+AR43*LeagueRatings!$K$27</f>
        <v>39.444444444444443</v>
      </c>
      <c r="AN43" s="72">
        <f>F43*LeagueRatings!$K$27</f>
        <v>39.444444444444443</v>
      </c>
      <c r="AO43" s="72">
        <f>G43*LeagueRatings!$K$27</f>
        <v>0</v>
      </c>
      <c r="AP43" s="72">
        <f>T43*LeagueRatings!$K$27</f>
        <v>152.22222222222223</v>
      </c>
      <c r="AR43" s="72">
        <f t="shared" si="5"/>
        <v>71</v>
      </c>
      <c r="AW43" s="97">
        <v>60.67</v>
      </c>
    </row>
    <row r="44" spans="1:49" x14ac:dyDescent="0.2">
      <c r="A44" s="41" t="s">
        <v>756</v>
      </c>
      <c r="B44" s="76" t="s">
        <v>147</v>
      </c>
      <c r="C44" s="76">
        <v>0</v>
      </c>
      <c r="D44" s="76">
        <v>1</v>
      </c>
      <c r="E44" s="97">
        <v>2.63</v>
      </c>
      <c r="F44" s="76">
        <v>29</v>
      </c>
      <c r="G44" s="76">
        <v>0</v>
      </c>
      <c r="H44" s="76">
        <v>0</v>
      </c>
      <c r="I44" s="76">
        <v>0</v>
      </c>
      <c r="J44" s="76">
        <v>1</v>
      </c>
      <c r="K44" s="76">
        <v>2</v>
      </c>
      <c r="L44" s="258">
        <f>INDEX('C-P-RollAdj'!$P$4:$P$900,MATCH((U44),'C-P-RollAdj'!$O$4:$O$900,FALSE),0)</f>
        <v>27.33</v>
      </c>
      <c r="M44" s="76">
        <v>21</v>
      </c>
      <c r="N44" s="76">
        <v>8</v>
      </c>
      <c r="O44" s="76">
        <v>8</v>
      </c>
      <c r="P44" s="76">
        <v>2</v>
      </c>
      <c r="Q44" s="76">
        <v>20</v>
      </c>
      <c r="R44" s="76">
        <v>3</v>
      </c>
      <c r="S44" s="76">
        <v>25</v>
      </c>
      <c r="T44" s="76">
        <v>119</v>
      </c>
      <c r="U44" s="76">
        <v>27.1</v>
      </c>
      <c r="V44" s="100">
        <v>0.21199999999999999</v>
      </c>
      <c r="W44" s="76">
        <v>1.5</v>
      </c>
      <c r="X44" s="50"/>
      <c r="Y44" s="50">
        <f t="shared" si="7"/>
        <v>14.655172413793101</v>
      </c>
      <c r="Z44" s="6">
        <f>IF(Y44&lt;LeagueRatings!$K$10,((LeagueRatings!$K$10-Y44)/LeagueRatings!$K$10)*36,(LeagueRatings!$K$10-Y44)*6.48)</f>
        <v>-38.799736747185641</v>
      </c>
      <c r="AA44" s="260">
        <v>5.44</v>
      </c>
      <c r="AB44" s="16">
        <f t="shared" si="1"/>
        <v>1.7241379310344827</v>
      </c>
      <c r="AC44" s="6">
        <f>IF(AB44&lt;LeagueRatings!$K$8,((LeagueRatings!$K$8-AB44)/LeagueRatings!$K$8)*36,(LeagueRatings!$K$8-AB44)/LeagueRatings!$K$11)</f>
        <v>16.616881743177494</v>
      </c>
      <c r="AD44" s="16">
        <f>INDEX('C-P-RollAdj'!$F$4:$F$76,MATCH(INT(AC44),'C-P-RollAdj'!$E$4:$E$76,FALSE),0)</f>
        <v>-1.23</v>
      </c>
      <c r="AE44" s="17">
        <f>+((LeagueRatings!$I$6-E44)*5)+9.5</f>
        <v>17.358051455277405</v>
      </c>
      <c r="AF44" s="17">
        <f t="shared" si="2"/>
        <v>17.358051455277405</v>
      </c>
      <c r="AG44" s="17">
        <f t="shared" si="3"/>
        <v>1.5512952799121842</v>
      </c>
      <c r="AH44" s="4">
        <f t="shared" si="4"/>
        <v>23.119346735189591</v>
      </c>
      <c r="AI44" s="41" t="s">
        <v>756</v>
      </c>
      <c r="AJ44" s="5" t="s">
        <v>668</v>
      </c>
      <c r="AK44" s="219">
        <v>-66</v>
      </c>
      <c r="AL44" s="219">
        <f>INDEX('C-P-RollAdj'!$J$4:$J$76,MATCH(INT(AC44),'C-P-RollAdj'!$I$4:$I$76,FALSE),0)</f>
        <v>34</v>
      </c>
      <c r="AM44" s="14">
        <f>+AR44*LeagueRatings!$K$27</f>
        <v>15.555555555555557</v>
      </c>
      <c r="AN44" s="72">
        <f>F44*LeagueRatings!$K$27</f>
        <v>16.111111111111111</v>
      </c>
      <c r="AO44" s="72">
        <f>G44*LeagueRatings!$K$27</f>
        <v>0</v>
      </c>
      <c r="AP44" s="72">
        <f>T44*LeagueRatings!$K$27</f>
        <v>66.111111111111114</v>
      </c>
      <c r="AR44" s="72">
        <f t="shared" si="5"/>
        <v>28</v>
      </c>
      <c r="AW44" s="97">
        <v>19.329999999999998</v>
      </c>
    </row>
    <row r="45" spans="1:49" x14ac:dyDescent="0.2">
      <c r="A45" s="41" t="s">
        <v>353</v>
      </c>
      <c r="B45" s="76" t="s">
        <v>147</v>
      </c>
      <c r="C45" s="76">
        <v>1</v>
      </c>
      <c r="D45" s="76">
        <v>0</v>
      </c>
      <c r="E45" s="97">
        <v>2.2999999999999998</v>
      </c>
      <c r="F45" s="76">
        <v>25</v>
      </c>
      <c r="G45" s="76">
        <v>0</v>
      </c>
      <c r="H45" s="76">
        <v>0</v>
      </c>
      <c r="I45" s="76">
        <v>0</v>
      </c>
      <c r="J45" s="76">
        <v>0</v>
      </c>
      <c r="K45" s="76">
        <v>0</v>
      </c>
      <c r="L45" s="258">
        <f>INDEX('C-P-RollAdj'!$P$4:$P$900,MATCH((U45),'C-P-RollAdj'!$O$4:$O$900,FALSE),0)</f>
        <v>27.33</v>
      </c>
      <c r="M45" s="76">
        <v>25</v>
      </c>
      <c r="N45" s="76">
        <v>7</v>
      </c>
      <c r="O45" s="76">
        <v>7</v>
      </c>
      <c r="P45" s="76">
        <v>2</v>
      </c>
      <c r="Q45" s="76">
        <v>11</v>
      </c>
      <c r="R45" s="76">
        <v>1</v>
      </c>
      <c r="S45" s="76">
        <v>30</v>
      </c>
      <c r="T45" s="76">
        <v>114</v>
      </c>
      <c r="U45" s="76">
        <v>27.1</v>
      </c>
      <c r="V45" s="100">
        <v>0.248</v>
      </c>
      <c r="W45" s="76">
        <v>1.32</v>
      </c>
      <c r="X45" s="50"/>
      <c r="Y45" s="50">
        <f t="shared" si="7"/>
        <v>8.8495575221238933</v>
      </c>
      <c r="Z45" s="6">
        <f>IF(Y45&lt;LeagueRatings!$K$10,((LeagueRatings!$K$10-Y45)/LeagueRatings!$K$10)*36,(LeagueRatings!$K$10-Y45)*6.48)</f>
        <v>-1.1793522491691684</v>
      </c>
      <c r="AA45" s="16">
        <f>INDEX('C-P-RollAdj'!$B$4:$B$76,MATCH(INT(Z45),'C-P-RollAdj'!$A$4:$A$76,FALSE),0)</f>
        <v>0.18</v>
      </c>
      <c r="AB45" s="16">
        <f t="shared" si="1"/>
        <v>1.7699115044247788</v>
      </c>
      <c r="AC45" s="6">
        <f>IF(AB45&lt;LeagueRatings!$K$8,((LeagueRatings!$K$8-AB45)/LeagueRatings!$K$8)*36,(LeagueRatings!$K$8-AB45)/LeagueRatings!$K$11)</f>
        <v>16.102285683261847</v>
      </c>
      <c r="AD45" s="16">
        <f>INDEX('C-P-RollAdj'!$F$4:$F$76,MATCH(INT(AC45),'C-P-RollAdj'!$E$4:$E$76,FALSE),0)</f>
        <v>-1.23</v>
      </c>
      <c r="AE45" s="17">
        <f>+((LeagueRatings!$I$6-E45)*5)+9.5</f>
        <v>19.008051455277403</v>
      </c>
      <c r="AF45" s="17">
        <f t="shared" si="2"/>
        <v>19.008051455277403</v>
      </c>
      <c r="AG45" s="17">
        <f t="shared" si="3"/>
        <v>0.52678009513355262</v>
      </c>
      <c r="AH45" s="4">
        <f t="shared" si="4"/>
        <v>18.484831550410956</v>
      </c>
      <c r="AI45" s="41" t="s">
        <v>353</v>
      </c>
      <c r="AJ45" s="5" t="s">
        <v>63</v>
      </c>
      <c r="AK45" s="219">
        <f>INDEX('C-P-RollAdj'!$J$4:$J$76,MATCH(INT(Z45),'C-P-RollAdj'!$I$4:$I$76,FALSE),0)</f>
        <v>-12</v>
      </c>
      <c r="AL45" s="219">
        <f>INDEX('C-P-RollAdj'!$J$4:$J$76,MATCH(INT(AC45),'C-P-RollAdj'!$I$4:$I$76,FALSE),0)</f>
        <v>34</v>
      </c>
      <c r="AM45" s="14">
        <f>+AR45*LeagueRatings!$K$27</f>
        <v>15.555555555555557</v>
      </c>
      <c r="AN45" s="72">
        <f>F45*LeagueRatings!$K$27</f>
        <v>13.888888888888889</v>
      </c>
      <c r="AO45" s="72">
        <f>G45*LeagueRatings!$K$27</f>
        <v>0</v>
      </c>
      <c r="AP45" s="72">
        <f>T45*LeagueRatings!$K$27</f>
        <v>63.333333333333336</v>
      </c>
      <c r="AR45" s="72">
        <f t="shared" si="5"/>
        <v>28</v>
      </c>
      <c r="AW45" s="97">
        <v>25.33</v>
      </c>
    </row>
    <row r="46" spans="1:49" s="26" customFormat="1" x14ac:dyDescent="0.2">
      <c r="A46" s="41" t="s">
        <v>514</v>
      </c>
      <c r="B46" s="76" t="s">
        <v>147</v>
      </c>
      <c r="C46" s="76">
        <v>13</v>
      </c>
      <c r="D46" s="76">
        <v>12</v>
      </c>
      <c r="E46" s="97">
        <v>3.2</v>
      </c>
      <c r="F46" s="76">
        <v>32</v>
      </c>
      <c r="G46" s="76">
        <v>32</v>
      </c>
      <c r="H46" s="76">
        <v>0</v>
      </c>
      <c r="I46" s="76">
        <v>0</v>
      </c>
      <c r="J46" s="76">
        <v>0</v>
      </c>
      <c r="K46" s="76">
        <v>0</v>
      </c>
      <c r="L46" s="258">
        <f>INDEX('C-P-RollAdj'!$P$4:$P$900,MATCH((U46),'C-P-RollAdj'!$O$4:$O$900,FALSE),0)</f>
        <v>208</v>
      </c>
      <c r="M46" s="76">
        <v>192</v>
      </c>
      <c r="N46" s="76">
        <v>76</v>
      </c>
      <c r="O46" s="76">
        <v>74</v>
      </c>
      <c r="P46" s="76">
        <v>22</v>
      </c>
      <c r="Q46" s="76">
        <v>50</v>
      </c>
      <c r="R46" s="76">
        <v>1</v>
      </c>
      <c r="S46" s="76">
        <v>181</v>
      </c>
      <c r="T46" s="76">
        <v>837</v>
      </c>
      <c r="U46" s="76">
        <v>208</v>
      </c>
      <c r="V46" s="100">
        <v>0.246</v>
      </c>
      <c r="W46" s="76">
        <v>1.1599999999999999</v>
      </c>
      <c r="X46" s="50"/>
      <c r="Y46" s="50">
        <f t="shared" si="7"/>
        <v>5.8612440191387556</v>
      </c>
      <c r="Z46" s="6">
        <f>IF(Y46&lt;LeagueRatings!$K$10,((LeagueRatings!$K$10-Y46)/LeagueRatings!$K$10)*36,(LeagueRatings!$K$10-Y46)*6.48)</f>
        <v>11.655799799202656</v>
      </c>
      <c r="AA46" s="16">
        <f>INDEX('C-P-RollAdj'!$B$4:$B$76,MATCH(INT(Z46),'C-P-RollAdj'!$A$4:$A$76,FALSE),0)</f>
        <v>-0.92</v>
      </c>
      <c r="AB46" s="16">
        <f t="shared" si="1"/>
        <v>2.6315789473684208</v>
      </c>
      <c r="AC46" s="6">
        <f>IF(AB46&lt;LeagueRatings!$K$8,((LeagueRatings!$K$8-AB46)/LeagueRatings!$K$8)*36,(LeagueRatings!$K$8-AB46)/LeagueRatings!$K$11)</f>
        <v>6.4152405553761751</v>
      </c>
      <c r="AD46" s="16">
        <f>INDEX('C-P-RollAdj'!$F$4:$F$76,MATCH(INT(AC46),'C-P-RollAdj'!$E$4:$E$76,FALSE),0)</f>
        <v>-0.42000000000000004</v>
      </c>
      <c r="AE46" s="17">
        <f>+((LeagueRatings!$I$6-E46)*5)+9.5</f>
        <v>14.508051455277403</v>
      </c>
      <c r="AF46" s="17">
        <f t="shared" si="2"/>
        <v>14.508051455277403</v>
      </c>
      <c r="AG46" s="17">
        <f t="shared" si="3"/>
        <v>0.4684615384615381</v>
      </c>
      <c r="AH46" s="4">
        <f t="shared" si="4"/>
        <v>13.636512993738942</v>
      </c>
      <c r="AI46" s="41" t="s">
        <v>514</v>
      </c>
      <c r="AJ46" s="5" t="s">
        <v>21</v>
      </c>
      <c r="AK46" s="219">
        <f>INDEX('C-P-RollAdj'!$J$4:$J$76,MATCH(INT(Z46),'C-P-RollAdj'!$I$4:$I$76,FALSE),0)</f>
        <v>25</v>
      </c>
      <c r="AL46" s="219">
        <f>INDEX('C-P-RollAdj'!$J$4:$J$76,MATCH(INT(AC46),'C-P-RollAdj'!$I$4:$I$76,FALSE),0)</f>
        <v>16</v>
      </c>
      <c r="AM46" s="14">
        <f>+AR46*LeagueRatings!$K$27</f>
        <v>115.55555555555556</v>
      </c>
      <c r="AN46" s="72">
        <f>F46*LeagueRatings!$K$27</f>
        <v>17.777777777777779</v>
      </c>
      <c r="AO46" s="72">
        <f>G46*LeagueRatings!$K$27</f>
        <v>17.777777777777779</v>
      </c>
      <c r="AP46" s="72">
        <f>T46*LeagueRatings!$K$27</f>
        <v>465</v>
      </c>
      <c r="AR46" s="72">
        <f t="shared" si="5"/>
        <v>208</v>
      </c>
      <c r="AS46" s="113"/>
      <c r="AT46" s="113"/>
      <c r="AU46" s="113"/>
      <c r="AW46" s="97">
        <v>200</v>
      </c>
    </row>
    <row r="47" spans="1:49" s="26" customFormat="1" x14ac:dyDescent="0.2">
      <c r="A47" s="41" t="s">
        <v>789</v>
      </c>
      <c r="B47" s="76" t="s">
        <v>147</v>
      </c>
      <c r="C47" s="76">
        <v>0</v>
      </c>
      <c r="D47" s="76">
        <v>1</v>
      </c>
      <c r="E47" s="97">
        <v>8.4600000000000009</v>
      </c>
      <c r="F47" s="76">
        <v>7</v>
      </c>
      <c r="G47" s="76">
        <v>5</v>
      </c>
      <c r="H47" s="76">
        <v>0</v>
      </c>
      <c r="I47" s="76">
        <v>0</v>
      </c>
      <c r="J47" s="76">
        <v>0</v>
      </c>
      <c r="K47" s="76">
        <v>0</v>
      </c>
      <c r="L47" s="258">
        <f>INDEX('C-P-RollAdj'!$P$4:$P$900,MATCH((U47),'C-P-RollAdj'!$O$4:$O$900,FALSE),0)</f>
        <v>27.67</v>
      </c>
      <c r="M47" s="76">
        <v>34</v>
      </c>
      <c r="N47" s="76">
        <v>26</v>
      </c>
      <c r="O47" s="76">
        <v>26</v>
      </c>
      <c r="P47" s="76">
        <v>9</v>
      </c>
      <c r="Q47" s="76">
        <v>12</v>
      </c>
      <c r="R47" s="76">
        <v>0</v>
      </c>
      <c r="S47" s="76">
        <v>16</v>
      </c>
      <c r="T47" s="76">
        <v>130</v>
      </c>
      <c r="U47" s="76">
        <v>27.2</v>
      </c>
      <c r="V47" s="100">
        <v>0.29299999999999998</v>
      </c>
      <c r="W47" s="76">
        <v>1.66</v>
      </c>
      <c r="X47" s="50"/>
      <c r="Y47" s="50">
        <f t="shared" si="7"/>
        <v>9.2307692307692317</v>
      </c>
      <c r="Z47" s="6">
        <f>IF(Y47&lt;LeagueRatings!$K$10,((LeagueRatings!$K$10-Y47)/LeagueRatings!$K$10)*36,(LeagueRatings!$K$10-Y47)*6.48)</f>
        <v>-3.6496041211909613</v>
      </c>
      <c r="AA47" s="16">
        <f>INDEX('C-P-RollAdj'!$B$4:$B$76,MATCH(INT(Z47),'C-P-RollAdj'!$A$4:$A$76,FALSE),0)</f>
        <v>0.36</v>
      </c>
      <c r="AB47" s="16">
        <f t="shared" si="1"/>
        <v>6.9230769230769234</v>
      </c>
      <c r="AC47" s="6">
        <f>IF(AB47&lt;LeagueRatings!$K$8,((LeagueRatings!$K$8-AB47)/LeagueRatings!$K$8)*36,(LeagueRatings!$K$8-AB47)/LeagueRatings!$K$11)</f>
        <v>-29.545305729417429</v>
      </c>
      <c r="AD47" s="16">
        <f>INDEX('C-P-RollAdj'!$F$4:$F$76,MATCH(INT(AC47),'C-P-RollAdj'!$E$4:$E$76,FALSE),0)</f>
        <v>3.75</v>
      </c>
      <c r="AE47" s="17">
        <f>+((LeagueRatings!$I$6-E47)*5)+9.5</f>
        <v>-11.791948544722601</v>
      </c>
      <c r="AF47" s="17">
        <f t="shared" si="2"/>
        <v>4</v>
      </c>
      <c r="AG47" s="17">
        <f t="shared" si="3"/>
        <v>-1.1438380917961688</v>
      </c>
      <c r="AH47" s="4">
        <f t="shared" si="4"/>
        <v>6.9661619082038309</v>
      </c>
      <c r="AI47" s="41" t="s">
        <v>789</v>
      </c>
      <c r="AJ47" s="5" t="s">
        <v>66</v>
      </c>
      <c r="AK47" s="219">
        <f>INDEX('C-P-RollAdj'!$J$4:$J$76,MATCH(INT(Z47),'C-P-RollAdj'!$I$4:$I$76,FALSE),0)</f>
        <v>-14</v>
      </c>
      <c r="AL47" s="219">
        <f>INDEX('C-P-RollAdj'!$J$4:$J$76,MATCH(INT(AC47),'C-P-RollAdj'!$I$4:$I$76,FALSE),0)</f>
        <v>-56</v>
      </c>
      <c r="AM47" s="14">
        <f>+AR47*LeagueRatings!$K$27</f>
        <v>15.555555555555557</v>
      </c>
      <c r="AN47" s="72">
        <f>F47*LeagueRatings!$K$27</f>
        <v>3.8888888888888893</v>
      </c>
      <c r="AO47" s="72">
        <f>G47*LeagueRatings!$K$27</f>
        <v>2.7777777777777777</v>
      </c>
      <c r="AP47" s="72">
        <f>T47*LeagueRatings!$K$27</f>
        <v>72.222222222222229</v>
      </c>
      <c r="AR47" s="72">
        <f t="shared" si="5"/>
        <v>28</v>
      </c>
      <c r="AS47" s="113"/>
      <c r="AT47" s="113"/>
      <c r="AU47" s="113"/>
      <c r="AW47" s="97">
        <v>71.33</v>
      </c>
    </row>
    <row r="48" spans="1:49" s="26" customFormat="1" x14ac:dyDescent="0.2">
      <c r="A48" s="41" t="s">
        <v>582</v>
      </c>
      <c r="B48" s="76" t="s">
        <v>147</v>
      </c>
      <c r="C48" s="76">
        <v>5</v>
      </c>
      <c r="D48" s="76">
        <v>3</v>
      </c>
      <c r="E48" s="97">
        <v>3.47</v>
      </c>
      <c r="F48" s="76">
        <v>62</v>
      </c>
      <c r="G48" s="76">
        <v>0</v>
      </c>
      <c r="H48" s="76">
        <v>0</v>
      </c>
      <c r="I48" s="76">
        <v>0</v>
      </c>
      <c r="J48" s="76">
        <v>37</v>
      </c>
      <c r="K48" s="76">
        <v>44</v>
      </c>
      <c r="L48" s="258">
        <f>INDEX('C-P-RollAdj'!$P$4:$P$900,MATCH((U48),'C-P-RollAdj'!$O$4:$O$900,FALSE),0)</f>
        <v>62.33</v>
      </c>
      <c r="M48" s="76">
        <v>53</v>
      </c>
      <c r="N48" s="76">
        <v>24</v>
      </c>
      <c r="O48" s="76">
        <v>24</v>
      </c>
      <c r="P48" s="76">
        <v>6</v>
      </c>
      <c r="Q48" s="76">
        <v>32</v>
      </c>
      <c r="R48" s="76">
        <v>4</v>
      </c>
      <c r="S48" s="76">
        <v>75</v>
      </c>
      <c r="T48" s="76">
        <v>267</v>
      </c>
      <c r="U48" s="76">
        <v>62.1</v>
      </c>
      <c r="V48" s="100">
        <v>0.23100000000000001</v>
      </c>
      <c r="W48" s="76">
        <v>1.36</v>
      </c>
      <c r="X48" s="50"/>
      <c r="Y48" s="50">
        <f t="shared" si="7"/>
        <v>10.646387832699618</v>
      </c>
      <c r="Z48" s="6">
        <f>IF(Y48&lt;LeagueRatings!$K$10,((LeagueRatings!$K$10-Y48)/LeagueRatings!$K$10)*36,(LeagueRatings!$K$10-Y48)*6.48)</f>
        <v>-12.822812661699867</v>
      </c>
      <c r="AA48" s="16">
        <f>INDEX('C-P-RollAdj'!$B$4:$B$76,MATCH(INT(Z48),'C-P-RollAdj'!$A$4:$A$76,FALSE),0)</f>
        <v>1.37</v>
      </c>
      <c r="AB48" s="16">
        <f t="shared" si="1"/>
        <v>2.2813688212927756</v>
      </c>
      <c r="AC48" s="6">
        <f>IF(AB48&lt;LeagueRatings!$K$8,((LeagueRatings!$K$8-AB48)/LeagueRatings!$K$8)*36,(LeagueRatings!$K$8-AB48)/LeagueRatings!$K$11)</f>
        <v>10.352375842683525</v>
      </c>
      <c r="AD48" s="16">
        <f>INDEX('C-P-RollAdj'!$F$4:$F$76,MATCH(INT(AC48),'C-P-RollAdj'!$E$4:$E$76,FALSE),0)</f>
        <v>-0.73</v>
      </c>
      <c r="AE48" s="17">
        <f>+((LeagueRatings!$I$6-E48)*5)+9.5</f>
        <v>13.158051455277402</v>
      </c>
      <c r="AF48" s="17">
        <f t="shared" si="2"/>
        <v>13.158051455277402</v>
      </c>
      <c r="AG48" s="17">
        <f t="shared" si="3"/>
        <v>0.97781004331782428</v>
      </c>
      <c r="AH48" s="4">
        <f t="shared" si="4"/>
        <v>14.775861498595226</v>
      </c>
      <c r="AI48" s="41" t="s">
        <v>582</v>
      </c>
      <c r="AJ48" s="5" t="s">
        <v>14</v>
      </c>
      <c r="AK48" s="219">
        <f>INDEX('C-P-RollAdj'!$J$4:$J$76,MATCH(INT(Z48),'C-P-RollAdj'!$I$4:$I$76,FALSE),0)</f>
        <v>-31</v>
      </c>
      <c r="AL48" s="219">
        <f>INDEX('C-P-RollAdj'!$J$4:$J$76,MATCH(INT(AC48),'C-P-RollAdj'!$I$4:$I$76,FALSE),0)</f>
        <v>24</v>
      </c>
      <c r="AM48" s="14">
        <f>+AR48*LeagueRatings!$K$27</f>
        <v>35</v>
      </c>
      <c r="AN48" s="72">
        <f>F48*LeagueRatings!$K$27</f>
        <v>34.444444444444443</v>
      </c>
      <c r="AO48" s="72">
        <f>G48*LeagueRatings!$K$27</f>
        <v>0</v>
      </c>
      <c r="AP48" s="72">
        <f>T48*LeagueRatings!$K$27</f>
        <v>148.33333333333334</v>
      </c>
      <c r="AR48" s="72">
        <f t="shared" si="5"/>
        <v>63</v>
      </c>
      <c r="AS48" s="113"/>
      <c r="AT48" s="113"/>
      <c r="AU48" s="113"/>
      <c r="AW48" s="97">
        <v>56</v>
      </c>
    </row>
    <row r="49" spans="1:49" x14ac:dyDescent="0.2">
      <c r="A49" s="41" t="s">
        <v>1177</v>
      </c>
      <c r="B49" s="76" t="s">
        <v>147</v>
      </c>
      <c r="C49" s="76">
        <v>9</v>
      </c>
      <c r="D49" s="76">
        <v>10</v>
      </c>
      <c r="E49" s="97">
        <v>4.04</v>
      </c>
      <c r="F49" s="76">
        <v>28</v>
      </c>
      <c r="G49" s="76">
        <v>28</v>
      </c>
      <c r="H49" s="76">
        <v>0</v>
      </c>
      <c r="I49" s="76">
        <v>0</v>
      </c>
      <c r="J49" s="76">
        <v>0</v>
      </c>
      <c r="K49" s="76">
        <v>0</v>
      </c>
      <c r="L49" s="258">
        <f>INDEX('C-P-RollAdj'!$P$4:$P$900,MATCH((U49),'C-P-RollAdj'!$O$4:$O$900,FALSE),0)</f>
        <v>165</v>
      </c>
      <c r="M49" s="76">
        <v>176</v>
      </c>
      <c r="N49" s="76">
        <v>82</v>
      </c>
      <c r="O49" s="76">
        <v>74</v>
      </c>
      <c r="P49" s="76">
        <v>23</v>
      </c>
      <c r="Q49" s="76">
        <v>54</v>
      </c>
      <c r="R49" s="76">
        <v>3</v>
      </c>
      <c r="S49" s="76">
        <v>168</v>
      </c>
      <c r="T49" s="76">
        <v>715</v>
      </c>
      <c r="U49" s="76">
        <v>165</v>
      </c>
      <c r="V49" s="100">
        <v>0.27300000000000002</v>
      </c>
      <c r="W49" s="76">
        <v>1.39</v>
      </c>
      <c r="X49" s="50"/>
      <c r="Y49" s="50">
        <f t="shared" si="7"/>
        <v>7.1629213483146064</v>
      </c>
      <c r="Z49" s="6">
        <f>IF(Y49&lt;LeagueRatings!$K$10,((LeagueRatings!$K$10-Y49)/LeagueRatings!$K$10)*36,(LeagueRatings!$K$10-Y49)*6.48)</f>
        <v>6.2493889084729535</v>
      </c>
      <c r="AA49" s="16">
        <f>INDEX('C-P-RollAdj'!$B$4:$B$76,MATCH(INT(Z49),'C-P-RollAdj'!$A$4:$A$76,FALSE),0)</f>
        <v>-0.48</v>
      </c>
      <c r="AB49" s="16">
        <f t="shared" si="1"/>
        <v>3.2303370786516856</v>
      </c>
      <c r="AC49" s="6">
        <f>IF(AB49&lt;LeagueRatings!$K$8,((LeagueRatings!$K$8-AB49)/LeagueRatings!$K$8)*36,(LeagueRatings!$K$8-AB49)/LeagueRatings!$K$11)</f>
        <v>-0.22328011987903959</v>
      </c>
      <c r="AD49" s="16">
        <f>INDEX('C-P-RollAdj'!$F$4:$F$76,MATCH(INT(AC49),'C-P-RollAdj'!$E$4:$E$76,FALSE),0)</f>
        <v>0.08</v>
      </c>
      <c r="AE49" s="17">
        <f>+((LeagueRatings!$I$6-E49)*5)+9.5</f>
        <v>10.308051455277404</v>
      </c>
      <c r="AF49" s="17">
        <f t="shared" si="2"/>
        <v>10.308051455277404</v>
      </c>
      <c r="AG49" s="17">
        <f t="shared" si="3"/>
        <v>-0.33333333333333326</v>
      </c>
      <c r="AH49" s="4">
        <f t="shared" si="4"/>
        <v>9.5747181219440698</v>
      </c>
      <c r="AI49" s="41" t="s">
        <v>1177</v>
      </c>
      <c r="AJ49" s="5" t="s">
        <v>39</v>
      </c>
      <c r="AK49" s="219">
        <f>INDEX('C-P-RollAdj'!$J$4:$J$76,MATCH(INT(Z49),'C-P-RollAdj'!$I$4:$I$76,FALSE),0)</f>
        <v>16</v>
      </c>
      <c r="AL49" s="219">
        <f>INDEX('C-P-RollAdj'!$J$4:$J$76,MATCH(INT(AC49),'C-P-RollAdj'!$I$4:$I$76,FALSE),0)</f>
        <v>-11</v>
      </c>
      <c r="AM49" s="14">
        <f>+AR49*LeagueRatings!$K$27</f>
        <v>91.666666666666671</v>
      </c>
      <c r="AN49" s="72">
        <f>F49*LeagueRatings!$K$27</f>
        <v>15.555555555555557</v>
      </c>
      <c r="AO49" s="72">
        <f>G49*LeagueRatings!$K$27</f>
        <v>15.555555555555557</v>
      </c>
      <c r="AP49" s="72">
        <f>T49*LeagueRatings!$K$27</f>
        <v>397.22222222222223</v>
      </c>
      <c r="AR49" s="72">
        <f t="shared" si="5"/>
        <v>165</v>
      </c>
      <c r="AW49" s="97">
        <v>214.33</v>
      </c>
    </row>
    <row r="50" spans="1:49" s="29" customFormat="1" x14ac:dyDescent="0.2">
      <c r="A50" s="41" t="s">
        <v>510</v>
      </c>
      <c r="B50" s="76" t="s">
        <v>147</v>
      </c>
      <c r="C50" s="76">
        <v>17</v>
      </c>
      <c r="D50" s="76">
        <v>10</v>
      </c>
      <c r="E50" s="97">
        <v>3.34</v>
      </c>
      <c r="F50" s="76">
        <v>32</v>
      </c>
      <c r="G50" s="76">
        <v>32</v>
      </c>
      <c r="H50" s="76">
        <v>6</v>
      </c>
      <c r="I50" s="76">
        <v>1</v>
      </c>
      <c r="J50" s="76">
        <v>0</v>
      </c>
      <c r="K50" s="76">
        <v>0</v>
      </c>
      <c r="L50" s="258">
        <f>INDEX('C-P-RollAdj'!$P$4:$P$900,MATCH((U50),'C-P-RollAdj'!$O$4:$O$900,FALSE),0)</f>
        <v>226.67000000000002</v>
      </c>
      <c r="M50" s="76">
        <v>190</v>
      </c>
      <c r="N50" s="76">
        <v>88</v>
      </c>
      <c r="O50" s="76">
        <v>84</v>
      </c>
      <c r="P50" s="76">
        <v>27</v>
      </c>
      <c r="Q50" s="76">
        <v>45</v>
      </c>
      <c r="R50" s="76">
        <v>2</v>
      </c>
      <c r="S50" s="76">
        <v>233</v>
      </c>
      <c r="T50" s="76">
        <v>907</v>
      </c>
      <c r="U50" s="76">
        <v>226.2</v>
      </c>
      <c r="V50" s="100">
        <v>0.22700000000000001</v>
      </c>
      <c r="W50" s="76">
        <v>1.04</v>
      </c>
      <c r="X50" s="50"/>
      <c r="Y50" s="50">
        <f t="shared" si="7"/>
        <v>4.7513812154696131</v>
      </c>
      <c r="Z50" s="6">
        <f>IF(Y50&lt;LeagueRatings!$K$10,((LeagueRatings!$K$10-Y50)/LeagueRatings!$K$10)*36,(LeagueRatings!$K$10-Y50)*6.48)</f>
        <v>16.265524663022596</v>
      </c>
      <c r="AA50" s="16">
        <f>INDEX('C-P-RollAdj'!$B$4:$B$76,MATCH(INT(Z50),'C-P-RollAdj'!$A$4:$A$76,FALSE),0)</f>
        <v>-1.39</v>
      </c>
      <c r="AB50" s="16">
        <f t="shared" si="1"/>
        <v>2.9834254143646408</v>
      </c>
      <c r="AC50" s="6">
        <f>IF(AB50&lt;LeagueRatings!$K$8,((LeagueRatings!$K$8-AB50)/LeagueRatings!$K$8)*36,(LeagueRatings!$K$8-AB50)/LeagueRatings!$K$11)</f>
        <v>2.4597091821170749</v>
      </c>
      <c r="AD50" s="16">
        <f>INDEX('C-P-RollAdj'!$F$4:$F$76,MATCH(INT(AC50),'C-P-RollAdj'!$E$4:$E$76,FALSE),0)</f>
        <v>-0.14000000000000001</v>
      </c>
      <c r="AE50" s="17">
        <f>+((LeagueRatings!$I$6-E50)*5)+9.5</f>
        <v>13.808051455277404</v>
      </c>
      <c r="AF50" s="17">
        <f t="shared" si="2"/>
        <v>13.808051455277404</v>
      </c>
      <c r="AG50" s="17">
        <f t="shared" si="3"/>
        <v>1.0624392288348703</v>
      </c>
      <c r="AH50" s="4">
        <f t="shared" si="4"/>
        <v>13.340490684112275</v>
      </c>
      <c r="AI50" s="41" t="s">
        <v>510</v>
      </c>
      <c r="AJ50" s="5" t="s">
        <v>16</v>
      </c>
      <c r="AK50" s="219">
        <f>INDEX('C-P-RollAdj'!$J$4:$J$76,MATCH(INT(Z50),'C-P-RollAdj'!$I$4:$I$76,FALSE),0)</f>
        <v>34</v>
      </c>
      <c r="AL50" s="219">
        <f>INDEX('C-P-RollAdj'!$J$4:$J$76,MATCH(INT(AC50),'C-P-RollAdj'!$I$4:$I$76,FALSE),0)</f>
        <v>12</v>
      </c>
      <c r="AM50" s="14">
        <f>+AR50*LeagueRatings!$K$27</f>
        <v>126.11111111111111</v>
      </c>
      <c r="AN50" s="72">
        <f>F50*LeagueRatings!$K$27</f>
        <v>17.777777777777779</v>
      </c>
      <c r="AO50" s="72">
        <f>G50*LeagueRatings!$K$27</f>
        <v>17.777777777777779</v>
      </c>
      <c r="AP50" s="72">
        <f>T50*LeagueRatings!$K$27</f>
        <v>503.88888888888891</v>
      </c>
      <c r="AR50" s="72">
        <f t="shared" si="5"/>
        <v>227</v>
      </c>
      <c r="AS50" s="113"/>
      <c r="AT50" s="113"/>
      <c r="AU50" s="113"/>
      <c r="AW50" s="97">
        <v>149</v>
      </c>
    </row>
    <row r="51" spans="1:49" s="26" customFormat="1" x14ac:dyDescent="0.2">
      <c r="A51" s="41" t="s">
        <v>556</v>
      </c>
      <c r="B51" s="76" t="s">
        <v>147</v>
      </c>
      <c r="C51" s="76">
        <v>4</v>
      </c>
      <c r="D51" s="76">
        <v>12</v>
      </c>
      <c r="E51" s="97">
        <v>6.77</v>
      </c>
      <c r="F51" s="76">
        <v>22</v>
      </c>
      <c r="G51" s="76">
        <v>22</v>
      </c>
      <c r="H51" s="76">
        <v>1</v>
      </c>
      <c r="I51" s="76">
        <v>0</v>
      </c>
      <c r="J51" s="76">
        <v>0</v>
      </c>
      <c r="K51" s="76">
        <v>0</v>
      </c>
      <c r="L51" s="258">
        <f>INDEX('C-P-RollAdj'!$P$4:$P$900,MATCH((U51),'C-P-RollAdj'!$O$4:$O$900,FALSE),0)</f>
        <v>114.33</v>
      </c>
      <c r="M51" s="76">
        <v>139</v>
      </c>
      <c r="N51" s="76">
        <v>89</v>
      </c>
      <c r="O51" s="76">
        <v>86</v>
      </c>
      <c r="P51" s="76">
        <v>31</v>
      </c>
      <c r="Q51" s="76">
        <v>55</v>
      </c>
      <c r="R51" s="76">
        <v>1</v>
      </c>
      <c r="S51" s="76">
        <v>78</v>
      </c>
      <c r="T51" s="76">
        <v>538</v>
      </c>
      <c r="U51" s="76">
        <v>114.1</v>
      </c>
      <c r="V51" s="100">
        <v>0.29599999999999999</v>
      </c>
      <c r="W51" s="76">
        <v>1.7</v>
      </c>
      <c r="X51" s="50"/>
      <c r="Y51" s="50">
        <f t="shared" si="7"/>
        <v>10.05586592178771</v>
      </c>
      <c r="Z51" s="6">
        <f>IF(Y51&lt;LeagueRatings!$K$10,((LeagueRatings!$K$10-Y51)/LeagueRatings!$K$10)*36,(LeagueRatings!$K$10-Y51)*6.48)</f>
        <v>-8.9962306789907007</v>
      </c>
      <c r="AA51" s="16">
        <f>INDEX('C-P-RollAdj'!$B$4:$B$76,MATCH(INT(Z51),'C-P-RollAdj'!$A$4:$A$76,FALSE),0)</f>
        <v>0.87000000000000011</v>
      </c>
      <c r="AB51" s="16">
        <f t="shared" si="1"/>
        <v>5.7728119180633151</v>
      </c>
      <c r="AC51" s="6">
        <f>IF(AB51&lt;LeagueRatings!$K$8,((LeagueRatings!$K$8-AB51)/LeagueRatings!$K$8)*36,(LeagueRatings!$K$8-AB51)/LeagueRatings!$K$11)</f>
        <v>-20.411681007469411</v>
      </c>
      <c r="AD51" s="16">
        <f>INDEX('C-P-RollAdj'!$F$4:$F$76,MATCH(INT(AC51),'C-P-RollAdj'!$E$4:$E$76,FALSE),0)</f>
        <v>2.31</v>
      </c>
      <c r="AE51" s="17">
        <f>+((LeagueRatings!$I$6-E51)*5)+9.5</f>
        <v>-3.3419485447225945</v>
      </c>
      <c r="AF51" s="17">
        <f t="shared" si="2"/>
        <v>4</v>
      </c>
      <c r="AG51" s="17">
        <f t="shared" si="3"/>
        <v>-1.0788944284089919</v>
      </c>
      <c r="AH51" s="4">
        <f t="shared" si="4"/>
        <v>6.1011055715910079</v>
      </c>
      <c r="AI51" s="41" t="s">
        <v>556</v>
      </c>
      <c r="AJ51" s="5" t="s">
        <v>66</v>
      </c>
      <c r="AK51" s="219">
        <f>INDEX('C-P-RollAdj'!$J$4:$J$76,MATCH(INT(Z51),'C-P-RollAdj'!$I$4:$I$76,FALSE),0)</f>
        <v>-23</v>
      </c>
      <c r="AL51" s="219">
        <f>INDEX('C-P-RollAdj'!$J$4:$J$76,MATCH(INT(AC51),'C-P-RollAdj'!$I$4:$I$76,FALSE),0)</f>
        <v>-43</v>
      </c>
      <c r="AM51" s="14">
        <f>+AR51*LeagueRatings!$K$27</f>
        <v>63.888888888888893</v>
      </c>
      <c r="AN51" s="72">
        <f>F51*LeagueRatings!$K$27</f>
        <v>12.222222222222223</v>
      </c>
      <c r="AO51" s="72">
        <f>G51*LeagueRatings!$K$27</f>
        <v>12.222222222222223</v>
      </c>
      <c r="AP51" s="72">
        <f>T51*LeagueRatings!$K$27</f>
        <v>298.88888888888891</v>
      </c>
      <c r="AR51" s="72">
        <f t="shared" si="5"/>
        <v>115</v>
      </c>
      <c r="AS51" s="113"/>
      <c r="AT51" s="113"/>
      <c r="AU51" s="113"/>
      <c r="AW51" s="97">
        <v>30</v>
      </c>
    </row>
    <row r="52" spans="1:49" x14ac:dyDescent="0.2">
      <c r="A52" s="41" t="s">
        <v>1309</v>
      </c>
      <c r="B52" s="76" t="s">
        <v>147</v>
      </c>
      <c r="C52" s="76">
        <v>1</v>
      </c>
      <c r="D52" s="76">
        <v>0</v>
      </c>
      <c r="E52" s="97">
        <v>3</v>
      </c>
      <c r="F52" s="76">
        <v>23</v>
      </c>
      <c r="G52" s="76">
        <v>0</v>
      </c>
      <c r="H52" s="76">
        <v>0</v>
      </c>
      <c r="I52" s="76">
        <v>0</v>
      </c>
      <c r="J52" s="76">
        <v>0</v>
      </c>
      <c r="K52" s="76">
        <v>0</v>
      </c>
      <c r="L52" s="258">
        <f>INDEX('C-P-RollAdj'!$P$4:$P$900,MATCH((U52),'C-P-RollAdj'!$O$4:$O$900,FALSE),0)</f>
        <v>30</v>
      </c>
      <c r="M52" s="76">
        <v>20</v>
      </c>
      <c r="N52" s="76">
        <v>11</v>
      </c>
      <c r="O52" s="76">
        <v>10</v>
      </c>
      <c r="P52" s="76">
        <v>0</v>
      </c>
      <c r="Q52" s="76">
        <v>17</v>
      </c>
      <c r="R52" s="76">
        <v>2</v>
      </c>
      <c r="S52" s="76">
        <v>30</v>
      </c>
      <c r="T52" s="76">
        <v>134</v>
      </c>
      <c r="U52" s="76">
        <v>30</v>
      </c>
      <c r="V52" s="100">
        <v>0.183</v>
      </c>
      <c r="W52" s="76">
        <v>1.23</v>
      </c>
      <c r="X52" s="50"/>
      <c r="Y52" s="50">
        <f t="shared" si="7"/>
        <v>11.363636363636363</v>
      </c>
      <c r="Z52" s="6">
        <f>IF(Y52&lt;LeagueRatings!$K$10,((LeagueRatings!$K$10-Y52)/LeagueRatings!$K$10)*36,(LeagueRatings!$K$10-Y52)*6.48)</f>
        <v>-17.470583142169975</v>
      </c>
      <c r="AA52" s="16">
        <f>INDEX('C-P-RollAdj'!$B$4:$B$76,MATCH(INT(Z52),'C-P-RollAdj'!$A$4:$A$76,FALSE),0)</f>
        <v>2.08</v>
      </c>
      <c r="AB52" s="16">
        <f>(P52/(T52-R52))*100</f>
        <v>0</v>
      </c>
      <c r="AC52" s="6">
        <f>IF(AB52&lt;LeagueRatings!$K$8,((LeagueRatings!$K$8-AB52)/LeagueRatings!$K$8)*36,(LeagueRatings!$K$8-AB52)/LeagueRatings!$K$11)</f>
        <v>36</v>
      </c>
      <c r="AD52" s="16">
        <f>INDEX('C-P-RollAdj'!$F$4:$F$76,MATCH(INT(AC52),'C-P-RollAdj'!$E$4:$E$76,FALSE),0)</f>
        <v>-3.26</v>
      </c>
      <c r="AE52" s="17">
        <f>+((LeagueRatings!$I$6-E52)*5)+9.5</f>
        <v>15.508051455277403</v>
      </c>
      <c r="AF52" s="17">
        <f>IF(AE52&lt;4,4,AE52)</f>
        <v>15.508051455277403</v>
      </c>
      <c r="AG52" s="17">
        <f>IF(M52&lt;L52,((1-(M52/L52))*7)-0.07,(1-(M52/L52))*5)</f>
        <v>2.2633333333333336</v>
      </c>
      <c r="AH52" s="4">
        <f>+AA52+AD52+AF52+AG52</f>
        <v>16.591384788610739</v>
      </c>
      <c r="AI52" s="41" t="s">
        <v>1309</v>
      </c>
      <c r="AJ52" s="5" t="s">
        <v>53</v>
      </c>
      <c r="AK52" s="219">
        <f>INDEX('C-P-RollAdj'!$J$4:$J$76,MATCH(INT(Z52),'C-P-RollAdj'!$I$4:$I$76,FALSE),0)</f>
        <v>-36</v>
      </c>
      <c r="AL52" s="219">
        <f>INDEX('C-P-RollAdj'!$J$4:$J$76,MATCH(INT(AC52),'C-P-RollAdj'!$I$4:$I$76,FALSE),0)</f>
        <v>66</v>
      </c>
      <c r="AM52" s="14">
        <f>+AR52*LeagueRatings!$K$27</f>
        <v>16.666666666666668</v>
      </c>
      <c r="AN52" s="72">
        <f>F52*LeagueRatings!$K$27</f>
        <v>12.777777777777779</v>
      </c>
      <c r="AO52" s="72">
        <f>G52*LeagueRatings!$K$27</f>
        <v>0</v>
      </c>
      <c r="AP52" s="72">
        <f>T52*LeagueRatings!$K$27</f>
        <v>74.444444444444443</v>
      </c>
      <c r="AR52" s="72">
        <f>ROUNDUP(L52,0)</f>
        <v>30</v>
      </c>
      <c r="AW52" s="97">
        <v>29.33</v>
      </c>
    </row>
    <row r="53" spans="1:49" x14ac:dyDescent="0.2">
      <c r="A53" s="107"/>
      <c r="C53"/>
      <c r="D53" s="3"/>
      <c r="G53" s="62"/>
      <c r="I53" s="176"/>
      <c r="J53" s="62"/>
      <c r="K53" s="3"/>
      <c r="N53"/>
      <c r="R53" s="62"/>
      <c r="S53" s="2"/>
      <c r="T53"/>
      <c r="U53"/>
      <c r="X53" s="50"/>
      <c r="Y53" s="50"/>
      <c r="Z53" s="6"/>
      <c r="AB53" s="16"/>
      <c r="AC53" s="6"/>
      <c r="AE53" s="17"/>
      <c r="AF53" s="17"/>
      <c r="AG53" s="17"/>
      <c r="AH53" s="4"/>
      <c r="AI53" s="107"/>
      <c r="AM53" s="14"/>
      <c r="AN53" s="72"/>
      <c r="AO53" s="72"/>
      <c r="AP53" s="72"/>
      <c r="AR53" s="72"/>
      <c r="AW53" s="111"/>
    </row>
    <row r="54" spans="1:49" s="122" customFormat="1" x14ac:dyDescent="0.2">
      <c r="A54" s="69" t="s">
        <v>106</v>
      </c>
      <c r="B54" s="70" t="s">
        <v>157</v>
      </c>
      <c r="C54" s="71" t="s">
        <v>85</v>
      </c>
      <c r="D54" s="70" t="s">
        <v>86</v>
      </c>
      <c r="E54" s="71" t="s">
        <v>87</v>
      </c>
      <c r="F54" s="70" t="s">
        <v>108</v>
      </c>
      <c r="G54" s="70" t="s">
        <v>88</v>
      </c>
      <c r="H54" s="182" t="s">
        <v>89</v>
      </c>
      <c r="I54" s="178" t="s">
        <v>317</v>
      </c>
      <c r="J54" s="72" t="s">
        <v>90</v>
      </c>
      <c r="K54" s="72" t="s">
        <v>158</v>
      </c>
      <c r="L54" s="71" t="s">
        <v>91</v>
      </c>
      <c r="M54" s="70" t="s">
        <v>92</v>
      </c>
      <c r="N54" s="70" t="s">
        <v>93</v>
      </c>
      <c r="O54" s="70" t="s">
        <v>94</v>
      </c>
      <c r="P54" s="70" t="s">
        <v>95</v>
      </c>
      <c r="Q54" s="70" t="s">
        <v>96</v>
      </c>
      <c r="R54" s="70" t="s">
        <v>98</v>
      </c>
      <c r="S54" s="70" t="s">
        <v>97</v>
      </c>
      <c r="T54" s="70" t="s">
        <v>109</v>
      </c>
      <c r="U54" s="155" t="s">
        <v>91</v>
      </c>
      <c r="V54" s="250" t="s">
        <v>1517</v>
      </c>
      <c r="W54" s="155" t="s">
        <v>1072</v>
      </c>
      <c r="X54" s="117"/>
      <c r="Y54" s="117" t="s">
        <v>2</v>
      </c>
      <c r="Z54" s="116" t="s">
        <v>3</v>
      </c>
      <c r="AA54" s="117" t="s">
        <v>4</v>
      </c>
      <c r="AB54" s="118" t="s">
        <v>5</v>
      </c>
      <c r="AC54" s="116" t="s">
        <v>6</v>
      </c>
      <c r="AD54" s="117" t="s">
        <v>7</v>
      </c>
      <c r="AE54" s="119" t="s">
        <v>8</v>
      </c>
      <c r="AF54" s="119" t="s">
        <v>81</v>
      </c>
      <c r="AG54" s="119" t="s">
        <v>9</v>
      </c>
      <c r="AH54" s="128" t="s">
        <v>10</v>
      </c>
      <c r="AI54" s="69" t="s">
        <v>106</v>
      </c>
      <c r="AJ54" s="7" t="s">
        <v>11</v>
      </c>
      <c r="AK54" s="7" t="s">
        <v>12</v>
      </c>
      <c r="AL54" s="7" t="s">
        <v>13</v>
      </c>
      <c r="AM54" s="14"/>
      <c r="AN54" s="72"/>
      <c r="AO54" s="72"/>
      <c r="AP54" s="72"/>
      <c r="AR54" s="72"/>
      <c r="AS54" s="114"/>
      <c r="AT54" s="114"/>
      <c r="AU54" s="114"/>
      <c r="AW54" s="71" t="s">
        <v>91</v>
      </c>
    </row>
    <row r="55" spans="1:49" s="122" customFormat="1" x14ac:dyDescent="0.2">
      <c r="A55" s="69"/>
      <c r="B55" s="70"/>
      <c r="C55" s="71"/>
      <c r="D55" s="70"/>
      <c r="E55" s="71"/>
      <c r="F55" s="70"/>
      <c r="G55" s="70"/>
      <c r="H55" s="182"/>
      <c r="I55" s="178"/>
      <c r="J55" s="72"/>
      <c r="K55" s="72"/>
      <c r="L55" s="71"/>
      <c r="M55" s="70"/>
      <c r="N55" s="70"/>
      <c r="O55" s="70"/>
      <c r="P55" s="70"/>
      <c r="R55" s="70"/>
      <c r="S55" s="70"/>
      <c r="T55" s="70"/>
      <c r="U55" s="70"/>
      <c r="V55" s="267"/>
      <c r="X55" s="50"/>
      <c r="Y55" s="50"/>
      <c r="Z55" s="6"/>
      <c r="AA55" s="16"/>
      <c r="AB55" s="16"/>
      <c r="AC55" s="6"/>
      <c r="AD55" s="16"/>
      <c r="AE55" s="17"/>
      <c r="AF55" s="17"/>
      <c r="AG55" s="17"/>
      <c r="AH55" s="4"/>
      <c r="AI55" s="69"/>
      <c r="AJ55" s="7"/>
      <c r="AK55" s="7"/>
      <c r="AL55" s="7"/>
      <c r="AM55" s="14"/>
      <c r="AN55" s="72"/>
      <c r="AO55" s="72"/>
      <c r="AP55" s="72"/>
      <c r="AR55" s="72"/>
      <c r="AS55" s="113"/>
      <c r="AT55" s="113"/>
      <c r="AU55" s="113"/>
      <c r="AW55" s="71"/>
    </row>
    <row r="56" spans="1:49" x14ac:dyDescent="0.2">
      <c r="A56" s="41" t="s">
        <v>522</v>
      </c>
      <c r="B56" s="76" t="s">
        <v>148</v>
      </c>
      <c r="C56" s="76">
        <v>3</v>
      </c>
      <c r="D56" s="76">
        <v>5</v>
      </c>
      <c r="E56" s="97">
        <v>2.5099999999999998</v>
      </c>
      <c r="F56" s="76">
        <v>67</v>
      </c>
      <c r="G56" s="76">
        <v>0</v>
      </c>
      <c r="H56" s="76">
        <v>0</v>
      </c>
      <c r="I56" s="76">
        <v>0</v>
      </c>
      <c r="J56" s="76">
        <v>32</v>
      </c>
      <c r="K56" s="76">
        <v>35</v>
      </c>
      <c r="L56" s="258">
        <f>INDEX('C-P-RollAdj'!$P$4:$P$900,MATCH((U56),'C-P-RollAdj'!$O$4:$O$900,FALSE),0)</f>
        <v>68</v>
      </c>
      <c r="M56" s="76">
        <v>41</v>
      </c>
      <c r="N56" s="76">
        <v>23</v>
      </c>
      <c r="O56" s="76">
        <v>19</v>
      </c>
      <c r="P56" s="76">
        <v>8</v>
      </c>
      <c r="Q56" s="76">
        <v>27</v>
      </c>
      <c r="R56" s="76">
        <v>2</v>
      </c>
      <c r="S56" s="76">
        <v>87</v>
      </c>
      <c r="T56" s="76">
        <v>264</v>
      </c>
      <c r="U56" s="76">
        <v>68</v>
      </c>
      <c r="V56" s="100">
        <v>0.17699999999999999</v>
      </c>
      <c r="W56" s="76">
        <v>1</v>
      </c>
      <c r="X56" s="50"/>
      <c r="Y56" s="50">
        <f t="shared" ref="Y56:Y69" si="8">+(Q56-R56)/(T56-R56)*100</f>
        <v>9.5419847328244281</v>
      </c>
      <c r="Z56" s="6">
        <f>IF(Y56&lt;LeagueRatings!$K$10,((LeagueRatings!$K$10-Y56)/LeagueRatings!$K$10)*36,(LeagueRatings!$K$10-Y56)*6.48)</f>
        <v>-5.666280574508634</v>
      </c>
      <c r="AA56" s="16">
        <f>INDEX('C-P-RollAdj'!$B$4:$B$76,MATCH(INT(Z56),'C-P-RollAdj'!$A$4:$A$76,FALSE),0)</f>
        <v>0.54</v>
      </c>
      <c r="AB56" s="16">
        <f t="shared" si="1"/>
        <v>3.0534351145038165</v>
      </c>
      <c r="AC56" s="6">
        <f>IF(AB56&lt;LeagueRatings!$K$8,((LeagueRatings!$K$8-AB56)/LeagueRatings!$K$8)*36,(LeagueRatings!$K$8-AB56)/LeagueRatings!$K$11)</f>
        <v>1.6726455299021259</v>
      </c>
      <c r="AD56" s="16">
        <f>INDEX('C-P-RollAdj'!$F$4:$F$76,MATCH(INT(AC56),'C-P-RollAdj'!$E$4:$E$76,FALSE),0)</f>
        <v>-7.0000000000000007E-2</v>
      </c>
      <c r="AE56" s="17">
        <f>+((LeagueRatings!$I$6-E56)*5)+9.5</f>
        <v>17.958051455277406</v>
      </c>
      <c r="AF56" s="17">
        <f t="shared" si="2"/>
        <v>17.958051455277406</v>
      </c>
      <c r="AG56" s="17">
        <f t="shared" si="3"/>
        <v>2.7094117647058829</v>
      </c>
      <c r="AH56" s="4">
        <f t="shared" si="4"/>
        <v>21.137463219983289</v>
      </c>
      <c r="AI56" s="41" t="s">
        <v>522</v>
      </c>
      <c r="AJ56" s="7" t="s">
        <v>28</v>
      </c>
      <c r="AK56" s="219">
        <f>INDEX('C-P-RollAdj'!$J$4:$J$76,MATCH(INT(Z56),'C-P-RollAdj'!$I$4:$I$76,FALSE),0)</f>
        <v>-16</v>
      </c>
      <c r="AL56" s="219">
        <f>INDEX('C-P-RollAdj'!$J$4:$J$76,MATCH(INT(AC56),'C-P-RollAdj'!$I$4:$I$76,FALSE),0)</f>
        <v>11</v>
      </c>
      <c r="AM56" s="14">
        <f>+AR56*LeagueRatings!$K$27</f>
        <v>37.777777777777779</v>
      </c>
      <c r="AN56" s="72">
        <f>F56*LeagueRatings!$K$27</f>
        <v>37.222222222222221</v>
      </c>
      <c r="AO56" s="72">
        <f>G56*LeagueRatings!$K$27</f>
        <v>0</v>
      </c>
      <c r="AP56" s="72">
        <f>T56*LeagueRatings!$K$27</f>
        <v>146.66666666666669</v>
      </c>
      <c r="AR56" s="72">
        <f t="shared" si="5"/>
        <v>68</v>
      </c>
      <c r="AW56" s="97">
        <v>63</v>
      </c>
    </row>
    <row r="57" spans="1:49" s="26" customFormat="1" x14ac:dyDescent="0.2">
      <c r="A57" s="41" t="s">
        <v>747</v>
      </c>
      <c r="B57" s="76" t="s">
        <v>148</v>
      </c>
      <c r="C57" s="76">
        <v>2</v>
      </c>
      <c r="D57" s="76">
        <v>5</v>
      </c>
      <c r="E57" s="97">
        <v>6.68</v>
      </c>
      <c r="F57" s="76">
        <v>19</v>
      </c>
      <c r="G57" s="76">
        <v>9</v>
      </c>
      <c r="H57" s="76">
        <v>0</v>
      </c>
      <c r="I57" s="76">
        <v>0</v>
      </c>
      <c r="J57" s="76">
        <v>0</v>
      </c>
      <c r="K57" s="76">
        <v>0</v>
      </c>
      <c r="L57" s="258">
        <f>INDEX('C-P-RollAdj'!$P$4:$P$900,MATCH((U57),'C-P-RollAdj'!$O$4:$O$900,FALSE),0)</f>
        <v>60.67</v>
      </c>
      <c r="M57" s="76">
        <v>85</v>
      </c>
      <c r="N57" s="76">
        <v>45</v>
      </c>
      <c r="O57" s="76">
        <v>45</v>
      </c>
      <c r="P57" s="76">
        <v>13</v>
      </c>
      <c r="Q57" s="76">
        <v>13</v>
      </c>
      <c r="R57" s="76">
        <v>3</v>
      </c>
      <c r="S57" s="76">
        <v>54</v>
      </c>
      <c r="T57" s="76">
        <v>270</v>
      </c>
      <c r="U57" s="76">
        <v>60.2</v>
      </c>
      <c r="V57" s="100">
        <v>0.33300000000000002</v>
      </c>
      <c r="W57" s="76">
        <v>1.62</v>
      </c>
      <c r="X57" s="50"/>
      <c r="Y57" s="50">
        <f t="shared" si="8"/>
        <v>3.7453183520599254</v>
      </c>
      <c r="Z57" s="6">
        <f>IF(Y57&lt;LeagueRatings!$K$10,((LeagueRatings!$K$10-Y57)/LeagueRatings!$K$10)*36,(LeagueRatings!$K$10-Y57)*6.48)</f>
        <v>20.444124919462983</v>
      </c>
      <c r="AA57" s="16">
        <f>INDEX('C-P-RollAdj'!$B$4:$B$76,MATCH(INT(Z57),'C-P-RollAdj'!$A$4:$A$76,FALSE),0)</f>
        <v>-1.79</v>
      </c>
      <c r="AB57" s="16">
        <f t="shared" si="1"/>
        <v>4.868913857677903</v>
      </c>
      <c r="AC57" s="6">
        <f>IF(AB57&lt;LeagueRatings!$K$8,((LeagueRatings!$K$8-AB57)/LeagueRatings!$K$8)*36,(LeagueRatings!$K$8-AB57)/LeagueRatings!$K$11)</f>
        <v>-13.234321325593852</v>
      </c>
      <c r="AD57" s="16">
        <f>INDEX('C-P-RollAdj'!$F$4:$F$76,MATCH(INT(AC57),'C-P-RollAdj'!$E$4:$E$76,FALSE),0)</f>
        <v>1.38</v>
      </c>
      <c r="AE57" s="17">
        <f>+((LeagueRatings!$I$6-E57)*5)+9.5</f>
        <v>-2.8919485447225952</v>
      </c>
      <c r="AF57" s="17">
        <f t="shared" si="2"/>
        <v>4</v>
      </c>
      <c r="AG57" s="17">
        <f t="shared" si="3"/>
        <v>-2.0051096093621226</v>
      </c>
      <c r="AH57" s="4">
        <f t="shared" si="4"/>
        <v>1.5848903906378773</v>
      </c>
      <c r="AI57" s="41" t="s">
        <v>747</v>
      </c>
      <c r="AJ57" s="5" t="s">
        <v>50</v>
      </c>
      <c r="AK57" s="219">
        <f>INDEX('C-P-RollAdj'!$J$4:$J$76,MATCH(INT(Z57),'C-P-RollAdj'!$I$4:$I$76,FALSE),0)</f>
        <v>42</v>
      </c>
      <c r="AL57" s="219">
        <f>INDEX('C-P-RollAdj'!$J$4:$J$76,MATCH(INT(AC57),'C-P-RollAdj'!$I$4:$I$76,FALSE),0)</f>
        <v>-32</v>
      </c>
      <c r="AM57" s="14">
        <f>+AR57*LeagueRatings!$K$27</f>
        <v>33.888888888888893</v>
      </c>
      <c r="AN57" s="72">
        <f>F57*LeagueRatings!$K$27</f>
        <v>10.555555555555555</v>
      </c>
      <c r="AO57" s="72">
        <f>G57*LeagueRatings!$K$27</f>
        <v>5</v>
      </c>
      <c r="AP57" s="72">
        <f>T57*LeagueRatings!$K$27</f>
        <v>150</v>
      </c>
      <c r="AR57" s="72">
        <f t="shared" si="5"/>
        <v>61</v>
      </c>
      <c r="AS57" s="113"/>
      <c r="AT57" s="113"/>
      <c r="AU57" s="113"/>
      <c r="AW57" s="97">
        <v>70.33</v>
      </c>
    </row>
    <row r="58" spans="1:49" s="26" customFormat="1" x14ac:dyDescent="0.2">
      <c r="A58" s="41" t="s">
        <v>531</v>
      </c>
      <c r="B58" s="76" t="s">
        <v>148</v>
      </c>
      <c r="C58" s="76">
        <v>12</v>
      </c>
      <c r="D58" s="76">
        <v>8</v>
      </c>
      <c r="E58" s="97">
        <v>4.26</v>
      </c>
      <c r="F58" s="76">
        <v>35</v>
      </c>
      <c r="G58" s="76">
        <v>28</v>
      </c>
      <c r="H58" s="76">
        <v>1</v>
      </c>
      <c r="I58" s="76">
        <v>0</v>
      </c>
      <c r="J58" s="76">
        <v>0</v>
      </c>
      <c r="K58" s="76">
        <v>0</v>
      </c>
      <c r="L58" s="258">
        <f>INDEX('C-P-RollAdj'!$P$4:$P$900,MATCH((U58),'C-P-RollAdj'!$O$4:$O$900,FALSE),0)</f>
        <v>190</v>
      </c>
      <c r="M58" s="76">
        <v>179</v>
      </c>
      <c r="N58" s="76">
        <v>96</v>
      </c>
      <c r="O58" s="76">
        <v>90</v>
      </c>
      <c r="P58" s="76">
        <v>20</v>
      </c>
      <c r="Q58" s="76">
        <v>70</v>
      </c>
      <c r="R58" s="76">
        <v>1</v>
      </c>
      <c r="S58" s="76">
        <v>168</v>
      </c>
      <c r="T58" s="76">
        <v>811</v>
      </c>
      <c r="U58" s="76">
        <v>190</v>
      </c>
      <c r="V58" s="100">
        <v>0.248</v>
      </c>
      <c r="W58" s="76">
        <v>1.31</v>
      </c>
      <c r="X58" s="50"/>
      <c r="Y58" s="50">
        <f t="shared" si="8"/>
        <v>8.518518518518519</v>
      </c>
      <c r="Z58" s="6">
        <f>IF(Y58&lt;LeagueRatings!$K$10,((LeagueRatings!$K$10-Y58)/LeagueRatings!$K$10)*36,(LeagueRatings!$K$10-Y58)*6.48)</f>
        <v>0.61902634460080064</v>
      </c>
      <c r="AA58" s="16">
        <f>INDEX('C-P-RollAdj'!$B$4:$B$76,MATCH(INT(Z58),'C-P-RollAdj'!$A$4:$A$76,FALSE),0)</f>
        <v>0</v>
      </c>
      <c r="AB58" s="16">
        <f t="shared" si="1"/>
        <v>2.4691358024691357</v>
      </c>
      <c r="AC58" s="6">
        <f>IF(AB58&lt;LeagueRatings!$K$8,((LeagueRatings!$K$8-AB58)/LeagueRatings!$K$8)*36,(LeagueRatings!$K$8-AB58)/LeagueRatings!$K$11)</f>
        <v>8.2414602741801133</v>
      </c>
      <c r="AD58" s="16">
        <f>INDEX('C-P-RollAdj'!$F$4:$F$76,MATCH(INT(AC58),'C-P-RollAdj'!$E$4:$E$76,FALSE),0)</f>
        <v>-0.56999999999999995</v>
      </c>
      <c r="AE58" s="17">
        <f>+((LeagueRatings!$I$6-E58)*5)+9.5</f>
        <v>9.2080514552774044</v>
      </c>
      <c r="AF58" s="17">
        <f t="shared" si="2"/>
        <v>9.2080514552774044</v>
      </c>
      <c r="AG58" s="17">
        <f t="shared" si="3"/>
        <v>0.33526315789473654</v>
      </c>
      <c r="AH58" s="4">
        <f t="shared" si="4"/>
        <v>8.9733146131721409</v>
      </c>
      <c r="AI58" s="41" t="s">
        <v>531</v>
      </c>
      <c r="AJ58" s="5" t="s">
        <v>34</v>
      </c>
      <c r="AK58" s="219">
        <f>INDEX('C-P-RollAdj'!$J$4:$J$76,MATCH(INT(Z58),'C-P-RollAdj'!$I$4:$I$76,FALSE),0)</f>
        <v>0</v>
      </c>
      <c r="AL58" s="219">
        <f>INDEX('C-P-RollAdj'!$J$4:$J$76,MATCH(INT(AC58),'C-P-RollAdj'!$I$4:$I$76,FALSE),0)</f>
        <v>22</v>
      </c>
      <c r="AM58" s="14">
        <f>+AR58*LeagueRatings!$K$27</f>
        <v>105.55555555555556</v>
      </c>
      <c r="AN58" s="72">
        <f>F58*LeagueRatings!$K$27</f>
        <v>19.444444444444446</v>
      </c>
      <c r="AO58" s="72">
        <f>G58*LeagueRatings!$K$27</f>
        <v>15.555555555555557</v>
      </c>
      <c r="AP58" s="72">
        <f>T58*LeagueRatings!$K$27</f>
        <v>450.5555555555556</v>
      </c>
      <c r="AR58" s="72">
        <f t="shared" si="5"/>
        <v>190</v>
      </c>
      <c r="AS58" s="113"/>
      <c r="AT58" s="113"/>
      <c r="AU58" s="113"/>
      <c r="AW58" s="97">
        <v>46.67</v>
      </c>
    </row>
    <row r="59" spans="1:49" s="26" customFormat="1" x14ac:dyDescent="0.2">
      <c r="A59" s="41" t="s">
        <v>533</v>
      </c>
      <c r="B59" s="76" t="s">
        <v>148</v>
      </c>
      <c r="C59" s="76">
        <v>11</v>
      </c>
      <c r="D59" s="76">
        <v>8</v>
      </c>
      <c r="E59" s="97">
        <v>3.32</v>
      </c>
      <c r="F59" s="76">
        <v>25</v>
      </c>
      <c r="G59" s="76">
        <v>25</v>
      </c>
      <c r="H59" s="76">
        <v>1</v>
      </c>
      <c r="I59" s="76">
        <v>1</v>
      </c>
      <c r="J59" s="76">
        <v>0</v>
      </c>
      <c r="K59" s="76">
        <v>0</v>
      </c>
      <c r="L59" s="258">
        <f>INDEX('C-P-RollAdj'!$P$4:$P$900,MATCH((U59),'C-P-RollAdj'!$O$4:$O$900,FALSE),0)</f>
        <v>146.32999999999998</v>
      </c>
      <c r="M59" s="76">
        <v>134</v>
      </c>
      <c r="N59" s="76">
        <v>64</v>
      </c>
      <c r="O59" s="76">
        <v>54</v>
      </c>
      <c r="P59" s="76">
        <v>21</v>
      </c>
      <c r="Q59" s="76">
        <v>34</v>
      </c>
      <c r="R59" s="76">
        <v>2</v>
      </c>
      <c r="S59" s="76">
        <v>150</v>
      </c>
      <c r="T59" s="76">
        <v>599</v>
      </c>
      <c r="U59" s="76">
        <v>146.1</v>
      </c>
      <c r="V59" s="100">
        <v>0.24</v>
      </c>
      <c r="W59" s="76">
        <v>1.1499999999999999</v>
      </c>
      <c r="X59" s="50"/>
      <c r="Y59" s="50">
        <f t="shared" si="8"/>
        <v>5.3601340033500842</v>
      </c>
      <c r="Z59" s="6">
        <f>IF(Y59&lt;LeagueRatings!$K$10,((LeagueRatings!$K$10-Y59)/LeagueRatings!$K$10)*36,(LeagueRatings!$K$10-Y59)*6.48)</f>
        <v>13.737119482728929</v>
      </c>
      <c r="AA59" s="16">
        <f>INDEX('C-P-RollAdj'!$B$4:$B$76,MATCH(INT(Z59),'C-P-RollAdj'!$A$4:$A$76,FALSE),0)</f>
        <v>-1.1000000000000001</v>
      </c>
      <c r="AB59" s="16">
        <f t="shared" si="1"/>
        <v>3.5175879396984926</v>
      </c>
      <c r="AC59" s="6">
        <f>IF(AB59&lt;LeagueRatings!$K$8,((LeagueRatings!$K$8-AB59)/LeagueRatings!$K$8)*36,(LeagueRatings!$K$8-AB59)/LeagueRatings!$K$11)</f>
        <v>-2.5041819593876942</v>
      </c>
      <c r="AD59" s="16">
        <f>INDEX('C-P-RollAdj'!$F$4:$F$76,MATCH(INT(AC59),'C-P-RollAdj'!$E$4:$E$76,FALSE),0)</f>
        <v>0.24</v>
      </c>
      <c r="AE59" s="17">
        <f>+((LeagueRatings!$I$6-E59)*5)+9.5</f>
        <v>13.908051455277404</v>
      </c>
      <c r="AF59" s="17">
        <f t="shared" si="2"/>
        <v>13.908051455277404</v>
      </c>
      <c r="AG59" s="17">
        <f t="shared" si="3"/>
        <v>0.51983120344426914</v>
      </c>
      <c r="AH59" s="4">
        <f t="shared" si="4"/>
        <v>13.567882658721674</v>
      </c>
      <c r="AI59" s="41" t="s">
        <v>533</v>
      </c>
      <c r="AJ59" s="5" t="s">
        <v>21</v>
      </c>
      <c r="AK59" s="219">
        <f>INDEX('C-P-RollAdj'!$J$4:$J$76,MATCH(INT(Z59),'C-P-RollAdj'!$I$4:$I$76,FALSE),0)</f>
        <v>31</v>
      </c>
      <c r="AL59" s="219">
        <f>INDEX('C-P-RollAdj'!$J$4:$J$76,MATCH(INT(AC59),'C-P-RollAdj'!$I$4:$I$76,FALSE),0)</f>
        <v>-13</v>
      </c>
      <c r="AM59" s="14">
        <f>+AR59*LeagueRatings!$K$27</f>
        <v>81.666666666666671</v>
      </c>
      <c r="AN59" s="72">
        <f>F59*LeagueRatings!$K$27</f>
        <v>13.888888888888889</v>
      </c>
      <c r="AO59" s="72">
        <f>G59*LeagueRatings!$K$27</f>
        <v>13.888888888888889</v>
      </c>
      <c r="AP59" s="72">
        <f>T59*LeagueRatings!$K$27</f>
        <v>332.77777777777777</v>
      </c>
      <c r="AR59" s="72">
        <f t="shared" si="5"/>
        <v>147</v>
      </c>
      <c r="AS59" s="113"/>
      <c r="AT59" s="113"/>
      <c r="AU59" s="113"/>
      <c r="AW59" s="97">
        <v>31.33</v>
      </c>
    </row>
    <row r="60" spans="1:49" s="26" customFormat="1" x14ac:dyDescent="0.2">
      <c r="A60" s="41" t="s">
        <v>1318</v>
      </c>
      <c r="B60" s="76" t="s">
        <v>148</v>
      </c>
      <c r="C60" s="76">
        <v>3</v>
      </c>
      <c r="D60" s="76">
        <v>3</v>
      </c>
      <c r="E60" s="97">
        <v>5.26</v>
      </c>
      <c r="F60" s="76">
        <v>17</v>
      </c>
      <c r="G60" s="76">
        <v>10</v>
      </c>
      <c r="H60" s="76">
        <v>0</v>
      </c>
      <c r="I60" s="76">
        <v>0</v>
      </c>
      <c r="J60" s="76">
        <v>0</v>
      </c>
      <c r="K60" s="76">
        <v>0</v>
      </c>
      <c r="L60" s="258">
        <f>INDEX('C-P-RollAdj'!$P$4:$P$900,MATCH((U60),'C-P-RollAdj'!$O$4:$O$900,FALSE),0)</f>
        <v>53</v>
      </c>
      <c r="M60" s="76">
        <v>50</v>
      </c>
      <c r="N60" s="76">
        <v>31</v>
      </c>
      <c r="O60" s="76">
        <v>31</v>
      </c>
      <c r="P60" s="76">
        <v>8</v>
      </c>
      <c r="Q60" s="76">
        <v>29</v>
      </c>
      <c r="R60" s="76">
        <v>0</v>
      </c>
      <c r="S60" s="76">
        <v>50</v>
      </c>
      <c r="T60" s="76">
        <v>233</v>
      </c>
      <c r="U60" s="76">
        <v>53</v>
      </c>
      <c r="V60" s="100">
        <v>0.246</v>
      </c>
      <c r="W60" s="76">
        <v>1.49</v>
      </c>
      <c r="X60" s="50"/>
      <c r="Y60" s="50">
        <f t="shared" si="8"/>
        <v>12.446351931330472</v>
      </c>
      <c r="Z60" s="6">
        <f>IF(Y60&lt;LeagueRatings!$K$10,((LeagueRatings!$K$10-Y60)/LeagueRatings!$K$10)*36,(LeagueRatings!$K$10-Y60)*6.48)</f>
        <v>-24.486580020827802</v>
      </c>
      <c r="AA60" s="16">
        <f>INDEX('C-P-RollAdj'!$B$4:$B$76,MATCH(INT(Z60),'C-P-RollAdj'!$A$4:$A$76,FALSE),0)</f>
        <v>3.23</v>
      </c>
      <c r="AB60" s="16">
        <f t="shared" si="1"/>
        <v>3.4334763948497855</v>
      </c>
      <c r="AC60" s="6">
        <f>IF(AB60&lt;LeagueRatings!$K$8,((LeagueRatings!$K$8-AB60)/LeagueRatings!$K$8)*36,(LeagueRatings!$K$8-AB60)/LeagueRatings!$K$11)</f>
        <v>-1.8362982264366934</v>
      </c>
      <c r="AD60" s="16">
        <f>INDEX('C-P-RollAdj'!$F$4:$F$76,MATCH(INT(AC60),'C-P-RollAdj'!$E$4:$E$76,FALSE),0)</f>
        <v>0.16</v>
      </c>
      <c r="AE60" s="17">
        <f>+((LeagueRatings!$I$6-E60)*5)+9.5</f>
        <v>4.2080514552774044</v>
      </c>
      <c r="AF60" s="17">
        <f t="shared" si="2"/>
        <v>4.2080514552774044</v>
      </c>
      <c r="AG60" s="17">
        <f t="shared" si="3"/>
        <v>0.32622641509433953</v>
      </c>
      <c r="AH60" s="4">
        <f t="shared" si="4"/>
        <v>7.9242778703717445</v>
      </c>
      <c r="AI60" s="41" t="s">
        <v>1318</v>
      </c>
      <c r="AJ60" s="5" t="s">
        <v>55</v>
      </c>
      <c r="AK60" s="219">
        <f>INDEX('C-P-RollAdj'!$J$4:$J$76,MATCH(INT(Z60),'C-P-RollAdj'!$I$4:$I$76,FALSE),0)</f>
        <v>-51</v>
      </c>
      <c r="AL60" s="219">
        <f>INDEX('C-P-RollAdj'!$J$4:$J$76,MATCH(INT(AC60),'C-P-RollAdj'!$I$4:$I$76,FALSE),0)</f>
        <v>-12</v>
      </c>
      <c r="AM60" s="14">
        <f>+AR60*LeagueRatings!$K$27</f>
        <v>29.444444444444446</v>
      </c>
      <c r="AN60" s="72">
        <f>F60*LeagueRatings!$K$27</f>
        <v>9.4444444444444446</v>
      </c>
      <c r="AO60" s="72">
        <f>G60*LeagueRatings!$K$27</f>
        <v>5.5555555555555554</v>
      </c>
      <c r="AP60" s="72">
        <f>T60*LeagueRatings!$K$27</f>
        <v>129.44444444444446</v>
      </c>
      <c r="AR60" s="72">
        <f t="shared" si="5"/>
        <v>53</v>
      </c>
      <c r="AS60" s="113"/>
      <c r="AT60" s="113"/>
      <c r="AU60" s="113"/>
      <c r="AW60" s="97">
        <v>38.67</v>
      </c>
    </row>
    <row r="61" spans="1:49" x14ac:dyDescent="0.2">
      <c r="A61" s="41" t="s">
        <v>792</v>
      </c>
      <c r="B61" s="76" t="s">
        <v>148</v>
      </c>
      <c r="C61" s="76">
        <v>0</v>
      </c>
      <c r="D61" s="76">
        <v>0</v>
      </c>
      <c r="E61" s="97">
        <v>5.0599999999999996</v>
      </c>
      <c r="F61" s="76">
        <v>29</v>
      </c>
      <c r="G61" s="76">
        <v>0</v>
      </c>
      <c r="H61" s="76">
        <v>0</v>
      </c>
      <c r="I61" s="76">
        <v>0</v>
      </c>
      <c r="J61" s="76">
        <v>0</v>
      </c>
      <c r="K61" s="76">
        <v>0</v>
      </c>
      <c r="L61" s="258">
        <f>INDEX('C-P-RollAdj'!$P$4:$P$900,MATCH((U61),'C-P-RollAdj'!$O$4:$O$900,FALSE),0)</f>
        <v>16</v>
      </c>
      <c r="M61" s="76">
        <v>16</v>
      </c>
      <c r="N61" s="76">
        <v>9</v>
      </c>
      <c r="O61" s="76">
        <v>9</v>
      </c>
      <c r="P61" s="76">
        <v>0</v>
      </c>
      <c r="Q61" s="76">
        <v>7</v>
      </c>
      <c r="R61" s="76">
        <v>2</v>
      </c>
      <c r="S61" s="76">
        <v>17</v>
      </c>
      <c r="T61" s="76">
        <v>70</v>
      </c>
      <c r="U61" s="76">
        <v>16</v>
      </c>
      <c r="V61" s="100">
        <v>0.25800000000000001</v>
      </c>
      <c r="W61" s="76">
        <v>1.44</v>
      </c>
      <c r="X61" s="50"/>
      <c r="Y61" s="50">
        <f t="shared" si="8"/>
        <v>7.3529411764705888</v>
      </c>
      <c r="Z61" s="6">
        <f>IF(Y61&lt;LeagueRatings!$K$10,((LeagueRatings!$K$10-Y61)/LeagueRatings!$K$10)*36,(LeagueRatings!$K$10-Y61)*6.48)</f>
        <v>5.4601570110045268</v>
      </c>
      <c r="AA61" s="16">
        <f>INDEX('C-P-RollAdj'!$B$4:$B$76,MATCH(INT(Z61),'C-P-RollAdj'!$A$4:$A$76,FALSE),0)</f>
        <v>-0.4</v>
      </c>
      <c r="AB61" s="16">
        <f t="shared" si="1"/>
        <v>0</v>
      </c>
      <c r="AC61" s="6">
        <f>IF(AB61&lt;LeagueRatings!$K$8,((LeagueRatings!$K$8-AB61)/LeagueRatings!$K$8)*36,(LeagueRatings!$K$8-AB61)/LeagueRatings!$K$11)</f>
        <v>36</v>
      </c>
      <c r="AD61" s="16">
        <f>INDEX('C-P-RollAdj'!$F$4:$F$76,MATCH(INT(AC61),'C-P-RollAdj'!$E$4:$E$76,FALSE),0)</f>
        <v>-3.26</v>
      </c>
      <c r="AE61" s="17">
        <f>+((LeagueRatings!$I$6-E61)*5)+9.5</f>
        <v>5.2080514552774053</v>
      </c>
      <c r="AF61" s="17">
        <f t="shared" si="2"/>
        <v>5.2080514552774053</v>
      </c>
      <c r="AG61" s="17">
        <f t="shared" si="3"/>
        <v>0</v>
      </c>
      <c r="AH61" s="4">
        <f t="shared" si="4"/>
        <v>1.5480514552774056</v>
      </c>
      <c r="AI61" s="41" t="s">
        <v>792</v>
      </c>
      <c r="AJ61" s="7" t="s">
        <v>50</v>
      </c>
      <c r="AK61" s="219">
        <f>INDEX('C-P-RollAdj'!$J$4:$J$76,MATCH(INT(Z61),'C-P-RollAdj'!$I$4:$I$76,FALSE),0)</f>
        <v>15</v>
      </c>
      <c r="AL61" s="219">
        <f>INDEX('C-P-RollAdj'!$J$4:$J$76,MATCH(INT(AC61),'C-P-RollAdj'!$I$4:$I$76,FALSE),0)</f>
        <v>66</v>
      </c>
      <c r="AM61" s="14">
        <f>+AR61*LeagueRatings!$K$27</f>
        <v>8.8888888888888893</v>
      </c>
      <c r="AN61" s="72">
        <f>F61*LeagueRatings!$K$27</f>
        <v>16.111111111111111</v>
      </c>
      <c r="AO61" s="72">
        <f>G61*LeagueRatings!$K$27</f>
        <v>0</v>
      </c>
      <c r="AP61" s="72">
        <f>T61*LeagueRatings!$K$27</f>
        <v>38.888888888888893</v>
      </c>
      <c r="AR61" s="72">
        <f t="shared" si="5"/>
        <v>16</v>
      </c>
      <c r="AW61" s="97">
        <v>182.67</v>
      </c>
    </row>
    <row r="62" spans="1:49" x14ac:dyDescent="0.2">
      <c r="A62" s="41" t="s">
        <v>529</v>
      </c>
      <c r="B62" s="76" t="s">
        <v>148</v>
      </c>
      <c r="C62" s="76">
        <v>18</v>
      </c>
      <c r="D62" s="76">
        <v>9</v>
      </c>
      <c r="E62" s="97">
        <v>3.14</v>
      </c>
      <c r="F62" s="76">
        <v>32</v>
      </c>
      <c r="G62" s="76">
        <v>32</v>
      </c>
      <c r="H62" s="76">
        <v>3</v>
      </c>
      <c r="I62" s="76">
        <v>2</v>
      </c>
      <c r="J62" s="76">
        <v>0</v>
      </c>
      <c r="K62" s="76">
        <v>0</v>
      </c>
      <c r="L62" s="258">
        <f>INDEX('C-P-RollAdj'!$P$4:$P$900,MATCH((U62),'C-P-RollAdj'!$O$4:$O$900,FALSE),0)</f>
        <v>215</v>
      </c>
      <c r="M62" s="76">
        <v>170</v>
      </c>
      <c r="N62" s="76">
        <v>82</v>
      </c>
      <c r="O62" s="76">
        <v>75</v>
      </c>
      <c r="P62" s="76">
        <v>22</v>
      </c>
      <c r="Q62" s="76">
        <v>57</v>
      </c>
      <c r="R62" s="76">
        <v>1</v>
      </c>
      <c r="S62" s="76">
        <v>227</v>
      </c>
      <c r="T62" s="76">
        <v>860</v>
      </c>
      <c r="U62" s="76">
        <v>215</v>
      </c>
      <c r="V62" s="100">
        <v>0.216</v>
      </c>
      <c r="W62" s="76">
        <v>1.06</v>
      </c>
      <c r="X62" s="50"/>
      <c r="Y62" s="50">
        <f t="shared" si="8"/>
        <v>6.5192083818393476</v>
      </c>
      <c r="Z62" s="6">
        <f>IF(Y62&lt;LeagueRatings!$K$10,((LeagueRatings!$K$10-Y62)/LeagueRatings!$K$10)*36,(LeagueRatings!$K$10-Y62)*6.48)</f>
        <v>8.9229983464273008</v>
      </c>
      <c r="AA62" s="16">
        <f>INDEX('C-P-RollAdj'!$B$4:$B$76,MATCH(INT(Z62),'C-P-RollAdj'!$A$4:$A$76,FALSE),0)</f>
        <v>-0.65</v>
      </c>
      <c r="AB62" s="16">
        <f t="shared" si="1"/>
        <v>2.5611175785797435</v>
      </c>
      <c r="AC62" s="6">
        <f>IF(AB62&lt;LeagueRatings!$K$8,((LeagueRatings!$K$8-AB62)/LeagueRatings!$K$8)*36,(LeagueRatings!$K$8-AB62)/LeagueRatings!$K$11)</f>
        <v>7.2073819607619125</v>
      </c>
      <c r="AD62" s="16">
        <f>INDEX('C-P-RollAdj'!$F$4:$F$76,MATCH(INT(AC62),'C-P-RollAdj'!$E$4:$E$76,FALSE),0)</f>
        <v>-0.49000000000000005</v>
      </c>
      <c r="AE62" s="17">
        <f>+((LeagueRatings!$I$6-E62)*5)+9.5</f>
        <v>14.808051455277402</v>
      </c>
      <c r="AF62" s="17">
        <f t="shared" si="2"/>
        <v>14.808051455277402</v>
      </c>
      <c r="AG62" s="17">
        <f t="shared" si="3"/>
        <v>1.3951162790697678</v>
      </c>
      <c r="AH62" s="4">
        <f t="shared" si="4"/>
        <v>15.06316773434717</v>
      </c>
      <c r="AI62" s="41" t="s">
        <v>529</v>
      </c>
      <c r="AJ62" s="5" t="s">
        <v>14</v>
      </c>
      <c r="AK62" s="219">
        <f>INDEX('C-P-RollAdj'!$J$4:$J$76,MATCH(INT(Z62),'C-P-RollAdj'!$I$4:$I$76,FALSE),0)</f>
        <v>22</v>
      </c>
      <c r="AL62" s="219">
        <f>INDEX('C-P-RollAdj'!$J$4:$J$76,MATCH(INT(AC62),'C-P-RollAdj'!$I$4:$I$76,FALSE),0)</f>
        <v>21</v>
      </c>
      <c r="AM62" s="14">
        <f>+AR62*LeagueRatings!$K$27</f>
        <v>119.44444444444444</v>
      </c>
      <c r="AN62" s="72">
        <f>F62*LeagueRatings!$K$27</f>
        <v>17.777777777777779</v>
      </c>
      <c r="AO62" s="72">
        <f>G62*LeagueRatings!$K$27</f>
        <v>17.777777777777779</v>
      </c>
      <c r="AP62" s="72">
        <f>T62*LeagueRatings!$K$27</f>
        <v>477.77777777777777</v>
      </c>
      <c r="AR62" s="72">
        <f t="shared" si="5"/>
        <v>215</v>
      </c>
      <c r="AW62" s="97">
        <v>158</v>
      </c>
    </row>
    <row r="63" spans="1:49" x14ac:dyDescent="0.2">
      <c r="A63" s="41" t="s">
        <v>373</v>
      </c>
      <c r="B63" s="76" t="s">
        <v>148</v>
      </c>
      <c r="C63" s="76">
        <v>2</v>
      </c>
      <c r="D63" s="76">
        <v>1</v>
      </c>
      <c r="E63" s="97">
        <v>3.12</v>
      </c>
      <c r="F63" s="76">
        <v>53</v>
      </c>
      <c r="G63" s="76">
        <v>0</v>
      </c>
      <c r="H63" s="76">
        <v>0</v>
      </c>
      <c r="I63" s="76">
        <v>0</v>
      </c>
      <c r="J63" s="76">
        <v>0</v>
      </c>
      <c r="K63" s="76">
        <v>1</v>
      </c>
      <c r="L63" s="258">
        <f>INDEX('C-P-RollAdj'!$P$4:$P$900,MATCH((U63),'C-P-RollAdj'!$O$4:$O$900,FALSE),0)</f>
        <v>43.33</v>
      </c>
      <c r="M63" s="76">
        <v>40</v>
      </c>
      <c r="N63" s="76">
        <v>20</v>
      </c>
      <c r="O63" s="76">
        <v>15</v>
      </c>
      <c r="P63" s="76">
        <v>7</v>
      </c>
      <c r="Q63" s="76">
        <v>22</v>
      </c>
      <c r="R63" s="76">
        <v>2</v>
      </c>
      <c r="S63" s="76">
        <v>36</v>
      </c>
      <c r="T63" s="76">
        <v>189</v>
      </c>
      <c r="U63" s="76">
        <v>43.1</v>
      </c>
      <c r="V63" s="100">
        <v>0.24099999999999999</v>
      </c>
      <c r="W63" s="76">
        <v>1.43</v>
      </c>
      <c r="X63" s="50"/>
      <c r="Y63" s="50">
        <f t="shared" si="8"/>
        <v>10.695187165775401</v>
      </c>
      <c r="Z63" s="6">
        <f>IF(Y63&lt;LeagueRatings!$K$10,((LeagueRatings!$K$10-Y63)/LeagueRatings!$K$10)*36,(LeagueRatings!$K$10-Y63)*6.48)</f>
        <v>-13.139032340030941</v>
      </c>
      <c r="AA63" s="16">
        <f>INDEX('C-P-RollAdj'!$B$4:$B$76,MATCH(INT(Z63),'C-P-RollAdj'!$A$4:$A$76,FALSE),0)</f>
        <v>1.5</v>
      </c>
      <c r="AB63" s="16">
        <f t="shared" si="1"/>
        <v>3.7433155080213902</v>
      </c>
      <c r="AC63" s="6">
        <f>IF(AB63&lt;LeagueRatings!$K$8,((LeagueRatings!$K$8-AB63)/LeagueRatings!$K$8)*36,(LeagueRatings!$K$8-AB63)/LeagueRatings!$K$11)</f>
        <v>-4.2965610107132077</v>
      </c>
      <c r="AD63" s="16">
        <f>INDEX('C-P-RollAdj'!$F$4:$F$76,MATCH(INT(AC63),'C-P-RollAdj'!$E$4:$E$76,FALSE),0)</f>
        <v>0.42</v>
      </c>
      <c r="AE63" s="17">
        <f>+((LeagueRatings!$I$6-E63)*5)+9.5</f>
        <v>14.908051455277402</v>
      </c>
      <c r="AF63" s="17">
        <f t="shared" si="2"/>
        <v>14.908051455277402</v>
      </c>
      <c r="AG63" s="17">
        <f t="shared" si="3"/>
        <v>0.46796445880452325</v>
      </c>
      <c r="AH63" s="4">
        <f t="shared" si="4"/>
        <v>17.296015914081927</v>
      </c>
      <c r="AI63" s="41" t="s">
        <v>373</v>
      </c>
      <c r="AJ63" s="5" t="s">
        <v>53</v>
      </c>
      <c r="AK63" s="219">
        <f>INDEX('C-P-RollAdj'!$J$4:$J$76,MATCH(INT(Z63),'C-P-RollAdj'!$I$4:$I$76,FALSE),0)</f>
        <v>-32</v>
      </c>
      <c r="AL63" s="219">
        <f>INDEX('C-P-RollAdj'!$J$4:$J$76,MATCH(INT(AC63),'C-P-RollAdj'!$I$4:$I$76,FALSE),0)</f>
        <v>-15</v>
      </c>
      <c r="AM63" s="14">
        <f>+AR63*LeagueRatings!$K$27</f>
        <v>24.444444444444446</v>
      </c>
      <c r="AN63" s="72">
        <f>F63*LeagueRatings!$K$27</f>
        <v>29.444444444444446</v>
      </c>
      <c r="AO63" s="72">
        <f>G63*LeagueRatings!$K$27</f>
        <v>0</v>
      </c>
      <c r="AP63" s="72">
        <f>T63*LeagueRatings!$K$27</f>
        <v>105</v>
      </c>
      <c r="AR63" s="72">
        <f t="shared" si="5"/>
        <v>44</v>
      </c>
      <c r="AW63" s="97">
        <v>147.33000000000001</v>
      </c>
    </row>
    <row r="64" spans="1:49" x14ac:dyDescent="0.2">
      <c r="A64" s="41" t="s">
        <v>528</v>
      </c>
      <c r="B64" s="76" t="s">
        <v>148</v>
      </c>
      <c r="C64" s="76">
        <v>3</v>
      </c>
      <c r="D64" s="76">
        <v>2</v>
      </c>
      <c r="E64" s="97">
        <v>3.44</v>
      </c>
      <c r="F64" s="76">
        <v>53</v>
      </c>
      <c r="G64" s="76">
        <v>2</v>
      </c>
      <c r="H64" s="76">
        <v>0</v>
      </c>
      <c r="I64" s="76">
        <v>0</v>
      </c>
      <c r="J64" s="76">
        <v>0</v>
      </c>
      <c r="K64" s="76">
        <v>1</v>
      </c>
      <c r="L64" s="258">
        <f>INDEX('C-P-RollAdj'!$P$4:$P$900,MATCH((U64),'C-P-RollAdj'!$O$4:$O$900,FALSE),0)</f>
        <v>52.33</v>
      </c>
      <c r="M64" s="76">
        <v>53</v>
      </c>
      <c r="N64" s="76">
        <v>21</v>
      </c>
      <c r="O64" s="76">
        <v>20</v>
      </c>
      <c r="P64" s="76">
        <v>6</v>
      </c>
      <c r="Q64" s="76">
        <v>23</v>
      </c>
      <c r="R64" s="76">
        <v>2</v>
      </c>
      <c r="S64" s="76">
        <v>54</v>
      </c>
      <c r="T64" s="76">
        <v>233</v>
      </c>
      <c r="U64" s="76">
        <v>52.1</v>
      </c>
      <c r="V64" s="100">
        <v>0.25600000000000001</v>
      </c>
      <c r="W64" s="76">
        <v>1.45</v>
      </c>
      <c r="X64" s="50"/>
      <c r="Y64" s="50">
        <f t="shared" si="8"/>
        <v>9.0909090909090917</v>
      </c>
      <c r="Z64" s="6">
        <f>IF(Y64&lt;LeagueRatings!$K$10,((LeagueRatings!$K$10-Y64)/LeagueRatings!$K$10)*36,(LeagueRatings!$K$10-Y64)*6.48)</f>
        <v>-2.743310414897254</v>
      </c>
      <c r="AA64" s="16">
        <f>INDEX('C-P-RollAdj'!$B$4:$B$76,MATCH(INT(Z64),'C-P-RollAdj'!$A$4:$A$76,FALSE),0)</f>
        <v>0.27</v>
      </c>
      <c r="AB64" s="16">
        <f t="shared" si="1"/>
        <v>2.5974025974025974</v>
      </c>
      <c r="AC64" s="6">
        <f>IF(AB64&lt;LeagueRatings!$K$8,((LeagueRatings!$K$8-AB64)/LeagueRatings!$K$8)*36,(LeagueRatings!$K$8-AB64)/LeagueRatings!$K$11)</f>
        <v>6.7994582105011574</v>
      </c>
      <c r="AD64" s="16">
        <f>INDEX('C-P-RollAdj'!$F$4:$F$76,MATCH(INT(AC64),'C-P-RollAdj'!$E$4:$E$76,FALSE),0)</f>
        <v>-0.42000000000000004</v>
      </c>
      <c r="AE64" s="17">
        <f>+((LeagueRatings!$I$6-E64)*5)+9.5</f>
        <v>13.308051455277404</v>
      </c>
      <c r="AF64" s="17">
        <f t="shared" si="2"/>
        <v>13.308051455277404</v>
      </c>
      <c r="AG64" s="17">
        <f t="shared" si="3"/>
        <v>-6.4016816357730377E-2</v>
      </c>
      <c r="AH64" s="4">
        <f t="shared" si="4"/>
        <v>13.094034638919673</v>
      </c>
      <c r="AI64" s="41" t="s">
        <v>528</v>
      </c>
      <c r="AJ64" s="5" t="s">
        <v>16</v>
      </c>
      <c r="AK64" s="219">
        <f>INDEX('C-P-RollAdj'!$J$4:$J$76,MATCH(INT(Z64),'C-P-RollAdj'!$I$4:$I$76,FALSE),0)</f>
        <v>-13</v>
      </c>
      <c r="AL64" s="219">
        <f>INDEX('C-P-RollAdj'!$J$4:$J$76,MATCH(INT(AC64),'C-P-RollAdj'!$I$4:$I$76,FALSE),0)</f>
        <v>16</v>
      </c>
      <c r="AM64" s="14">
        <f>+AR64*LeagueRatings!$K$27</f>
        <v>29.444444444444446</v>
      </c>
      <c r="AN64" s="72">
        <f>F64*LeagueRatings!$K$27</f>
        <v>29.444444444444446</v>
      </c>
      <c r="AO64" s="72">
        <f>G64*LeagueRatings!$K$27</f>
        <v>1.1111111111111112</v>
      </c>
      <c r="AP64" s="72">
        <f>T64*LeagueRatings!$K$27</f>
        <v>129.44444444444446</v>
      </c>
      <c r="AR64" s="72">
        <f t="shared" si="5"/>
        <v>53</v>
      </c>
      <c r="AW64" s="97">
        <v>193</v>
      </c>
    </row>
    <row r="65" spans="1:49" x14ac:dyDescent="0.2">
      <c r="A65" s="41" t="s">
        <v>499</v>
      </c>
      <c r="B65" s="76" t="s">
        <v>148</v>
      </c>
      <c r="C65" s="76">
        <v>4</v>
      </c>
      <c r="D65" s="76">
        <v>0</v>
      </c>
      <c r="E65" s="97">
        <v>1.55</v>
      </c>
      <c r="F65" s="76">
        <v>26</v>
      </c>
      <c r="G65" s="76">
        <v>0</v>
      </c>
      <c r="H65" s="76">
        <v>0</v>
      </c>
      <c r="I65" s="76">
        <v>0</v>
      </c>
      <c r="J65" s="76">
        <v>3</v>
      </c>
      <c r="K65" s="76">
        <v>3</v>
      </c>
      <c r="L65" s="258">
        <f>INDEX('C-P-RollAdj'!$P$4:$P$900,MATCH((U65),'C-P-RollAdj'!$O$4:$O$900,FALSE),0)</f>
        <v>29</v>
      </c>
      <c r="M65" s="76">
        <v>14</v>
      </c>
      <c r="N65" s="76">
        <v>5</v>
      </c>
      <c r="O65" s="76">
        <v>5</v>
      </c>
      <c r="P65" s="76">
        <v>3</v>
      </c>
      <c r="Q65" s="76">
        <v>2</v>
      </c>
      <c r="R65" s="76">
        <v>0</v>
      </c>
      <c r="S65" s="76">
        <v>46</v>
      </c>
      <c r="T65" s="76">
        <v>103</v>
      </c>
      <c r="U65" s="76">
        <v>29</v>
      </c>
      <c r="V65" s="100">
        <v>0.13900000000000001</v>
      </c>
      <c r="W65" s="76">
        <v>0.55000000000000004</v>
      </c>
      <c r="X65" s="50"/>
      <c r="Y65" s="50">
        <f t="shared" si="8"/>
        <v>1.9417475728155338</v>
      </c>
      <c r="Z65" s="6">
        <f>IF(Y65&lt;LeagueRatings!$K$10,((LeagueRatings!$K$10-Y65)/LeagueRatings!$K$10)*36,(LeagueRatings!$K$10-Y65)*6.48)</f>
        <v>27.935109424265274</v>
      </c>
      <c r="AA65" s="16">
        <f>INDEX('C-P-RollAdj'!$B$4:$B$76,MATCH(INT(Z65),'C-P-RollAdj'!$A$4:$A$76,FALSE),0)</f>
        <v>-2.5499999999999998</v>
      </c>
      <c r="AB65" s="16">
        <f t="shared" si="1"/>
        <v>2.912621359223301</v>
      </c>
      <c r="AC65" s="6">
        <f>IF(AB65&lt;LeagueRatings!$K$8,((LeagueRatings!$K$8-AB65)/LeagueRatings!$K$8)*36,(LeagueRatings!$K$8-AB65)/LeagueRatings!$K$11)</f>
        <v>3.2557031389600346</v>
      </c>
      <c r="AD65" s="16">
        <f>INDEX('C-P-RollAdj'!$F$4:$F$76,MATCH(INT(AC65),'C-P-RollAdj'!$E$4:$E$76,FALSE),0)</f>
        <v>-0.21000000000000002</v>
      </c>
      <c r="AE65" s="17">
        <f>+((LeagueRatings!$I$6-E65)*5)+9.5</f>
        <v>22.758051455277403</v>
      </c>
      <c r="AF65" s="17">
        <f t="shared" si="2"/>
        <v>22.758051455277403</v>
      </c>
      <c r="AG65" s="17">
        <f t="shared" si="3"/>
        <v>3.5506896551724134</v>
      </c>
      <c r="AH65" s="4">
        <f t="shared" si="4"/>
        <v>23.548741110449818</v>
      </c>
      <c r="AI65" s="41" t="s">
        <v>499</v>
      </c>
      <c r="AJ65" s="60" t="s">
        <v>318</v>
      </c>
      <c r="AK65" s="219">
        <f>INDEX('C-P-RollAdj'!$J$4:$J$76,MATCH(INT(Z65),'C-P-RollAdj'!$I$4:$I$76,FALSE),0)</f>
        <v>53</v>
      </c>
      <c r="AL65" s="219">
        <f>INDEX('C-P-RollAdj'!$J$4:$J$76,MATCH(INT(AC65),'C-P-RollAdj'!$I$4:$I$76,FALSE),0)</f>
        <v>13</v>
      </c>
      <c r="AM65" s="14">
        <f>+AR65*LeagueRatings!$K$27</f>
        <v>16.111111111111111</v>
      </c>
      <c r="AN65" s="72">
        <f>F65*LeagueRatings!$K$27</f>
        <v>14.444444444444445</v>
      </c>
      <c r="AO65" s="72">
        <f>G65*LeagueRatings!$K$27</f>
        <v>0</v>
      </c>
      <c r="AP65" s="72">
        <f>T65*LeagueRatings!$K$27</f>
        <v>57.222222222222221</v>
      </c>
      <c r="AR65" s="72">
        <f t="shared" si="5"/>
        <v>29</v>
      </c>
      <c r="AW65" s="97">
        <v>134.33000000000001</v>
      </c>
    </row>
    <row r="66" spans="1:49" x14ac:dyDescent="0.2">
      <c r="A66" s="41" t="s">
        <v>594</v>
      </c>
      <c r="B66" s="76" t="s">
        <v>148</v>
      </c>
      <c r="C66" s="76">
        <v>5</v>
      </c>
      <c r="D66" s="76">
        <v>1</v>
      </c>
      <c r="E66" s="97">
        <v>1.53</v>
      </c>
      <c r="F66" s="76">
        <v>62</v>
      </c>
      <c r="G66" s="76">
        <v>0</v>
      </c>
      <c r="H66" s="76">
        <v>0</v>
      </c>
      <c r="I66" s="76">
        <v>0</v>
      </c>
      <c r="J66" s="76">
        <v>1</v>
      </c>
      <c r="K66" s="76">
        <v>2</v>
      </c>
      <c r="L66" s="258">
        <f>INDEX('C-P-RollAdj'!$P$4:$P$900,MATCH((U66),'C-P-RollAdj'!$O$4:$O$900,FALSE),0)</f>
        <v>70.67</v>
      </c>
      <c r="M66" s="76">
        <v>54</v>
      </c>
      <c r="N66" s="76">
        <v>14</v>
      </c>
      <c r="O66" s="76">
        <v>12</v>
      </c>
      <c r="P66" s="76">
        <v>2</v>
      </c>
      <c r="Q66" s="76">
        <v>10</v>
      </c>
      <c r="R66" s="76">
        <v>1</v>
      </c>
      <c r="S66" s="76">
        <v>57</v>
      </c>
      <c r="T66" s="76">
        <v>269</v>
      </c>
      <c r="U66" s="76">
        <v>70.2</v>
      </c>
      <c r="V66" s="100">
        <v>0.21099999999999999</v>
      </c>
      <c r="W66" s="76">
        <v>0.91</v>
      </c>
      <c r="X66" s="50"/>
      <c r="Y66" s="50">
        <f t="shared" si="8"/>
        <v>3.3582089552238807</v>
      </c>
      <c r="Z66" s="6">
        <f>IF(Y66&lt;LeagueRatings!$K$10,((LeagueRatings!$K$10-Y66)/LeagueRatings!$K$10)*36,(LeagueRatings!$K$10-Y66)*6.48)</f>
        <v>22.051952306518487</v>
      </c>
      <c r="AA66" s="16">
        <f>INDEX('C-P-RollAdj'!$B$4:$B$76,MATCH(INT(Z66),'C-P-RollAdj'!$A$4:$A$76,FALSE),0)</f>
        <v>-2</v>
      </c>
      <c r="AB66" s="16">
        <f t="shared" si="1"/>
        <v>0.74626865671641784</v>
      </c>
      <c r="AC66" s="6">
        <f>IF(AB66&lt;LeagueRatings!$K$8,((LeagueRatings!$K$8-AB66)/LeagueRatings!$K$8)*36,(LeagueRatings!$K$8-AB66)/LeagueRatings!$K$11)</f>
        <v>27.610292097793245</v>
      </c>
      <c r="AD66" s="16">
        <f>INDEX('C-P-RollAdj'!$F$4:$F$76,MATCH(INT(AC66),'C-P-RollAdj'!$E$4:$E$76,FALSE),0)</f>
        <v>-2.2800000000000002</v>
      </c>
      <c r="AE66" s="17">
        <f>+((LeagueRatings!$I$6-E66)*5)+9.5</f>
        <v>22.858051455277401</v>
      </c>
      <c r="AF66" s="17">
        <f t="shared" si="2"/>
        <v>22.858051455277401</v>
      </c>
      <c r="AG66" s="17">
        <f t="shared" si="3"/>
        <v>1.5811956983161177</v>
      </c>
      <c r="AH66" s="4">
        <f t="shared" si="4"/>
        <v>20.159247153593519</v>
      </c>
      <c r="AI66" s="41" t="s">
        <v>594</v>
      </c>
      <c r="AJ66" s="5" t="s">
        <v>72</v>
      </c>
      <c r="AK66" s="219">
        <f>INDEX('C-P-RollAdj'!$J$4:$J$76,MATCH(INT(Z66),'C-P-RollAdj'!$I$4:$I$76,FALSE),0)</f>
        <v>44</v>
      </c>
      <c r="AL66" s="219">
        <f>INDEX('C-P-RollAdj'!$J$4:$J$76,MATCH(INT(AC66),'C-P-RollAdj'!$I$4:$I$76,FALSE),0)</f>
        <v>53</v>
      </c>
      <c r="AM66" s="14">
        <f>+AR66*LeagueRatings!$K$27</f>
        <v>39.444444444444443</v>
      </c>
      <c r="AN66" s="72">
        <f>F66*LeagueRatings!$K$27</f>
        <v>34.444444444444443</v>
      </c>
      <c r="AO66" s="72">
        <f>G66*LeagueRatings!$K$27</f>
        <v>0</v>
      </c>
      <c r="AP66" s="72">
        <f>T66*LeagueRatings!$K$27</f>
        <v>149.44444444444446</v>
      </c>
      <c r="AR66" s="72">
        <f t="shared" si="5"/>
        <v>71</v>
      </c>
      <c r="AW66" s="97">
        <v>54</v>
      </c>
    </row>
    <row r="67" spans="1:49" x14ac:dyDescent="0.2">
      <c r="A67" s="41" t="s">
        <v>523</v>
      </c>
      <c r="B67" s="76" t="s">
        <v>148</v>
      </c>
      <c r="C67" s="76">
        <v>11</v>
      </c>
      <c r="D67" s="76">
        <v>6</v>
      </c>
      <c r="E67" s="97">
        <v>3.87</v>
      </c>
      <c r="F67" s="76">
        <v>25</v>
      </c>
      <c r="G67" s="76">
        <v>25</v>
      </c>
      <c r="H67" s="76">
        <v>0</v>
      </c>
      <c r="I67" s="76">
        <v>0</v>
      </c>
      <c r="J67" s="76">
        <v>0</v>
      </c>
      <c r="K67" s="76">
        <v>0</v>
      </c>
      <c r="L67" s="258">
        <f>INDEX('C-P-RollAdj'!$P$4:$P$900,MATCH((U67),'C-P-RollAdj'!$O$4:$O$900,FALSE),0)</f>
        <v>137.32999999999998</v>
      </c>
      <c r="M67" s="76">
        <v>121</v>
      </c>
      <c r="N67" s="76">
        <v>61</v>
      </c>
      <c r="O67" s="76">
        <v>59</v>
      </c>
      <c r="P67" s="76">
        <v>16</v>
      </c>
      <c r="Q67" s="76">
        <v>63</v>
      </c>
      <c r="R67" s="76">
        <v>3</v>
      </c>
      <c r="S67" s="76">
        <v>161</v>
      </c>
      <c r="T67" s="76">
        <v>584</v>
      </c>
      <c r="U67" s="76">
        <v>137.1</v>
      </c>
      <c r="V67" s="100">
        <v>0.23499999999999999</v>
      </c>
      <c r="W67" s="76">
        <v>1.34</v>
      </c>
      <c r="X67" s="50"/>
      <c r="Y67" s="50">
        <f t="shared" si="8"/>
        <v>10.327022375215146</v>
      </c>
      <c r="Z67" s="6">
        <f>IF(Y67&lt;LeagueRatings!$K$10,((LeagueRatings!$K$10-Y67)/LeagueRatings!$K$10)*36,(LeagueRatings!$K$10-Y67)*6.48)</f>
        <v>-10.753324497200483</v>
      </c>
      <c r="AA67" s="16">
        <f>INDEX('C-P-RollAdj'!$B$4:$B$76,MATCH(INT(Z67),'C-P-RollAdj'!$A$4:$A$76,FALSE),0)</f>
        <v>1.1099999999999999</v>
      </c>
      <c r="AB67" s="16">
        <f t="shared" si="1"/>
        <v>2.753872633390706</v>
      </c>
      <c r="AC67" s="6">
        <f>IF(AB67&lt;LeagueRatings!$K$8,((LeagueRatings!$K$8-AB67)/LeagueRatings!$K$8)*36,(LeagueRatings!$K$8-AB67)/LeagueRatings!$K$11)</f>
        <v>5.0403894280012231</v>
      </c>
      <c r="AD67" s="16">
        <f>INDEX('C-P-RollAdj'!$F$4:$F$76,MATCH(INT(AC67),'C-P-RollAdj'!$E$4:$E$76,FALSE),0)</f>
        <v>-0.35000000000000003</v>
      </c>
      <c r="AE67" s="17">
        <f>+((LeagueRatings!$I$6-E67)*5)+9.5</f>
        <v>11.158051455277402</v>
      </c>
      <c r="AF67" s="17">
        <f t="shared" si="2"/>
        <v>11.158051455277402</v>
      </c>
      <c r="AG67" s="17">
        <f t="shared" si="3"/>
        <v>0.76237457219835392</v>
      </c>
      <c r="AH67" s="4">
        <f t="shared" si="4"/>
        <v>12.680426027475756</v>
      </c>
      <c r="AI67" s="41" t="s">
        <v>523</v>
      </c>
      <c r="AJ67" s="5" t="s">
        <v>16</v>
      </c>
      <c r="AK67" s="219">
        <f>INDEX('C-P-RollAdj'!$J$4:$J$76,MATCH(INT(Z67),'C-P-RollAdj'!$I$4:$I$76,FALSE),0)</f>
        <v>-25</v>
      </c>
      <c r="AL67" s="219">
        <f>INDEX('C-P-RollAdj'!$J$4:$J$76,MATCH(INT(AC67),'C-P-RollAdj'!$I$4:$I$76,FALSE),0)</f>
        <v>15</v>
      </c>
      <c r="AM67" s="14">
        <f>+AR67*LeagueRatings!$K$27</f>
        <v>76.666666666666671</v>
      </c>
      <c r="AN67" s="72">
        <f>F67*LeagueRatings!$K$27</f>
        <v>13.888888888888889</v>
      </c>
      <c r="AO67" s="72">
        <f>G67*LeagueRatings!$K$27</f>
        <v>13.888888888888889</v>
      </c>
      <c r="AP67" s="72">
        <f>T67*LeagueRatings!$K$27</f>
        <v>324.44444444444446</v>
      </c>
      <c r="AR67" s="72">
        <f t="shared" si="5"/>
        <v>138</v>
      </c>
      <c r="AW67" s="97">
        <v>35.33</v>
      </c>
    </row>
    <row r="68" spans="1:49" x14ac:dyDescent="0.2">
      <c r="A68" s="41" t="s">
        <v>525</v>
      </c>
      <c r="B68" s="76" t="s">
        <v>148</v>
      </c>
      <c r="C68" s="76">
        <v>2</v>
      </c>
      <c r="D68" s="76">
        <v>5</v>
      </c>
      <c r="E68" s="97">
        <v>3.24</v>
      </c>
      <c r="F68" s="76">
        <v>75</v>
      </c>
      <c r="G68" s="76">
        <v>0</v>
      </c>
      <c r="H68" s="76">
        <v>0</v>
      </c>
      <c r="I68" s="76">
        <v>0</v>
      </c>
      <c r="J68" s="76">
        <v>1</v>
      </c>
      <c r="K68" s="76">
        <v>4</v>
      </c>
      <c r="L68" s="258">
        <f>INDEX('C-P-RollAdj'!$P$4:$P$900,MATCH((U68),'C-P-RollAdj'!$O$4:$O$900,FALSE),0)</f>
        <v>66.67</v>
      </c>
      <c r="M68" s="76">
        <v>56</v>
      </c>
      <c r="N68" s="76">
        <v>26</v>
      </c>
      <c r="O68" s="76">
        <v>24</v>
      </c>
      <c r="P68" s="76">
        <v>8</v>
      </c>
      <c r="Q68" s="76">
        <v>28</v>
      </c>
      <c r="R68" s="76">
        <v>3</v>
      </c>
      <c r="S68" s="76">
        <v>69</v>
      </c>
      <c r="T68" s="76">
        <v>275</v>
      </c>
      <c r="U68" s="76">
        <v>66.2</v>
      </c>
      <c r="V68" s="100">
        <v>0.23</v>
      </c>
      <c r="W68" s="76">
        <v>1.26</v>
      </c>
      <c r="X68" s="50"/>
      <c r="Y68" s="50">
        <f t="shared" si="8"/>
        <v>9.1911764705882355</v>
      </c>
      <c r="Z68" s="6">
        <f>IF(Y68&lt;LeagueRatings!$K$10,((LeagueRatings!$K$10-Y68)/LeagueRatings!$K$10)*36,(LeagueRatings!$K$10-Y68)*6.48)</f>
        <v>-3.3930430352181058</v>
      </c>
      <c r="AA68" s="16">
        <f>INDEX('C-P-RollAdj'!$B$4:$B$76,MATCH(INT(Z68),'C-P-RollAdj'!$A$4:$A$76,FALSE),0)</f>
        <v>0.36</v>
      </c>
      <c r="AB68" s="16">
        <f>(P68/(T68-R68))*100</f>
        <v>2.9411764705882351</v>
      </c>
      <c r="AC68" s="6">
        <f>IF(AB68&lt;LeagueRatings!$K$8,((LeagueRatings!$K$8-AB68)/LeagueRatings!$K$8)*36,(LeagueRatings!$K$8-AB68)/LeagueRatings!$K$11)</f>
        <v>2.9346806207145479</v>
      </c>
      <c r="AD68" s="16">
        <f>INDEX('C-P-RollAdj'!$F$4:$F$76,MATCH(INT(AC68),'C-P-RollAdj'!$E$4:$E$76,FALSE),0)</f>
        <v>-0.14000000000000001</v>
      </c>
      <c r="AE68" s="17">
        <f>+((LeagueRatings!$I$6-E68)*5)+9.5</f>
        <v>14.308051455277402</v>
      </c>
      <c r="AF68" s="17">
        <f>IF(AE68&lt;4,4,AE68)</f>
        <v>14.308051455277402</v>
      </c>
      <c r="AG68" s="17">
        <f>IF(M68&lt;L68,((1-(M68/L68))*7)-0.07,(1-(M68/L68))*5)</f>
        <v>1.0502939853007349</v>
      </c>
      <c r="AH68" s="4">
        <f>+AA68+AD68+AF68+AG68</f>
        <v>15.578345440578138</v>
      </c>
      <c r="AI68" s="41" t="s">
        <v>525</v>
      </c>
      <c r="AJ68" s="5" t="s">
        <v>31</v>
      </c>
      <c r="AK68" s="219">
        <f>INDEX('C-P-RollAdj'!$J$4:$J$76,MATCH(INT(Z68),'C-P-RollAdj'!$I$4:$I$76,FALSE),0)</f>
        <v>-14</v>
      </c>
      <c r="AL68" s="219">
        <f>INDEX('C-P-RollAdj'!$J$4:$J$76,MATCH(INT(AC68),'C-P-RollAdj'!$I$4:$I$76,FALSE),0)</f>
        <v>12</v>
      </c>
      <c r="AM68" s="14">
        <f>+AR68*LeagueRatings!$K$27</f>
        <v>37.222222222222221</v>
      </c>
      <c r="AN68" s="72">
        <f>F68*LeagueRatings!$K$27</f>
        <v>41.666666666666671</v>
      </c>
      <c r="AO68" s="72">
        <f>G68*LeagueRatings!$K$27</f>
        <v>0</v>
      </c>
      <c r="AP68" s="72">
        <f>T68*LeagueRatings!$K$27</f>
        <v>152.77777777777777</v>
      </c>
      <c r="AR68" s="72">
        <f>ROUNDUP(L68,0)</f>
        <v>67</v>
      </c>
      <c r="AW68" s="97">
        <v>20.329999999999998</v>
      </c>
    </row>
    <row r="69" spans="1:49" x14ac:dyDescent="0.2">
      <c r="A69" s="41" t="s">
        <v>520</v>
      </c>
      <c r="B69" s="76" t="s">
        <v>148</v>
      </c>
      <c r="C69" s="76">
        <v>13</v>
      </c>
      <c r="D69" s="76">
        <v>9</v>
      </c>
      <c r="E69" s="97">
        <v>4.4000000000000004</v>
      </c>
      <c r="F69" s="76">
        <v>30</v>
      </c>
      <c r="G69" s="76">
        <v>29</v>
      </c>
      <c r="H69" s="76">
        <v>0</v>
      </c>
      <c r="I69" s="76">
        <v>0</v>
      </c>
      <c r="J69" s="76">
        <v>0</v>
      </c>
      <c r="K69" s="76">
        <v>0</v>
      </c>
      <c r="L69" s="258">
        <f>INDEX('C-P-RollAdj'!$P$4:$P$900,MATCH((U69),'C-P-RollAdj'!$O$4:$O$900,FALSE),0)</f>
        <v>174</v>
      </c>
      <c r="M69" s="76">
        <v>187</v>
      </c>
      <c r="N69" s="76">
        <v>97</v>
      </c>
      <c r="O69" s="76">
        <v>85</v>
      </c>
      <c r="P69" s="76">
        <v>36</v>
      </c>
      <c r="Q69" s="76">
        <v>20</v>
      </c>
      <c r="R69" s="76">
        <v>2</v>
      </c>
      <c r="S69" s="76">
        <v>118</v>
      </c>
      <c r="T69" s="76">
        <v>725</v>
      </c>
      <c r="U69" s="76">
        <v>174</v>
      </c>
      <c r="V69" s="100">
        <v>0.26900000000000002</v>
      </c>
      <c r="W69" s="76">
        <v>1.19</v>
      </c>
      <c r="X69" s="50"/>
      <c r="Y69" s="50">
        <f t="shared" si="8"/>
        <v>2.4896265560165975</v>
      </c>
      <c r="Z69" s="6">
        <f>IF(Y69&lt;LeagueRatings!$K$10,((LeagueRatings!$K$10-Y69)/LeagueRatings!$K$10)*36,(LeagueRatings!$K$10-Y69)*6.48)</f>
        <v>25.659538639410663</v>
      </c>
      <c r="AA69" s="16">
        <f>INDEX('C-P-RollAdj'!$B$4:$B$76,MATCH(INT(Z69),'C-P-RollAdj'!$A$4:$A$76,FALSE),0)</f>
        <v>-2.33</v>
      </c>
      <c r="AB69" s="16">
        <f>(P69/(T69-R69))*100</f>
        <v>4.9792531120331951</v>
      </c>
      <c r="AC69" s="6">
        <f>IF(AB69&lt;LeagueRatings!$K$8,((LeagueRatings!$K$8-AB69)/LeagueRatings!$K$8)*36,(LeagueRatings!$K$8-AB69)/LeagueRatings!$K$11)</f>
        <v>-14.11046494205455</v>
      </c>
      <c r="AD69" s="16">
        <f>INDEX('C-P-RollAdj'!$F$4:$F$76,MATCH(INT(AC69),'C-P-RollAdj'!$E$4:$E$76,FALSE),0)</f>
        <v>1.5</v>
      </c>
      <c r="AE69" s="17">
        <f>+((LeagueRatings!$I$6-E69)*5)+9.5</f>
        <v>8.5080514552774016</v>
      </c>
      <c r="AF69" s="17">
        <f>IF(AE69&lt;4,4,AE69)</f>
        <v>8.5080514552774016</v>
      </c>
      <c r="AG69" s="17">
        <f>IF(M69&lt;L69,((1-(M69/L69))*7)-0.07,(1-(M69/L69))*5)</f>
        <v>-0.37356321839080442</v>
      </c>
      <c r="AH69" s="4">
        <f>+AA69+AD69+AF69+AG69</f>
        <v>7.3044882368865967</v>
      </c>
      <c r="AI69" s="41" t="s">
        <v>520</v>
      </c>
      <c r="AJ69" s="5" t="s">
        <v>55</v>
      </c>
      <c r="AK69" s="219">
        <f>INDEX('C-P-RollAdj'!$J$4:$J$76,MATCH(INT(Z69),'C-P-RollAdj'!$I$4:$I$76,FALSE),0)</f>
        <v>51</v>
      </c>
      <c r="AL69" s="219">
        <f>INDEX('C-P-RollAdj'!$J$4:$J$76,MATCH(INT(AC69),'C-P-RollAdj'!$I$4:$I$76,FALSE),0)</f>
        <v>-33</v>
      </c>
      <c r="AM69" s="14">
        <f>+AR69*LeagueRatings!$K$27</f>
        <v>96.666666666666671</v>
      </c>
      <c r="AN69" s="72">
        <f>F69*LeagueRatings!$K$27</f>
        <v>16.666666666666668</v>
      </c>
      <c r="AO69" s="72">
        <f>G69*LeagueRatings!$K$27</f>
        <v>16.111111111111111</v>
      </c>
      <c r="AP69" s="72">
        <f>T69*LeagueRatings!$K$27</f>
        <v>402.77777777777777</v>
      </c>
      <c r="AR69" s="72">
        <f>ROUNDUP(L69,0)</f>
        <v>174</v>
      </c>
      <c r="AW69" s="97">
        <v>52</v>
      </c>
    </row>
    <row r="70" spans="1:49" x14ac:dyDescent="0.2">
      <c r="A70" s="105"/>
      <c r="B70" s="76"/>
      <c r="C70" s="76"/>
      <c r="D70" s="76"/>
      <c r="E70" s="97"/>
      <c r="F70" s="76"/>
      <c r="G70" s="76"/>
      <c r="I70" s="176"/>
      <c r="J70" s="76"/>
      <c r="K70" s="76"/>
      <c r="L70" s="110"/>
      <c r="M70" s="76"/>
      <c r="N70" s="76"/>
      <c r="O70" s="76"/>
      <c r="P70" s="76"/>
      <c r="R70"/>
      <c r="S70" s="76"/>
      <c r="T70"/>
      <c r="U70"/>
      <c r="X70" s="50"/>
      <c r="Y70" s="50"/>
      <c r="Z70" s="6"/>
      <c r="AB70" s="16"/>
      <c r="AC70" s="6"/>
      <c r="AE70" s="17"/>
      <c r="AF70" s="17"/>
      <c r="AG70" s="17"/>
      <c r="AH70" s="4"/>
      <c r="AI70" s="105"/>
      <c r="AJ70" s="7"/>
      <c r="AK70" s="7"/>
      <c r="AL70" s="7"/>
      <c r="AM70" s="14"/>
      <c r="AN70" s="72"/>
      <c r="AO70" s="72"/>
      <c r="AP70" s="72"/>
      <c r="AR70" s="72"/>
      <c r="AW70" s="110"/>
    </row>
    <row r="71" spans="1:49" s="122" customFormat="1" x14ac:dyDescent="0.2">
      <c r="A71" s="69" t="s">
        <v>106</v>
      </c>
      <c r="B71" s="70" t="s">
        <v>157</v>
      </c>
      <c r="C71" s="71" t="s">
        <v>85</v>
      </c>
      <c r="D71" s="70" t="s">
        <v>86</v>
      </c>
      <c r="E71" s="71" t="s">
        <v>87</v>
      </c>
      <c r="F71" s="70" t="s">
        <v>108</v>
      </c>
      <c r="G71" s="70" t="s">
        <v>88</v>
      </c>
      <c r="H71" s="182" t="s">
        <v>89</v>
      </c>
      <c r="I71" s="178" t="s">
        <v>317</v>
      </c>
      <c r="J71" s="72" t="s">
        <v>90</v>
      </c>
      <c r="K71" s="72" t="s">
        <v>158</v>
      </c>
      <c r="L71" s="71" t="s">
        <v>91</v>
      </c>
      <c r="M71" s="70" t="s">
        <v>92</v>
      </c>
      <c r="N71" s="70" t="s">
        <v>93</v>
      </c>
      <c r="O71" s="70" t="s">
        <v>94</v>
      </c>
      <c r="P71" s="70" t="s">
        <v>95</v>
      </c>
      <c r="Q71" s="70" t="s">
        <v>96</v>
      </c>
      <c r="R71" s="70" t="s">
        <v>98</v>
      </c>
      <c r="S71" s="70" t="s">
        <v>97</v>
      </c>
      <c r="T71" s="70" t="s">
        <v>109</v>
      </c>
      <c r="U71" s="155" t="s">
        <v>91</v>
      </c>
      <c r="V71" s="250" t="s">
        <v>1517</v>
      </c>
      <c r="W71" s="155" t="s">
        <v>1072</v>
      </c>
      <c r="X71" s="117"/>
      <c r="Y71" s="117" t="s">
        <v>2</v>
      </c>
      <c r="Z71" s="116" t="s">
        <v>3</v>
      </c>
      <c r="AA71" s="117" t="s">
        <v>4</v>
      </c>
      <c r="AB71" s="118" t="s">
        <v>5</v>
      </c>
      <c r="AC71" s="116" t="s">
        <v>6</v>
      </c>
      <c r="AD71" s="117" t="s">
        <v>7</v>
      </c>
      <c r="AE71" s="119" t="s">
        <v>8</v>
      </c>
      <c r="AF71" s="119" t="s">
        <v>81</v>
      </c>
      <c r="AG71" s="119" t="s">
        <v>9</v>
      </c>
      <c r="AH71" s="128" t="s">
        <v>10</v>
      </c>
      <c r="AI71" s="69" t="s">
        <v>106</v>
      </c>
      <c r="AJ71" s="7" t="s">
        <v>11</v>
      </c>
      <c r="AK71" s="7" t="s">
        <v>12</v>
      </c>
      <c r="AL71" s="7" t="s">
        <v>13</v>
      </c>
      <c r="AM71" s="14"/>
      <c r="AN71" s="72"/>
      <c r="AO71" s="72"/>
      <c r="AP71" s="72"/>
      <c r="AR71" s="72"/>
      <c r="AS71" s="114"/>
      <c r="AT71" s="114"/>
      <c r="AU71" s="114"/>
      <c r="AW71" s="71" t="s">
        <v>91</v>
      </c>
    </row>
    <row r="72" spans="1:49" s="122" customFormat="1" x14ac:dyDescent="0.2">
      <c r="A72" s="69"/>
      <c r="B72" s="70"/>
      <c r="C72" s="71"/>
      <c r="D72" s="70"/>
      <c r="E72" s="71"/>
      <c r="F72" s="70"/>
      <c r="G72" s="70"/>
      <c r="H72" s="182"/>
      <c r="I72" s="178"/>
      <c r="J72" s="72"/>
      <c r="K72" s="72"/>
      <c r="L72" s="71"/>
      <c r="M72" s="70"/>
      <c r="N72" s="70"/>
      <c r="O72" s="70"/>
      <c r="P72" s="70"/>
      <c r="R72" s="70"/>
      <c r="S72" s="70"/>
      <c r="T72" s="70"/>
      <c r="U72" s="70"/>
      <c r="V72" s="267"/>
      <c r="X72" s="50"/>
      <c r="Y72" s="50"/>
      <c r="Z72" s="6"/>
      <c r="AA72" s="16"/>
      <c r="AB72" s="16"/>
      <c r="AC72" s="6"/>
      <c r="AD72" s="16"/>
      <c r="AE72" s="17"/>
      <c r="AF72" s="17"/>
      <c r="AG72" s="17"/>
      <c r="AH72" s="4"/>
      <c r="AI72" s="69"/>
      <c r="AJ72" s="7"/>
      <c r="AK72" s="7"/>
      <c r="AL72" s="7"/>
      <c r="AM72" s="14"/>
      <c r="AN72" s="72"/>
      <c r="AO72" s="72"/>
      <c r="AP72" s="72"/>
      <c r="AR72" s="72"/>
      <c r="AS72" s="113"/>
      <c r="AT72" s="113"/>
      <c r="AU72" s="113"/>
      <c r="AW72" s="71"/>
    </row>
    <row r="73" spans="1:49" x14ac:dyDescent="0.2">
      <c r="A73" s="41" t="s">
        <v>1182</v>
      </c>
      <c r="B73" s="76" t="s">
        <v>149</v>
      </c>
      <c r="C73" s="76">
        <v>6</v>
      </c>
      <c r="D73" s="76">
        <v>5</v>
      </c>
      <c r="E73" s="97">
        <v>4.53</v>
      </c>
      <c r="F73" s="76">
        <v>20</v>
      </c>
      <c r="G73" s="76">
        <v>18</v>
      </c>
      <c r="H73" s="76">
        <v>0</v>
      </c>
      <c r="I73" s="76">
        <v>0</v>
      </c>
      <c r="J73" s="76">
        <v>0</v>
      </c>
      <c r="K73" s="76">
        <v>0</v>
      </c>
      <c r="L73" s="258">
        <f>INDEX('C-P-RollAdj'!$P$4:$P$900,MATCH((U73),'C-P-RollAdj'!$O$4:$O$900,FALSE),0)</f>
        <v>97.33</v>
      </c>
      <c r="M73" s="76">
        <v>97</v>
      </c>
      <c r="N73" s="76">
        <v>51</v>
      </c>
      <c r="O73" s="76">
        <v>49</v>
      </c>
      <c r="P73" s="76">
        <v>17</v>
      </c>
      <c r="Q73" s="76">
        <v>29</v>
      </c>
      <c r="R73" s="76">
        <v>0</v>
      </c>
      <c r="S73" s="76">
        <v>82</v>
      </c>
      <c r="T73" s="76">
        <v>412</v>
      </c>
      <c r="U73" s="76">
        <v>97.1</v>
      </c>
      <c r="V73" s="100">
        <v>0.25800000000000001</v>
      </c>
      <c r="W73" s="76">
        <v>1.29</v>
      </c>
      <c r="X73" s="50"/>
      <c r="Y73" s="50">
        <f t="shared" ref="Y73:Y87" si="9">+(Q73-R73)/(T73-R73)*100</f>
        <v>7.0388349514563107</v>
      </c>
      <c r="Z73" s="6">
        <f>IF(Y73&lt;LeagueRatings!$K$10,((LeagueRatings!$K$10-Y73)/LeagueRatings!$K$10)*36,(LeagueRatings!$K$10-Y73)*6.48)</f>
        <v>6.7647716629616177</v>
      </c>
      <c r="AA73" s="16">
        <f>INDEX('C-P-RollAdj'!$B$4:$B$76,MATCH(INT(Z73),'C-P-RollAdj'!$A$4:$A$76,FALSE),0)</f>
        <v>-0.48</v>
      </c>
      <c r="AB73" s="16">
        <f t="shared" ref="AB73:AB86" si="10">(P73/(T73-R73))*100</f>
        <v>4.1262135922330101</v>
      </c>
      <c r="AC73" s="6">
        <f>IF(AB73&lt;LeagueRatings!$K$8,((LeagueRatings!$K$8-AB73)/LeagueRatings!$K$8)*36,(LeagueRatings!$K$8-AB73)/LeagueRatings!$K$11)</f>
        <v>-7.3369450897719375</v>
      </c>
      <c r="AD73" s="16">
        <f>INDEX('C-P-RollAdj'!$F$4:$F$76,MATCH(INT(AC73),'C-P-RollAdj'!$E$4:$E$76,FALSE),0)</f>
        <v>0.71</v>
      </c>
      <c r="AE73" s="17">
        <f>+((LeagueRatings!$I$6-E73)*5)+9.5</f>
        <v>7.8580514552774021</v>
      </c>
      <c r="AF73" s="17">
        <f t="shared" ref="AF73:AF86" si="11">IF(AE73&lt;4,4,AE73)</f>
        <v>7.8580514552774021</v>
      </c>
      <c r="AG73" s="17">
        <f t="shared" ref="AG73:AG86" si="12">IF(M73&lt;L73,((1-(M73/L73))*7)-0.07,(1-(M73/L73))*5)</f>
        <v>-4.6266310490085505E-2</v>
      </c>
      <c r="AH73" s="4">
        <f t="shared" ref="AH73:AH86" si="13">+AA73+AD73+AF73+AG73</f>
        <v>8.0417851447873154</v>
      </c>
      <c r="AI73" s="41" t="s">
        <v>1182</v>
      </c>
      <c r="AJ73" s="7" t="s">
        <v>55</v>
      </c>
      <c r="AK73" s="219">
        <f>INDEX('C-P-RollAdj'!$J$4:$J$76,MATCH(INT(Z73),'C-P-RollAdj'!$I$4:$I$76,FALSE),0)</f>
        <v>16</v>
      </c>
      <c r="AL73" s="219">
        <f>INDEX('C-P-RollAdj'!$J$4:$J$76,MATCH(INT(AC73),'C-P-RollAdj'!$I$4:$I$76,FALSE),0)</f>
        <v>-22</v>
      </c>
      <c r="AM73" s="14">
        <f>+AR73*LeagueRatings!$K$27</f>
        <v>54.44444444444445</v>
      </c>
      <c r="AN73" s="72">
        <f>F73*LeagueRatings!$K$27</f>
        <v>11.111111111111111</v>
      </c>
      <c r="AO73" s="72">
        <f>G73*LeagueRatings!$K$27</f>
        <v>10</v>
      </c>
      <c r="AP73" s="72">
        <f>T73*LeagueRatings!$K$27</f>
        <v>228.88888888888889</v>
      </c>
      <c r="AR73" s="72">
        <f t="shared" ref="AR73:AR130" si="14">ROUNDUP(L73,0)</f>
        <v>98</v>
      </c>
      <c r="AW73" s="97">
        <v>49</v>
      </c>
    </row>
    <row r="74" spans="1:49" s="26" customFormat="1" x14ac:dyDescent="0.2">
      <c r="A74" s="41" t="s">
        <v>1324</v>
      </c>
      <c r="B74" s="76" t="s">
        <v>149</v>
      </c>
      <c r="C74" s="76">
        <v>11</v>
      </c>
      <c r="D74" s="76">
        <v>7</v>
      </c>
      <c r="E74" s="97">
        <v>3.06</v>
      </c>
      <c r="F74" s="76">
        <v>26</v>
      </c>
      <c r="G74" s="76">
        <v>26</v>
      </c>
      <c r="H74" s="76">
        <v>1</v>
      </c>
      <c r="I74" s="76">
        <v>1</v>
      </c>
      <c r="J74" s="76">
        <v>0</v>
      </c>
      <c r="K74" s="76">
        <v>0</v>
      </c>
      <c r="L74" s="258">
        <f>INDEX('C-P-RollAdj'!$P$4:$P$900,MATCH((U74),'C-P-RollAdj'!$O$4:$O$900,FALSE),0)</f>
        <v>159</v>
      </c>
      <c r="M74" s="76">
        <v>136</v>
      </c>
      <c r="N74" s="76">
        <v>57</v>
      </c>
      <c r="O74" s="76">
        <v>54</v>
      </c>
      <c r="P74" s="76">
        <v>16</v>
      </c>
      <c r="Q74" s="76">
        <v>42</v>
      </c>
      <c r="R74" s="76">
        <v>1</v>
      </c>
      <c r="S74" s="76">
        <v>132</v>
      </c>
      <c r="T74" s="76">
        <v>647</v>
      </c>
      <c r="U74" s="76">
        <v>159</v>
      </c>
      <c r="V74" s="100">
        <v>0.23100000000000001</v>
      </c>
      <c r="W74" s="76">
        <v>1.1200000000000001</v>
      </c>
      <c r="X74" s="50"/>
      <c r="Y74" s="50">
        <f t="shared" si="9"/>
        <v>6.3467492260061915</v>
      </c>
      <c r="Z74" s="6">
        <f>IF(Y74&lt;LeagueRatings!$K$10,((LeagueRatings!$K$10-Y74)/LeagueRatings!$K$10)*36,(LeagueRatings!$K$10-Y74)*6.48)</f>
        <v>9.6392934200249645</v>
      </c>
      <c r="AA74" s="16">
        <f>INDEX('C-P-RollAdj'!$B$4:$B$76,MATCH(INT(Z74),'C-P-RollAdj'!$A$4:$A$76,FALSE),0)</f>
        <v>-0.74</v>
      </c>
      <c r="AB74" s="16">
        <f t="shared" si="10"/>
        <v>2.4767801857585141</v>
      </c>
      <c r="AC74" s="6">
        <f>IF(AB74&lt;LeagueRatings!$K$8,((LeagueRatings!$K$8-AB74)/LeagueRatings!$K$8)*36,(LeagueRatings!$K$8-AB74)/LeagueRatings!$K$11)</f>
        <v>8.1555205227069827</v>
      </c>
      <c r="AD74" s="16">
        <f>INDEX('C-P-RollAdj'!$F$4:$F$76,MATCH(INT(AC74),'C-P-RollAdj'!$E$4:$E$76,FALSE),0)</f>
        <v>-0.56999999999999995</v>
      </c>
      <c r="AE74" s="17">
        <f>+((LeagueRatings!$I$6-E74)*5)+9.5</f>
        <v>15.208051455277403</v>
      </c>
      <c r="AF74" s="17">
        <f t="shared" si="11"/>
        <v>15.208051455277403</v>
      </c>
      <c r="AG74" s="17">
        <f t="shared" si="12"/>
        <v>0.94257861635220097</v>
      </c>
      <c r="AH74" s="4">
        <f t="shared" si="13"/>
        <v>14.840630071629603</v>
      </c>
      <c r="AI74" s="41" t="s">
        <v>1324</v>
      </c>
      <c r="AJ74" s="7" t="s">
        <v>14</v>
      </c>
      <c r="AK74" s="219">
        <f>INDEX('C-P-RollAdj'!$J$4:$J$76,MATCH(INT(Z74),'C-P-RollAdj'!$I$4:$I$76,FALSE),0)</f>
        <v>23</v>
      </c>
      <c r="AL74" s="219">
        <f>INDEX('C-P-RollAdj'!$J$4:$J$76,MATCH(INT(AC74),'C-P-RollAdj'!$I$4:$I$76,FALSE),0)</f>
        <v>22</v>
      </c>
      <c r="AM74" s="14">
        <f>+AR74*LeagueRatings!$K$27</f>
        <v>88.333333333333343</v>
      </c>
      <c r="AN74" s="72">
        <f>F74*LeagueRatings!$K$27</f>
        <v>14.444444444444445</v>
      </c>
      <c r="AO74" s="72">
        <f>G74*LeagueRatings!$K$27</f>
        <v>14.444444444444445</v>
      </c>
      <c r="AP74" s="72">
        <f>T74*LeagueRatings!$K$27</f>
        <v>359.44444444444446</v>
      </c>
      <c r="AR74" s="72">
        <f t="shared" si="14"/>
        <v>159</v>
      </c>
      <c r="AS74" s="113"/>
      <c r="AT74" s="113"/>
      <c r="AU74" s="113"/>
      <c r="AW74" s="97">
        <v>67</v>
      </c>
    </row>
    <row r="75" spans="1:49" s="26" customFormat="1" x14ac:dyDescent="0.2">
      <c r="A75" s="41" t="s">
        <v>816</v>
      </c>
      <c r="B75" s="76" t="s">
        <v>149</v>
      </c>
      <c r="C75" s="76">
        <v>5</v>
      </c>
      <c r="D75" s="76">
        <v>4</v>
      </c>
      <c r="E75" s="97">
        <v>5.82</v>
      </c>
      <c r="F75" s="76">
        <v>50</v>
      </c>
      <c r="G75" s="76">
        <v>3</v>
      </c>
      <c r="H75" s="76">
        <v>0</v>
      </c>
      <c r="I75" s="76">
        <v>0</v>
      </c>
      <c r="J75" s="76">
        <v>2</v>
      </c>
      <c r="K75" s="76">
        <v>3</v>
      </c>
      <c r="L75" s="258">
        <f>INDEX('C-P-RollAdj'!$P$4:$P$900,MATCH((U75),'C-P-RollAdj'!$O$4:$O$900,FALSE),0)</f>
        <v>60.33</v>
      </c>
      <c r="M75" s="76">
        <v>58</v>
      </c>
      <c r="N75" s="76">
        <v>39</v>
      </c>
      <c r="O75" s="76">
        <v>39</v>
      </c>
      <c r="P75" s="76">
        <v>3</v>
      </c>
      <c r="Q75" s="76">
        <v>22</v>
      </c>
      <c r="R75" s="76">
        <v>1</v>
      </c>
      <c r="S75" s="76">
        <v>59</v>
      </c>
      <c r="T75" s="76">
        <v>256</v>
      </c>
      <c r="U75" s="76">
        <v>60.1</v>
      </c>
      <c r="V75" s="100">
        <v>0.25700000000000001</v>
      </c>
      <c r="W75" s="76">
        <v>1.33</v>
      </c>
      <c r="X75" s="50"/>
      <c r="Y75" s="50">
        <f t="shared" si="9"/>
        <v>8.235294117647058</v>
      </c>
      <c r="Z75" s="6">
        <f>IF(Y75&lt;LeagueRatings!$K$10,((LeagueRatings!$K$10-Y75)/LeagueRatings!$K$10)*36,(LeagueRatings!$K$10-Y75)*6.48)</f>
        <v>1.7953758523250762</v>
      </c>
      <c r="AA75" s="16">
        <f>INDEX('C-P-RollAdj'!$B$4:$B$76,MATCH(INT(Z75),'C-P-RollAdj'!$A$4:$A$76,FALSE),0)</f>
        <v>-0.08</v>
      </c>
      <c r="AB75" s="16">
        <f t="shared" si="10"/>
        <v>1.1764705882352942</v>
      </c>
      <c r="AC75" s="6">
        <f>IF(AB75&lt;LeagueRatings!$K$8,((LeagueRatings!$K$8-AB75)/LeagueRatings!$K$8)*36,(LeagueRatings!$K$8-AB75)/LeagueRatings!$K$11)</f>
        <v>22.773872248285812</v>
      </c>
      <c r="AD75" s="16">
        <f>INDEX('C-P-RollAdj'!$F$4:$F$76,MATCH(INT(AC75),'C-P-RollAdj'!$E$4:$E$76,FALSE),0)</f>
        <v>-1.78</v>
      </c>
      <c r="AE75" s="17">
        <f>+((LeagueRatings!$I$6-E75)*5)+9.5</f>
        <v>1.4080514552774019</v>
      </c>
      <c r="AF75" s="17">
        <f t="shared" si="11"/>
        <v>4</v>
      </c>
      <c r="AG75" s="17">
        <f t="shared" si="12"/>
        <v>0.20034642797944618</v>
      </c>
      <c r="AH75" s="4">
        <f t="shared" si="13"/>
        <v>2.3403464279794459</v>
      </c>
      <c r="AI75" s="41" t="s">
        <v>816</v>
      </c>
      <c r="AJ75" s="7" t="s">
        <v>78</v>
      </c>
      <c r="AK75" s="219">
        <f>INDEX('C-P-RollAdj'!$J$4:$J$76,MATCH(INT(Z75),'C-P-RollAdj'!$I$4:$I$76,FALSE),0)</f>
        <v>11</v>
      </c>
      <c r="AL75" s="219">
        <f>INDEX('C-P-RollAdj'!$J$4:$J$76,MATCH(INT(AC75),'C-P-RollAdj'!$I$4:$I$76,FALSE),0)</f>
        <v>44</v>
      </c>
      <c r="AM75" s="14">
        <f>+AR75*LeagueRatings!$K$27</f>
        <v>33.888888888888893</v>
      </c>
      <c r="AN75" s="72">
        <f>F75*LeagueRatings!$K$27</f>
        <v>27.777777777777779</v>
      </c>
      <c r="AO75" s="72">
        <f>G75*LeagueRatings!$K$27</f>
        <v>1.6666666666666667</v>
      </c>
      <c r="AP75" s="72">
        <f>T75*LeagueRatings!$K$27</f>
        <v>142.22222222222223</v>
      </c>
      <c r="AR75" s="72">
        <f t="shared" si="14"/>
        <v>61</v>
      </c>
      <c r="AS75" s="113"/>
      <c r="AT75" s="113"/>
      <c r="AU75" s="113"/>
      <c r="AW75" s="97">
        <v>16.670000000000002</v>
      </c>
    </row>
    <row r="76" spans="1:49" s="29" customFormat="1" x14ac:dyDescent="0.2">
      <c r="A76" s="41" t="s">
        <v>795</v>
      </c>
      <c r="B76" s="76" t="s">
        <v>149</v>
      </c>
      <c r="C76" s="76">
        <v>1</v>
      </c>
      <c r="D76" s="76">
        <v>0</v>
      </c>
      <c r="E76" s="97">
        <v>3.51</v>
      </c>
      <c r="F76" s="76">
        <v>21</v>
      </c>
      <c r="G76" s="76">
        <v>0</v>
      </c>
      <c r="H76" s="76">
        <v>0</v>
      </c>
      <c r="I76" s="76">
        <v>0</v>
      </c>
      <c r="J76" s="76">
        <v>0</v>
      </c>
      <c r="K76" s="76">
        <v>0</v>
      </c>
      <c r="L76" s="258">
        <f>INDEX('C-P-RollAdj'!$P$4:$P$900,MATCH((U76),'C-P-RollAdj'!$O$4:$O$900,FALSE),0)</f>
        <v>25.67</v>
      </c>
      <c r="M76" s="76">
        <v>25</v>
      </c>
      <c r="N76" s="76">
        <v>11</v>
      </c>
      <c r="O76" s="76">
        <v>10</v>
      </c>
      <c r="P76" s="76">
        <v>2</v>
      </c>
      <c r="Q76" s="76">
        <v>12</v>
      </c>
      <c r="R76" s="76">
        <v>1</v>
      </c>
      <c r="S76" s="76">
        <v>20</v>
      </c>
      <c r="T76" s="76">
        <v>112</v>
      </c>
      <c r="U76" s="76">
        <v>25.2</v>
      </c>
      <c r="V76" s="100">
        <v>0.253</v>
      </c>
      <c r="W76" s="76">
        <v>1.44</v>
      </c>
      <c r="X76" s="50"/>
      <c r="Y76" s="50">
        <f t="shared" si="9"/>
        <v>9.9099099099099099</v>
      </c>
      <c r="Z76" s="6">
        <f>IF(Y76&lt;LeagueRatings!$K$10,((LeagueRatings!$K$10-Y76)/LeagueRatings!$K$10)*36,(LeagueRatings!$K$10-Y76)*6.48)</f>
        <v>-8.0504357220225558</v>
      </c>
      <c r="AA76" s="16">
        <f>INDEX('C-P-RollAdj'!$B$4:$B$76,MATCH(INT(Z76),'C-P-RollAdj'!$A$4:$A$76,FALSE),0)</f>
        <v>0.87000000000000011</v>
      </c>
      <c r="AB76" s="16">
        <f t="shared" si="10"/>
        <v>1.8018018018018018</v>
      </c>
      <c r="AC76" s="6">
        <f>IF(AB76&lt;LeagueRatings!$K$8,((LeagueRatings!$K$8-AB76)/LeagueRatings!$K$8)*36,(LeagueRatings!$K$8-AB76)/LeagueRatings!$K$11)</f>
        <v>15.743768308185487</v>
      </c>
      <c r="AD76" s="16">
        <f>INDEX('C-P-RollAdj'!$F$4:$F$76,MATCH(INT(AC76),'C-P-RollAdj'!$E$4:$E$76,FALSE),0)</f>
        <v>-1.1400000000000001</v>
      </c>
      <c r="AE76" s="17">
        <f>+((LeagueRatings!$I$6-E76)*5)+9.5</f>
        <v>12.958051455277404</v>
      </c>
      <c r="AF76" s="17">
        <f t="shared" si="11"/>
        <v>12.958051455277404</v>
      </c>
      <c r="AG76" s="17">
        <f t="shared" si="12"/>
        <v>0.1127035449941573</v>
      </c>
      <c r="AH76" s="4">
        <f t="shared" si="13"/>
        <v>12.800755000271563</v>
      </c>
      <c r="AI76" s="41" t="s">
        <v>795</v>
      </c>
      <c r="AJ76" s="60" t="s">
        <v>16</v>
      </c>
      <c r="AK76" s="219">
        <f>INDEX('C-P-RollAdj'!$J$4:$J$76,MATCH(INT(Z76),'C-P-RollAdj'!$I$4:$I$76,FALSE),0)</f>
        <v>-23</v>
      </c>
      <c r="AL76" s="219">
        <f>INDEX('C-P-RollAdj'!$J$4:$J$76,MATCH(INT(AC76),'C-P-RollAdj'!$I$4:$I$76,FALSE),0)</f>
        <v>33</v>
      </c>
      <c r="AM76" s="14">
        <f>+AR76*LeagueRatings!$K$27</f>
        <v>14.444444444444445</v>
      </c>
      <c r="AN76" s="72">
        <f>F76*LeagueRatings!$K$27</f>
        <v>11.666666666666668</v>
      </c>
      <c r="AO76" s="72">
        <f>G76*LeagueRatings!$K$27</f>
        <v>0</v>
      </c>
      <c r="AP76" s="72">
        <f>T76*LeagueRatings!$K$27</f>
        <v>62.222222222222229</v>
      </c>
      <c r="AR76" s="72">
        <f t="shared" si="14"/>
        <v>26</v>
      </c>
      <c r="AS76" s="113"/>
      <c r="AT76" s="113"/>
      <c r="AU76" s="113"/>
      <c r="AW76" s="97">
        <v>38.33</v>
      </c>
    </row>
    <row r="77" spans="1:49" s="29" customFormat="1" x14ac:dyDescent="0.2">
      <c r="A77" s="41" t="s">
        <v>569</v>
      </c>
      <c r="B77" s="76" t="s">
        <v>149</v>
      </c>
      <c r="C77" s="76">
        <v>1</v>
      </c>
      <c r="D77" s="76">
        <v>3</v>
      </c>
      <c r="E77" s="97">
        <v>7.11</v>
      </c>
      <c r="F77" s="76">
        <v>54</v>
      </c>
      <c r="G77" s="76">
        <v>0</v>
      </c>
      <c r="H77" s="76">
        <v>0</v>
      </c>
      <c r="I77" s="76">
        <v>0</v>
      </c>
      <c r="J77" s="76">
        <v>0</v>
      </c>
      <c r="K77" s="76">
        <v>1</v>
      </c>
      <c r="L77" s="258">
        <f>INDEX('C-P-RollAdj'!$P$4:$P$900,MATCH((U77),'C-P-RollAdj'!$O$4:$O$900,FALSE),0)</f>
        <v>49.33</v>
      </c>
      <c r="M77" s="76">
        <v>57</v>
      </c>
      <c r="N77" s="76">
        <v>41</v>
      </c>
      <c r="O77" s="76">
        <v>39</v>
      </c>
      <c r="P77" s="76">
        <v>12</v>
      </c>
      <c r="Q77" s="76">
        <v>21</v>
      </c>
      <c r="R77" s="76">
        <v>2</v>
      </c>
      <c r="S77" s="76">
        <v>49</v>
      </c>
      <c r="T77" s="76">
        <v>224</v>
      </c>
      <c r="U77" s="76">
        <v>49.1</v>
      </c>
      <c r="V77" s="100">
        <v>0.29099999999999998</v>
      </c>
      <c r="W77" s="76">
        <v>1.58</v>
      </c>
      <c r="X77" s="50"/>
      <c r="Y77" s="50">
        <f t="shared" si="9"/>
        <v>8.5585585585585591</v>
      </c>
      <c r="Z77" s="6">
        <f>IF(Y77&lt;LeagueRatings!$K$10,((LeagueRatings!$K$10-Y77)/LeagueRatings!$K$10)*36,(LeagueRatings!$K$10-Y77)*6.48)</f>
        <v>0.45272329569175634</v>
      </c>
      <c r="AA77" s="16">
        <f>INDEX('C-P-RollAdj'!$B$4:$B$76,MATCH(INT(Z77),'C-P-RollAdj'!$A$4:$A$76,FALSE),0)</f>
        <v>0</v>
      </c>
      <c r="AB77" s="16">
        <f t="shared" si="10"/>
        <v>5.4054054054054053</v>
      </c>
      <c r="AC77" s="6">
        <f>IF(AB77&lt;LeagueRatings!$K$8,((LeagueRatings!$K$8-AB77)/LeagueRatings!$K$8)*36,(LeagueRatings!$K$8-AB77)/LeagueRatings!$K$11)</f>
        <v>-17.494307017658002</v>
      </c>
      <c r="AD77" s="16">
        <f>INDEX('C-P-RollAdj'!$F$4:$F$76,MATCH(INT(AC77),'C-P-RollAdj'!$E$4:$E$76,FALSE),0)</f>
        <v>1.8900000000000001</v>
      </c>
      <c r="AE77" s="17">
        <f>+((LeagueRatings!$I$6-E77)*5)+9.5</f>
        <v>-5.0419485447225973</v>
      </c>
      <c r="AF77" s="17">
        <f t="shared" si="11"/>
        <v>4</v>
      </c>
      <c r="AG77" s="17">
        <f t="shared" si="12"/>
        <v>-0.77741739306709912</v>
      </c>
      <c r="AH77" s="4">
        <f t="shared" si="13"/>
        <v>5.1125826069329019</v>
      </c>
      <c r="AI77" s="41" t="s">
        <v>569</v>
      </c>
      <c r="AJ77" s="5" t="s">
        <v>24</v>
      </c>
      <c r="AK77" s="219">
        <f>INDEX('C-P-RollAdj'!$J$4:$J$76,MATCH(INT(Z77),'C-P-RollAdj'!$I$4:$I$76,FALSE),0)</f>
        <v>0</v>
      </c>
      <c r="AL77" s="219">
        <f>INDEX('C-P-RollAdj'!$J$4:$J$76,MATCH(INT(AC77),'C-P-RollAdj'!$I$4:$I$76,FALSE),0)</f>
        <v>-36</v>
      </c>
      <c r="AM77" s="14">
        <f>+AR77*LeagueRatings!$K$27</f>
        <v>27.777777777777779</v>
      </c>
      <c r="AN77" s="72">
        <f>F77*LeagueRatings!$K$27</f>
        <v>30</v>
      </c>
      <c r="AO77" s="72">
        <f>G77*LeagueRatings!$K$27</f>
        <v>0</v>
      </c>
      <c r="AP77" s="72">
        <f>T77*LeagueRatings!$K$27</f>
        <v>124.44444444444446</v>
      </c>
      <c r="AR77" s="72">
        <f t="shared" si="14"/>
        <v>50</v>
      </c>
      <c r="AS77" s="113"/>
      <c r="AT77" s="113"/>
      <c r="AU77" s="113"/>
      <c r="AW77" s="97">
        <v>35.33</v>
      </c>
    </row>
    <row r="78" spans="1:49" x14ac:dyDescent="0.2">
      <c r="A78" s="41" t="s">
        <v>831</v>
      </c>
      <c r="B78" s="76" t="s">
        <v>149</v>
      </c>
      <c r="C78" s="76">
        <v>4</v>
      </c>
      <c r="D78" s="76">
        <v>2</v>
      </c>
      <c r="E78" s="97">
        <v>3.38</v>
      </c>
      <c r="F78" s="76">
        <v>14</v>
      </c>
      <c r="G78" s="76">
        <v>13</v>
      </c>
      <c r="H78" s="76">
        <v>0</v>
      </c>
      <c r="I78" s="76">
        <v>0</v>
      </c>
      <c r="J78" s="76">
        <v>0</v>
      </c>
      <c r="K78" s="76">
        <v>0</v>
      </c>
      <c r="L78" s="258">
        <f>INDEX('C-P-RollAdj'!$P$4:$P$900,MATCH((U78),'C-P-RollAdj'!$O$4:$O$900,FALSE),0)</f>
        <v>69.33</v>
      </c>
      <c r="M78" s="76">
        <v>75</v>
      </c>
      <c r="N78" s="76">
        <v>30</v>
      </c>
      <c r="O78" s="76">
        <v>26</v>
      </c>
      <c r="P78" s="76">
        <v>10</v>
      </c>
      <c r="Q78" s="76">
        <v>22</v>
      </c>
      <c r="R78" s="76">
        <v>0</v>
      </c>
      <c r="S78" s="76">
        <v>71</v>
      </c>
      <c r="T78" s="76">
        <v>302</v>
      </c>
      <c r="U78" s="76">
        <v>69.099999999999994</v>
      </c>
      <c r="V78" s="100">
        <v>0.27100000000000002</v>
      </c>
      <c r="W78" s="76">
        <v>1.4</v>
      </c>
      <c r="X78" s="50"/>
      <c r="Y78" s="50">
        <f t="shared" si="9"/>
        <v>7.2847682119205297</v>
      </c>
      <c r="Z78" s="6">
        <f>IF(Y78&lt;LeagueRatings!$K$10,((LeagueRatings!$K$10-Y78)/LeagueRatings!$K$10)*36,(LeagueRatings!$K$10-Y78)*6.48)</f>
        <v>5.7433078731541567</v>
      </c>
      <c r="AA78" s="16">
        <f>INDEX('C-P-RollAdj'!$B$4:$B$76,MATCH(INT(Z78),'C-P-RollAdj'!$A$4:$A$76,FALSE),0)</f>
        <v>-0.4</v>
      </c>
      <c r="AB78" s="16">
        <f t="shared" si="10"/>
        <v>3.3112582781456954</v>
      </c>
      <c r="AC78" s="6">
        <f>IF(AB78&lt;LeagueRatings!$K$8,((LeagueRatings!$K$8-AB78)/LeagueRatings!$K$8)*36,(LeagueRatings!$K$8-AB78)/LeagueRatings!$K$11)</f>
        <v>-0.86583106684054534</v>
      </c>
      <c r="AD78" s="16">
        <f>INDEX('C-P-RollAdj'!$F$4:$F$76,MATCH(INT(AC78),'C-P-RollAdj'!$E$4:$E$76,FALSE),0)</f>
        <v>0.08</v>
      </c>
      <c r="AE78" s="17">
        <f>+((LeagueRatings!$I$6-E78)*5)+9.5</f>
        <v>13.608051455277405</v>
      </c>
      <c r="AF78" s="17">
        <f t="shared" si="11"/>
        <v>13.608051455277405</v>
      </c>
      <c r="AG78" s="17">
        <f t="shared" si="12"/>
        <v>-0.40891389009086954</v>
      </c>
      <c r="AH78" s="4">
        <f t="shared" si="13"/>
        <v>12.879137565186536</v>
      </c>
      <c r="AI78" s="41" t="s">
        <v>831</v>
      </c>
      <c r="AJ78" s="5" t="s">
        <v>16</v>
      </c>
      <c r="AK78" s="219">
        <f>INDEX('C-P-RollAdj'!$J$4:$J$76,MATCH(INT(Z78),'C-P-RollAdj'!$I$4:$I$76,FALSE),0)</f>
        <v>15</v>
      </c>
      <c r="AL78" s="219">
        <f>INDEX('C-P-RollAdj'!$J$4:$J$76,MATCH(INT(AC78),'C-P-RollAdj'!$I$4:$I$76,FALSE),0)</f>
        <v>-11</v>
      </c>
      <c r="AM78" s="14">
        <f>+AR78*LeagueRatings!$K$27</f>
        <v>38.888888888888893</v>
      </c>
      <c r="AN78" s="72">
        <f>F78*LeagueRatings!$K$27</f>
        <v>7.7777777777777786</v>
      </c>
      <c r="AO78" s="72">
        <f>G78*LeagueRatings!$K$27</f>
        <v>7.2222222222222223</v>
      </c>
      <c r="AP78" s="72">
        <f>T78*LeagueRatings!$K$27</f>
        <v>167.77777777777777</v>
      </c>
      <c r="AR78" s="72">
        <f t="shared" si="14"/>
        <v>70</v>
      </c>
      <c r="AW78" s="97">
        <v>208.67</v>
      </c>
    </row>
    <row r="79" spans="1:49" x14ac:dyDescent="0.2">
      <c r="A79" s="41" t="s">
        <v>578</v>
      </c>
      <c r="B79" s="76" t="s">
        <v>149</v>
      </c>
      <c r="C79" s="76">
        <v>4</v>
      </c>
      <c r="D79" s="76">
        <v>10</v>
      </c>
      <c r="E79" s="97">
        <v>5.07</v>
      </c>
      <c r="F79" s="76">
        <v>24</v>
      </c>
      <c r="G79" s="76">
        <v>22</v>
      </c>
      <c r="H79" s="76">
        <v>0</v>
      </c>
      <c r="I79" s="76">
        <v>0</v>
      </c>
      <c r="J79" s="76">
        <v>0</v>
      </c>
      <c r="K79" s="76">
        <v>0</v>
      </c>
      <c r="L79" s="258">
        <f>INDEX('C-P-RollAdj'!$P$4:$P$900,MATCH((U79),'C-P-RollAdj'!$O$4:$O$900,FALSE),0)</f>
        <v>119</v>
      </c>
      <c r="M79" s="76">
        <v>160</v>
      </c>
      <c r="N79" s="76">
        <v>76</v>
      </c>
      <c r="O79" s="76">
        <v>67</v>
      </c>
      <c r="P79" s="76">
        <v>15</v>
      </c>
      <c r="Q79" s="76">
        <v>46</v>
      </c>
      <c r="R79" s="76">
        <v>0</v>
      </c>
      <c r="S79" s="76">
        <v>56</v>
      </c>
      <c r="T79" s="76">
        <v>541</v>
      </c>
      <c r="U79" s="76">
        <v>119</v>
      </c>
      <c r="V79" s="100">
        <v>0.33200000000000002</v>
      </c>
      <c r="W79" s="76">
        <v>1.73</v>
      </c>
      <c r="X79" s="50"/>
      <c r="Y79" s="50">
        <f t="shared" si="9"/>
        <v>8.502772643253234</v>
      </c>
      <c r="Z79" s="6">
        <f>IF(Y79&lt;LeagueRatings!$K$10,((LeagueRatings!$K$10-Y79)/LeagueRatings!$K$10)*36,(LeagueRatings!$K$10-Y79)*6.48)</f>
        <v>0.68442555653315196</v>
      </c>
      <c r="AA79" s="16">
        <f>INDEX('C-P-RollAdj'!$B$4:$B$76,MATCH(INT(Z79),'C-P-RollAdj'!$A$4:$A$76,FALSE),0)</f>
        <v>0</v>
      </c>
      <c r="AB79" s="16">
        <f t="shared" si="10"/>
        <v>2.7726432532347505</v>
      </c>
      <c r="AC79" s="6">
        <f>IF(AB79&lt;LeagueRatings!$K$8,((LeagueRatings!$K$8-AB79)/LeagueRatings!$K$8)*36,(LeagueRatings!$K$8-AB79)/LeagueRatings!$K$11)</f>
        <v>4.8293662043704577</v>
      </c>
      <c r="AD79" s="16">
        <f>INDEX('C-P-RollAdj'!$F$4:$F$76,MATCH(INT(AC79),'C-P-RollAdj'!$E$4:$E$76,FALSE),0)</f>
        <v>-0.28000000000000003</v>
      </c>
      <c r="AE79" s="17">
        <f>+((LeagueRatings!$I$6-E79)*5)+9.5</f>
        <v>5.1580514552774019</v>
      </c>
      <c r="AF79" s="17">
        <f t="shared" si="11"/>
        <v>5.1580514552774019</v>
      </c>
      <c r="AG79" s="17">
        <f t="shared" si="12"/>
        <v>-1.7226890756302526</v>
      </c>
      <c r="AH79" s="4">
        <f t="shared" si="13"/>
        <v>3.1553623796471491</v>
      </c>
      <c r="AI79" s="41" t="s">
        <v>578</v>
      </c>
      <c r="AJ79" s="5" t="s">
        <v>60</v>
      </c>
      <c r="AK79" s="219">
        <f>INDEX('C-P-RollAdj'!$J$4:$J$76,MATCH(INT(Z79),'C-P-RollAdj'!$I$4:$I$76,FALSE),0)</f>
        <v>0</v>
      </c>
      <c r="AL79" s="219">
        <f>INDEX('C-P-RollAdj'!$J$4:$J$76,MATCH(INT(AC79),'C-P-RollAdj'!$I$4:$I$76,FALSE),0)</f>
        <v>14</v>
      </c>
      <c r="AM79" s="14">
        <f>+AR79*LeagueRatings!$K$27</f>
        <v>66.111111111111114</v>
      </c>
      <c r="AN79" s="72">
        <f>F79*LeagueRatings!$K$27</f>
        <v>13.333333333333334</v>
      </c>
      <c r="AO79" s="72">
        <f>G79*LeagueRatings!$K$27</f>
        <v>12.222222222222223</v>
      </c>
      <c r="AP79" s="72">
        <f>T79*LeagueRatings!$K$27</f>
        <v>300.55555555555554</v>
      </c>
      <c r="AR79" s="72">
        <f t="shared" si="14"/>
        <v>119</v>
      </c>
      <c r="AW79" s="97">
        <v>177</v>
      </c>
    </row>
    <row r="80" spans="1:49" x14ac:dyDescent="0.2">
      <c r="A80" s="41" t="s">
        <v>400</v>
      </c>
      <c r="B80" s="76" t="s">
        <v>149</v>
      </c>
      <c r="C80" s="76">
        <v>3</v>
      </c>
      <c r="D80" s="76">
        <v>4</v>
      </c>
      <c r="E80" s="97">
        <v>3.24</v>
      </c>
      <c r="F80" s="76">
        <v>61</v>
      </c>
      <c r="G80" s="76">
        <v>0</v>
      </c>
      <c r="H80" s="76">
        <v>0</v>
      </c>
      <c r="I80" s="76">
        <v>0</v>
      </c>
      <c r="J80" s="76">
        <v>44</v>
      </c>
      <c r="K80" s="76">
        <v>49</v>
      </c>
      <c r="L80" s="258">
        <f>INDEX('C-P-RollAdj'!$P$4:$P$900,MATCH((U80),'C-P-RollAdj'!$O$4:$O$900,FALSE),0)</f>
        <v>58.33</v>
      </c>
      <c r="M80" s="76">
        <v>45</v>
      </c>
      <c r="N80" s="76">
        <v>24</v>
      </c>
      <c r="O80" s="76">
        <v>21</v>
      </c>
      <c r="P80" s="76">
        <v>6</v>
      </c>
      <c r="Q80" s="76">
        <v>21</v>
      </c>
      <c r="R80" s="76">
        <v>1</v>
      </c>
      <c r="S80" s="76">
        <v>52</v>
      </c>
      <c r="T80" s="76">
        <v>235</v>
      </c>
      <c r="U80" s="76">
        <v>58.1</v>
      </c>
      <c r="V80" s="100">
        <v>0.214</v>
      </c>
      <c r="W80" s="76">
        <v>1.1299999999999999</v>
      </c>
      <c r="X80" s="50"/>
      <c r="Y80" s="50">
        <f t="shared" si="9"/>
        <v>8.5470085470085468</v>
      </c>
      <c r="Z80" s="6">
        <f>IF(Y80&lt;LeagueRatings!$K$10,((LeagueRatings!$K$10-Y80)/LeagueRatings!$K$10)*36,(LeagueRatings!$K$10-Y80)*6.48)</f>
        <v>0.50069532903090663</v>
      </c>
      <c r="AA80" s="16">
        <f>INDEX('C-P-RollAdj'!$B$4:$B$76,MATCH(INT(Z80),'C-P-RollAdj'!$A$4:$A$76,FALSE),0)</f>
        <v>0</v>
      </c>
      <c r="AB80" s="16">
        <f t="shared" si="10"/>
        <v>2.5641025641025639</v>
      </c>
      <c r="AC80" s="6">
        <f>IF(AB80&lt;LeagueRatings!$K$8,((LeagueRatings!$K$8-AB80)/LeagueRatings!$K$8)*36,(LeagueRatings!$K$8-AB80)/LeagueRatings!$K$11)</f>
        <v>7.1738241308793498</v>
      </c>
      <c r="AD80" s="16">
        <f>INDEX('C-P-RollAdj'!$F$4:$F$76,MATCH(INT(AC80),'C-P-RollAdj'!$E$4:$E$76,FALSE),0)</f>
        <v>-0.49000000000000005</v>
      </c>
      <c r="AE80" s="17">
        <f>+((LeagueRatings!$I$6-E80)*5)+9.5</f>
        <v>14.308051455277402</v>
      </c>
      <c r="AF80" s="17">
        <f t="shared" si="11"/>
        <v>14.308051455277402</v>
      </c>
      <c r="AG80" s="17">
        <f t="shared" si="12"/>
        <v>1.5296914109377679</v>
      </c>
      <c r="AH80" s="4">
        <f t="shared" si="13"/>
        <v>15.347742866215171</v>
      </c>
      <c r="AI80" s="41" t="s">
        <v>400</v>
      </c>
      <c r="AJ80" s="5" t="s">
        <v>14</v>
      </c>
      <c r="AK80" s="219">
        <f>INDEX('C-P-RollAdj'!$J$4:$J$76,MATCH(INT(Z80),'C-P-RollAdj'!$I$4:$I$76,FALSE),0)</f>
        <v>0</v>
      </c>
      <c r="AL80" s="219">
        <f>INDEX('C-P-RollAdj'!$J$4:$J$76,MATCH(INT(AC80),'C-P-RollAdj'!$I$4:$I$76,FALSE),0)</f>
        <v>21</v>
      </c>
      <c r="AM80" s="14">
        <f>+AR80*LeagueRatings!$K$27</f>
        <v>32.777777777777779</v>
      </c>
      <c r="AN80" s="72">
        <f>F80*LeagueRatings!$K$27</f>
        <v>33.888888888888893</v>
      </c>
      <c r="AO80" s="72">
        <f>G80*LeagueRatings!$K$27</f>
        <v>0</v>
      </c>
      <c r="AP80" s="72">
        <f>T80*LeagueRatings!$K$27</f>
        <v>130.55555555555557</v>
      </c>
      <c r="AR80" s="72">
        <f t="shared" si="14"/>
        <v>59</v>
      </c>
      <c r="AW80" s="97">
        <v>29.67</v>
      </c>
    </row>
    <row r="81" spans="1:49" x14ac:dyDescent="0.2">
      <c r="A81" s="41" t="s">
        <v>1181</v>
      </c>
      <c r="B81" s="76" t="s">
        <v>149</v>
      </c>
      <c r="C81" s="76">
        <v>5</v>
      </c>
      <c r="D81" s="76">
        <v>2</v>
      </c>
      <c r="E81" s="97">
        <v>2.97</v>
      </c>
      <c r="F81" s="76">
        <v>37</v>
      </c>
      <c r="G81" s="76">
        <v>0</v>
      </c>
      <c r="H81" s="76">
        <v>0</v>
      </c>
      <c r="I81" s="76">
        <v>0</v>
      </c>
      <c r="J81" s="76">
        <v>0</v>
      </c>
      <c r="K81" s="76">
        <v>2</v>
      </c>
      <c r="L81" s="258">
        <f>INDEX('C-P-RollAdj'!$P$4:$P$900,MATCH((U81),'C-P-RollAdj'!$O$4:$O$900,FALSE),0)</f>
        <v>36.33</v>
      </c>
      <c r="M81" s="76">
        <v>23</v>
      </c>
      <c r="N81" s="76">
        <v>12</v>
      </c>
      <c r="O81" s="76">
        <v>12</v>
      </c>
      <c r="P81" s="76">
        <v>5</v>
      </c>
      <c r="Q81" s="76">
        <v>12</v>
      </c>
      <c r="R81" s="76">
        <v>1</v>
      </c>
      <c r="S81" s="76">
        <v>45</v>
      </c>
      <c r="T81" s="76">
        <v>144</v>
      </c>
      <c r="U81" s="76">
        <v>36.1</v>
      </c>
      <c r="V81" s="100">
        <v>0.18099999999999999</v>
      </c>
      <c r="W81" s="76">
        <v>0.96</v>
      </c>
      <c r="X81" s="50"/>
      <c r="Y81" s="50">
        <f t="shared" si="9"/>
        <v>7.6923076923076925</v>
      </c>
      <c r="Z81" s="6">
        <f>IF(Y81&lt;LeagueRatings!$K$10,((LeagueRatings!$K$10-Y81)/LeagueRatings!$K$10)*36,(LeagueRatings!$K$10-Y81)*6.48)</f>
        <v>4.0506257961278145</v>
      </c>
      <c r="AA81" s="16">
        <f>INDEX('C-P-RollAdj'!$B$4:$B$76,MATCH(INT(Z81),'C-P-RollAdj'!$A$4:$A$76,FALSE),0)</f>
        <v>-0.32</v>
      </c>
      <c r="AB81" s="16">
        <f t="shared" si="10"/>
        <v>3.4965034965034967</v>
      </c>
      <c r="AC81" s="6">
        <f>IF(AB81&lt;LeagueRatings!$K$8,((LeagueRatings!$K$8-AB81)/LeagueRatings!$K$8)*36,(LeagueRatings!$K$8-AB81)/LeagueRatings!$K$11)</f>
        <v>-2.3367619381100364</v>
      </c>
      <c r="AD81" s="16">
        <f>INDEX('C-P-RollAdj'!$F$4:$F$76,MATCH(INT(AC81),'C-P-RollAdj'!$E$4:$E$76,FALSE),0)</f>
        <v>0.24</v>
      </c>
      <c r="AE81" s="17">
        <f>+((LeagueRatings!$I$6-E81)*5)+9.5</f>
        <v>15.658051455277402</v>
      </c>
      <c r="AF81" s="17">
        <f t="shared" si="11"/>
        <v>15.658051455277402</v>
      </c>
      <c r="AG81" s="17">
        <f t="shared" si="12"/>
        <v>2.4984007707129097</v>
      </c>
      <c r="AH81" s="4">
        <f t="shared" si="13"/>
        <v>18.076452225990312</v>
      </c>
      <c r="AI81" s="41" t="s">
        <v>1181</v>
      </c>
      <c r="AJ81" s="5" t="s">
        <v>63</v>
      </c>
      <c r="AK81" s="219">
        <f>INDEX('C-P-RollAdj'!$J$4:$J$76,MATCH(INT(Z81),'C-P-RollAdj'!$I$4:$I$76,FALSE),0)</f>
        <v>14</v>
      </c>
      <c r="AL81" s="219">
        <f>INDEX('C-P-RollAdj'!$J$4:$J$76,MATCH(INT(AC81),'C-P-RollAdj'!$I$4:$I$76,FALSE),0)</f>
        <v>-13</v>
      </c>
      <c r="AM81" s="14">
        <f>+AR81*LeagueRatings!$K$27</f>
        <v>20.555555555555557</v>
      </c>
      <c r="AN81" s="72">
        <f>F81*LeagueRatings!$K$27</f>
        <v>20.555555555555557</v>
      </c>
      <c r="AO81" s="72">
        <f>G81*LeagueRatings!$K$27</f>
        <v>0</v>
      </c>
      <c r="AP81" s="72">
        <f>T81*LeagueRatings!$K$27</f>
        <v>80</v>
      </c>
      <c r="AR81" s="72">
        <f t="shared" si="14"/>
        <v>37</v>
      </c>
      <c r="AW81" s="97">
        <v>28.67</v>
      </c>
    </row>
    <row r="82" spans="1:49" x14ac:dyDescent="0.2">
      <c r="A82" s="41" t="s">
        <v>796</v>
      </c>
      <c r="B82" s="76" t="s">
        <v>149</v>
      </c>
      <c r="C82" s="76">
        <v>4</v>
      </c>
      <c r="D82" s="76">
        <v>2</v>
      </c>
      <c r="E82" s="97">
        <v>3.07</v>
      </c>
      <c r="F82" s="76">
        <v>56</v>
      </c>
      <c r="G82" s="76">
        <v>0</v>
      </c>
      <c r="H82" s="76">
        <v>0</v>
      </c>
      <c r="I82" s="76">
        <v>0</v>
      </c>
      <c r="J82" s="76">
        <v>0</v>
      </c>
      <c r="K82" s="76">
        <v>1</v>
      </c>
      <c r="L82" s="258">
        <f>INDEX('C-P-RollAdj'!$P$4:$P$900,MATCH((U82),'C-P-RollAdj'!$O$4:$O$900,FALSE),0)</f>
        <v>55.67</v>
      </c>
      <c r="M82" s="76">
        <v>48</v>
      </c>
      <c r="N82" s="76">
        <v>21</v>
      </c>
      <c r="O82" s="76">
        <v>19</v>
      </c>
      <c r="P82" s="76">
        <v>2</v>
      </c>
      <c r="Q82" s="76">
        <v>15</v>
      </c>
      <c r="R82" s="76">
        <v>5</v>
      </c>
      <c r="S82" s="76">
        <v>35</v>
      </c>
      <c r="T82" s="76">
        <v>226</v>
      </c>
      <c r="U82" s="76">
        <v>55.2</v>
      </c>
      <c r="V82" s="100">
        <v>0.23400000000000001</v>
      </c>
      <c r="W82" s="76">
        <v>1.1299999999999999</v>
      </c>
      <c r="X82" s="50"/>
      <c r="Y82" s="50">
        <f t="shared" si="9"/>
        <v>4.5248868778280542</v>
      </c>
      <c r="Z82" s="6">
        <f>IF(Y82&lt;LeagueRatings!$K$10,((LeagueRatings!$K$10-Y82)/LeagueRatings!$K$10)*36,(LeagueRatings!$K$10-Y82)*6.48)</f>
        <v>17.206250468310479</v>
      </c>
      <c r="AA82" s="16">
        <f>INDEX('C-P-RollAdj'!$B$4:$B$76,MATCH(INT(Z82),'C-P-RollAdj'!$A$4:$A$76,FALSE),0)</f>
        <v>-1.49</v>
      </c>
      <c r="AB82" s="16">
        <f t="shared" si="10"/>
        <v>0.90497737556561098</v>
      </c>
      <c r="AC82" s="6">
        <f>IF(AB82&lt;LeagueRatings!$K$8,((LeagueRatings!$K$8-AB82)/LeagueRatings!$K$8)*36,(LeagueRatings!$K$8-AB82)/LeagueRatings!$K$11)</f>
        <v>25.826055575604475</v>
      </c>
      <c r="AD82" s="16">
        <f>INDEX('C-P-RollAdj'!$F$4:$F$76,MATCH(INT(AC82),'C-P-RollAdj'!$E$4:$E$76,FALSE),0)</f>
        <v>-2.08</v>
      </c>
      <c r="AE82" s="17">
        <f>+((LeagueRatings!$I$6-E82)*5)+9.5</f>
        <v>15.158051455277404</v>
      </c>
      <c r="AF82" s="17">
        <f t="shared" si="11"/>
        <v>15.158051455277404</v>
      </c>
      <c r="AG82" s="17">
        <f t="shared" si="12"/>
        <v>0.89443326746901364</v>
      </c>
      <c r="AH82" s="4">
        <f t="shared" si="13"/>
        <v>12.482484722746417</v>
      </c>
      <c r="AI82" s="41" t="s">
        <v>796</v>
      </c>
      <c r="AJ82" s="5" t="s">
        <v>16</v>
      </c>
      <c r="AK82" s="219">
        <f>INDEX('C-P-RollAdj'!$J$4:$J$76,MATCH(INT(Z82),'C-P-RollAdj'!$I$4:$I$76,FALSE),0)</f>
        <v>35</v>
      </c>
      <c r="AL82" s="219">
        <f>INDEX('C-P-RollAdj'!$J$4:$J$76,MATCH(INT(AC82),'C-P-RollAdj'!$I$4:$I$76,FALSE),0)</f>
        <v>51</v>
      </c>
      <c r="AM82" s="14">
        <f>+AR82*LeagueRatings!$K$27</f>
        <v>31.111111111111114</v>
      </c>
      <c r="AN82" s="72">
        <f>F82*LeagueRatings!$K$27</f>
        <v>31.111111111111114</v>
      </c>
      <c r="AO82" s="72">
        <f>G82*LeagueRatings!$K$27</f>
        <v>0</v>
      </c>
      <c r="AP82" s="72">
        <f>T82*LeagueRatings!$K$27</f>
        <v>125.55555555555556</v>
      </c>
      <c r="AR82" s="72">
        <f t="shared" si="14"/>
        <v>56</v>
      </c>
      <c r="AW82" s="97">
        <v>182</v>
      </c>
    </row>
    <row r="83" spans="1:49" s="26" customFormat="1" x14ac:dyDescent="0.2">
      <c r="A83" s="41" t="s">
        <v>537</v>
      </c>
      <c r="B83" s="76" t="s">
        <v>149</v>
      </c>
      <c r="C83" s="76">
        <v>7</v>
      </c>
      <c r="D83" s="76">
        <v>13</v>
      </c>
      <c r="E83" s="97">
        <v>5.87</v>
      </c>
      <c r="F83" s="76">
        <v>35</v>
      </c>
      <c r="G83" s="76">
        <v>26</v>
      </c>
      <c r="H83" s="76">
        <v>0</v>
      </c>
      <c r="I83" s="76">
        <v>0</v>
      </c>
      <c r="J83" s="76">
        <v>0</v>
      </c>
      <c r="K83" s="76">
        <v>0</v>
      </c>
      <c r="L83" s="258">
        <f>INDEX('C-P-RollAdj'!$P$4:$P$900,MATCH((U83),'C-P-RollAdj'!$O$4:$O$900,FALSE),0)</f>
        <v>153.32999999999998</v>
      </c>
      <c r="M83" s="76">
        <v>171</v>
      </c>
      <c r="N83" s="76">
        <v>108</v>
      </c>
      <c r="O83" s="76">
        <v>100</v>
      </c>
      <c r="P83" s="76">
        <v>30</v>
      </c>
      <c r="Q83" s="76">
        <v>53</v>
      </c>
      <c r="R83" s="76">
        <v>1</v>
      </c>
      <c r="S83" s="76">
        <v>135</v>
      </c>
      <c r="T83" s="76">
        <v>668</v>
      </c>
      <c r="U83" s="76">
        <v>153.1</v>
      </c>
      <c r="V83" s="100">
        <v>0.28499999999999998</v>
      </c>
      <c r="W83" s="76">
        <v>1.46</v>
      </c>
      <c r="X83" s="50"/>
      <c r="Y83" s="50">
        <f t="shared" si="9"/>
        <v>7.7961019490254868</v>
      </c>
      <c r="Z83" s="6">
        <f>IF(Y83&lt;LeagueRatings!$K$10,((LeagueRatings!$K$10-Y83)/LeagueRatings!$K$10)*36,(LeagueRatings!$K$10-Y83)*6.48)</f>
        <v>3.6195247948761682</v>
      </c>
      <c r="AA83" s="16">
        <f>INDEX('C-P-RollAdj'!$B$4:$B$76,MATCH(INT(Z83),'C-P-RollAdj'!$A$4:$A$76,FALSE),0)</f>
        <v>-0.24</v>
      </c>
      <c r="AB83" s="16">
        <f t="shared" si="10"/>
        <v>4.497751124437781</v>
      </c>
      <c r="AC83" s="6">
        <f>IF(AB83&lt;LeagueRatings!$K$8,((LeagueRatings!$K$8-AB83)/LeagueRatings!$K$8)*36,(LeagueRatings!$K$8-AB83)/LeagueRatings!$K$11)</f>
        <v>-10.287121244385027</v>
      </c>
      <c r="AD83" s="16">
        <f>INDEX('C-P-RollAdj'!$F$4:$F$76,MATCH(INT(AC83),'C-P-RollAdj'!$E$4:$E$76,FALSE),0)</f>
        <v>1.03</v>
      </c>
      <c r="AE83" s="17">
        <f>+((LeagueRatings!$I$6-E83)*5)+9.5</f>
        <v>1.1580514552774019</v>
      </c>
      <c r="AF83" s="17">
        <f t="shared" si="11"/>
        <v>4</v>
      </c>
      <c r="AG83" s="17">
        <f t="shared" si="12"/>
        <v>-0.5762081784386619</v>
      </c>
      <c r="AH83" s="4">
        <f t="shared" si="13"/>
        <v>4.2137918215613386</v>
      </c>
      <c r="AI83" s="41" t="s">
        <v>537</v>
      </c>
      <c r="AJ83" s="5" t="s">
        <v>19</v>
      </c>
      <c r="AK83" s="219">
        <f>INDEX('C-P-RollAdj'!$J$4:$J$76,MATCH(INT(Z83),'C-P-RollAdj'!$I$4:$I$76,FALSE),0)</f>
        <v>13</v>
      </c>
      <c r="AL83" s="219">
        <f>INDEX('C-P-RollAdj'!$J$4:$J$76,MATCH(INT(AC83),'C-P-RollAdj'!$I$4:$I$76,FALSE),0)</f>
        <v>-25</v>
      </c>
      <c r="AM83" s="14">
        <f>+AR83*LeagueRatings!$K$27</f>
        <v>85.555555555555557</v>
      </c>
      <c r="AN83" s="72">
        <f>F83*LeagueRatings!$K$27</f>
        <v>19.444444444444446</v>
      </c>
      <c r="AO83" s="72">
        <f>G83*LeagueRatings!$K$27</f>
        <v>14.444444444444445</v>
      </c>
      <c r="AP83" s="72">
        <f>T83*LeagueRatings!$K$27</f>
        <v>371.11111111111114</v>
      </c>
      <c r="AR83" s="72">
        <f t="shared" si="14"/>
        <v>154</v>
      </c>
      <c r="AS83" s="113"/>
      <c r="AT83" s="113"/>
      <c r="AU83" s="113"/>
      <c r="AW83" s="97">
        <v>214.33</v>
      </c>
    </row>
    <row r="84" spans="1:49" x14ac:dyDescent="0.2">
      <c r="A84" s="41" t="s">
        <v>540</v>
      </c>
      <c r="B84" s="76" t="s">
        <v>149</v>
      </c>
      <c r="C84" s="76">
        <v>16</v>
      </c>
      <c r="D84" s="76">
        <v>9</v>
      </c>
      <c r="E84" s="97">
        <v>3.04</v>
      </c>
      <c r="F84" s="76">
        <v>34</v>
      </c>
      <c r="G84" s="76">
        <v>34</v>
      </c>
      <c r="H84" s="76">
        <v>2</v>
      </c>
      <c r="I84" s="76">
        <v>0</v>
      </c>
      <c r="J84" s="76">
        <v>0</v>
      </c>
      <c r="K84" s="76">
        <v>0</v>
      </c>
      <c r="L84" s="258">
        <f>INDEX('C-P-RollAdj'!$P$4:$P$900,MATCH((U84),'C-P-RollAdj'!$O$4:$O$900,FALSE),0)</f>
        <v>227.67000000000002</v>
      </c>
      <c r="M84" s="76">
        <v>171</v>
      </c>
      <c r="N84" s="76">
        <v>81</v>
      </c>
      <c r="O84" s="76">
        <v>77</v>
      </c>
      <c r="P84" s="76">
        <v>30</v>
      </c>
      <c r="Q84" s="76">
        <v>57</v>
      </c>
      <c r="R84" s="76">
        <v>1</v>
      </c>
      <c r="S84" s="76">
        <v>254</v>
      </c>
      <c r="T84" s="76">
        <v>903</v>
      </c>
      <c r="U84" s="76">
        <v>227.2</v>
      </c>
      <c r="V84" s="100">
        <v>0.20699999999999999</v>
      </c>
      <c r="W84" s="76">
        <v>1</v>
      </c>
      <c r="X84" s="50"/>
      <c r="Y84" s="50">
        <f t="shared" si="9"/>
        <v>6.2084257206208431</v>
      </c>
      <c r="Z84" s="6">
        <f>IF(Y84&lt;LeagueRatings!$K$10,((LeagueRatings!$K$10-Y84)/LeagueRatings!$K$10)*36,(LeagueRatings!$K$10-Y84)*6.48)</f>
        <v>10.213808846542181</v>
      </c>
      <c r="AA84" s="16">
        <f>INDEX('C-P-RollAdj'!$B$4:$B$76,MATCH(INT(Z84),'C-P-RollAdj'!$A$4:$A$76,FALSE),0)</f>
        <v>-0.83000000000000007</v>
      </c>
      <c r="AB84" s="16">
        <f t="shared" si="10"/>
        <v>3.325942350332594</v>
      </c>
      <c r="AC84" s="6">
        <f>IF(AB84&lt;LeagueRatings!$K$8,((LeagueRatings!$K$8-AB84)/LeagueRatings!$K$8)*36,(LeagueRatings!$K$8-AB84)/LeagueRatings!$K$11)</f>
        <v>-0.98242924566068568</v>
      </c>
      <c r="AD84" s="16">
        <f>INDEX('C-P-RollAdj'!$F$4:$F$76,MATCH(INT(AC84),'C-P-RollAdj'!$E$4:$E$76,FALSE),0)</f>
        <v>0.08</v>
      </c>
      <c r="AE84" s="17">
        <f>+((LeagueRatings!$I$6-E84)*5)+9.5</f>
        <v>15.308051455277404</v>
      </c>
      <c r="AF84" s="17">
        <f t="shared" si="11"/>
        <v>15.308051455277404</v>
      </c>
      <c r="AG84" s="17">
        <f t="shared" si="12"/>
        <v>1.6723903017525366</v>
      </c>
      <c r="AH84" s="4">
        <f t="shared" si="13"/>
        <v>16.23044175702994</v>
      </c>
      <c r="AI84" s="41" t="s">
        <v>540</v>
      </c>
      <c r="AJ84" s="7" t="s">
        <v>31</v>
      </c>
      <c r="AK84" s="219">
        <f>INDEX('C-P-RollAdj'!$J$4:$J$76,MATCH(INT(Z84),'C-P-RollAdj'!$I$4:$I$76,FALSE),0)</f>
        <v>24</v>
      </c>
      <c r="AL84" s="219">
        <f>INDEX('C-P-RollAdj'!$J$4:$J$76,MATCH(INT(AC84),'C-P-RollAdj'!$I$4:$I$76,FALSE),0)</f>
        <v>-11</v>
      </c>
      <c r="AM84" s="14">
        <f>+AR84*LeagueRatings!$K$27</f>
        <v>126.66666666666667</v>
      </c>
      <c r="AN84" s="72">
        <f>F84*LeagueRatings!$K$27</f>
        <v>18.888888888888889</v>
      </c>
      <c r="AO84" s="72">
        <f>G84*LeagueRatings!$K$27</f>
        <v>18.888888888888889</v>
      </c>
      <c r="AP84" s="72">
        <f>T84*LeagueRatings!$K$27</f>
        <v>501.66666666666669</v>
      </c>
      <c r="AR84" s="72">
        <f t="shared" si="14"/>
        <v>228</v>
      </c>
      <c r="AW84" s="97">
        <v>76</v>
      </c>
    </row>
    <row r="85" spans="1:49" s="26" customFormat="1" x14ac:dyDescent="0.2">
      <c r="A85" s="41" t="s">
        <v>507</v>
      </c>
      <c r="B85" s="76" t="s">
        <v>149</v>
      </c>
      <c r="C85" s="76">
        <v>4</v>
      </c>
      <c r="D85" s="76">
        <v>0</v>
      </c>
      <c r="E85" s="97">
        <v>2.96</v>
      </c>
      <c r="F85" s="76">
        <v>62</v>
      </c>
      <c r="G85" s="76">
        <v>0</v>
      </c>
      <c r="H85" s="76">
        <v>0</v>
      </c>
      <c r="I85" s="76">
        <v>0</v>
      </c>
      <c r="J85" s="76">
        <v>0</v>
      </c>
      <c r="K85" s="76">
        <v>4</v>
      </c>
      <c r="L85" s="258">
        <f>INDEX('C-P-RollAdj'!$P$4:$P$900,MATCH((U85),'C-P-RollAdj'!$O$4:$O$900,FALSE),0)</f>
        <v>73</v>
      </c>
      <c r="M85" s="76">
        <v>68</v>
      </c>
      <c r="N85" s="76">
        <v>26</v>
      </c>
      <c r="O85" s="76">
        <v>24</v>
      </c>
      <c r="P85" s="76">
        <v>5</v>
      </c>
      <c r="Q85" s="76">
        <v>21</v>
      </c>
      <c r="R85" s="76">
        <v>5</v>
      </c>
      <c r="S85" s="76">
        <v>49</v>
      </c>
      <c r="T85" s="76">
        <v>297</v>
      </c>
      <c r="U85" s="76">
        <v>73</v>
      </c>
      <c r="V85" s="100">
        <v>0.252</v>
      </c>
      <c r="W85" s="76">
        <v>1.22</v>
      </c>
      <c r="X85" s="50"/>
      <c r="Y85" s="50">
        <f t="shared" si="9"/>
        <v>5.4794520547945202</v>
      </c>
      <c r="Z85" s="6">
        <f>IF(Y85&lt;LeagueRatings!$K$10,((LeagueRatings!$K$10-Y85)/LeagueRatings!$K$10)*36,(LeagueRatings!$K$10-Y85)*6.48)</f>
        <v>13.241541662995157</v>
      </c>
      <c r="AA85" s="16">
        <f>INDEX('C-P-RollAdj'!$B$4:$B$76,MATCH(INT(Z85),'C-P-RollAdj'!$A$4:$A$76,FALSE),0)</f>
        <v>-1.1000000000000001</v>
      </c>
      <c r="AB85" s="16">
        <f t="shared" si="10"/>
        <v>1.7123287671232876</v>
      </c>
      <c r="AC85" s="6">
        <f>IF(AB85&lt;LeagueRatings!$K$8,((LeagueRatings!$K$8-AB85)/LeagueRatings!$K$8)*36,(LeagueRatings!$K$8-AB85)/LeagueRatings!$K$11)</f>
        <v>16.74964282712833</v>
      </c>
      <c r="AD85" s="16">
        <f>INDEX('C-P-RollAdj'!$F$4:$F$76,MATCH(INT(AC85),'C-P-RollAdj'!$E$4:$E$76,FALSE),0)</f>
        <v>-1.23</v>
      </c>
      <c r="AE85" s="17">
        <f>+((LeagueRatings!$I$6-E85)*5)+9.5</f>
        <v>15.708051455277403</v>
      </c>
      <c r="AF85" s="17">
        <f t="shared" si="11"/>
        <v>15.708051455277403</v>
      </c>
      <c r="AG85" s="17">
        <f t="shared" si="12"/>
        <v>0.4094520547945209</v>
      </c>
      <c r="AH85" s="4">
        <f t="shared" si="13"/>
        <v>13.787503510071923</v>
      </c>
      <c r="AI85" s="41" t="s">
        <v>507</v>
      </c>
      <c r="AJ85" s="5" t="s">
        <v>21</v>
      </c>
      <c r="AK85" s="219">
        <f>INDEX('C-P-RollAdj'!$J$4:$J$76,MATCH(INT(Z85),'C-P-RollAdj'!$I$4:$I$76,FALSE),0)</f>
        <v>31</v>
      </c>
      <c r="AL85" s="219">
        <f>INDEX('C-P-RollAdj'!$J$4:$J$76,MATCH(INT(AC85),'C-P-RollAdj'!$I$4:$I$76,FALSE),0)</f>
        <v>34</v>
      </c>
      <c r="AM85" s="14">
        <f>+AR85*LeagueRatings!$K$27</f>
        <v>40.555555555555557</v>
      </c>
      <c r="AN85" s="72">
        <f>F85*LeagueRatings!$K$27</f>
        <v>34.444444444444443</v>
      </c>
      <c r="AO85" s="72">
        <f>G85*LeagueRatings!$K$27</f>
        <v>0</v>
      </c>
      <c r="AP85" s="72">
        <f>T85*LeagueRatings!$K$27</f>
        <v>165</v>
      </c>
      <c r="AR85" s="72">
        <f t="shared" si="14"/>
        <v>73</v>
      </c>
      <c r="AS85" s="113"/>
      <c r="AT85" s="113"/>
      <c r="AU85" s="113"/>
      <c r="AW85" s="97">
        <v>19.329999999999998</v>
      </c>
    </row>
    <row r="86" spans="1:49" x14ac:dyDescent="0.2">
      <c r="A86" s="41" t="s">
        <v>426</v>
      </c>
      <c r="B86" s="76" t="s">
        <v>149</v>
      </c>
      <c r="C86" s="76">
        <v>4</v>
      </c>
      <c r="D86" s="76">
        <v>5</v>
      </c>
      <c r="E86" s="97">
        <v>4.1399999999999997</v>
      </c>
      <c r="F86" s="76">
        <v>66</v>
      </c>
      <c r="G86" s="76">
        <v>0</v>
      </c>
      <c r="H86" s="76">
        <v>0</v>
      </c>
      <c r="I86" s="76">
        <v>0</v>
      </c>
      <c r="J86" s="76">
        <v>1</v>
      </c>
      <c r="K86" s="76">
        <v>6</v>
      </c>
      <c r="L86" s="258">
        <f>INDEX('C-P-RollAdj'!$P$4:$P$900,MATCH((U86),'C-P-RollAdj'!$O$4:$O$900,FALSE),0)</f>
        <v>58.67</v>
      </c>
      <c r="M86" s="76">
        <v>61</v>
      </c>
      <c r="N86" s="76">
        <v>29</v>
      </c>
      <c r="O86" s="76">
        <v>27</v>
      </c>
      <c r="P86" s="76">
        <v>6</v>
      </c>
      <c r="Q86" s="76">
        <v>17</v>
      </c>
      <c r="R86" s="76">
        <v>2</v>
      </c>
      <c r="S86" s="76">
        <v>65</v>
      </c>
      <c r="T86" s="76">
        <v>251</v>
      </c>
      <c r="U86" s="76">
        <v>58.2</v>
      </c>
      <c r="V86" s="100">
        <v>0.26300000000000001</v>
      </c>
      <c r="W86" s="76">
        <v>1.33</v>
      </c>
      <c r="X86" s="50"/>
      <c r="Y86" s="50">
        <f t="shared" si="9"/>
        <v>6.024096385542169</v>
      </c>
      <c r="Z86" s="6">
        <f>IF(Y86&lt;LeagueRatings!$K$10,((LeagueRatings!$K$10-Y86)/LeagueRatings!$K$10)*36,(LeagueRatings!$K$10-Y86)*6.48)</f>
        <v>10.979405743955517</v>
      </c>
      <c r="AA86" s="16">
        <f>INDEX('C-P-RollAdj'!$B$4:$B$76,MATCH(INT(Z86),'C-P-RollAdj'!$A$4:$A$76,FALSE),0)</f>
        <v>-0.83000000000000007</v>
      </c>
      <c r="AB86" s="16">
        <f t="shared" si="10"/>
        <v>2.4096385542168677</v>
      </c>
      <c r="AC86" s="6">
        <f>IF(AB86&lt;LeagueRatings!$K$8,((LeagueRatings!$K$8-AB86)/LeagueRatings!$K$8)*36,(LeagueRatings!$K$8-AB86)/LeagueRatings!$K$11)</f>
        <v>8.9103407495010707</v>
      </c>
      <c r="AD86" s="16">
        <f>INDEX('C-P-RollAdj'!$F$4:$F$76,MATCH(INT(AC86),'C-P-RollAdj'!$E$4:$E$76,FALSE),0)</f>
        <v>-0.56999999999999995</v>
      </c>
      <c r="AE86" s="17">
        <f>+((LeagueRatings!$I$6-E86)*5)+9.5</f>
        <v>9.8080514552774041</v>
      </c>
      <c r="AF86" s="17">
        <f t="shared" si="11"/>
        <v>9.8080514552774041</v>
      </c>
      <c r="AG86" s="17">
        <f t="shared" si="12"/>
        <v>-0.19856826316686504</v>
      </c>
      <c r="AH86" s="4">
        <f t="shared" si="13"/>
        <v>8.2094831921105396</v>
      </c>
      <c r="AI86" s="41" t="s">
        <v>426</v>
      </c>
      <c r="AJ86" s="5" t="s">
        <v>34</v>
      </c>
      <c r="AK86" s="219">
        <f>INDEX('C-P-RollAdj'!$J$4:$J$76,MATCH(INT(Z86),'C-P-RollAdj'!$I$4:$I$76,FALSE),0)</f>
        <v>24</v>
      </c>
      <c r="AL86" s="219">
        <f>INDEX('C-P-RollAdj'!$J$4:$J$76,MATCH(INT(AC86),'C-P-RollAdj'!$I$4:$I$76,FALSE),0)</f>
        <v>22</v>
      </c>
      <c r="AM86" s="14">
        <f>+AR86*LeagueRatings!$K$27</f>
        <v>32.777777777777779</v>
      </c>
      <c r="AN86" s="72">
        <f>F86*LeagueRatings!$K$27</f>
        <v>36.666666666666671</v>
      </c>
      <c r="AO86" s="72">
        <f>G86*LeagueRatings!$K$27</f>
        <v>0</v>
      </c>
      <c r="AP86" s="72">
        <f>T86*LeagueRatings!$K$27</f>
        <v>139.44444444444446</v>
      </c>
      <c r="AR86" s="72">
        <f t="shared" si="14"/>
        <v>59</v>
      </c>
      <c r="AW86" s="97">
        <v>19.670000000000002</v>
      </c>
    </row>
    <row r="87" spans="1:49" x14ac:dyDescent="0.2">
      <c r="A87" s="41" t="s">
        <v>476</v>
      </c>
      <c r="B87" s="76" t="s">
        <v>149</v>
      </c>
      <c r="C87" s="76">
        <v>9</v>
      </c>
      <c r="D87" s="76">
        <v>7</v>
      </c>
      <c r="E87" s="97">
        <v>4.87</v>
      </c>
      <c r="F87" s="76">
        <v>19</v>
      </c>
      <c r="G87" s="76">
        <v>18</v>
      </c>
      <c r="H87" s="76">
        <v>0</v>
      </c>
      <c r="I87" s="76">
        <v>0</v>
      </c>
      <c r="J87" s="76">
        <v>0</v>
      </c>
      <c r="K87" s="76">
        <v>0</v>
      </c>
      <c r="L87" s="258">
        <f>INDEX('C-P-RollAdj'!$P$4:$P$900,MATCH((U87),'C-P-RollAdj'!$O$4:$O$900,FALSE),0)</f>
        <v>105.33</v>
      </c>
      <c r="M87" s="76">
        <v>118</v>
      </c>
      <c r="N87" s="76">
        <v>63</v>
      </c>
      <c r="O87" s="76">
        <v>57</v>
      </c>
      <c r="P87" s="76">
        <v>14</v>
      </c>
      <c r="Q87" s="76">
        <v>26</v>
      </c>
      <c r="R87" s="76">
        <v>0</v>
      </c>
      <c r="S87" s="76">
        <v>66</v>
      </c>
      <c r="T87" s="76">
        <v>450</v>
      </c>
      <c r="U87" s="76">
        <v>105.1</v>
      </c>
      <c r="V87" s="100">
        <v>0.28399999999999997</v>
      </c>
      <c r="W87" s="76">
        <v>1.37</v>
      </c>
      <c r="X87" s="50"/>
      <c r="Y87" s="50">
        <f t="shared" si="9"/>
        <v>5.7777777777777777</v>
      </c>
      <c r="Z87" s="6">
        <f>IF(Y87&lt;LeagueRatings!$K$10,((LeagueRatings!$K$10-Y87)/LeagueRatings!$K$10)*36,(LeagueRatings!$K$10-Y87)*6.48)</f>
        <v>12.002470042424893</v>
      </c>
      <c r="AA87" s="16">
        <f>INDEX('C-P-RollAdj'!$B$4:$B$76,MATCH(INT(Z87),'C-P-RollAdj'!$A$4:$A$76,FALSE),0)</f>
        <v>-1.01</v>
      </c>
      <c r="AB87" s="16">
        <f>(P87/(T87-R87))*100</f>
        <v>3.1111111111111112</v>
      </c>
      <c r="AC87" s="6">
        <f>IF(AB87&lt;LeagueRatings!$K$8,((LeagueRatings!$K$8-AB87)/LeagueRatings!$K$8)*36,(LeagueRatings!$K$8-AB87)/LeagueRatings!$K$11)</f>
        <v>1.0242399454669404</v>
      </c>
      <c r="AD87" s="16">
        <f>INDEX('C-P-RollAdj'!$F$4:$F$76,MATCH(INT(AC87),'C-P-RollAdj'!$E$4:$E$76,FALSE),0)</f>
        <v>-7.0000000000000007E-2</v>
      </c>
      <c r="AE87" s="17">
        <f>+((LeagueRatings!$I$6-E87)*5)+9.5</f>
        <v>6.1580514552774028</v>
      </c>
      <c r="AF87" s="17">
        <f>IF(AE87&lt;4,4,AE87)</f>
        <v>6.1580514552774028</v>
      </c>
      <c r="AG87" s="17">
        <f>IF(M87&lt;L87,((1-(M87/L87))*7)-0.07,(1-(M87/L87))*5)</f>
        <v>-0.60144308364188714</v>
      </c>
      <c r="AH87" s="4">
        <f>+AA87+AD87+AF87+AG87</f>
        <v>4.4766083716355158</v>
      </c>
      <c r="AI87" s="41" t="s">
        <v>476</v>
      </c>
      <c r="AJ87" s="5" t="s">
        <v>19</v>
      </c>
      <c r="AK87" s="219">
        <f>INDEX('C-P-RollAdj'!$J$4:$J$76,MATCH(INT(Z87),'C-P-RollAdj'!$I$4:$I$76,FALSE),0)</f>
        <v>26</v>
      </c>
      <c r="AL87" s="219">
        <f>INDEX('C-P-RollAdj'!$J$4:$J$76,MATCH(INT(AC87),'C-P-RollAdj'!$I$4:$I$76,FALSE),0)</f>
        <v>11</v>
      </c>
      <c r="AM87" s="14">
        <f>+AR87*LeagueRatings!$K$27</f>
        <v>58.888888888888893</v>
      </c>
      <c r="AN87" s="72">
        <f>F87*LeagueRatings!$K$27</f>
        <v>10.555555555555555</v>
      </c>
      <c r="AO87" s="72">
        <f>G87*LeagueRatings!$K$27</f>
        <v>10</v>
      </c>
      <c r="AP87" s="72">
        <f>T87*LeagueRatings!$K$27</f>
        <v>250</v>
      </c>
      <c r="AR87" s="72">
        <f>ROUNDUP(L87,0)</f>
        <v>106</v>
      </c>
      <c r="AW87" s="97">
        <v>218.33</v>
      </c>
    </row>
    <row r="88" spans="1:49" x14ac:dyDescent="0.2">
      <c r="A88" s="107"/>
      <c r="C88"/>
      <c r="D88" s="3"/>
      <c r="G88" s="62"/>
      <c r="I88" s="176"/>
      <c r="J88" s="62"/>
      <c r="K88" s="3"/>
      <c r="N88"/>
      <c r="R88" s="62"/>
      <c r="S88" s="2"/>
      <c r="T88"/>
      <c r="U88"/>
      <c r="X88" s="50"/>
      <c r="Y88" s="50"/>
      <c r="Z88" s="6"/>
      <c r="AB88" s="16"/>
      <c r="AC88" s="6"/>
      <c r="AE88" s="17"/>
      <c r="AF88" s="17"/>
      <c r="AG88" s="17"/>
      <c r="AH88" s="4"/>
      <c r="AI88" s="107"/>
      <c r="AM88" s="14"/>
      <c r="AN88" s="72"/>
      <c r="AO88" s="72"/>
      <c r="AP88" s="72"/>
      <c r="AR88" s="72"/>
      <c r="AW88" s="111"/>
    </row>
    <row r="89" spans="1:49" s="122" customFormat="1" x14ac:dyDescent="0.2">
      <c r="A89" s="69" t="s">
        <v>106</v>
      </c>
      <c r="B89" s="70" t="s">
        <v>157</v>
      </c>
      <c r="C89" s="71" t="s">
        <v>85</v>
      </c>
      <c r="D89" s="70" t="s">
        <v>86</v>
      </c>
      <c r="E89" s="71" t="s">
        <v>87</v>
      </c>
      <c r="F89" s="70" t="s">
        <v>108</v>
      </c>
      <c r="G89" s="70" t="s">
        <v>88</v>
      </c>
      <c r="H89" s="182" t="s">
        <v>89</v>
      </c>
      <c r="I89" s="178" t="s">
        <v>317</v>
      </c>
      <c r="J89" s="72" t="s">
        <v>90</v>
      </c>
      <c r="K89" s="72" t="s">
        <v>158</v>
      </c>
      <c r="L89" s="71" t="s">
        <v>91</v>
      </c>
      <c r="M89" s="70" t="s">
        <v>92</v>
      </c>
      <c r="N89" s="70" t="s">
        <v>93</v>
      </c>
      <c r="O89" s="70" t="s">
        <v>94</v>
      </c>
      <c r="P89" s="70" t="s">
        <v>95</v>
      </c>
      <c r="Q89" s="70" t="s">
        <v>96</v>
      </c>
      <c r="R89" s="70" t="s">
        <v>98</v>
      </c>
      <c r="S89" s="70" t="s">
        <v>97</v>
      </c>
      <c r="T89" s="70" t="s">
        <v>109</v>
      </c>
      <c r="U89" s="155" t="s">
        <v>91</v>
      </c>
      <c r="V89" s="250" t="s">
        <v>1517</v>
      </c>
      <c r="W89" s="155" t="s">
        <v>1072</v>
      </c>
      <c r="X89" s="115"/>
      <c r="Y89" s="115" t="s">
        <v>2</v>
      </c>
      <c r="Z89" s="116" t="s">
        <v>3</v>
      </c>
      <c r="AA89" s="117" t="s">
        <v>4</v>
      </c>
      <c r="AB89" s="118" t="s">
        <v>5</v>
      </c>
      <c r="AC89" s="116" t="s">
        <v>6</v>
      </c>
      <c r="AD89" s="117" t="s">
        <v>7</v>
      </c>
      <c r="AE89" s="119" t="s">
        <v>8</v>
      </c>
      <c r="AF89" s="119" t="s">
        <v>81</v>
      </c>
      <c r="AG89" s="119" t="s">
        <v>9</v>
      </c>
      <c r="AH89" s="120" t="s">
        <v>10</v>
      </c>
      <c r="AI89" s="69" t="s">
        <v>106</v>
      </c>
      <c r="AJ89" s="7" t="s">
        <v>11</v>
      </c>
      <c r="AK89" s="7" t="s">
        <v>12</v>
      </c>
      <c r="AL89" s="7" t="s">
        <v>13</v>
      </c>
      <c r="AM89" s="14"/>
      <c r="AN89" s="72"/>
      <c r="AO89" s="72"/>
      <c r="AP89" s="72"/>
      <c r="AR89" s="72"/>
      <c r="AS89" s="123"/>
      <c r="AT89" s="123"/>
      <c r="AU89" s="123"/>
      <c r="AW89" s="71" t="s">
        <v>91</v>
      </c>
    </row>
    <row r="90" spans="1:49" s="122" customFormat="1" x14ac:dyDescent="0.2">
      <c r="A90" s="69"/>
      <c r="B90" s="70"/>
      <c r="C90" s="71"/>
      <c r="D90" s="70"/>
      <c r="E90" s="71"/>
      <c r="F90" s="70"/>
      <c r="G90" s="70"/>
      <c r="H90" s="182"/>
      <c r="I90" s="178"/>
      <c r="J90" s="72"/>
      <c r="K90" s="72"/>
      <c r="L90" s="71"/>
      <c r="M90" s="70"/>
      <c r="N90" s="70"/>
      <c r="O90" s="70"/>
      <c r="P90" s="70"/>
      <c r="Q90" s="70"/>
      <c r="R90" s="70"/>
      <c r="S90" s="70"/>
      <c r="T90" s="70"/>
      <c r="U90" s="70"/>
      <c r="V90" s="267"/>
      <c r="X90" s="52"/>
      <c r="Y90" s="52"/>
      <c r="Z90" s="53"/>
      <c r="AA90" s="54"/>
      <c r="AB90" s="54"/>
      <c r="AC90" s="53"/>
      <c r="AD90" s="54"/>
      <c r="AE90" s="55"/>
      <c r="AF90" s="55"/>
      <c r="AG90" s="55"/>
      <c r="AH90" s="56"/>
      <c r="AI90" s="69"/>
      <c r="AJ90" s="9"/>
      <c r="AK90" s="9"/>
      <c r="AL90" s="9"/>
      <c r="AM90" s="14"/>
      <c r="AN90" s="72"/>
      <c r="AO90" s="72"/>
      <c r="AP90" s="72"/>
      <c r="AQ90" s="8"/>
      <c r="AR90" s="72"/>
      <c r="AS90" s="114"/>
      <c r="AT90" s="114"/>
      <c r="AU90" s="114"/>
      <c r="AV90" s="8"/>
      <c r="AW90" s="71"/>
    </row>
    <row r="91" spans="1:49" s="26" customFormat="1" x14ac:dyDescent="0.2">
      <c r="A91" s="41" t="s">
        <v>1328</v>
      </c>
      <c r="B91" s="76" t="s">
        <v>164</v>
      </c>
      <c r="C91" s="76">
        <v>4</v>
      </c>
      <c r="D91" s="76">
        <v>4</v>
      </c>
      <c r="E91" s="97">
        <v>2.16</v>
      </c>
      <c r="F91" s="76">
        <v>48</v>
      </c>
      <c r="G91" s="76">
        <v>5</v>
      </c>
      <c r="H91" s="76">
        <v>0</v>
      </c>
      <c r="I91" s="76">
        <v>0</v>
      </c>
      <c r="J91" s="76">
        <v>1</v>
      </c>
      <c r="K91" s="76">
        <v>1</v>
      </c>
      <c r="L91" s="258">
        <f>INDEX('C-P-RollAdj'!$P$4:$P$900,MATCH((U91),'C-P-RollAdj'!$O$4:$O$900,FALSE),0)</f>
        <v>108.33</v>
      </c>
      <c r="M91" s="76">
        <v>79</v>
      </c>
      <c r="N91" s="76">
        <v>26</v>
      </c>
      <c r="O91" s="76">
        <v>26</v>
      </c>
      <c r="P91" s="76">
        <v>4</v>
      </c>
      <c r="Q91" s="76">
        <v>20</v>
      </c>
      <c r="R91" s="76">
        <v>0</v>
      </c>
      <c r="S91" s="76">
        <v>104</v>
      </c>
      <c r="T91" s="76">
        <v>408</v>
      </c>
      <c r="U91" s="76">
        <v>108.1</v>
      </c>
      <c r="V91" s="100">
        <v>0.20599999999999999</v>
      </c>
      <c r="W91" s="76">
        <v>0.91</v>
      </c>
      <c r="X91" s="50"/>
      <c r="Y91" s="50">
        <f t="shared" ref="Y91:Y104" si="15">+(Q91-R91)/(T91-R91)*100</f>
        <v>4.9019607843137258</v>
      </c>
      <c r="Z91" s="6">
        <f>IF(Y91&lt;LeagueRatings!$K$10,((LeagueRatings!$K$10-Y91)/LeagueRatings!$K$10)*36,(LeagueRatings!$K$10-Y91)*6.48)</f>
        <v>15.640104674003018</v>
      </c>
      <c r="AA91" s="16">
        <f>INDEX('C-P-RollAdj'!$B$4:$B$76,MATCH(INT(Z91),'C-P-RollAdj'!$A$4:$A$76,FALSE),0)</f>
        <v>-1.29</v>
      </c>
      <c r="AB91" s="16">
        <f t="shared" ref="AB91:AB103" si="16">(P91/(T91-R91))*100</f>
        <v>0.98039215686274506</v>
      </c>
      <c r="AC91" s="6">
        <f>IF(AB91&lt;LeagueRatings!$K$8,((LeagueRatings!$K$8-AB91)/LeagueRatings!$K$8)*36,(LeagueRatings!$K$8-AB91)/LeagueRatings!$K$11)</f>
        <v>24.978226873571511</v>
      </c>
      <c r="AD91" s="16">
        <f>INDEX('C-P-RollAdj'!$F$4:$F$76,MATCH(INT(AC91),'C-P-RollAdj'!$E$4:$E$76,FALSE),0)</f>
        <v>-1.98</v>
      </c>
      <c r="AE91" s="17">
        <f>+((LeagueRatings!$I$6-E91)*5)+9.5</f>
        <v>19.708051455277403</v>
      </c>
      <c r="AF91" s="17">
        <f t="shared" ref="AF91:AF103" si="17">IF(AE91&lt;4,4,AE91)</f>
        <v>19.708051455277403</v>
      </c>
      <c r="AG91" s="17">
        <f t="shared" ref="AG91:AG103" si="18">IF(M91&lt;L91,((1-(M91/L91))*7)-0.07,(1-(M91/L91))*5)</f>
        <v>1.825227545462937</v>
      </c>
      <c r="AH91" s="4">
        <f t="shared" ref="AH91:AH102" si="19">+AA91+AD91+AF91+AG91</f>
        <v>18.26327900074034</v>
      </c>
      <c r="AI91" s="41" t="s">
        <v>1328</v>
      </c>
      <c r="AJ91" s="5" t="s">
        <v>63</v>
      </c>
      <c r="AK91" s="219">
        <f>INDEX('C-P-RollAdj'!$J$4:$J$76,MATCH(INT(Z91),'C-P-RollAdj'!$I$4:$I$76,FALSE),0)</f>
        <v>33</v>
      </c>
      <c r="AL91" s="219">
        <f>INDEX('C-P-RollAdj'!$J$4:$J$76,MATCH(INT(AC91),'C-P-RollAdj'!$I$4:$I$76,FALSE),0)</f>
        <v>46</v>
      </c>
      <c r="AM91" s="14">
        <f>+AR91*LeagueRatings!$K$27</f>
        <v>60.555555555555557</v>
      </c>
      <c r="AN91" s="72">
        <f>F91*LeagueRatings!$K$27</f>
        <v>26.666666666666668</v>
      </c>
      <c r="AO91" s="72">
        <f>G91*LeagueRatings!$K$27</f>
        <v>2.7777777777777777</v>
      </c>
      <c r="AP91" s="72">
        <f>T91*LeagueRatings!$K$27</f>
        <v>226.66666666666669</v>
      </c>
      <c r="AQ91"/>
      <c r="AR91" s="72">
        <f t="shared" si="14"/>
        <v>109</v>
      </c>
      <c r="AS91" s="113"/>
      <c r="AT91" s="113"/>
      <c r="AU91" s="113"/>
      <c r="AV91"/>
      <c r="AW91" s="97">
        <v>36.33</v>
      </c>
    </row>
    <row r="92" spans="1:49" s="26" customFormat="1" x14ac:dyDescent="0.2">
      <c r="A92" s="41" t="s">
        <v>1185</v>
      </c>
      <c r="B92" s="76" t="s">
        <v>164</v>
      </c>
      <c r="C92" s="76">
        <v>8</v>
      </c>
      <c r="D92" s="76">
        <v>1</v>
      </c>
      <c r="E92" s="97">
        <v>4.43</v>
      </c>
      <c r="F92" s="76">
        <v>47</v>
      </c>
      <c r="G92" s="76">
        <v>0</v>
      </c>
      <c r="H92" s="76">
        <v>0</v>
      </c>
      <c r="I92" s="76">
        <v>0</v>
      </c>
      <c r="J92" s="76">
        <v>0</v>
      </c>
      <c r="K92" s="76">
        <v>3</v>
      </c>
      <c r="L92" s="258">
        <f>INDEX('C-P-RollAdj'!$P$4:$P$900,MATCH((U92),'C-P-RollAdj'!$O$4:$O$900,FALSE),0)</f>
        <v>65</v>
      </c>
      <c r="M92" s="76">
        <v>55</v>
      </c>
      <c r="N92" s="76">
        <v>33</v>
      </c>
      <c r="O92" s="76">
        <v>32</v>
      </c>
      <c r="P92" s="76">
        <v>10</v>
      </c>
      <c r="Q92" s="76">
        <v>22</v>
      </c>
      <c r="R92" s="76">
        <v>0</v>
      </c>
      <c r="S92" s="76">
        <v>95</v>
      </c>
      <c r="T92" s="76">
        <v>270</v>
      </c>
      <c r="U92" s="76">
        <v>65</v>
      </c>
      <c r="V92" s="100">
        <v>0.224</v>
      </c>
      <c r="W92" s="76">
        <v>1.18</v>
      </c>
      <c r="X92" s="52"/>
      <c r="Y92" s="52">
        <f t="shared" si="15"/>
        <v>8.1481481481481488</v>
      </c>
      <c r="Z92" s="6">
        <f>IF(Y92&lt;LeagueRatings!$K$10,((LeagueRatings!$K$10-Y92)/LeagueRatings!$K$10)*36,(LeagueRatings!$K$10-Y92)*6.48)</f>
        <v>2.1573295470094607</v>
      </c>
      <c r="AA92" s="16">
        <f>INDEX('C-P-RollAdj'!$B$4:$B$76,MATCH(INT(Z92),'C-P-RollAdj'!$A$4:$A$76,FALSE),0)</f>
        <v>-0.16</v>
      </c>
      <c r="AB92" s="16">
        <f t="shared" si="16"/>
        <v>3.7037037037037033</v>
      </c>
      <c r="AC92" s="6">
        <f>IF(AB92&lt;LeagueRatings!$K$8,((LeagueRatings!$K$8-AB92)/LeagueRatings!$K$8)*36,(LeagueRatings!$K$8-AB92)/LeagueRatings!$K$11)</f>
        <v>-3.9820253570855355</v>
      </c>
      <c r="AD92" s="16">
        <f>INDEX('C-P-RollAdj'!$F$4:$F$76,MATCH(INT(AC92),'C-P-RollAdj'!$E$4:$E$76,FALSE),0)</f>
        <v>0.32999999999999996</v>
      </c>
      <c r="AE92" s="17">
        <f>+((LeagueRatings!$I$6-E92)*5)+9.5</f>
        <v>8.3580514552774048</v>
      </c>
      <c r="AF92" s="55">
        <f t="shared" si="17"/>
        <v>8.3580514552774048</v>
      </c>
      <c r="AG92" s="17">
        <f t="shared" si="18"/>
        <v>1.006923076923077</v>
      </c>
      <c r="AH92" s="56">
        <f t="shared" si="19"/>
        <v>9.5349745322004811</v>
      </c>
      <c r="AI92" s="41" t="s">
        <v>1185</v>
      </c>
      <c r="AJ92" s="9" t="s">
        <v>39</v>
      </c>
      <c r="AK92" s="219">
        <f>INDEX('C-P-RollAdj'!$J$4:$J$76,MATCH(INT(Z92),'C-P-RollAdj'!$I$4:$I$76,FALSE),0)</f>
        <v>12</v>
      </c>
      <c r="AL92" s="219">
        <f>INDEX('C-P-RollAdj'!$J$4:$J$76,MATCH(INT(AC92),'C-P-RollAdj'!$I$4:$I$76,FALSE),0)</f>
        <v>-14</v>
      </c>
      <c r="AM92" s="14">
        <f>+AR92*LeagueRatings!$K$27</f>
        <v>36.111111111111114</v>
      </c>
      <c r="AN92" s="72">
        <f>F92*LeagueRatings!$K$27</f>
        <v>26.111111111111111</v>
      </c>
      <c r="AO92" s="72">
        <f>G92*LeagueRatings!$K$27</f>
        <v>0</v>
      </c>
      <c r="AP92" s="72">
        <f>T92*LeagueRatings!$K$27</f>
        <v>150</v>
      </c>
      <c r="AQ92" s="8"/>
      <c r="AR92" s="72">
        <f t="shared" si="14"/>
        <v>65</v>
      </c>
      <c r="AS92" s="113"/>
      <c r="AT92" s="113"/>
      <c r="AU92" s="113"/>
      <c r="AV92" s="8"/>
      <c r="AW92" s="97">
        <v>151</v>
      </c>
    </row>
    <row r="93" spans="1:49" s="26" customFormat="1" x14ac:dyDescent="0.2">
      <c r="A93" s="41" t="s">
        <v>410</v>
      </c>
      <c r="B93" s="76" t="s">
        <v>164</v>
      </c>
      <c r="C93" s="76">
        <v>11</v>
      </c>
      <c r="D93" s="76">
        <v>8</v>
      </c>
      <c r="E93" s="97">
        <v>4.4800000000000004</v>
      </c>
      <c r="F93" s="76">
        <v>31</v>
      </c>
      <c r="G93" s="76">
        <v>30</v>
      </c>
      <c r="H93" s="76">
        <v>0</v>
      </c>
      <c r="I93" s="76">
        <v>0</v>
      </c>
      <c r="J93" s="76">
        <v>0</v>
      </c>
      <c r="K93" s="76">
        <v>0</v>
      </c>
      <c r="L93" s="258">
        <f>INDEX('C-P-RollAdj'!$P$4:$P$900,MATCH((U93),'C-P-RollAdj'!$O$4:$O$900,FALSE),0)</f>
        <v>168.67000000000002</v>
      </c>
      <c r="M93" s="76">
        <v>187</v>
      </c>
      <c r="N93" s="76">
        <v>89</v>
      </c>
      <c r="O93" s="76">
        <v>84</v>
      </c>
      <c r="P93" s="76">
        <v>26</v>
      </c>
      <c r="Q93" s="76">
        <v>42</v>
      </c>
      <c r="R93" s="76">
        <v>0</v>
      </c>
      <c r="S93" s="76">
        <v>134</v>
      </c>
      <c r="T93" s="76">
        <v>724</v>
      </c>
      <c r="U93" s="76">
        <v>168.2</v>
      </c>
      <c r="V93" s="100">
        <v>0.28000000000000003</v>
      </c>
      <c r="W93" s="76">
        <v>1.36</v>
      </c>
      <c r="X93" s="52"/>
      <c r="Y93" s="52">
        <f t="shared" si="15"/>
        <v>5.8011049723756907</v>
      </c>
      <c r="Z93" s="6">
        <f>IF(Y93&lt;LeagueRatings!$K$10,((LeagueRatings!$K$10-Y93)/LeagueRatings!$K$10)*36,(LeagueRatings!$K$10-Y93)*6.48)</f>
        <v>11.905582437411308</v>
      </c>
      <c r="AA93" s="16">
        <f>INDEX('C-P-RollAdj'!$B$4:$B$76,MATCH(INT(Z93),'C-P-RollAdj'!$A$4:$A$76,FALSE),0)</f>
        <v>-0.92</v>
      </c>
      <c r="AB93" s="54">
        <f t="shared" si="16"/>
        <v>3.5911602209944751</v>
      </c>
      <c r="AC93" s="6">
        <f>IF(AB93&lt;LeagueRatings!$K$8,((LeagueRatings!$K$8-AB93)/LeagueRatings!$K$8)*36,(LeagueRatings!$K$8-AB93)/LeagueRatings!$K$11)</f>
        <v>-3.0883791699141061</v>
      </c>
      <c r="AD93" s="16">
        <f>INDEX('C-P-RollAdj'!$F$4:$F$76,MATCH(INT(AC93),'C-P-RollAdj'!$E$4:$E$76,FALSE),0)</f>
        <v>0.32999999999999996</v>
      </c>
      <c r="AE93" s="17">
        <f>+((LeagueRatings!$I$6-E93)*5)+9.5</f>
        <v>8.1080514552774012</v>
      </c>
      <c r="AF93" s="55">
        <f t="shared" si="17"/>
        <v>8.1080514552774012</v>
      </c>
      <c r="AG93" s="17">
        <f t="shared" si="18"/>
        <v>-0.54336870812829785</v>
      </c>
      <c r="AH93" s="56">
        <f t="shared" si="19"/>
        <v>6.9746827471491031</v>
      </c>
      <c r="AI93" s="41" t="s">
        <v>410</v>
      </c>
      <c r="AJ93" s="5" t="s">
        <v>66</v>
      </c>
      <c r="AK93" s="219">
        <f>INDEX('C-P-RollAdj'!$J$4:$J$76,MATCH(INT(Z93),'C-P-RollAdj'!$I$4:$I$76,FALSE),0)</f>
        <v>25</v>
      </c>
      <c r="AL93" s="219">
        <f>INDEX('C-P-RollAdj'!$J$4:$J$76,MATCH(INT(AC93),'C-P-RollAdj'!$I$4:$I$76,FALSE),0)</f>
        <v>-14</v>
      </c>
      <c r="AM93" s="14">
        <f>+AR93*LeagueRatings!$K$27</f>
        <v>93.8888888888889</v>
      </c>
      <c r="AN93" s="72">
        <f>F93*LeagueRatings!$K$27</f>
        <v>17.222222222222221</v>
      </c>
      <c r="AO93" s="72">
        <f>G93*LeagueRatings!$K$27</f>
        <v>16.666666666666668</v>
      </c>
      <c r="AP93" s="72">
        <f>T93*LeagueRatings!$K$27</f>
        <v>402.22222222222223</v>
      </c>
      <c r="AQ93" s="24"/>
      <c r="AR93" s="72">
        <f t="shared" si="14"/>
        <v>169</v>
      </c>
      <c r="AS93" s="113"/>
      <c r="AT93" s="113"/>
      <c r="AU93" s="113"/>
      <c r="AV93" s="24"/>
      <c r="AW93" s="97">
        <v>20.329999999999998</v>
      </c>
    </row>
    <row r="94" spans="1:49" s="26" customFormat="1" x14ac:dyDescent="0.2">
      <c r="A94" s="41" t="s">
        <v>541</v>
      </c>
      <c r="B94" s="76" t="s">
        <v>164</v>
      </c>
      <c r="C94" s="76">
        <v>12</v>
      </c>
      <c r="D94" s="76">
        <v>13</v>
      </c>
      <c r="E94" s="97">
        <v>4.6399999999999997</v>
      </c>
      <c r="F94" s="76">
        <v>32</v>
      </c>
      <c r="G94" s="76">
        <v>32</v>
      </c>
      <c r="H94" s="76">
        <v>0</v>
      </c>
      <c r="I94" s="76">
        <v>0</v>
      </c>
      <c r="J94" s="76">
        <v>0</v>
      </c>
      <c r="K94" s="76">
        <v>0</v>
      </c>
      <c r="L94" s="258">
        <f>INDEX('C-P-RollAdj'!$P$4:$P$900,MATCH((U94),'C-P-RollAdj'!$O$4:$O$900,FALSE),0)</f>
        <v>180.32999999999998</v>
      </c>
      <c r="M94" s="76">
        <v>195</v>
      </c>
      <c r="N94" s="76">
        <v>98</v>
      </c>
      <c r="O94" s="76">
        <v>93</v>
      </c>
      <c r="P94" s="76">
        <v>24</v>
      </c>
      <c r="Q94" s="76">
        <v>62</v>
      </c>
      <c r="R94" s="76">
        <v>1</v>
      </c>
      <c r="S94" s="76">
        <v>115</v>
      </c>
      <c r="T94" s="76">
        <v>779</v>
      </c>
      <c r="U94" s="76">
        <v>180.1</v>
      </c>
      <c r="V94" s="100">
        <v>0.27600000000000002</v>
      </c>
      <c r="W94" s="76">
        <v>1.43</v>
      </c>
      <c r="X94" s="52"/>
      <c r="Y94" s="52">
        <f t="shared" si="15"/>
        <v>7.8406169665809768</v>
      </c>
      <c r="Z94" s="6">
        <f>IF(Y94&lt;LeagueRatings!$K$10,((LeagueRatings!$K$10-Y94)/LeagueRatings!$K$10)*36,(LeagueRatings!$K$10-Y94)*6.48)</f>
        <v>3.4346352909117708</v>
      </c>
      <c r="AA94" s="16">
        <f>INDEX('C-P-RollAdj'!$B$4:$B$76,MATCH(INT(Z94),'C-P-RollAdj'!$A$4:$A$76,FALSE),0)</f>
        <v>-0.24</v>
      </c>
      <c r="AB94" s="54">
        <f t="shared" si="16"/>
        <v>3.0848329048843186</v>
      </c>
      <c r="AC94" s="6">
        <f>IF(AB94&lt;LeagueRatings!$K$8,((LeagueRatings!$K$8-AB94)/LeagueRatings!$K$8)*36,(LeagueRatings!$K$8-AB94)/LeagueRatings!$K$11)</f>
        <v>1.3196650212121726</v>
      </c>
      <c r="AD94" s="16">
        <f>INDEX('C-P-RollAdj'!$F$4:$F$76,MATCH(INT(AC94),'C-P-RollAdj'!$E$4:$E$76,FALSE),0)</f>
        <v>-7.0000000000000007E-2</v>
      </c>
      <c r="AE94" s="17">
        <f>+((LeagueRatings!$I$6-E94)*5)+9.5</f>
        <v>7.308051455277405</v>
      </c>
      <c r="AF94" s="55">
        <f t="shared" si="17"/>
        <v>7.308051455277405</v>
      </c>
      <c r="AG94" s="17">
        <f t="shared" si="18"/>
        <v>-0.40675428381301004</v>
      </c>
      <c r="AH94" s="56">
        <f t="shared" si="19"/>
        <v>6.5912971714643955</v>
      </c>
      <c r="AI94" s="41" t="s">
        <v>541</v>
      </c>
      <c r="AJ94" s="7" t="s">
        <v>66</v>
      </c>
      <c r="AK94" s="219">
        <f>INDEX('C-P-RollAdj'!$J$4:$J$76,MATCH(INT(Z94),'C-P-RollAdj'!$I$4:$I$76,FALSE),0)</f>
        <v>13</v>
      </c>
      <c r="AL94" s="219">
        <f>INDEX('C-P-RollAdj'!$J$4:$J$76,MATCH(INT(AC94),'C-P-RollAdj'!$I$4:$I$76,FALSE),0)</f>
        <v>11</v>
      </c>
      <c r="AM94" s="14">
        <f>+AR94*LeagueRatings!$K$27</f>
        <v>100.55555555555556</v>
      </c>
      <c r="AN94" s="72">
        <f>F94*LeagueRatings!$K$27</f>
        <v>17.777777777777779</v>
      </c>
      <c r="AO94" s="72">
        <f>G94*LeagueRatings!$K$27</f>
        <v>17.777777777777779</v>
      </c>
      <c r="AP94" s="72">
        <f>T94*LeagueRatings!$K$27</f>
        <v>432.77777777777777</v>
      </c>
      <c r="AQ94"/>
      <c r="AR94" s="72">
        <f t="shared" si="14"/>
        <v>181</v>
      </c>
      <c r="AS94" s="113"/>
      <c r="AT94" s="113"/>
      <c r="AU94" s="113"/>
      <c r="AV94"/>
      <c r="AW94" s="97">
        <v>43.67</v>
      </c>
    </row>
    <row r="95" spans="1:49" x14ac:dyDescent="0.2">
      <c r="A95" s="41" t="s">
        <v>774</v>
      </c>
      <c r="B95" s="76" t="s">
        <v>164</v>
      </c>
      <c r="C95" s="76">
        <v>2</v>
      </c>
      <c r="D95" s="76">
        <v>5</v>
      </c>
      <c r="E95" s="97">
        <v>4.1100000000000003</v>
      </c>
      <c r="F95" s="76">
        <v>69</v>
      </c>
      <c r="G95" s="76">
        <v>0</v>
      </c>
      <c r="H95" s="76">
        <v>0</v>
      </c>
      <c r="I95" s="76">
        <v>0</v>
      </c>
      <c r="J95" s="76">
        <v>15</v>
      </c>
      <c r="K95" s="76">
        <v>20</v>
      </c>
      <c r="L95" s="258">
        <f>INDEX('C-P-RollAdj'!$P$4:$P$900,MATCH((U95),'C-P-RollAdj'!$O$4:$O$900,FALSE),0)</f>
        <v>65.67</v>
      </c>
      <c r="M95" s="76">
        <v>60</v>
      </c>
      <c r="N95" s="76">
        <v>32</v>
      </c>
      <c r="O95" s="76">
        <v>30</v>
      </c>
      <c r="P95" s="76">
        <v>8</v>
      </c>
      <c r="Q95" s="76">
        <v>25</v>
      </c>
      <c r="R95" s="76">
        <v>1</v>
      </c>
      <c r="S95" s="76">
        <v>102</v>
      </c>
      <c r="T95" s="76">
        <v>286</v>
      </c>
      <c r="U95" s="76">
        <v>65.2</v>
      </c>
      <c r="V95" s="100">
        <v>0.23400000000000001</v>
      </c>
      <c r="W95" s="76">
        <v>1.29</v>
      </c>
      <c r="X95" s="50"/>
      <c r="Y95" s="50">
        <f t="shared" si="15"/>
        <v>8.4210526315789469</v>
      </c>
      <c r="Z95" s="6">
        <f>IF(Y95&lt;LeagueRatings!$K$10,((LeagueRatings!$K$10-Y95)/LeagueRatings!$K$10)*36,(LeagueRatings!$K$10-Y95)*6.48)</f>
        <v>1.0238429768136104</v>
      </c>
      <c r="AA95" s="16">
        <f>INDEX('C-P-RollAdj'!$B$4:$B$76,MATCH(INT(Z95),'C-P-RollAdj'!$A$4:$A$76,FALSE),0)</f>
        <v>-0.08</v>
      </c>
      <c r="AB95" s="16">
        <f t="shared" si="16"/>
        <v>2.807017543859649</v>
      </c>
      <c r="AC95" s="6">
        <f>IF(AB95&lt;LeagueRatings!$K$8,((LeagueRatings!$K$8-AB95)/LeagueRatings!$K$8)*36,(LeagueRatings!$K$8-AB95)/LeagueRatings!$K$11)</f>
        <v>4.4429232590679186</v>
      </c>
      <c r="AD95" s="16">
        <f>INDEX('C-P-RollAdj'!$F$4:$F$76,MATCH(INT(AC95),'C-P-RollAdj'!$E$4:$E$76,FALSE),0)</f>
        <v>-0.28000000000000003</v>
      </c>
      <c r="AE95" s="17">
        <f>+((LeagueRatings!$I$6-E95)*5)+9.5</f>
        <v>9.9580514552774027</v>
      </c>
      <c r="AF95" s="17">
        <f t="shared" si="17"/>
        <v>9.9580514552774027</v>
      </c>
      <c r="AG95" s="17">
        <f t="shared" si="18"/>
        <v>0.53438556418455896</v>
      </c>
      <c r="AH95" s="4">
        <f t="shared" si="19"/>
        <v>10.132437019461962</v>
      </c>
      <c r="AI95" s="41" t="s">
        <v>774</v>
      </c>
      <c r="AJ95" s="5" t="s">
        <v>39</v>
      </c>
      <c r="AK95" s="219">
        <f>INDEX('C-P-RollAdj'!$J$4:$J$76,MATCH(INT(Z95),'C-P-RollAdj'!$I$4:$I$76,FALSE),0)</f>
        <v>11</v>
      </c>
      <c r="AL95" s="219">
        <f>INDEX('C-P-RollAdj'!$J$4:$J$76,MATCH(INT(AC95),'C-P-RollAdj'!$I$4:$I$76,FALSE),0)</f>
        <v>14</v>
      </c>
      <c r="AM95" s="14">
        <f>+AR95*LeagueRatings!$K$27</f>
        <v>36.666666666666671</v>
      </c>
      <c r="AN95" s="72">
        <f>F95*LeagueRatings!$K$27</f>
        <v>38.333333333333336</v>
      </c>
      <c r="AO95" s="72">
        <f>G95*LeagueRatings!$K$27</f>
        <v>0</v>
      </c>
      <c r="AP95" s="72">
        <f>T95*LeagueRatings!$K$27</f>
        <v>158.88888888888889</v>
      </c>
      <c r="AQ95"/>
      <c r="AR95" s="72">
        <f t="shared" si="14"/>
        <v>66</v>
      </c>
      <c r="AV95"/>
      <c r="AW95" s="97">
        <v>73.33</v>
      </c>
    </row>
    <row r="96" spans="1:49" x14ac:dyDescent="0.2">
      <c r="A96" s="41" t="s">
        <v>440</v>
      </c>
      <c r="B96" s="76" t="s">
        <v>164</v>
      </c>
      <c r="C96" s="76">
        <v>4</v>
      </c>
      <c r="D96" s="76">
        <v>3</v>
      </c>
      <c r="E96" s="97">
        <v>3.28</v>
      </c>
      <c r="F96" s="76">
        <v>59</v>
      </c>
      <c r="G96" s="76">
        <v>0</v>
      </c>
      <c r="H96" s="76">
        <v>0</v>
      </c>
      <c r="I96" s="76">
        <v>0</v>
      </c>
      <c r="J96" s="76">
        <v>15</v>
      </c>
      <c r="K96" s="76">
        <v>21</v>
      </c>
      <c r="L96" s="258">
        <f>INDEX('C-P-RollAdj'!$P$4:$P$900,MATCH((U96),'C-P-RollAdj'!$O$4:$O$900,FALSE),0)</f>
        <v>57.67</v>
      </c>
      <c r="M96" s="76">
        <v>38</v>
      </c>
      <c r="N96" s="76">
        <v>23</v>
      </c>
      <c r="O96" s="76">
        <v>21</v>
      </c>
      <c r="P96" s="76">
        <v>5</v>
      </c>
      <c r="Q96" s="76">
        <v>18</v>
      </c>
      <c r="R96" s="76">
        <v>2</v>
      </c>
      <c r="S96" s="76">
        <v>67</v>
      </c>
      <c r="T96" s="76">
        <v>230</v>
      </c>
      <c r="U96" s="76">
        <v>57.2</v>
      </c>
      <c r="V96" s="100">
        <v>0.183</v>
      </c>
      <c r="W96" s="76">
        <v>0.97</v>
      </c>
      <c r="X96" s="50"/>
      <c r="Y96" s="50">
        <f t="shared" si="15"/>
        <v>7.0175438596491224</v>
      </c>
      <c r="Z96" s="6">
        <f>IF(Y96&lt;LeagueRatings!$K$10,((LeagueRatings!$K$10-Y96)/LeagueRatings!$K$10)*36,(LeagueRatings!$K$10-Y96)*6.48)</f>
        <v>6.853202480678009</v>
      </c>
      <c r="AA96" s="16">
        <f>INDEX('C-P-RollAdj'!$B$4:$B$76,MATCH(INT(Z96),'C-P-RollAdj'!$A$4:$A$76,FALSE),0)</f>
        <v>-0.48</v>
      </c>
      <c r="AB96" s="16">
        <f t="shared" si="16"/>
        <v>2.1929824561403506</v>
      </c>
      <c r="AC96" s="6">
        <f>IF(AB96&lt;LeagueRatings!$K$8,((LeagueRatings!$K$8-AB96)/LeagueRatings!$K$8)*36,(LeagueRatings!$K$8-AB96)/LeagueRatings!$K$11)</f>
        <v>11.346033796146813</v>
      </c>
      <c r="AD96" s="16">
        <f>INDEX('C-P-RollAdj'!$F$4:$F$76,MATCH(INT(AC96),'C-P-RollAdj'!$E$4:$E$76,FALSE),0)</f>
        <v>-0.81</v>
      </c>
      <c r="AE96" s="17">
        <f>+((LeagueRatings!$I$6-E96)*5)+9.5</f>
        <v>14.108051455277405</v>
      </c>
      <c r="AF96" s="17">
        <f t="shared" si="17"/>
        <v>14.108051455277405</v>
      </c>
      <c r="AG96" s="17">
        <f t="shared" si="18"/>
        <v>2.3175498526096763</v>
      </c>
      <c r="AH96" s="4">
        <f t="shared" si="19"/>
        <v>15.135601307887082</v>
      </c>
      <c r="AI96" s="41" t="s">
        <v>440</v>
      </c>
      <c r="AJ96" s="5" t="s">
        <v>14</v>
      </c>
      <c r="AK96" s="219">
        <f>INDEX('C-P-RollAdj'!$J$4:$J$76,MATCH(INT(Z96),'C-P-RollAdj'!$I$4:$I$76,FALSE),0)</f>
        <v>16</v>
      </c>
      <c r="AL96" s="219">
        <f>INDEX('C-P-RollAdj'!$J$4:$J$76,MATCH(INT(AC96),'C-P-RollAdj'!$I$4:$I$76,FALSE),0)</f>
        <v>25</v>
      </c>
      <c r="AM96" s="14">
        <f>+AR96*LeagueRatings!$K$27</f>
        <v>32.222222222222221</v>
      </c>
      <c r="AN96" s="72">
        <f>F96*LeagueRatings!$K$27</f>
        <v>32.777777777777779</v>
      </c>
      <c r="AO96" s="72">
        <f>G96*LeagueRatings!$K$27</f>
        <v>0</v>
      </c>
      <c r="AP96" s="72">
        <f>T96*LeagueRatings!$K$27</f>
        <v>127.77777777777779</v>
      </c>
      <c r="AR96" s="72">
        <f t="shared" si="14"/>
        <v>58</v>
      </c>
      <c r="AW96" s="97">
        <v>60</v>
      </c>
    </row>
    <row r="97" spans="1:50" x14ac:dyDescent="0.2">
      <c r="A97" s="41" t="s">
        <v>321</v>
      </c>
      <c r="B97" s="76" t="s">
        <v>164</v>
      </c>
      <c r="C97" s="76">
        <v>1</v>
      </c>
      <c r="D97" s="76">
        <v>2</v>
      </c>
      <c r="E97" s="97">
        <v>2.25</v>
      </c>
      <c r="F97" s="76">
        <v>66</v>
      </c>
      <c r="G97" s="76">
        <v>0</v>
      </c>
      <c r="H97" s="76">
        <v>0</v>
      </c>
      <c r="I97" s="76">
        <v>0</v>
      </c>
      <c r="J97" s="76">
        <v>12</v>
      </c>
      <c r="K97" s="76">
        <v>15</v>
      </c>
      <c r="L97" s="258">
        <f>INDEX('C-P-RollAdj'!$P$4:$P$900,MATCH((U97),'C-P-RollAdj'!$O$4:$O$900,FALSE),0)</f>
        <v>64</v>
      </c>
      <c r="M97" s="76">
        <v>52</v>
      </c>
      <c r="N97" s="76">
        <v>17</v>
      </c>
      <c r="O97" s="76">
        <v>16</v>
      </c>
      <c r="P97" s="76">
        <v>3</v>
      </c>
      <c r="Q97" s="76">
        <v>15</v>
      </c>
      <c r="R97" s="76">
        <v>1</v>
      </c>
      <c r="S97" s="76">
        <v>69</v>
      </c>
      <c r="T97" s="76">
        <v>255</v>
      </c>
      <c r="U97" s="76">
        <v>64</v>
      </c>
      <c r="V97" s="100">
        <v>0.22</v>
      </c>
      <c r="W97" s="76">
        <v>1.05</v>
      </c>
      <c r="X97" s="50"/>
      <c r="Y97" s="50">
        <f t="shared" si="15"/>
        <v>5.5118110236220472</v>
      </c>
      <c r="Z97" s="6">
        <f>IF(Y97&lt;LeagueRatings!$K$10,((LeagueRatings!$K$10-Y97)/LeagueRatings!$K$10)*36,(LeagueRatings!$K$10-Y97)*6.48)</f>
        <v>13.107141318485285</v>
      </c>
      <c r="AA97" s="16">
        <f>INDEX('C-P-RollAdj'!$B$4:$B$76,MATCH(INT(Z97),'C-P-RollAdj'!$A$4:$A$76,FALSE),0)</f>
        <v>-1.1000000000000001</v>
      </c>
      <c r="AB97" s="16">
        <f t="shared" si="16"/>
        <v>1.1811023622047243</v>
      </c>
      <c r="AC97" s="6">
        <f>IF(AB97&lt;LeagueRatings!$K$8,((LeagueRatings!$K$8-AB97)/LeagueRatings!$K$8)*36,(LeagueRatings!$K$8-AB97)/LeagueRatings!$K$11)</f>
        <v>22.721800879184585</v>
      </c>
      <c r="AD97" s="16">
        <f>INDEX('C-P-RollAdj'!$F$4:$F$76,MATCH(INT(AC97),'C-P-RollAdj'!$E$4:$E$76,FALSE),0)</f>
        <v>-1.78</v>
      </c>
      <c r="AE97" s="17">
        <f>+((LeagueRatings!$I$6-E97)*5)+9.5</f>
        <v>19.258051455277403</v>
      </c>
      <c r="AF97" s="17">
        <f t="shared" si="17"/>
        <v>19.258051455277403</v>
      </c>
      <c r="AG97" s="17">
        <f t="shared" si="18"/>
        <v>1.2424999999999999</v>
      </c>
      <c r="AH97" s="4">
        <f t="shared" si="19"/>
        <v>17.620551455277404</v>
      </c>
      <c r="AI97" s="41" t="s">
        <v>321</v>
      </c>
      <c r="AJ97" s="5" t="s">
        <v>63</v>
      </c>
      <c r="AK97" s="219">
        <f>INDEX('C-P-RollAdj'!$J$4:$J$76,MATCH(INT(Z97),'C-P-RollAdj'!$I$4:$I$76,FALSE),0)</f>
        <v>31</v>
      </c>
      <c r="AL97" s="219">
        <f>INDEX('C-P-RollAdj'!$J$4:$J$76,MATCH(INT(AC97),'C-P-RollAdj'!$I$4:$I$76,FALSE),0)</f>
        <v>44</v>
      </c>
      <c r="AM97" s="14">
        <f>+AR97*LeagueRatings!$K$27</f>
        <v>35.555555555555557</v>
      </c>
      <c r="AN97" s="72">
        <f>F97*LeagueRatings!$K$27</f>
        <v>36.666666666666671</v>
      </c>
      <c r="AO97" s="72">
        <f>G97*LeagueRatings!$K$27</f>
        <v>0</v>
      </c>
      <c r="AP97" s="72">
        <f>T97*LeagueRatings!$K$27</f>
        <v>141.66666666666669</v>
      </c>
      <c r="AQ97"/>
      <c r="AR97" s="72">
        <f t="shared" si="14"/>
        <v>64</v>
      </c>
      <c r="AV97"/>
      <c r="AW97" s="97">
        <v>21.33</v>
      </c>
    </row>
    <row r="98" spans="1:50" x14ac:dyDescent="0.2">
      <c r="A98" s="41" t="s">
        <v>1331</v>
      </c>
      <c r="B98" s="76" t="s">
        <v>164</v>
      </c>
      <c r="C98" s="76">
        <v>1</v>
      </c>
      <c r="D98" s="76">
        <v>1</v>
      </c>
      <c r="E98" s="97">
        <v>4.5</v>
      </c>
      <c r="F98" s="76">
        <v>22</v>
      </c>
      <c r="G98" s="76">
        <v>0</v>
      </c>
      <c r="H98" s="76">
        <v>0</v>
      </c>
      <c r="I98" s="76">
        <v>0</v>
      </c>
      <c r="J98" s="76">
        <v>0</v>
      </c>
      <c r="K98" s="76">
        <v>1</v>
      </c>
      <c r="L98" s="258">
        <f>INDEX('C-P-RollAdj'!$P$4:$P$900,MATCH((U98),'C-P-RollAdj'!$O$4:$O$900,FALSE),0)</f>
        <v>22</v>
      </c>
      <c r="M98" s="76">
        <v>16</v>
      </c>
      <c r="N98" s="76">
        <v>12</v>
      </c>
      <c r="O98" s="76">
        <v>11</v>
      </c>
      <c r="P98" s="76">
        <v>5</v>
      </c>
      <c r="Q98" s="76">
        <v>9</v>
      </c>
      <c r="R98" s="76">
        <v>1</v>
      </c>
      <c r="S98" s="76">
        <v>28</v>
      </c>
      <c r="T98" s="76">
        <v>91</v>
      </c>
      <c r="U98" s="76">
        <v>22</v>
      </c>
      <c r="V98" s="100">
        <v>0.20300000000000001</v>
      </c>
      <c r="W98" s="76">
        <v>1.1399999999999999</v>
      </c>
      <c r="X98" s="50"/>
      <c r="Y98" s="50">
        <f t="shared" si="15"/>
        <v>8.8888888888888893</v>
      </c>
      <c r="Z98" s="6">
        <f>IF(Y98&lt;LeagueRatings!$K$10,((LeagueRatings!$K$10-Y98)/LeagueRatings!$K$10)*36,(LeagueRatings!$K$10-Y98)*6.48)</f>
        <v>-1.4342195058063421</v>
      </c>
      <c r="AA98" s="16">
        <f>INDEX('C-P-RollAdj'!$B$4:$B$76,MATCH(INT(Z98),'C-P-RollAdj'!$A$4:$A$76,FALSE),0)</f>
        <v>0.18</v>
      </c>
      <c r="AB98" s="16">
        <f t="shared" si="16"/>
        <v>5.5555555555555554</v>
      </c>
      <c r="AC98" s="6">
        <f>IF(AB98&lt;LeagueRatings!$K$8,((LeagueRatings!$K$8-AB98)/LeagueRatings!$K$8)*36,(LeagueRatings!$K$8-AB98)/LeagueRatings!$K$11)</f>
        <v>-18.686567164179102</v>
      </c>
      <c r="AD98" s="16">
        <f>INDEX('C-P-RollAdj'!$F$4:$F$76,MATCH(INT(AC98),'C-P-RollAdj'!$E$4:$E$76,FALSE),0)</f>
        <v>2.0299999999999998</v>
      </c>
      <c r="AE98" s="17">
        <f>+((LeagueRatings!$I$6-E98)*5)+9.5</f>
        <v>8.0080514552774034</v>
      </c>
      <c r="AF98" s="17">
        <f t="shared" si="17"/>
        <v>8.0080514552774034</v>
      </c>
      <c r="AG98" s="17">
        <f t="shared" si="18"/>
        <v>1.8390909090909089</v>
      </c>
      <c r="AH98" s="4">
        <f t="shared" si="19"/>
        <v>12.057142364368314</v>
      </c>
      <c r="AI98" s="41" t="s">
        <v>1331</v>
      </c>
      <c r="AJ98" s="5" t="s">
        <v>59</v>
      </c>
      <c r="AK98" s="219">
        <f>INDEX('C-P-RollAdj'!$J$4:$J$76,MATCH(INT(Z98),'C-P-RollAdj'!$I$4:$I$76,FALSE),0)</f>
        <v>-12</v>
      </c>
      <c r="AL98" s="219">
        <f>INDEX('C-P-RollAdj'!$J$4:$J$76,MATCH(INT(AC98),'C-P-RollAdj'!$I$4:$I$76,FALSE),0)</f>
        <v>-41</v>
      </c>
      <c r="AM98" s="14">
        <f>+AR98*LeagueRatings!$K$27</f>
        <v>12.222222222222223</v>
      </c>
      <c r="AN98" s="72">
        <f>F98*LeagueRatings!$K$27</f>
        <v>12.222222222222223</v>
      </c>
      <c r="AO98" s="72">
        <f>G98*LeagueRatings!$K$27</f>
        <v>0</v>
      </c>
      <c r="AP98" s="72">
        <f>T98*LeagueRatings!$K$27</f>
        <v>50.555555555555557</v>
      </c>
      <c r="AQ98"/>
      <c r="AR98" s="72">
        <f t="shared" si="14"/>
        <v>22</v>
      </c>
      <c r="AV98"/>
      <c r="AW98" s="97">
        <v>38</v>
      </c>
    </row>
    <row r="99" spans="1:50" x14ac:dyDescent="0.2">
      <c r="A99" s="41" t="s">
        <v>551</v>
      </c>
      <c r="B99" s="76" t="s">
        <v>164</v>
      </c>
      <c r="C99" s="76">
        <v>9</v>
      </c>
      <c r="D99" s="76">
        <v>12</v>
      </c>
      <c r="E99" s="97">
        <v>4.55</v>
      </c>
      <c r="F99" s="76">
        <v>26</v>
      </c>
      <c r="G99" s="76">
        <v>26</v>
      </c>
      <c r="H99" s="76">
        <v>1</v>
      </c>
      <c r="I99" s="76">
        <v>1</v>
      </c>
      <c r="J99" s="76">
        <v>0</v>
      </c>
      <c r="K99" s="76">
        <v>0</v>
      </c>
      <c r="L99" s="258">
        <f>INDEX('C-P-RollAdj'!$P$4:$P$900,MATCH((U99),'C-P-RollAdj'!$O$4:$O$900,FALSE),0)</f>
        <v>168</v>
      </c>
      <c r="M99" s="76">
        <v>168</v>
      </c>
      <c r="N99" s="76">
        <v>88</v>
      </c>
      <c r="O99" s="76">
        <v>85</v>
      </c>
      <c r="P99" s="76">
        <v>20</v>
      </c>
      <c r="Q99" s="76">
        <v>48</v>
      </c>
      <c r="R99" s="76">
        <v>1</v>
      </c>
      <c r="S99" s="76">
        <v>144</v>
      </c>
      <c r="T99" s="76">
        <v>701</v>
      </c>
      <c r="U99" s="76">
        <v>168</v>
      </c>
      <c r="V99" s="100">
        <v>0.25900000000000001</v>
      </c>
      <c r="W99" s="76">
        <v>1.29</v>
      </c>
      <c r="X99" s="50"/>
      <c r="Y99" s="50">
        <f t="shared" si="15"/>
        <v>6.7142857142857144</v>
      </c>
      <c r="Z99" s="6">
        <f>IF(Y99&lt;LeagueRatings!$K$10,((LeagueRatings!$K$10-Y99)/LeagueRatings!$K$10)*36,(LeagueRatings!$K$10-Y99)*6.48)</f>
        <v>8.1127605163344203</v>
      </c>
      <c r="AA99" s="16">
        <f>INDEX('C-P-RollAdj'!$B$4:$B$76,MATCH(INT(Z99),'C-P-RollAdj'!$A$4:$A$76,FALSE),0)</f>
        <v>-0.65</v>
      </c>
      <c r="AB99" s="16">
        <f t="shared" si="16"/>
        <v>2.8571428571428572</v>
      </c>
      <c r="AC99" s="6">
        <f>IF(AB99&lt;LeagueRatings!$K$8,((LeagueRatings!$K$8-AB99)/LeagueRatings!$K$8)*36,(LeagueRatings!$K$8-AB99)/LeagueRatings!$K$11)</f>
        <v>3.8794040315512719</v>
      </c>
      <c r="AD99" s="16">
        <f>INDEX('C-P-RollAdj'!$F$4:$F$76,MATCH(INT(AC99),'C-P-RollAdj'!$E$4:$E$76,FALSE),0)</f>
        <v>-0.21000000000000002</v>
      </c>
      <c r="AE99" s="17">
        <f>+((LeagueRatings!$I$6-E99)*5)+9.5</f>
        <v>7.7580514552774043</v>
      </c>
      <c r="AF99" s="17">
        <f t="shared" si="17"/>
        <v>7.7580514552774043</v>
      </c>
      <c r="AG99" s="17">
        <f t="shared" si="18"/>
        <v>0</v>
      </c>
      <c r="AH99" s="4">
        <f t="shared" si="19"/>
        <v>6.8980514552774039</v>
      </c>
      <c r="AI99" s="41" t="s">
        <v>551</v>
      </c>
      <c r="AJ99" s="9" t="s">
        <v>66</v>
      </c>
      <c r="AK99" s="219">
        <f>INDEX('C-P-RollAdj'!$J$4:$J$76,MATCH(INT(Z99),'C-P-RollAdj'!$I$4:$I$76,FALSE),0)</f>
        <v>22</v>
      </c>
      <c r="AL99" s="219">
        <f>INDEX('C-P-RollAdj'!$J$4:$J$76,MATCH(INT(AC99),'C-P-RollAdj'!$I$4:$I$76,FALSE),0)</f>
        <v>13</v>
      </c>
      <c r="AM99" s="14">
        <f>+AR99*LeagueRatings!$K$27</f>
        <v>93.333333333333343</v>
      </c>
      <c r="AN99" s="72">
        <f>F99*LeagueRatings!$K$27</f>
        <v>14.444444444444445</v>
      </c>
      <c r="AO99" s="72">
        <f>G99*LeagueRatings!$K$27</f>
        <v>14.444444444444445</v>
      </c>
      <c r="AP99" s="72">
        <f>T99*LeagueRatings!$K$27</f>
        <v>389.44444444444446</v>
      </c>
      <c r="AQ99" s="13"/>
      <c r="AR99" s="72">
        <f t="shared" si="14"/>
        <v>168</v>
      </c>
      <c r="AV99" s="13"/>
      <c r="AW99" s="97">
        <v>153.66999999999999</v>
      </c>
    </row>
    <row r="100" spans="1:50" x14ac:dyDescent="0.2">
      <c r="A100" s="41" t="s">
        <v>1183</v>
      </c>
      <c r="B100" s="76" t="s">
        <v>164</v>
      </c>
      <c r="C100" s="76">
        <v>6</v>
      </c>
      <c r="D100" s="76">
        <v>5</v>
      </c>
      <c r="E100" s="97">
        <v>3.22</v>
      </c>
      <c r="F100" s="76">
        <v>14</v>
      </c>
      <c r="G100" s="76">
        <v>14</v>
      </c>
      <c r="H100" s="76">
        <v>0</v>
      </c>
      <c r="I100" s="76">
        <v>0</v>
      </c>
      <c r="J100" s="76">
        <v>0</v>
      </c>
      <c r="K100" s="76">
        <v>0</v>
      </c>
      <c r="L100" s="258">
        <f>INDEX('C-P-RollAdj'!$P$4:$P$900,MATCH((U100),'C-P-RollAdj'!$O$4:$O$900,FALSE),0)</f>
        <v>81</v>
      </c>
      <c r="M100" s="76">
        <v>80</v>
      </c>
      <c r="N100" s="76">
        <v>29</v>
      </c>
      <c r="O100" s="76">
        <v>29</v>
      </c>
      <c r="P100" s="76">
        <v>5</v>
      </c>
      <c r="Q100" s="76">
        <v>45</v>
      </c>
      <c r="R100" s="76">
        <v>1</v>
      </c>
      <c r="S100" s="76">
        <v>106</v>
      </c>
      <c r="T100" s="76">
        <v>352</v>
      </c>
      <c r="U100" s="76">
        <v>81</v>
      </c>
      <c r="V100" s="100">
        <v>0.26100000000000001</v>
      </c>
      <c r="W100" s="76">
        <v>1.54</v>
      </c>
      <c r="X100" s="52"/>
      <c r="Y100" s="52">
        <f t="shared" si="15"/>
        <v>12.535612535612536</v>
      </c>
      <c r="Z100" s="6">
        <f>IF(Y100&lt;LeagueRatings!$K$10,((LeagueRatings!$K$10-Y100)/LeagueRatings!$K$10)*36,(LeagueRatings!$K$10-Y100)*6.48)</f>
        <v>-25.064988736575575</v>
      </c>
      <c r="AA100" s="16">
        <f>INDEX('C-P-RollAdj'!$B$4:$B$76,MATCH(INT(Z100),'C-P-RollAdj'!$A$4:$A$76,FALSE),0)</f>
        <v>3.42</v>
      </c>
      <c r="AB100" s="54">
        <f t="shared" si="16"/>
        <v>1.4245014245014245</v>
      </c>
      <c r="AC100" s="6">
        <f>IF(AB100&lt;LeagueRatings!$K$8,((LeagueRatings!$K$8-AB100)/LeagueRatings!$K$8)*36,(LeagueRatings!$K$8-AB100)/LeagueRatings!$K$11)</f>
        <v>19.985457850488526</v>
      </c>
      <c r="AD100" s="16">
        <f>INDEX('C-P-RollAdj'!$F$4:$F$76,MATCH(INT(AC100),'C-P-RollAdj'!$E$4:$E$76,FALSE),0)</f>
        <v>-1.5</v>
      </c>
      <c r="AE100" s="17">
        <f>+((LeagueRatings!$I$6-E100)*5)+9.5</f>
        <v>14.408051455277402</v>
      </c>
      <c r="AF100" s="55">
        <f t="shared" si="17"/>
        <v>14.408051455277402</v>
      </c>
      <c r="AG100" s="17">
        <f t="shared" si="18"/>
        <v>1.641975308642013E-2</v>
      </c>
      <c r="AH100" s="56">
        <f t="shared" si="19"/>
        <v>16.344471208363824</v>
      </c>
      <c r="AI100" s="41" t="s">
        <v>1183</v>
      </c>
      <c r="AJ100" s="9" t="s">
        <v>31</v>
      </c>
      <c r="AK100" s="219">
        <f>INDEX('C-P-RollAdj'!$J$4:$J$76,MATCH(INT(Z100),'C-P-RollAdj'!$I$4:$I$76,FALSE),0)</f>
        <v>-52</v>
      </c>
      <c r="AL100" s="219">
        <f>INDEX('C-P-RollAdj'!$J$4:$J$76,MATCH(INT(AC100),'C-P-RollAdj'!$I$4:$I$76,FALSE),0)</f>
        <v>41</v>
      </c>
      <c r="AM100" s="14">
        <f>+AR100*LeagueRatings!$K$27</f>
        <v>45</v>
      </c>
      <c r="AN100" s="72">
        <f>F100*LeagueRatings!$K$27</f>
        <v>7.7777777777777786</v>
      </c>
      <c r="AO100" s="72">
        <f>G100*LeagueRatings!$K$27</f>
        <v>7.7777777777777786</v>
      </c>
      <c r="AP100" s="72">
        <f>T100*LeagueRatings!$K$27</f>
        <v>195.55555555555557</v>
      </c>
      <c r="AQ100"/>
      <c r="AR100" s="72">
        <f t="shared" si="14"/>
        <v>81</v>
      </c>
      <c r="AV100"/>
      <c r="AW100" s="97">
        <v>153.66999999999999</v>
      </c>
    </row>
    <row r="101" spans="1:50" s="33" customFormat="1" x14ac:dyDescent="0.2">
      <c r="A101" s="41" t="s">
        <v>374</v>
      </c>
      <c r="B101" s="76" t="s">
        <v>164</v>
      </c>
      <c r="C101" s="76">
        <v>13</v>
      </c>
      <c r="D101" s="76">
        <v>10</v>
      </c>
      <c r="E101" s="97">
        <v>4.34</v>
      </c>
      <c r="F101" s="76">
        <v>33</v>
      </c>
      <c r="G101" s="76">
        <v>33</v>
      </c>
      <c r="H101" s="76">
        <v>1</v>
      </c>
      <c r="I101" s="76">
        <v>0</v>
      </c>
      <c r="J101" s="76">
        <v>0</v>
      </c>
      <c r="K101" s="76">
        <v>0</v>
      </c>
      <c r="L101" s="258">
        <f>INDEX('C-P-RollAdj'!$P$4:$P$900,MATCH((U101),'C-P-RollAdj'!$O$4:$O$900,FALSE),0)</f>
        <v>184.67000000000002</v>
      </c>
      <c r="M101" s="76">
        <v>206</v>
      </c>
      <c r="N101" s="76">
        <v>92</v>
      </c>
      <c r="O101" s="76">
        <v>89</v>
      </c>
      <c r="P101" s="76">
        <v>25</v>
      </c>
      <c r="Q101" s="76">
        <v>54</v>
      </c>
      <c r="R101" s="76">
        <v>1</v>
      </c>
      <c r="S101" s="76">
        <v>177</v>
      </c>
      <c r="T101" s="76">
        <v>796</v>
      </c>
      <c r="U101" s="76">
        <v>184.2</v>
      </c>
      <c r="V101" s="100">
        <v>0.28199999999999997</v>
      </c>
      <c r="W101" s="76">
        <v>1.41</v>
      </c>
      <c r="X101" s="50"/>
      <c r="Y101" s="50">
        <f t="shared" si="15"/>
        <v>6.666666666666667</v>
      </c>
      <c r="Z101" s="6">
        <f>IF(Y101&lt;LeagueRatings!$K$10,((LeagueRatings!$K$10-Y101)/LeagueRatings!$K$10)*36,(LeagueRatings!$K$10-Y101)*6.48)</f>
        <v>8.3105423566441061</v>
      </c>
      <c r="AA101" s="16">
        <f>INDEX('C-P-RollAdj'!$B$4:$B$76,MATCH(INT(Z101),'C-P-RollAdj'!$A$4:$A$76,FALSE),0)</f>
        <v>-0.65</v>
      </c>
      <c r="AB101" s="16">
        <f t="shared" si="16"/>
        <v>3.1446540880503147</v>
      </c>
      <c r="AC101" s="6">
        <f>IF(AB101&lt;LeagueRatings!$K$8,((LeagueRatings!$K$8-AB101)/LeagueRatings!$K$8)*36,(LeagueRatings!$K$8-AB101)/LeagueRatings!$K$11)</f>
        <v>0.64714280202183849</v>
      </c>
      <c r="AD101" s="16">
        <f>INDEX('C-P-RollAdj'!$F$4:$F$76,MATCH(INT(AC101),'C-P-RollAdj'!$E$4:$E$76,FALSE),0)</f>
        <v>0</v>
      </c>
      <c r="AE101" s="17">
        <f>+((LeagueRatings!$I$6-E101)*5)+9.5</f>
        <v>8.8080514552774041</v>
      </c>
      <c r="AF101" s="17">
        <f t="shared" si="17"/>
        <v>8.8080514552774041</v>
      </c>
      <c r="AG101" s="17">
        <f t="shared" si="18"/>
        <v>-0.57751665132398267</v>
      </c>
      <c r="AH101" s="4">
        <f t="shared" si="19"/>
        <v>7.5805348039534213</v>
      </c>
      <c r="AI101" s="41" t="s">
        <v>374</v>
      </c>
      <c r="AJ101" s="5" t="s">
        <v>55</v>
      </c>
      <c r="AK101" s="219">
        <f>INDEX('C-P-RollAdj'!$J$4:$J$76,MATCH(INT(Z101),'C-P-RollAdj'!$I$4:$I$76,FALSE),0)</f>
        <v>22</v>
      </c>
      <c r="AL101" s="219">
        <f>INDEX('C-P-RollAdj'!$J$4:$J$76,MATCH(INT(AC101),'C-P-RollAdj'!$I$4:$I$76,FALSE),0)</f>
        <v>0</v>
      </c>
      <c r="AM101" s="14">
        <f>+AR101*LeagueRatings!$K$27</f>
        <v>102.77777777777779</v>
      </c>
      <c r="AN101" s="72">
        <f>F101*LeagueRatings!$K$27</f>
        <v>18.333333333333336</v>
      </c>
      <c r="AO101" s="72">
        <f>G101*LeagueRatings!$K$27</f>
        <v>18.333333333333336</v>
      </c>
      <c r="AP101" s="72">
        <f>T101*LeagueRatings!$K$27</f>
        <v>442.22222222222223</v>
      </c>
      <c r="AQ101"/>
      <c r="AR101" s="72">
        <f t="shared" si="14"/>
        <v>185</v>
      </c>
      <c r="AS101" s="113"/>
      <c r="AT101" s="113"/>
      <c r="AU101" s="113"/>
      <c r="AV101"/>
      <c r="AW101" s="97">
        <v>19.329999999999998</v>
      </c>
    </row>
    <row r="102" spans="1:50" s="33" customFormat="1" x14ac:dyDescent="0.2">
      <c r="A102" s="41" t="s">
        <v>1330</v>
      </c>
      <c r="B102" s="76" t="s">
        <v>164</v>
      </c>
      <c r="C102" s="76">
        <v>4</v>
      </c>
      <c r="D102" s="76">
        <v>4</v>
      </c>
      <c r="E102" s="97">
        <v>4.0599999999999996</v>
      </c>
      <c r="F102" s="76">
        <v>11</v>
      </c>
      <c r="G102" s="76">
        <v>10</v>
      </c>
      <c r="H102" s="76">
        <v>0</v>
      </c>
      <c r="I102" s="76">
        <v>0</v>
      </c>
      <c r="J102" s="76">
        <v>0</v>
      </c>
      <c r="K102" s="76">
        <v>0</v>
      </c>
      <c r="L102" s="258">
        <f>INDEX('C-P-RollAdj'!$P$4:$P$900,MATCH((U102),'C-P-RollAdj'!$O$4:$O$900,FALSE),0)</f>
        <v>62</v>
      </c>
      <c r="M102" s="76">
        <v>59</v>
      </c>
      <c r="N102" s="76">
        <v>28</v>
      </c>
      <c r="O102" s="76">
        <v>28</v>
      </c>
      <c r="P102" s="76">
        <v>9</v>
      </c>
      <c r="Q102" s="76">
        <v>16</v>
      </c>
      <c r="R102" s="76">
        <v>0</v>
      </c>
      <c r="S102" s="76">
        <v>55</v>
      </c>
      <c r="T102" s="76">
        <v>256</v>
      </c>
      <c r="U102" s="76">
        <v>62</v>
      </c>
      <c r="V102" s="100">
        <v>0.25</v>
      </c>
      <c r="W102" s="76">
        <v>1.21</v>
      </c>
      <c r="X102" s="50"/>
      <c r="Y102" s="50">
        <f t="shared" si="15"/>
        <v>6.25</v>
      </c>
      <c r="Z102" s="6">
        <f>IF(Y102&lt;LeagueRatings!$K$10,((LeagueRatings!$K$10-Y102)/LeagueRatings!$K$10)*36,(LeagueRatings!$K$10-Y102)*6.48)</f>
        <v>10.041133459353849</v>
      </c>
      <c r="AA102" s="16">
        <f>INDEX('C-P-RollAdj'!$B$4:$B$76,MATCH(INT(Z102),'C-P-RollAdj'!$A$4:$A$76,FALSE),0)</f>
        <v>-0.83000000000000007</v>
      </c>
      <c r="AB102" s="16">
        <f t="shared" si="16"/>
        <v>3.515625</v>
      </c>
      <c r="AC102" s="6">
        <f>IF(AB102&lt;LeagueRatings!$K$8,((LeagueRatings!$K$8-AB102)/LeagueRatings!$K$8)*36,(LeagueRatings!$K$8-AB102)/LeagueRatings!$K$11)</f>
        <v>-2.4885953298025987</v>
      </c>
      <c r="AD102" s="16">
        <f>INDEX('C-P-RollAdj'!$F$4:$F$76,MATCH(INT(AC102),'C-P-RollAdj'!$E$4:$E$76,FALSE),0)</f>
        <v>0.24</v>
      </c>
      <c r="AE102" s="17">
        <f>+((LeagueRatings!$I$6-E102)*5)+9.5</f>
        <v>10.208051455277406</v>
      </c>
      <c r="AF102" s="17">
        <f t="shared" si="17"/>
        <v>10.208051455277406</v>
      </c>
      <c r="AG102" s="17">
        <f t="shared" si="18"/>
        <v>0.26870967741935453</v>
      </c>
      <c r="AH102" s="4">
        <f t="shared" si="19"/>
        <v>9.8867611326967602</v>
      </c>
      <c r="AI102" s="41" t="s">
        <v>1330</v>
      </c>
      <c r="AJ102" s="5" t="s">
        <v>39</v>
      </c>
      <c r="AK102" s="219">
        <f>INDEX('C-P-RollAdj'!$J$4:$J$76,MATCH(INT(Z102),'C-P-RollAdj'!$I$4:$I$76,FALSE),0)</f>
        <v>24</v>
      </c>
      <c r="AL102" s="219">
        <f>INDEX('C-P-RollAdj'!$J$4:$J$76,MATCH(INT(AC102),'C-P-RollAdj'!$I$4:$I$76,FALSE),0)</f>
        <v>-13</v>
      </c>
      <c r="AM102" s="14">
        <f>+AR102*LeagueRatings!$K$27</f>
        <v>34.444444444444443</v>
      </c>
      <c r="AN102" s="72">
        <f>F102*LeagueRatings!$K$27</f>
        <v>6.1111111111111116</v>
      </c>
      <c r="AO102" s="72">
        <f>G102*LeagueRatings!$K$27</f>
        <v>5.5555555555555554</v>
      </c>
      <c r="AP102" s="72">
        <f>T102*LeagueRatings!$K$27</f>
        <v>142.22222222222223</v>
      </c>
      <c r="AQ102"/>
      <c r="AR102" s="72">
        <f t="shared" si="14"/>
        <v>62</v>
      </c>
      <c r="AS102" s="113"/>
      <c r="AT102" s="113"/>
      <c r="AU102" s="113"/>
      <c r="AV102"/>
      <c r="AW102" s="97">
        <v>141.66999999999999</v>
      </c>
    </row>
    <row r="103" spans="1:50" s="33" customFormat="1" x14ac:dyDescent="0.2">
      <c r="A103" s="41" t="s">
        <v>599</v>
      </c>
      <c r="B103" s="76" t="s">
        <v>164</v>
      </c>
      <c r="C103" s="76">
        <v>2</v>
      </c>
      <c r="D103" s="76">
        <v>2</v>
      </c>
      <c r="E103" s="97">
        <v>3.06</v>
      </c>
      <c r="F103" s="76">
        <v>60</v>
      </c>
      <c r="G103" s="76">
        <v>0</v>
      </c>
      <c r="H103" s="76">
        <v>0</v>
      </c>
      <c r="I103" s="76">
        <v>0</v>
      </c>
      <c r="J103" s="76">
        <v>0</v>
      </c>
      <c r="K103" s="76">
        <v>0</v>
      </c>
      <c r="L103" s="258">
        <f>INDEX('C-P-RollAdj'!$P$4:$P$900,MATCH((U103),'C-P-RollAdj'!$O$4:$O$900,FALSE),0)</f>
        <v>47</v>
      </c>
      <c r="M103" s="76">
        <v>33</v>
      </c>
      <c r="N103" s="76">
        <v>17</v>
      </c>
      <c r="O103" s="76">
        <v>16</v>
      </c>
      <c r="P103" s="76">
        <v>6</v>
      </c>
      <c r="Q103" s="76">
        <v>11</v>
      </c>
      <c r="R103" s="76">
        <v>7</v>
      </c>
      <c r="S103" s="76">
        <v>43</v>
      </c>
      <c r="T103" s="76">
        <v>185</v>
      </c>
      <c r="U103" s="76">
        <v>47</v>
      </c>
      <c r="V103" s="100">
        <v>0.19400000000000001</v>
      </c>
      <c r="W103" s="76">
        <v>0.94</v>
      </c>
      <c r="X103" s="50"/>
      <c r="Y103" s="50">
        <f t="shared" si="15"/>
        <v>2.2471910112359552</v>
      </c>
      <c r="Z103" s="6">
        <f>IF(Y103&lt;LeagueRatings!$K$10,((LeagueRatings!$K$10-Y103)/LeagueRatings!$K$10)*36,(LeagueRatings!$K$10-Y103)*6.48)</f>
        <v>26.666474951677788</v>
      </c>
      <c r="AA103" s="16">
        <f>INDEX('C-P-RollAdj'!$B$4:$B$76,MATCH(INT(Z103),'C-P-RollAdj'!$A$4:$A$76,FALSE),0)</f>
        <v>-2.44</v>
      </c>
      <c r="AB103" s="16">
        <f t="shared" si="16"/>
        <v>3.3707865168539324</v>
      </c>
      <c r="AC103" s="6">
        <f>IF(AB103&lt;LeagueRatings!$K$8,((LeagueRatings!$K$8-AB103)/LeagueRatings!$K$8)*36,(LeagueRatings!$K$8-AB103)/LeagueRatings!$K$11)</f>
        <v>-1.33851222322602</v>
      </c>
      <c r="AD103" s="16">
        <f>INDEX('C-P-RollAdj'!$F$4:$F$76,MATCH(INT(AC103),'C-P-RollAdj'!$E$4:$E$76,FALSE),0)</f>
        <v>0.16</v>
      </c>
      <c r="AE103" s="17">
        <f>+((LeagueRatings!$I$6-E103)*5)+9.5</f>
        <v>15.208051455277403</v>
      </c>
      <c r="AF103" s="17">
        <f t="shared" si="17"/>
        <v>15.208051455277403</v>
      </c>
      <c r="AG103" s="17">
        <f t="shared" si="18"/>
        <v>2.0151063829787232</v>
      </c>
      <c r="AH103" s="4">
        <f>+AA103+AD103+AF103+AG103</f>
        <v>14.943157838256127</v>
      </c>
      <c r="AI103" s="41" t="s">
        <v>599</v>
      </c>
      <c r="AJ103" s="5" t="s">
        <v>14</v>
      </c>
      <c r="AK103" s="219">
        <f>INDEX('C-P-RollAdj'!$J$4:$J$76,MATCH(INT(Z103),'C-P-RollAdj'!$I$4:$I$76,FALSE),0)</f>
        <v>52</v>
      </c>
      <c r="AL103" s="219">
        <f>INDEX('C-P-RollAdj'!$J$4:$J$76,MATCH(INT(AC103),'C-P-RollAdj'!$I$4:$I$76,FALSE),0)</f>
        <v>-12</v>
      </c>
      <c r="AM103" s="14">
        <f>+AR103*LeagueRatings!$K$27</f>
        <v>26.111111111111111</v>
      </c>
      <c r="AN103" s="72">
        <f>F103*LeagueRatings!$K$27</f>
        <v>33.333333333333336</v>
      </c>
      <c r="AO103" s="72">
        <f>G103*LeagueRatings!$K$27</f>
        <v>0</v>
      </c>
      <c r="AP103" s="72">
        <f>T103*LeagueRatings!$K$27</f>
        <v>102.77777777777779</v>
      </c>
      <c r="AQ103"/>
      <c r="AR103" s="72">
        <f t="shared" si="14"/>
        <v>47</v>
      </c>
      <c r="AS103" s="113"/>
      <c r="AT103" s="113"/>
      <c r="AU103" s="113"/>
      <c r="AV103"/>
      <c r="AW103" s="97">
        <v>71.67</v>
      </c>
    </row>
    <row r="104" spans="1:50" s="33" customFormat="1" x14ac:dyDescent="0.2">
      <c r="A104" s="41" t="s">
        <v>328</v>
      </c>
      <c r="B104" s="76" t="s">
        <v>164</v>
      </c>
      <c r="C104" s="76">
        <v>1</v>
      </c>
      <c r="D104" s="76">
        <v>2</v>
      </c>
      <c r="E104" s="97">
        <v>4.95</v>
      </c>
      <c r="F104" s="76">
        <v>60</v>
      </c>
      <c r="G104" s="76">
        <v>0</v>
      </c>
      <c r="H104" s="76">
        <v>0</v>
      </c>
      <c r="I104" s="76">
        <v>0</v>
      </c>
      <c r="J104" s="76">
        <v>1</v>
      </c>
      <c r="K104" s="76">
        <v>2</v>
      </c>
      <c r="L104" s="258">
        <f>INDEX('C-P-RollAdj'!$P$4:$P$900,MATCH((U104),'C-P-RollAdj'!$O$4:$O$900,FALSE),0)</f>
        <v>43.67</v>
      </c>
      <c r="M104" s="76">
        <v>52</v>
      </c>
      <c r="N104" s="76">
        <v>26</v>
      </c>
      <c r="O104" s="76">
        <v>24</v>
      </c>
      <c r="P104" s="76">
        <v>12</v>
      </c>
      <c r="Q104" s="76">
        <v>18</v>
      </c>
      <c r="R104" s="76">
        <v>0</v>
      </c>
      <c r="S104" s="76">
        <v>40</v>
      </c>
      <c r="T104" s="76">
        <v>195</v>
      </c>
      <c r="U104" s="76">
        <v>43.2</v>
      </c>
      <c r="V104" s="100">
        <v>0.29699999999999999</v>
      </c>
      <c r="W104" s="76">
        <v>1.6</v>
      </c>
      <c r="X104" s="50"/>
      <c r="Y104" s="50">
        <f t="shared" si="15"/>
        <v>9.2307692307692317</v>
      </c>
      <c r="Z104" s="6">
        <f>IF(Y104&lt;LeagueRatings!$K$10,((LeagueRatings!$K$10-Y104)/LeagueRatings!$K$10)*36,(LeagueRatings!$K$10-Y104)*6.48)</f>
        <v>-3.6496041211909613</v>
      </c>
      <c r="AA104" s="16">
        <f>INDEX('C-P-RollAdj'!$B$4:$B$76,MATCH(INT(Z104),'C-P-RollAdj'!$A$4:$A$76,FALSE),0)</f>
        <v>0.36</v>
      </c>
      <c r="AB104" s="16">
        <f>(P104/(T104-R104))*100</f>
        <v>6.1538461538461542</v>
      </c>
      <c r="AC104" s="6">
        <f>IF(AB104&lt;LeagueRatings!$K$8,((LeagueRatings!$K$8-AB104)/LeagueRatings!$K$8)*36,(LeagueRatings!$K$8-AB104)/LeagueRatings!$K$11)</f>
        <v>-23.437265286470872</v>
      </c>
      <c r="AD104" s="16">
        <f>INDEX('C-P-RollAdj'!$F$4:$F$76,MATCH(INT(AC104),'C-P-RollAdj'!$E$4:$E$76,FALSE),0)</f>
        <v>2.76</v>
      </c>
      <c r="AE104" s="17">
        <f>+((LeagueRatings!$I$6-E104)*5)+9.5</f>
        <v>5.7580514552774025</v>
      </c>
      <c r="AF104" s="17">
        <f>IF(AE104&lt;4,4,AE104)</f>
        <v>5.7580514552774025</v>
      </c>
      <c r="AG104" s="17">
        <f>IF(M104&lt;L104,((1-(M104/L104))*7)-0.07,(1-(M104/L104))*5)</f>
        <v>-0.95374398900847202</v>
      </c>
      <c r="AH104" s="4">
        <f>+AA104+AD104+AF104+AG104</f>
        <v>7.9243074662689308</v>
      </c>
      <c r="AI104" s="41" t="s">
        <v>328</v>
      </c>
      <c r="AJ104" s="5" t="s">
        <v>55</v>
      </c>
      <c r="AK104" s="219">
        <f>INDEX('C-P-RollAdj'!$J$4:$J$76,MATCH(INT(Z104),'C-P-RollAdj'!$I$4:$I$76,FALSE),0)</f>
        <v>-14</v>
      </c>
      <c r="AL104" s="219">
        <f>INDEX('C-P-RollAdj'!$J$4:$J$76,MATCH(INT(AC104),'C-P-RollAdj'!$I$4:$I$76,FALSE),0)</f>
        <v>-46</v>
      </c>
      <c r="AM104" s="14">
        <f>+AR104*LeagueRatings!$K$27</f>
        <v>24.444444444444446</v>
      </c>
      <c r="AN104" s="72">
        <f>F104*LeagueRatings!$K$27</f>
        <v>33.333333333333336</v>
      </c>
      <c r="AO104" s="72">
        <f>G104*LeagueRatings!$K$27</f>
        <v>0</v>
      </c>
      <c r="AP104" s="72">
        <f>T104*LeagueRatings!$K$27</f>
        <v>108.33333333333334</v>
      </c>
      <c r="AQ104"/>
      <c r="AR104" s="72">
        <f>ROUNDUP(L104,0)</f>
        <v>44</v>
      </c>
      <c r="AS104" s="113"/>
      <c r="AT104" s="113"/>
      <c r="AU104" s="113"/>
      <c r="AV104"/>
      <c r="AW104" s="97">
        <v>83.33</v>
      </c>
    </row>
    <row r="105" spans="1:50" x14ac:dyDescent="0.2">
      <c r="A105" s="124"/>
      <c r="B105" s="125"/>
      <c r="C105" s="125"/>
      <c r="D105" s="125"/>
      <c r="E105" s="126"/>
      <c r="F105" s="125"/>
      <c r="G105" s="125"/>
      <c r="H105" s="179"/>
      <c r="I105" s="179"/>
      <c r="J105" s="125"/>
      <c r="K105" s="125"/>
      <c r="L105" s="126"/>
      <c r="M105" s="125"/>
      <c r="N105" s="125"/>
      <c r="O105" s="125"/>
      <c r="P105" s="125"/>
      <c r="Q105" s="125"/>
      <c r="R105" s="125"/>
      <c r="S105" s="125"/>
      <c r="T105" s="125"/>
      <c r="U105" s="125"/>
      <c r="X105" s="125"/>
      <c r="Y105" s="125"/>
      <c r="Z105" s="52"/>
      <c r="AA105" s="53"/>
      <c r="AB105" s="54"/>
      <c r="AC105" s="54"/>
      <c r="AD105" s="53"/>
      <c r="AE105" s="54"/>
      <c r="AF105" s="55"/>
      <c r="AG105" s="55"/>
      <c r="AH105" s="55"/>
      <c r="AI105" s="124"/>
      <c r="AJ105" s="124"/>
      <c r="AK105" s="9"/>
      <c r="AL105" s="9"/>
      <c r="AM105" s="14"/>
      <c r="AN105" s="72"/>
      <c r="AO105" s="72"/>
      <c r="AP105" s="72"/>
      <c r="AQ105" s="72"/>
      <c r="AR105" s="72"/>
      <c r="AS105" s="114"/>
      <c r="AT105" s="114"/>
      <c r="AU105" s="114"/>
      <c r="AV105" s="114"/>
      <c r="AW105" s="126"/>
      <c r="AX105" s="126"/>
    </row>
    <row r="106" spans="1:50" x14ac:dyDescent="0.2">
      <c r="A106" s="69" t="s">
        <v>106</v>
      </c>
      <c r="B106" s="70" t="s">
        <v>157</v>
      </c>
      <c r="C106" s="71" t="s">
        <v>85</v>
      </c>
      <c r="D106" s="70" t="s">
        <v>86</v>
      </c>
      <c r="E106" s="71" t="s">
        <v>87</v>
      </c>
      <c r="F106" s="70" t="s">
        <v>108</v>
      </c>
      <c r="G106" s="70" t="s">
        <v>88</v>
      </c>
      <c r="H106" s="182" t="s">
        <v>89</v>
      </c>
      <c r="I106" s="178" t="s">
        <v>317</v>
      </c>
      <c r="J106" s="72" t="s">
        <v>90</v>
      </c>
      <c r="K106" s="72" t="s">
        <v>158</v>
      </c>
      <c r="L106" s="71" t="s">
        <v>91</v>
      </c>
      <c r="M106" s="70" t="s">
        <v>92</v>
      </c>
      <c r="N106" s="70" t="s">
        <v>93</v>
      </c>
      <c r="O106" s="70" t="s">
        <v>94</v>
      </c>
      <c r="P106" s="70" t="s">
        <v>95</v>
      </c>
      <c r="Q106" s="70" t="s">
        <v>96</v>
      </c>
      <c r="R106" s="70" t="s">
        <v>98</v>
      </c>
      <c r="S106" s="70" t="s">
        <v>97</v>
      </c>
      <c r="T106" s="70" t="s">
        <v>109</v>
      </c>
      <c r="U106" s="155" t="s">
        <v>91</v>
      </c>
      <c r="V106" s="250" t="s">
        <v>1517</v>
      </c>
      <c r="W106" s="155" t="s">
        <v>1072</v>
      </c>
      <c r="X106" s="117"/>
      <c r="Y106" s="117" t="s">
        <v>2</v>
      </c>
      <c r="Z106" s="116" t="s">
        <v>3</v>
      </c>
      <c r="AA106" s="117" t="s">
        <v>4</v>
      </c>
      <c r="AB106" s="118" t="s">
        <v>5</v>
      </c>
      <c r="AC106" s="116" t="s">
        <v>6</v>
      </c>
      <c r="AD106" s="117" t="s">
        <v>7</v>
      </c>
      <c r="AE106" s="119" t="s">
        <v>8</v>
      </c>
      <c r="AF106" s="119" t="s">
        <v>81</v>
      </c>
      <c r="AG106" s="119" t="s">
        <v>9</v>
      </c>
      <c r="AH106" s="128" t="s">
        <v>10</v>
      </c>
      <c r="AI106" s="69" t="s">
        <v>106</v>
      </c>
      <c r="AJ106" s="7" t="s">
        <v>11</v>
      </c>
      <c r="AK106" s="7" t="s">
        <v>12</v>
      </c>
      <c r="AL106" s="7" t="s">
        <v>13</v>
      </c>
      <c r="AM106" s="14"/>
      <c r="AN106" s="72"/>
      <c r="AO106" s="72"/>
      <c r="AP106" s="72"/>
      <c r="AQ106" s="122"/>
      <c r="AR106" s="72"/>
      <c r="AS106" s="114"/>
      <c r="AT106" s="114"/>
      <c r="AU106" s="114"/>
      <c r="AV106" s="122"/>
      <c r="AW106" s="71" t="s">
        <v>91</v>
      </c>
      <c r="AX106" s="122"/>
    </row>
    <row r="107" spans="1:50" s="122" customFormat="1" x14ac:dyDescent="0.2">
      <c r="A107" s="69"/>
      <c r="B107" s="70"/>
      <c r="C107" s="71"/>
      <c r="D107" s="70"/>
      <c r="E107" s="71"/>
      <c r="F107" s="70"/>
      <c r="G107" s="70"/>
      <c r="H107" s="182"/>
      <c r="I107" s="178"/>
      <c r="J107" s="72"/>
      <c r="K107" s="72"/>
      <c r="L107" s="71"/>
      <c r="M107" s="70"/>
      <c r="N107" s="70"/>
      <c r="O107" s="70"/>
      <c r="P107" s="70"/>
      <c r="R107" s="70"/>
      <c r="S107" s="70"/>
      <c r="T107" s="70"/>
      <c r="U107" s="70"/>
      <c r="V107" s="267"/>
      <c r="X107" s="50"/>
      <c r="Y107" s="50"/>
      <c r="Z107" s="6"/>
      <c r="AA107" s="16"/>
      <c r="AB107" s="16"/>
      <c r="AC107" s="6"/>
      <c r="AD107" s="16"/>
      <c r="AE107" s="17"/>
      <c r="AF107" s="17"/>
      <c r="AG107" s="17"/>
      <c r="AH107" s="4"/>
      <c r="AI107" s="69"/>
      <c r="AJ107" s="7"/>
      <c r="AK107" s="7"/>
      <c r="AL107" s="7"/>
      <c r="AM107" s="14"/>
      <c r="AN107" s="72"/>
      <c r="AO107" s="72"/>
      <c r="AP107" s="72"/>
      <c r="AR107" s="72"/>
      <c r="AS107" s="113"/>
      <c r="AT107" s="113"/>
      <c r="AU107" s="113"/>
      <c r="AW107" s="71"/>
    </row>
    <row r="108" spans="1:50" s="122" customFormat="1" x14ac:dyDescent="0.2">
      <c r="A108" s="41" t="s">
        <v>1189</v>
      </c>
      <c r="B108" s="76" t="s">
        <v>150</v>
      </c>
      <c r="C108" s="76">
        <v>0</v>
      </c>
      <c r="D108" s="76">
        <v>0</v>
      </c>
      <c r="E108" s="97">
        <v>3.32</v>
      </c>
      <c r="F108" s="76">
        <v>17</v>
      </c>
      <c r="G108" s="76">
        <v>0</v>
      </c>
      <c r="H108" s="76">
        <v>0</v>
      </c>
      <c r="I108" s="76">
        <v>0</v>
      </c>
      <c r="J108" s="76">
        <v>0</v>
      </c>
      <c r="K108" s="76">
        <v>1</v>
      </c>
      <c r="L108" s="258">
        <f>INDEX('C-P-RollAdj'!$P$4:$P$900,MATCH((U108),'C-P-RollAdj'!$O$4:$O$900,FALSE),0)</f>
        <v>19</v>
      </c>
      <c r="M108" s="76">
        <v>24</v>
      </c>
      <c r="N108" s="76">
        <v>7</v>
      </c>
      <c r="O108" s="76">
        <v>7</v>
      </c>
      <c r="P108" s="76">
        <v>1</v>
      </c>
      <c r="Q108" s="76">
        <v>7</v>
      </c>
      <c r="R108" s="76">
        <v>0</v>
      </c>
      <c r="S108" s="76">
        <v>16</v>
      </c>
      <c r="T108" s="76">
        <v>84</v>
      </c>
      <c r="U108" s="76">
        <v>19</v>
      </c>
      <c r="V108" s="100">
        <v>0.316</v>
      </c>
      <c r="W108" s="76">
        <v>1.63</v>
      </c>
      <c r="X108" s="50"/>
      <c r="Y108" s="50">
        <f t="shared" ref="Y108:Y122" si="20">+(Q108-R108)/(T108-R108)*100</f>
        <v>8.3333333333333321</v>
      </c>
      <c r="Z108" s="6">
        <f>IF(Y108&lt;LeagueRatings!$K$10,((LeagueRatings!$K$10-Y108)/LeagueRatings!$K$10)*36,(LeagueRatings!$K$10-Y108)*6.48)</f>
        <v>1.3881779458051384</v>
      </c>
      <c r="AA108" s="16">
        <f>INDEX('C-P-RollAdj'!$B$4:$B$76,MATCH(INT(Z108),'C-P-RollAdj'!$A$4:$A$76,FALSE),0)</f>
        <v>-0.08</v>
      </c>
      <c r="AB108" s="16">
        <f t="shared" ref="AB108:AB120" si="21">(P108/(T108-R108))*100</f>
        <v>1.1904761904761905</v>
      </c>
      <c r="AC108" s="6">
        <f>IF(AB108&lt;LeagueRatings!$K$8,((LeagueRatings!$K$8-AB108)/LeagueRatings!$K$8)*36,(LeagueRatings!$K$8-AB108)/LeagueRatings!$K$11)</f>
        <v>22.616418346479694</v>
      </c>
      <c r="AD108" s="16">
        <f>INDEX('C-P-RollAdj'!$F$4:$F$76,MATCH(INT(AC108),'C-P-RollAdj'!$E$4:$E$76,FALSE),0)</f>
        <v>-1.78</v>
      </c>
      <c r="AE108" s="17">
        <f>+((LeagueRatings!$I$6-E108)*5)+9.5</f>
        <v>13.908051455277404</v>
      </c>
      <c r="AF108" s="17">
        <f t="shared" ref="AF108:AF120" si="22">IF(AE108&lt;4,4,AE108)</f>
        <v>13.908051455277404</v>
      </c>
      <c r="AG108" s="17">
        <f t="shared" ref="AG108:AG120" si="23">IF(M108&lt;L108,((1-(M108/L108))*7)-0.07,(1-(M108/L108))*5)</f>
        <v>-1.3157894736842102</v>
      </c>
      <c r="AH108" s="4">
        <f t="shared" ref="AH108:AH120" si="24">+AA108+AD108+AF108+AG108</f>
        <v>10.732261981593194</v>
      </c>
      <c r="AI108" s="41" t="s">
        <v>1189</v>
      </c>
      <c r="AJ108" s="5" t="s">
        <v>68</v>
      </c>
      <c r="AK108" s="219">
        <f>INDEX('C-P-RollAdj'!$J$4:$J$76,MATCH(INT(Z108),'C-P-RollAdj'!$I$4:$I$76,FALSE),0)</f>
        <v>11</v>
      </c>
      <c r="AL108" s="219">
        <f>INDEX('C-P-RollAdj'!$J$4:$J$76,MATCH(INT(AC108),'C-P-RollAdj'!$I$4:$I$76,FALSE),0)</f>
        <v>44</v>
      </c>
      <c r="AM108" s="14">
        <f>+AR108*LeagueRatings!$K$27</f>
        <v>10.555555555555555</v>
      </c>
      <c r="AN108" s="72">
        <f>F108*LeagueRatings!$K$27</f>
        <v>9.4444444444444446</v>
      </c>
      <c r="AO108" s="72">
        <f>G108*LeagueRatings!$K$27</f>
        <v>0</v>
      </c>
      <c r="AP108" s="72">
        <f>T108*LeagueRatings!$K$27</f>
        <v>46.666666666666671</v>
      </c>
      <c r="AQ108" s="26"/>
      <c r="AR108" s="72">
        <f t="shared" si="14"/>
        <v>19</v>
      </c>
      <c r="AS108" s="113"/>
      <c r="AT108" s="113"/>
      <c r="AU108" s="113"/>
      <c r="AV108" s="26"/>
      <c r="AW108" s="97">
        <v>121</v>
      </c>
      <c r="AX108" s="26"/>
    </row>
    <row r="109" spans="1:50" x14ac:dyDescent="0.2">
      <c r="A109" s="41" t="s">
        <v>561</v>
      </c>
      <c r="B109" s="76" t="s">
        <v>150</v>
      </c>
      <c r="C109" s="76">
        <v>2</v>
      </c>
      <c r="D109" s="76">
        <v>1</v>
      </c>
      <c r="E109" s="97">
        <v>1.87</v>
      </c>
      <c r="F109" s="76">
        <v>45</v>
      </c>
      <c r="G109" s="76">
        <v>0</v>
      </c>
      <c r="H109" s="76">
        <v>0</v>
      </c>
      <c r="I109" s="76">
        <v>0</v>
      </c>
      <c r="J109" s="76">
        <v>27</v>
      </c>
      <c r="K109" s="76">
        <v>30</v>
      </c>
      <c r="L109" s="258">
        <f>INDEX('C-P-RollAdj'!$P$4:$P$900,MATCH((U109),'C-P-RollAdj'!$O$4:$O$900,FALSE),0)</f>
        <v>43.33</v>
      </c>
      <c r="M109" s="76">
        <v>33</v>
      </c>
      <c r="N109" s="76">
        <v>9</v>
      </c>
      <c r="O109" s="76">
        <v>9</v>
      </c>
      <c r="P109" s="76">
        <v>0</v>
      </c>
      <c r="Q109" s="76">
        <v>16</v>
      </c>
      <c r="R109" s="76">
        <v>0</v>
      </c>
      <c r="S109" s="76">
        <v>47</v>
      </c>
      <c r="T109" s="76">
        <v>176</v>
      </c>
      <c r="U109" s="76">
        <v>43.1</v>
      </c>
      <c r="V109" s="100">
        <v>0.21</v>
      </c>
      <c r="W109" s="76">
        <v>1.1299999999999999</v>
      </c>
      <c r="X109" s="50"/>
      <c r="Y109" s="50">
        <f t="shared" si="20"/>
        <v>9.0909090909090917</v>
      </c>
      <c r="Z109" s="6">
        <f>IF(Y109&lt;LeagueRatings!$K$10,((LeagueRatings!$K$10-Y109)/LeagueRatings!$K$10)*36,(LeagueRatings!$K$10-Y109)*6.48)</f>
        <v>-2.743310414897254</v>
      </c>
      <c r="AA109" s="16">
        <f>INDEX('C-P-RollAdj'!$B$4:$B$76,MATCH(INT(Z109),'C-P-RollAdj'!$A$4:$A$76,FALSE),0)</f>
        <v>0.27</v>
      </c>
      <c r="AB109" s="16">
        <f t="shared" si="21"/>
        <v>0</v>
      </c>
      <c r="AC109" s="6">
        <f>IF(AB109&lt;LeagueRatings!$K$8,((LeagueRatings!$K$8-AB109)/LeagueRatings!$K$8)*36,(LeagueRatings!$K$8-AB109)/LeagueRatings!$K$11)</f>
        <v>36</v>
      </c>
      <c r="AD109" s="16">
        <f>INDEX('C-P-RollAdj'!$F$4:$F$76,MATCH(INT(AC109),'C-P-RollAdj'!$E$4:$E$76,FALSE),0)</f>
        <v>-3.26</v>
      </c>
      <c r="AE109" s="17">
        <f>+((LeagueRatings!$I$6-E109)*5)+9.5</f>
        <v>21.158051455277402</v>
      </c>
      <c r="AF109" s="17">
        <f t="shared" si="22"/>
        <v>21.158051455277402</v>
      </c>
      <c r="AG109" s="17">
        <f t="shared" si="23"/>
        <v>1.5988206785137311</v>
      </c>
      <c r="AH109" s="4">
        <f t="shared" si="24"/>
        <v>19.766872133791136</v>
      </c>
      <c r="AI109" s="41" t="s">
        <v>561</v>
      </c>
      <c r="AJ109" s="5" t="s">
        <v>72</v>
      </c>
      <c r="AK109" s="219">
        <f>INDEX('C-P-RollAdj'!$J$4:$J$76,MATCH(INT(Z109),'C-P-RollAdj'!$I$4:$I$76,FALSE),0)</f>
        <v>-13</v>
      </c>
      <c r="AL109" s="219">
        <f>INDEX('C-P-RollAdj'!$J$4:$J$76,MATCH(INT(AC109),'C-P-RollAdj'!$I$4:$I$76,FALSE),0)</f>
        <v>66</v>
      </c>
      <c r="AM109" s="14">
        <f>+AR109*LeagueRatings!$K$27</f>
        <v>24.444444444444446</v>
      </c>
      <c r="AN109" s="72">
        <f>F109*LeagueRatings!$K$27</f>
        <v>25</v>
      </c>
      <c r="AO109" s="72">
        <f>G109*LeagueRatings!$K$27</f>
        <v>0</v>
      </c>
      <c r="AP109" s="72">
        <f>T109*LeagueRatings!$K$27</f>
        <v>97.777777777777786</v>
      </c>
      <c r="AQ109" s="26"/>
      <c r="AR109" s="72">
        <f t="shared" si="14"/>
        <v>44</v>
      </c>
      <c r="AV109" s="26"/>
      <c r="AW109" s="97">
        <v>29.67</v>
      </c>
      <c r="AX109" s="26"/>
    </row>
    <row r="110" spans="1:50" x14ac:dyDescent="0.2">
      <c r="A110" s="41" t="s">
        <v>555</v>
      </c>
      <c r="B110" s="76" t="s">
        <v>150</v>
      </c>
      <c r="C110" s="76">
        <v>12</v>
      </c>
      <c r="D110" s="76">
        <v>3</v>
      </c>
      <c r="E110" s="97">
        <v>3.51</v>
      </c>
      <c r="F110" s="76">
        <v>42</v>
      </c>
      <c r="G110" s="76">
        <v>26</v>
      </c>
      <c r="H110" s="76">
        <v>1</v>
      </c>
      <c r="I110" s="76">
        <v>0</v>
      </c>
      <c r="J110" s="76">
        <v>0</v>
      </c>
      <c r="K110" s="76">
        <v>0</v>
      </c>
      <c r="L110" s="258">
        <f>INDEX('C-P-RollAdj'!$P$4:$P$900,MATCH((U110),'C-P-RollAdj'!$O$4:$O$900,FALSE),0)</f>
        <v>179.67000000000002</v>
      </c>
      <c r="M110" s="76">
        <v>163</v>
      </c>
      <c r="N110" s="76">
        <v>71</v>
      </c>
      <c r="O110" s="76">
        <v>70</v>
      </c>
      <c r="P110" s="76">
        <v>27</v>
      </c>
      <c r="Q110" s="76">
        <v>42</v>
      </c>
      <c r="R110" s="76">
        <v>0</v>
      </c>
      <c r="S110" s="76">
        <v>188</v>
      </c>
      <c r="T110" s="76">
        <v>731</v>
      </c>
      <c r="U110" s="76">
        <v>179.2</v>
      </c>
      <c r="V110" s="100">
        <v>0.24099999999999999</v>
      </c>
      <c r="W110" s="76">
        <v>1.1399999999999999</v>
      </c>
      <c r="X110" s="50"/>
      <c r="Y110" s="50">
        <f t="shared" si="20"/>
        <v>5.7455540355677153</v>
      </c>
      <c r="Z110" s="6">
        <f>IF(Y110&lt;LeagueRatings!$K$10,((LeagueRatings!$K$10-Y110)/LeagueRatings!$K$10)*36,(LeagueRatings!$K$10-Y110)*6.48)</f>
        <v>12.136308734180284</v>
      </c>
      <c r="AA110" s="16">
        <f>INDEX('C-P-RollAdj'!$B$4:$B$76,MATCH(INT(Z110),'C-P-RollAdj'!$A$4:$A$76,FALSE),0)</f>
        <v>-1.01</v>
      </c>
      <c r="AB110" s="16">
        <f t="shared" si="21"/>
        <v>3.6935704514363885</v>
      </c>
      <c r="AC110" s="6">
        <f>IF(AB110&lt;LeagueRatings!$K$8,((LeagueRatings!$K$8-AB110)/LeagueRatings!$K$8)*36,(LeagueRatings!$K$8-AB110)/LeagueRatings!$K$11)</f>
        <v>-3.9015627480179953</v>
      </c>
      <c r="AD110" s="16">
        <f>INDEX('C-P-RollAdj'!$F$4:$F$76,MATCH(INT(AC110),'C-P-RollAdj'!$E$4:$E$76,FALSE),0)</f>
        <v>0.32999999999999996</v>
      </c>
      <c r="AE110" s="17">
        <f>+((LeagueRatings!$I$6-E110)*5)+9.5</f>
        <v>12.958051455277404</v>
      </c>
      <c r="AF110" s="17">
        <f t="shared" si="22"/>
        <v>12.958051455277404</v>
      </c>
      <c r="AG110" s="17">
        <f t="shared" si="23"/>
        <v>0.57946846997272838</v>
      </c>
      <c r="AH110" s="4">
        <f t="shared" si="24"/>
        <v>12.857519925250132</v>
      </c>
      <c r="AI110" s="41" t="s">
        <v>555</v>
      </c>
      <c r="AJ110" s="5" t="s">
        <v>16</v>
      </c>
      <c r="AK110" s="219">
        <f>INDEX('C-P-RollAdj'!$J$4:$J$76,MATCH(INT(Z110),'C-P-RollAdj'!$I$4:$I$76,FALSE),0)</f>
        <v>26</v>
      </c>
      <c r="AL110" s="219">
        <f>INDEX('C-P-RollAdj'!$J$4:$J$76,MATCH(INT(AC110),'C-P-RollAdj'!$I$4:$I$76,FALSE),0)</f>
        <v>-14</v>
      </c>
      <c r="AM110" s="14">
        <f>+AR110*LeagueRatings!$K$27</f>
        <v>100</v>
      </c>
      <c r="AN110" s="72">
        <f>F110*LeagueRatings!$K$27</f>
        <v>23.333333333333336</v>
      </c>
      <c r="AO110" s="72">
        <f>G110*LeagueRatings!$K$27</f>
        <v>14.444444444444445</v>
      </c>
      <c r="AP110" s="72">
        <f>T110*LeagueRatings!$K$27</f>
        <v>406.11111111111114</v>
      </c>
      <c r="AQ110" s="26"/>
      <c r="AR110" s="72">
        <f t="shared" si="14"/>
        <v>180</v>
      </c>
      <c r="AV110" s="26"/>
      <c r="AW110" s="97">
        <v>53.33</v>
      </c>
      <c r="AX110" s="26"/>
    </row>
    <row r="111" spans="1:50" x14ac:dyDescent="0.2">
      <c r="A111" s="41" t="s">
        <v>1338</v>
      </c>
      <c r="B111" s="76" t="s">
        <v>150</v>
      </c>
      <c r="C111" s="76">
        <v>1</v>
      </c>
      <c r="D111" s="76">
        <v>2</v>
      </c>
      <c r="E111" s="97">
        <v>2.6</v>
      </c>
      <c r="F111" s="76">
        <v>36</v>
      </c>
      <c r="G111" s="76">
        <v>1</v>
      </c>
      <c r="H111" s="76">
        <v>0</v>
      </c>
      <c r="I111" s="76">
        <v>0</v>
      </c>
      <c r="J111" s="76">
        <v>0</v>
      </c>
      <c r="K111" s="76">
        <v>0</v>
      </c>
      <c r="L111" s="258">
        <f>INDEX('C-P-RollAdj'!$P$4:$P$900,MATCH((U111),'C-P-RollAdj'!$O$4:$O$900,FALSE),0)</f>
        <v>55.33</v>
      </c>
      <c r="M111" s="76">
        <v>38</v>
      </c>
      <c r="N111" s="76">
        <v>19</v>
      </c>
      <c r="O111" s="76">
        <v>16</v>
      </c>
      <c r="P111" s="76">
        <v>5</v>
      </c>
      <c r="Q111" s="76">
        <v>23</v>
      </c>
      <c r="R111" s="76">
        <v>0</v>
      </c>
      <c r="S111" s="76">
        <v>44</v>
      </c>
      <c r="T111" s="76">
        <v>221</v>
      </c>
      <c r="U111" s="76">
        <v>55.1</v>
      </c>
      <c r="V111" s="100">
        <v>0.19800000000000001</v>
      </c>
      <c r="W111" s="76">
        <v>1.1000000000000001</v>
      </c>
      <c r="X111" s="50"/>
      <c r="Y111" s="50">
        <f t="shared" si="20"/>
        <v>10.407239819004525</v>
      </c>
      <c r="Z111" s="6">
        <f>IF(Y111&lt;LeagueRatings!$K$10,((LeagueRatings!$K$10-Y111)/LeagueRatings!$K$10)*36,(LeagueRatings!$K$10-Y111)*6.48)</f>
        <v>-11.273133532955663</v>
      </c>
      <c r="AA111" s="16">
        <f>INDEX('C-P-RollAdj'!$B$4:$B$76,MATCH(INT(Z111),'C-P-RollAdj'!$A$4:$A$76,FALSE),0)</f>
        <v>1.24</v>
      </c>
      <c r="AB111" s="16">
        <f t="shared" si="21"/>
        <v>2.2624434389140271</v>
      </c>
      <c r="AC111" s="6">
        <f>IF(AB111&lt;LeagueRatings!$K$8,((LeagueRatings!$K$8-AB111)/LeagueRatings!$K$8)*36,(LeagueRatings!$K$8-AB111)/LeagueRatings!$K$11)</f>
        <v>10.565138939011188</v>
      </c>
      <c r="AD111" s="16">
        <f>INDEX('C-P-RollAdj'!$F$4:$F$76,MATCH(INT(AC111),'C-P-RollAdj'!$E$4:$E$76,FALSE),0)</f>
        <v>-0.73</v>
      </c>
      <c r="AE111" s="17">
        <f>+((LeagueRatings!$I$6-E111)*5)+9.5</f>
        <v>17.508051455277403</v>
      </c>
      <c r="AF111" s="17">
        <f t="shared" si="22"/>
        <v>17.508051455277403</v>
      </c>
      <c r="AG111" s="17">
        <f t="shared" si="23"/>
        <v>2.1224814747876377</v>
      </c>
      <c r="AH111" s="4">
        <f t="shared" si="24"/>
        <v>20.140532930065042</v>
      </c>
      <c r="AI111" s="41" t="s">
        <v>1338</v>
      </c>
      <c r="AJ111" s="5" t="s">
        <v>72</v>
      </c>
      <c r="AK111" s="219">
        <f>INDEX('C-P-RollAdj'!$J$4:$J$76,MATCH(INT(Z111),'C-P-RollAdj'!$I$4:$I$76,FALSE),0)</f>
        <v>-26</v>
      </c>
      <c r="AL111" s="219">
        <f>INDEX('C-P-RollAdj'!$J$4:$J$76,MATCH(INT(AC111),'C-P-RollAdj'!$I$4:$I$76,FALSE),0)</f>
        <v>24</v>
      </c>
      <c r="AM111" s="14">
        <f>+AR111*LeagueRatings!$K$27</f>
        <v>31.111111111111114</v>
      </c>
      <c r="AN111" s="72">
        <f>F111*LeagueRatings!$K$27</f>
        <v>20</v>
      </c>
      <c r="AO111" s="72">
        <f>G111*LeagueRatings!$K$27</f>
        <v>0.55555555555555558</v>
      </c>
      <c r="AP111" s="72">
        <f>T111*LeagueRatings!$K$27</f>
        <v>122.77777777777779</v>
      </c>
      <c r="AQ111" s="26"/>
      <c r="AR111" s="72">
        <f t="shared" si="14"/>
        <v>56</v>
      </c>
      <c r="AV111" s="26"/>
      <c r="AW111" s="97">
        <v>48</v>
      </c>
      <c r="AX111" s="26"/>
    </row>
    <row r="112" spans="1:50" x14ac:dyDescent="0.2">
      <c r="A112" s="41" t="s">
        <v>414</v>
      </c>
      <c r="B112" s="76" t="s">
        <v>150</v>
      </c>
      <c r="C112" s="76">
        <v>8</v>
      </c>
      <c r="D112" s="76">
        <v>9</v>
      </c>
      <c r="E112" s="97">
        <v>4.68</v>
      </c>
      <c r="F112" s="76">
        <v>33</v>
      </c>
      <c r="G112" s="76">
        <v>14</v>
      </c>
      <c r="H112" s="76">
        <v>0</v>
      </c>
      <c r="I112" s="76">
        <v>0</v>
      </c>
      <c r="J112" s="76">
        <v>0</v>
      </c>
      <c r="K112" s="76">
        <v>0</v>
      </c>
      <c r="L112" s="258">
        <f>INDEX('C-P-RollAdj'!$P$4:$P$900,MATCH((U112),'C-P-RollAdj'!$O$4:$O$900,FALSE),0)</f>
        <v>125</v>
      </c>
      <c r="M112" s="76">
        <v>146</v>
      </c>
      <c r="N112" s="76">
        <v>67</v>
      </c>
      <c r="O112" s="76">
        <v>65</v>
      </c>
      <c r="P112" s="76">
        <v>24</v>
      </c>
      <c r="Q112" s="76">
        <v>37</v>
      </c>
      <c r="R112" s="76">
        <v>3</v>
      </c>
      <c r="S112" s="76">
        <v>89</v>
      </c>
      <c r="T112" s="76">
        <v>551</v>
      </c>
      <c r="U112" s="76">
        <v>125</v>
      </c>
      <c r="V112" s="100">
        <v>0.29099999999999998</v>
      </c>
      <c r="W112" s="76">
        <v>1.46</v>
      </c>
      <c r="X112" s="50"/>
      <c r="Y112" s="50">
        <f t="shared" si="20"/>
        <v>6.2043795620437958</v>
      </c>
      <c r="Z112" s="6">
        <f>IF(Y112&lt;LeagueRatings!$K$10,((LeagueRatings!$K$10-Y112)/LeagueRatings!$K$10)*36,(LeagueRatings!$K$10-Y112)*6.48)</f>
        <v>10.230614237022799</v>
      </c>
      <c r="AA112" s="16">
        <f>INDEX('C-P-RollAdj'!$B$4:$B$76,MATCH(INT(Z112),'C-P-RollAdj'!$A$4:$A$76,FALSE),0)</f>
        <v>-0.83000000000000007</v>
      </c>
      <c r="AB112" s="16">
        <f t="shared" si="21"/>
        <v>4.3795620437956204</v>
      </c>
      <c r="AC112" s="6">
        <f>IF(AB112&lt;LeagueRatings!$K$8,((LeagueRatings!$K$8-AB112)/LeagueRatings!$K$8)*36,(LeagueRatings!$K$8-AB112)/LeagueRatings!$K$11)</f>
        <v>-9.3486464545649426</v>
      </c>
      <c r="AD112" s="16">
        <f>INDEX('C-P-RollAdj'!$F$4:$F$76,MATCH(INT(AC112),'C-P-RollAdj'!$E$4:$E$76,FALSE),0)</f>
        <v>0.92</v>
      </c>
      <c r="AE112" s="17">
        <f>+((LeagueRatings!$I$6-E112)*5)+9.5</f>
        <v>7.1080514552774048</v>
      </c>
      <c r="AF112" s="17">
        <f t="shared" si="22"/>
        <v>7.1080514552774048</v>
      </c>
      <c r="AG112" s="17">
        <f t="shared" si="23"/>
        <v>-0.83999999999999964</v>
      </c>
      <c r="AH112" s="4">
        <f t="shared" si="24"/>
        <v>6.3580514552774048</v>
      </c>
      <c r="AI112" s="41" t="s">
        <v>414</v>
      </c>
      <c r="AJ112" s="5" t="s">
        <v>66</v>
      </c>
      <c r="AK112" s="219">
        <f>INDEX('C-P-RollAdj'!$J$4:$J$76,MATCH(INT(Z112),'C-P-RollAdj'!$I$4:$I$76,FALSE),0)</f>
        <v>24</v>
      </c>
      <c r="AL112" s="219">
        <f>INDEX('C-P-RollAdj'!$J$4:$J$76,MATCH(INT(AC112),'C-P-RollAdj'!$I$4:$I$76,FALSE),0)</f>
        <v>-24</v>
      </c>
      <c r="AM112" s="14">
        <f>+AR112*LeagueRatings!$K$27</f>
        <v>69.444444444444443</v>
      </c>
      <c r="AN112" s="72">
        <f>F112*LeagueRatings!$K$27</f>
        <v>18.333333333333336</v>
      </c>
      <c r="AO112" s="72">
        <f>G112*LeagueRatings!$K$27</f>
        <v>7.7777777777777786</v>
      </c>
      <c r="AP112" s="72">
        <f>T112*LeagueRatings!$K$27</f>
        <v>306.11111111111114</v>
      </c>
      <c r="AR112" s="72">
        <f t="shared" si="14"/>
        <v>125</v>
      </c>
      <c r="AW112" s="97">
        <v>135.33000000000001</v>
      </c>
    </row>
    <row r="113" spans="1:50" x14ac:dyDescent="0.2">
      <c r="A113" s="41" t="s">
        <v>560</v>
      </c>
      <c r="B113" s="76" t="s">
        <v>150</v>
      </c>
      <c r="C113" s="76">
        <v>2</v>
      </c>
      <c r="D113" s="76">
        <v>6</v>
      </c>
      <c r="E113" s="97">
        <v>2.75</v>
      </c>
      <c r="F113" s="76">
        <v>72</v>
      </c>
      <c r="G113" s="76">
        <v>0</v>
      </c>
      <c r="H113" s="76">
        <v>0</v>
      </c>
      <c r="I113" s="76">
        <v>0</v>
      </c>
      <c r="J113" s="76">
        <v>12</v>
      </c>
      <c r="K113" s="76">
        <v>15</v>
      </c>
      <c r="L113" s="258">
        <f>INDEX('C-P-RollAdj'!$P$4:$P$900,MATCH((U113),'C-P-RollAdj'!$O$4:$O$900,FALSE),0)</f>
        <v>72</v>
      </c>
      <c r="M113" s="76">
        <v>57</v>
      </c>
      <c r="N113" s="76">
        <v>23</v>
      </c>
      <c r="O113" s="76">
        <v>22</v>
      </c>
      <c r="P113" s="76">
        <v>6</v>
      </c>
      <c r="Q113" s="76">
        <v>12</v>
      </c>
      <c r="R113" s="76">
        <v>0</v>
      </c>
      <c r="S113" s="76">
        <v>86</v>
      </c>
      <c r="T113" s="76">
        <v>283</v>
      </c>
      <c r="U113" s="76">
        <v>72</v>
      </c>
      <c r="V113" s="100">
        <v>0.214</v>
      </c>
      <c r="W113" s="76">
        <v>0.96</v>
      </c>
      <c r="X113" s="50"/>
      <c r="Y113" s="50">
        <f t="shared" si="20"/>
        <v>4.2402826855123674</v>
      </c>
      <c r="Z113" s="6">
        <f>IF(Y113&lt;LeagueRatings!$K$10,((LeagueRatings!$K$10-Y113)/LeagueRatings!$K$10)*36,(LeagueRatings!$K$10-Y113)*6.48)</f>
        <v>18.388330827547488</v>
      </c>
      <c r="AA113" s="16">
        <f>INDEX('C-P-RollAdj'!$B$4:$B$76,MATCH(INT(Z113),'C-P-RollAdj'!$A$4:$A$76,FALSE),0)</f>
        <v>-1.5899999999999999</v>
      </c>
      <c r="AB113" s="16">
        <f t="shared" si="21"/>
        <v>2.1201413427561837</v>
      </c>
      <c r="AC113" s="6">
        <f>IF(AB113&lt;LeagueRatings!$K$8,((LeagueRatings!$K$8-AB113)/LeagueRatings!$K$8)*36,(LeagueRatings!$K$8-AB113)/LeagueRatings!$K$11)</f>
        <v>12.16492878666349</v>
      </c>
      <c r="AD113" s="16">
        <f>INDEX('C-P-RollAdj'!$F$4:$F$76,MATCH(INT(AC113),'C-P-RollAdj'!$E$4:$E$76,FALSE),0)</f>
        <v>-0.89</v>
      </c>
      <c r="AE113" s="17">
        <f>+((LeagueRatings!$I$6-E113)*5)+9.5</f>
        <v>16.758051455277403</v>
      </c>
      <c r="AF113" s="17">
        <f t="shared" si="22"/>
        <v>16.758051455277403</v>
      </c>
      <c r="AG113" s="17">
        <f t="shared" si="23"/>
        <v>1.3883333333333334</v>
      </c>
      <c r="AH113" s="4">
        <f t="shared" si="24"/>
        <v>15.666384788610737</v>
      </c>
      <c r="AI113" s="41" t="s">
        <v>560</v>
      </c>
      <c r="AJ113" s="5" t="s">
        <v>31</v>
      </c>
      <c r="AK113" s="219">
        <f>INDEX('C-P-RollAdj'!$J$4:$J$76,MATCH(INT(Z113),'C-P-RollAdj'!$I$4:$I$76,FALSE),0)</f>
        <v>36</v>
      </c>
      <c r="AL113" s="219">
        <f>INDEX('C-P-RollAdj'!$J$4:$J$76,MATCH(INT(AC113),'C-P-RollAdj'!$I$4:$I$76,FALSE),0)</f>
        <v>26</v>
      </c>
      <c r="AM113" s="14">
        <f>+AR113*LeagueRatings!$K$27</f>
        <v>40</v>
      </c>
      <c r="AN113" s="72">
        <f>F113*LeagueRatings!$K$27</f>
        <v>40</v>
      </c>
      <c r="AO113" s="72">
        <f>G113*LeagueRatings!$K$27</f>
        <v>0</v>
      </c>
      <c r="AP113" s="72">
        <f>T113*LeagueRatings!$K$27</f>
        <v>157.22222222222223</v>
      </c>
      <c r="AR113" s="72">
        <f t="shared" si="14"/>
        <v>72</v>
      </c>
      <c r="AW113" s="97">
        <v>24.33</v>
      </c>
    </row>
    <row r="114" spans="1:50" x14ac:dyDescent="0.2">
      <c r="A114" s="41" t="s">
        <v>1187</v>
      </c>
      <c r="B114" s="76" t="s">
        <v>150</v>
      </c>
      <c r="C114" s="76">
        <v>2</v>
      </c>
      <c r="D114" s="76">
        <v>3</v>
      </c>
      <c r="E114" s="97">
        <v>3.86</v>
      </c>
      <c r="F114" s="76">
        <v>40</v>
      </c>
      <c r="G114" s="76">
        <v>0</v>
      </c>
      <c r="H114" s="76">
        <v>0</v>
      </c>
      <c r="I114" s="76">
        <v>0</v>
      </c>
      <c r="J114" s="76">
        <v>0</v>
      </c>
      <c r="K114" s="76">
        <v>4</v>
      </c>
      <c r="L114" s="258">
        <f>INDEX('C-P-RollAdj'!$P$4:$P$900,MATCH((U114),'C-P-RollAdj'!$O$4:$O$900,FALSE),0)</f>
        <v>37.33</v>
      </c>
      <c r="M114" s="76">
        <v>31</v>
      </c>
      <c r="N114" s="76">
        <v>17</v>
      </c>
      <c r="O114" s="76">
        <v>16</v>
      </c>
      <c r="P114" s="76">
        <v>6</v>
      </c>
      <c r="Q114" s="76">
        <v>9</v>
      </c>
      <c r="R114" s="76">
        <v>0</v>
      </c>
      <c r="S114" s="76">
        <v>40</v>
      </c>
      <c r="T114" s="76">
        <v>151</v>
      </c>
      <c r="U114" s="76">
        <v>37.1</v>
      </c>
      <c r="V114" s="100">
        <v>0.22600000000000001</v>
      </c>
      <c r="W114" s="76">
        <v>1.07</v>
      </c>
      <c r="X114" s="50"/>
      <c r="Y114" s="50">
        <f t="shared" si="20"/>
        <v>5.9602649006622519</v>
      </c>
      <c r="Z114" s="6">
        <f>IF(Y114&lt;LeagueRatings!$K$10,((LeagueRatings!$K$10-Y114)/LeagueRatings!$K$10)*36,(LeagueRatings!$K$10-Y114)*6.48)</f>
        <v>11.244524623489763</v>
      </c>
      <c r="AA114" s="16">
        <f>INDEX('C-P-RollAdj'!$B$4:$B$76,MATCH(INT(Z114),'C-P-RollAdj'!$A$4:$A$76,FALSE),0)</f>
        <v>-0.92</v>
      </c>
      <c r="AB114" s="16">
        <f t="shared" si="21"/>
        <v>3.9735099337748347</v>
      </c>
      <c r="AC114" s="6">
        <f>IF(AB114&lt;LeagueRatings!$K$8,((LeagueRatings!$K$8-AB114)/LeagueRatings!$K$8)*36,(LeagueRatings!$K$8-AB114)/LeagueRatings!$K$11)</f>
        <v>-6.1244089316289747</v>
      </c>
      <c r="AD114" s="16">
        <f>INDEX('C-P-RollAdj'!$F$4:$F$76,MATCH(INT(AC114),'C-P-RollAdj'!$E$4:$E$76,FALSE),0)</f>
        <v>0.61</v>
      </c>
      <c r="AE114" s="17">
        <f>+((LeagueRatings!$I$6-E114)*5)+9.5</f>
        <v>11.208051455277404</v>
      </c>
      <c r="AF114" s="17">
        <f t="shared" si="22"/>
        <v>11.208051455277404</v>
      </c>
      <c r="AG114" s="17">
        <f t="shared" si="23"/>
        <v>1.1169809804446824</v>
      </c>
      <c r="AH114" s="4">
        <f t="shared" si="24"/>
        <v>12.015032435722086</v>
      </c>
      <c r="AI114" s="41" t="s">
        <v>1187</v>
      </c>
      <c r="AJ114" s="5" t="s">
        <v>59</v>
      </c>
      <c r="AK114" s="219">
        <f>INDEX('C-P-RollAdj'!$J$4:$J$76,MATCH(INT(Z114),'C-P-RollAdj'!$I$4:$I$76,FALSE),0)</f>
        <v>25</v>
      </c>
      <c r="AL114" s="219">
        <f>INDEX('C-P-RollAdj'!$J$4:$J$76,MATCH(INT(AC114),'C-P-RollAdj'!$I$4:$I$76,FALSE),0)</f>
        <v>-21</v>
      </c>
      <c r="AM114" s="14">
        <f>+AR114*LeagueRatings!$K$27</f>
        <v>21.111111111111111</v>
      </c>
      <c r="AN114" s="72">
        <f>F114*LeagueRatings!$K$27</f>
        <v>22.222222222222221</v>
      </c>
      <c r="AO114" s="72">
        <f>G114*LeagueRatings!$K$27</f>
        <v>0</v>
      </c>
      <c r="AP114" s="72">
        <f>T114*LeagueRatings!$K$27</f>
        <v>83.888888888888886</v>
      </c>
      <c r="AR114" s="72">
        <f t="shared" si="14"/>
        <v>38</v>
      </c>
      <c r="AW114" s="97">
        <v>211.67</v>
      </c>
    </row>
    <row r="115" spans="1:50" x14ac:dyDescent="0.2">
      <c r="A115" s="41" t="s">
        <v>329</v>
      </c>
      <c r="B115" s="76" t="s">
        <v>150</v>
      </c>
      <c r="C115" s="76">
        <v>11</v>
      </c>
      <c r="D115" s="76">
        <v>11</v>
      </c>
      <c r="E115" s="97">
        <v>3.68</v>
      </c>
      <c r="F115" s="76">
        <v>33</v>
      </c>
      <c r="G115" s="76">
        <v>33</v>
      </c>
      <c r="H115" s="76">
        <v>0</v>
      </c>
      <c r="I115" s="76">
        <v>0</v>
      </c>
      <c r="J115" s="76">
        <v>0</v>
      </c>
      <c r="K115" s="76">
        <v>0</v>
      </c>
      <c r="L115" s="258">
        <f>INDEX('C-P-RollAdj'!$P$4:$P$900,MATCH((U115),'C-P-RollAdj'!$O$4:$O$900,FALSE),0)</f>
        <v>195.67000000000002</v>
      </c>
      <c r="M115" s="76">
        <v>173</v>
      </c>
      <c r="N115" s="76">
        <v>81</v>
      </c>
      <c r="O115" s="76">
        <v>80</v>
      </c>
      <c r="P115" s="76">
        <v>33</v>
      </c>
      <c r="Q115" s="76">
        <v>66</v>
      </c>
      <c r="R115" s="76">
        <v>1</v>
      </c>
      <c r="S115" s="76">
        <v>184</v>
      </c>
      <c r="T115" s="76">
        <v>818</v>
      </c>
      <c r="U115" s="76">
        <v>195.2</v>
      </c>
      <c r="V115" s="100">
        <v>0.23599999999999999</v>
      </c>
      <c r="W115" s="76">
        <v>1.22</v>
      </c>
      <c r="X115" s="50"/>
      <c r="Y115" s="50">
        <f t="shared" si="20"/>
        <v>7.9559363525091795</v>
      </c>
      <c r="Z115" s="6">
        <f>IF(Y115&lt;LeagueRatings!$K$10,((LeagueRatings!$K$10-Y115)/LeagueRatings!$K$10)*36,(LeagueRatings!$K$10-Y115)*6.48)</f>
        <v>2.9556656030942539</v>
      </c>
      <c r="AA115" s="16">
        <f>INDEX('C-P-RollAdj'!$B$4:$B$76,MATCH(INT(Z115),'C-P-RollAdj'!$A$4:$A$76,FALSE),0)</f>
        <v>-0.16</v>
      </c>
      <c r="AB115" s="16">
        <f t="shared" si="21"/>
        <v>4.0391676866585069</v>
      </c>
      <c r="AC115" s="6">
        <f>IF(AB115&lt;LeagueRatings!$K$8,((LeagueRatings!$K$8-AB115)/LeagueRatings!$K$8)*36,(LeagueRatings!$K$8-AB115)/LeagueRatings!$K$11)</f>
        <v>-6.6457612046373731</v>
      </c>
      <c r="AD115" s="16">
        <f>INDEX('C-P-RollAdj'!$F$4:$F$76,MATCH(INT(AC115),'C-P-RollAdj'!$E$4:$E$76,FALSE),0)</f>
        <v>0.61</v>
      </c>
      <c r="AE115" s="17">
        <f>+((LeagueRatings!$I$6-E115)*5)+9.5</f>
        <v>12.108051455277403</v>
      </c>
      <c r="AF115" s="17">
        <f t="shared" si="22"/>
        <v>12.108051455277403</v>
      </c>
      <c r="AG115" s="17">
        <f t="shared" si="23"/>
        <v>0.74100833035212399</v>
      </c>
      <c r="AH115" s="4">
        <f t="shared" si="24"/>
        <v>13.299059785629526</v>
      </c>
      <c r="AI115" s="41" t="s">
        <v>329</v>
      </c>
      <c r="AJ115" s="5" t="s">
        <v>16</v>
      </c>
      <c r="AK115" s="219">
        <f>INDEX('C-P-RollAdj'!$J$4:$J$76,MATCH(INT(Z115),'C-P-RollAdj'!$I$4:$I$76,FALSE),0)</f>
        <v>12</v>
      </c>
      <c r="AL115" s="219">
        <f>INDEX('C-P-RollAdj'!$J$4:$J$76,MATCH(INT(AC115),'C-P-RollAdj'!$I$4:$I$76,FALSE),0)</f>
        <v>-21</v>
      </c>
      <c r="AM115" s="14">
        <f>+AR115*LeagueRatings!$K$27</f>
        <v>108.8888888888889</v>
      </c>
      <c r="AN115" s="72">
        <f>F115*LeagueRatings!$K$27</f>
        <v>18.333333333333336</v>
      </c>
      <c r="AO115" s="72">
        <f>G115*LeagueRatings!$K$27</f>
        <v>18.333333333333336</v>
      </c>
      <c r="AP115" s="72">
        <f>T115*LeagueRatings!$K$27</f>
        <v>454.44444444444446</v>
      </c>
      <c r="AR115" s="72">
        <f t="shared" si="14"/>
        <v>196</v>
      </c>
      <c r="AW115" s="97">
        <v>58.33</v>
      </c>
    </row>
    <row r="116" spans="1:50" x14ac:dyDescent="0.2">
      <c r="A116" s="41" t="s">
        <v>1097</v>
      </c>
      <c r="B116" s="76" t="s">
        <v>150</v>
      </c>
      <c r="C116" s="76">
        <v>2</v>
      </c>
      <c r="D116" s="76">
        <v>0</v>
      </c>
      <c r="E116" s="97">
        <v>3.43</v>
      </c>
      <c r="F116" s="76">
        <v>50</v>
      </c>
      <c r="G116" s="76">
        <v>0</v>
      </c>
      <c r="H116" s="76">
        <v>0</v>
      </c>
      <c r="I116" s="76">
        <v>0</v>
      </c>
      <c r="J116" s="76">
        <v>0</v>
      </c>
      <c r="K116" s="76">
        <v>0</v>
      </c>
      <c r="L116" s="258">
        <f>INDEX('C-P-RollAdj'!$P$4:$P$900,MATCH((U116),'C-P-RollAdj'!$O$4:$O$900,FALSE),0)</f>
        <v>44.67</v>
      </c>
      <c r="M116" s="76">
        <v>42</v>
      </c>
      <c r="N116" s="76">
        <v>19</v>
      </c>
      <c r="O116" s="76">
        <v>17</v>
      </c>
      <c r="P116" s="76">
        <v>4</v>
      </c>
      <c r="Q116" s="76">
        <v>16</v>
      </c>
      <c r="R116" s="76">
        <v>0</v>
      </c>
      <c r="S116" s="76">
        <v>34</v>
      </c>
      <c r="T116" s="76">
        <v>191</v>
      </c>
      <c r="U116" s="76">
        <v>44.2</v>
      </c>
      <c r="V116" s="100">
        <v>0.251</v>
      </c>
      <c r="W116" s="76">
        <v>1.3</v>
      </c>
      <c r="X116" s="50"/>
      <c r="Y116" s="50">
        <f t="shared" si="20"/>
        <v>8.3769633507853403</v>
      </c>
      <c r="Z116" s="6">
        <f>IF(Y116&lt;LeagueRatings!$K$10,((LeagueRatings!$K$10-Y116)/LeagueRatings!$K$10)*36,(LeagueRatings!$K$10-Y116)*6.48)</f>
        <v>1.2069642177726998</v>
      </c>
      <c r="AA116" s="16">
        <f>INDEX('C-P-RollAdj'!$B$4:$B$76,MATCH(INT(Z116),'C-P-RollAdj'!$A$4:$A$76,FALSE),0)</f>
        <v>-0.08</v>
      </c>
      <c r="AB116" s="16">
        <f t="shared" si="21"/>
        <v>2.0942408376963351</v>
      </c>
      <c r="AC116" s="6">
        <f>IF(AB116&lt;LeagueRatings!$K$8,((LeagueRatings!$K$8-AB116)/LeagueRatings!$K$8)*36,(LeagueRatings!$K$8-AB116)/LeagueRatings!$K$11)</f>
        <v>12.456107667105645</v>
      </c>
      <c r="AD116" s="16">
        <f>INDEX('C-P-RollAdj'!$F$4:$F$76,MATCH(INT(AC116),'C-P-RollAdj'!$E$4:$E$76,FALSE),0)</f>
        <v>-0.89</v>
      </c>
      <c r="AE116" s="17">
        <f>+((LeagueRatings!$I$6-E116)*5)+9.5</f>
        <v>13.358051455277403</v>
      </c>
      <c r="AF116" s="17">
        <f t="shared" si="22"/>
        <v>13.358051455277403</v>
      </c>
      <c r="AG116" s="17">
        <f t="shared" si="23"/>
        <v>0.34840161182001378</v>
      </c>
      <c r="AH116" s="4">
        <f t="shared" si="24"/>
        <v>12.736453067097417</v>
      </c>
      <c r="AI116" s="41" t="s">
        <v>1097</v>
      </c>
      <c r="AJ116" s="60" t="s">
        <v>16</v>
      </c>
      <c r="AK116" s="219">
        <f>INDEX('C-P-RollAdj'!$J$4:$J$76,MATCH(INT(Z116),'C-P-RollAdj'!$I$4:$I$76,FALSE),0)</f>
        <v>11</v>
      </c>
      <c r="AL116" s="219">
        <f>INDEX('C-P-RollAdj'!$J$4:$J$76,MATCH(INT(AC116),'C-P-RollAdj'!$I$4:$I$76,FALSE),0)</f>
        <v>26</v>
      </c>
      <c r="AM116" s="14">
        <f>+AR116*LeagueRatings!$K$27</f>
        <v>25</v>
      </c>
      <c r="AN116" s="72">
        <f>F116*LeagueRatings!$K$27</f>
        <v>27.777777777777779</v>
      </c>
      <c r="AO116" s="72">
        <f>G116*LeagueRatings!$K$27</f>
        <v>0</v>
      </c>
      <c r="AP116" s="72">
        <f>T116*LeagueRatings!$K$27</f>
        <v>106.11111111111111</v>
      </c>
      <c r="AR116" s="72">
        <f t="shared" si="14"/>
        <v>45</v>
      </c>
      <c r="AW116" s="97">
        <v>70.33</v>
      </c>
    </row>
    <row r="117" spans="1:50" x14ac:dyDescent="0.2">
      <c r="A117" s="41" t="s">
        <v>644</v>
      </c>
      <c r="B117" s="76" t="s">
        <v>150</v>
      </c>
      <c r="C117" s="76">
        <v>5</v>
      </c>
      <c r="D117" s="76">
        <v>8</v>
      </c>
      <c r="E117" s="97">
        <v>4.05</v>
      </c>
      <c r="F117" s="76">
        <v>70</v>
      </c>
      <c r="G117" s="76">
        <v>0</v>
      </c>
      <c r="H117" s="76">
        <v>0</v>
      </c>
      <c r="I117" s="76">
        <v>0</v>
      </c>
      <c r="J117" s="76">
        <v>1</v>
      </c>
      <c r="K117" s="76">
        <v>8</v>
      </c>
      <c r="L117" s="258">
        <f>INDEX('C-P-RollAdj'!$P$4:$P$900,MATCH((U117),'C-P-RollAdj'!$O$4:$O$900,FALSE),0)</f>
        <v>66.67</v>
      </c>
      <c r="M117" s="76">
        <v>70</v>
      </c>
      <c r="N117" s="76">
        <v>31</v>
      </c>
      <c r="O117" s="76">
        <v>30</v>
      </c>
      <c r="P117" s="76">
        <v>10</v>
      </c>
      <c r="Q117" s="76">
        <v>27</v>
      </c>
      <c r="R117" s="76">
        <v>0</v>
      </c>
      <c r="S117" s="76">
        <v>68</v>
      </c>
      <c r="T117" s="76">
        <v>293</v>
      </c>
      <c r="U117" s="76">
        <v>66.2</v>
      </c>
      <c r="V117" s="100">
        <v>0.27100000000000002</v>
      </c>
      <c r="W117" s="76">
        <v>1.46</v>
      </c>
      <c r="X117" s="50"/>
      <c r="Y117" s="50">
        <f t="shared" si="20"/>
        <v>9.2150170648464158</v>
      </c>
      <c r="Z117" s="6">
        <f>IF(Y117&lt;LeagueRatings!$K$10,((LeagueRatings!$K$10-Y117)/LeagueRatings!$K$10)*36,(LeagueRatings!$K$10-Y117)*6.48)</f>
        <v>-3.5475300860111143</v>
      </c>
      <c r="AA117" s="16">
        <f>INDEX('C-P-RollAdj'!$B$4:$B$76,MATCH(INT(Z117),'C-P-RollAdj'!$A$4:$A$76,FALSE),0)</f>
        <v>0.36</v>
      </c>
      <c r="AB117" s="16">
        <f t="shared" si="21"/>
        <v>3.4129692832764507</v>
      </c>
      <c r="AC117" s="6">
        <f>IF(AB117&lt;LeagueRatings!$K$8,((LeagueRatings!$K$8-AB117)/LeagueRatings!$K$8)*36,(LeagueRatings!$K$8-AB117)/LeagueRatings!$K$11)</f>
        <v>-1.6734624795213626</v>
      </c>
      <c r="AD117" s="16">
        <f>INDEX('C-P-RollAdj'!$F$4:$F$76,MATCH(INT(AC117),'C-P-RollAdj'!$E$4:$E$76,FALSE),0)</f>
        <v>0.16</v>
      </c>
      <c r="AE117" s="17">
        <f>+((LeagueRatings!$I$6-E117)*5)+9.5</f>
        <v>10.258051455277403</v>
      </c>
      <c r="AF117" s="17">
        <f t="shared" si="22"/>
        <v>10.258051455277403</v>
      </c>
      <c r="AG117" s="17">
        <f t="shared" si="23"/>
        <v>-0.249737513124344</v>
      </c>
      <c r="AH117" s="4">
        <f t="shared" si="24"/>
        <v>10.528313942153058</v>
      </c>
      <c r="AI117" s="41" t="s">
        <v>644</v>
      </c>
      <c r="AJ117" s="5" t="s">
        <v>68</v>
      </c>
      <c r="AK117" s="219">
        <f>INDEX('C-P-RollAdj'!$J$4:$J$76,MATCH(INT(Z117),'C-P-RollAdj'!$I$4:$I$76,FALSE),0)</f>
        <v>-14</v>
      </c>
      <c r="AL117" s="219">
        <f>INDEX('C-P-RollAdj'!$J$4:$J$76,MATCH(INT(AC117),'C-P-RollAdj'!$I$4:$I$76,FALSE),0)</f>
        <v>-12</v>
      </c>
      <c r="AM117" s="14">
        <f>+AR117*LeagueRatings!$K$27</f>
        <v>37.222222222222221</v>
      </c>
      <c r="AN117" s="72">
        <f>F117*LeagueRatings!$K$27</f>
        <v>38.888888888888893</v>
      </c>
      <c r="AO117" s="72">
        <f>G117*LeagueRatings!$K$27</f>
        <v>0</v>
      </c>
      <c r="AP117" s="72">
        <f>T117*LeagueRatings!$K$27</f>
        <v>162.77777777777777</v>
      </c>
      <c r="AR117" s="72">
        <f t="shared" si="14"/>
        <v>67</v>
      </c>
      <c r="AW117" s="97">
        <v>67</v>
      </c>
    </row>
    <row r="118" spans="1:50" x14ac:dyDescent="0.2">
      <c r="A118" s="41" t="s">
        <v>1337</v>
      </c>
      <c r="B118" s="76" t="s">
        <v>150</v>
      </c>
      <c r="C118" s="76">
        <v>2</v>
      </c>
      <c r="D118" s="76">
        <v>2</v>
      </c>
      <c r="E118" s="97">
        <v>1.23</v>
      </c>
      <c r="F118" s="76">
        <v>21</v>
      </c>
      <c r="G118" s="76">
        <v>0</v>
      </c>
      <c r="H118" s="76">
        <v>0</v>
      </c>
      <c r="I118" s="76">
        <v>0</v>
      </c>
      <c r="J118" s="76">
        <v>0</v>
      </c>
      <c r="K118" s="76">
        <v>0</v>
      </c>
      <c r="L118" s="258">
        <f>INDEX('C-P-RollAdj'!$P$4:$P$900,MATCH((U118),'C-P-RollAdj'!$O$4:$O$900,FALSE),0)</f>
        <v>22</v>
      </c>
      <c r="M118" s="76">
        <v>13</v>
      </c>
      <c r="N118" s="76">
        <v>4</v>
      </c>
      <c r="O118" s="76">
        <v>3</v>
      </c>
      <c r="P118" s="76">
        <v>0</v>
      </c>
      <c r="Q118" s="76">
        <v>11</v>
      </c>
      <c r="R118" s="76">
        <v>1</v>
      </c>
      <c r="S118" s="76">
        <v>30</v>
      </c>
      <c r="T118" s="76">
        <v>88</v>
      </c>
      <c r="U118" s="76">
        <v>22</v>
      </c>
      <c r="V118" s="100">
        <v>0.17299999999999999</v>
      </c>
      <c r="W118" s="76">
        <v>1.0900000000000001</v>
      </c>
      <c r="X118" s="50"/>
      <c r="Y118" s="50">
        <f t="shared" si="20"/>
        <v>11.494252873563218</v>
      </c>
      <c r="Z118" s="6">
        <f>IF(Y118&lt;LeagueRatings!$K$10,((LeagueRatings!$K$10-Y118)/LeagueRatings!$K$10)*36,(LeagueRatings!$K$10-Y118)*6.48)</f>
        <v>-18.316978126495989</v>
      </c>
      <c r="AA118" s="16">
        <f>INDEX('C-P-RollAdj'!$B$4:$B$76,MATCH(INT(Z118),'C-P-RollAdj'!$A$4:$A$76,FALSE),0)</f>
        <v>2.23</v>
      </c>
      <c r="AB118" s="16">
        <f t="shared" si="21"/>
        <v>0</v>
      </c>
      <c r="AC118" s="6">
        <f>IF(AB118&lt;LeagueRatings!$K$8,((LeagueRatings!$K$8-AB118)/LeagueRatings!$K$8)*36,(LeagueRatings!$K$8-AB118)/LeagueRatings!$K$11)</f>
        <v>36</v>
      </c>
      <c r="AD118" s="16">
        <f>INDEX('C-P-RollAdj'!$F$4:$F$76,MATCH(INT(AC118),'C-P-RollAdj'!$E$4:$E$76,FALSE),0)</f>
        <v>-3.26</v>
      </c>
      <c r="AE118" s="17">
        <f>+((LeagueRatings!$I$6-E118)*5)+9.5</f>
        <v>24.358051455277405</v>
      </c>
      <c r="AF118" s="17">
        <f t="shared" si="22"/>
        <v>24.358051455277405</v>
      </c>
      <c r="AG118" s="17">
        <f t="shared" si="23"/>
        <v>2.7936363636363635</v>
      </c>
      <c r="AH118" s="4">
        <f t="shared" si="24"/>
        <v>26.121687818913767</v>
      </c>
      <c r="AI118" s="41" t="s">
        <v>1337</v>
      </c>
      <c r="AJ118" s="5" t="s">
        <v>1283</v>
      </c>
      <c r="AK118" s="219">
        <f>INDEX('C-P-RollAdj'!$J$4:$J$76,MATCH(INT(Z118),'C-P-RollAdj'!$I$4:$I$76,FALSE),0)</f>
        <v>-41</v>
      </c>
      <c r="AL118" s="219">
        <f>INDEX('C-P-RollAdj'!$J$4:$J$76,MATCH(INT(AC118),'C-P-RollAdj'!$I$4:$I$76,FALSE),0)</f>
        <v>66</v>
      </c>
      <c r="AM118" s="14">
        <f>+AR118*LeagueRatings!$K$27</f>
        <v>12.222222222222223</v>
      </c>
      <c r="AN118" s="72">
        <f>F118*LeagueRatings!$K$27</f>
        <v>11.666666666666668</v>
      </c>
      <c r="AO118" s="72">
        <f>G118*LeagueRatings!$K$27</f>
        <v>0</v>
      </c>
      <c r="AP118" s="72">
        <f>T118*LeagueRatings!$K$27</f>
        <v>48.888888888888893</v>
      </c>
      <c r="AQ118" s="33"/>
      <c r="AR118" s="72">
        <f t="shared" si="14"/>
        <v>22</v>
      </c>
      <c r="AV118" s="33"/>
      <c r="AW118" s="97">
        <v>94</v>
      </c>
      <c r="AX118" s="33"/>
    </row>
    <row r="119" spans="1:50" s="33" customFormat="1" x14ac:dyDescent="0.2">
      <c r="A119" s="41" t="s">
        <v>559</v>
      </c>
      <c r="B119" s="76" t="s">
        <v>150</v>
      </c>
      <c r="C119" s="76">
        <v>11</v>
      </c>
      <c r="D119" s="76">
        <v>12</v>
      </c>
      <c r="E119" s="97">
        <v>4.45</v>
      </c>
      <c r="F119" s="76">
        <v>32</v>
      </c>
      <c r="G119" s="76">
        <v>32</v>
      </c>
      <c r="H119" s="76">
        <v>2</v>
      </c>
      <c r="I119" s="76">
        <v>0</v>
      </c>
      <c r="J119" s="76">
        <v>0</v>
      </c>
      <c r="K119" s="76">
        <v>0</v>
      </c>
      <c r="L119" s="258">
        <f>INDEX('C-P-RollAdj'!$P$4:$P$900,MATCH((U119),'C-P-RollAdj'!$O$4:$O$900,FALSE),0)</f>
        <v>186</v>
      </c>
      <c r="M119" s="76">
        <v>190</v>
      </c>
      <c r="N119" s="76">
        <v>96</v>
      </c>
      <c r="O119" s="76">
        <v>92</v>
      </c>
      <c r="P119" s="76">
        <v>23</v>
      </c>
      <c r="Q119" s="76">
        <v>78</v>
      </c>
      <c r="R119" s="76">
        <v>1</v>
      </c>
      <c r="S119" s="76">
        <v>144</v>
      </c>
      <c r="T119" s="76">
        <v>816</v>
      </c>
      <c r="U119" s="76">
        <v>186</v>
      </c>
      <c r="V119" s="100">
        <v>0.26300000000000001</v>
      </c>
      <c r="W119" s="76">
        <v>1.44</v>
      </c>
      <c r="X119" s="50"/>
      <c r="Y119" s="50">
        <f t="shared" si="20"/>
        <v>9.4478527607361951</v>
      </c>
      <c r="Z119" s="6">
        <f>IF(Y119&lt;LeagueRatings!$K$10,((LeagueRatings!$K$10-Y119)/LeagueRatings!$K$10)*36,(LeagueRatings!$K$10-Y119)*6.48)</f>
        <v>-5.0563053953768842</v>
      </c>
      <c r="AA119" s="16">
        <f>INDEX('C-P-RollAdj'!$B$4:$B$76,MATCH(INT(Z119),'C-P-RollAdj'!$A$4:$A$76,FALSE),0)</f>
        <v>0.54</v>
      </c>
      <c r="AB119" s="16">
        <f t="shared" si="21"/>
        <v>2.8220858895705523</v>
      </c>
      <c r="AC119" s="6">
        <f>IF(AB119&lt;LeagueRatings!$K$8,((LeagueRatings!$K$8-AB119)/LeagueRatings!$K$8)*36,(LeagueRatings!$K$8-AB119)/LeagueRatings!$K$11)</f>
        <v>4.2735217734954274</v>
      </c>
      <c r="AD119" s="16">
        <f>INDEX('C-P-RollAdj'!$F$4:$F$76,MATCH(INT(AC119),'C-P-RollAdj'!$E$4:$E$76,FALSE),0)</f>
        <v>-0.28000000000000003</v>
      </c>
      <c r="AE119" s="17">
        <f>+((LeagueRatings!$I$6-E119)*5)+9.5</f>
        <v>8.2580514552774034</v>
      </c>
      <c r="AF119" s="17">
        <f t="shared" si="22"/>
        <v>8.2580514552774034</v>
      </c>
      <c r="AG119" s="17">
        <f t="shared" si="23"/>
        <v>-0.10752688172043001</v>
      </c>
      <c r="AH119" s="4">
        <f t="shared" si="24"/>
        <v>8.4105245735569731</v>
      </c>
      <c r="AI119" s="41" t="s">
        <v>559</v>
      </c>
      <c r="AJ119" s="5" t="s">
        <v>34</v>
      </c>
      <c r="AK119" s="219">
        <f>INDEX('C-P-RollAdj'!$J$4:$J$76,MATCH(INT(Z119),'C-P-RollAdj'!$I$4:$I$76,FALSE),0)</f>
        <v>-16</v>
      </c>
      <c r="AL119" s="219">
        <f>INDEX('C-P-RollAdj'!$J$4:$J$76,MATCH(INT(AC119),'C-P-RollAdj'!$I$4:$I$76,FALSE),0)</f>
        <v>14</v>
      </c>
      <c r="AM119" s="14">
        <f>+AR119*LeagueRatings!$K$27</f>
        <v>103.33333333333334</v>
      </c>
      <c r="AN119" s="72">
        <f>F119*LeagueRatings!$K$27</f>
        <v>17.777777777777779</v>
      </c>
      <c r="AO119" s="72">
        <f>G119*LeagueRatings!$K$27</f>
        <v>17.777777777777779</v>
      </c>
      <c r="AP119" s="72">
        <f>T119*LeagueRatings!$K$27</f>
        <v>453.33333333333337</v>
      </c>
      <c r="AR119" s="72">
        <f t="shared" si="14"/>
        <v>186</v>
      </c>
      <c r="AS119" s="113"/>
      <c r="AT119" s="113"/>
      <c r="AU119" s="113"/>
      <c r="AW119" s="97">
        <v>211</v>
      </c>
    </row>
    <row r="120" spans="1:50" x14ac:dyDescent="0.2">
      <c r="A120" s="41" t="s">
        <v>381</v>
      </c>
      <c r="B120" s="76" t="s">
        <v>150</v>
      </c>
      <c r="C120" s="76">
        <v>10</v>
      </c>
      <c r="D120" s="76">
        <v>11</v>
      </c>
      <c r="E120" s="97">
        <v>5.37</v>
      </c>
      <c r="F120" s="76">
        <v>34</v>
      </c>
      <c r="G120" s="76">
        <v>34</v>
      </c>
      <c r="H120" s="76">
        <v>0</v>
      </c>
      <c r="I120" s="76">
        <v>0</v>
      </c>
      <c r="J120" s="76">
        <v>0</v>
      </c>
      <c r="K120" s="76">
        <v>0</v>
      </c>
      <c r="L120" s="258">
        <f>INDEX('C-P-RollAdj'!$P$4:$P$900,MATCH((U120),'C-P-RollAdj'!$O$4:$O$900,FALSE),0)</f>
        <v>189.32999999999998</v>
      </c>
      <c r="M120" s="76">
        <v>217</v>
      </c>
      <c r="N120" s="76">
        <v>124</v>
      </c>
      <c r="O120" s="76">
        <v>113</v>
      </c>
      <c r="P120" s="76">
        <v>23</v>
      </c>
      <c r="Q120" s="76">
        <v>76</v>
      </c>
      <c r="R120" s="76">
        <v>1</v>
      </c>
      <c r="S120" s="76">
        <v>139</v>
      </c>
      <c r="T120" s="76">
        <v>853</v>
      </c>
      <c r="U120" s="76">
        <v>189.1</v>
      </c>
      <c r="V120" s="100">
        <v>0.28599999999999998</v>
      </c>
      <c r="W120" s="76">
        <v>1.55</v>
      </c>
      <c r="X120" s="50"/>
      <c r="Y120" s="50">
        <f t="shared" si="20"/>
        <v>8.8028169014084501</v>
      </c>
      <c r="Z120" s="6">
        <f>IF(Y120&lt;LeagueRatings!$K$10,((LeagueRatings!$K$10-Y120)/LeagueRatings!$K$10)*36,(LeagueRatings!$K$10-Y120)*6.48)</f>
        <v>-0.87647302693309603</v>
      </c>
      <c r="AA120" s="16">
        <f>INDEX('C-P-RollAdj'!$B$4:$B$76,MATCH(INT(Z120),'C-P-RollAdj'!$A$4:$A$76,FALSE),0)</f>
        <v>0.09</v>
      </c>
      <c r="AB120" s="16">
        <f t="shared" si="21"/>
        <v>2.699530516431925</v>
      </c>
      <c r="AC120" s="6">
        <f>IF(AB120&lt;LeagueRatings!$K$8,((LeagueRatings!$K$8-AB120)/LeagueRatings!$K$8)*36,(LeagueRatings!$K$8-AB120)/LeagueRatings!$K$11)</f>
        <v>5.6513148420173396</v>
      </c>
      <c r="AD120" s="16">
        <f>INDEX('C-P-RollAdj'!$F$4:$F$76,MATCH(INT(AC120),'C-P-RollAdj'!$E$4:$E$76,FALSE),0)</f>
        <v>-0.35000000000000003</v>
      </c>
      <c r="AE120" s="17">
        <f>+((LeagueRatings!$I$6-E120)*5)+9.5</f>
        <v>3.6580514552774028</v>
      </c>
      <c r="AF120" s="17">
        <f t="shared" si="22"/>
        <v>4</v>
      </c>
      <c r="AG120" s="17">
        <f t="shared" si="23"/>
        <v>-0.73073469603338159</v>
      </c>
      <c r="AH120" s="4">
        <f t="shared" si="24"/>
        <v>3.0092653039666186</v>
      </c>
      <c r="AI120" s="41" t="s">
        <v>381</v>
      </c>
      <c r="AJ120" s="5" t="s">
        <v>60</v>
      </c>
      <c r="AK120" s="219">
        <f>INDEX('C-P-RollAdj'!$J$4:$J$76,MATCH(INT(Z120),'C-P-RollAdj'!$I$4:$I$76,FALSE),0)</f>
        <v>-11</v>
      </c>
      <c r="AL120" s="219">
        <f>INDEX('C-P-RollAdj'!$J$4:$J$76,MATCH(INT(AC120),'C-P-RollAdj'!$I$4:$I$76,FALSE),0)</f>
        <v>15</v>
      </c>
      <c r="AM120" s="14">
        <f>+AR120*LeagueRatings!$K$27</f>
        <v>105.55555555555556</v>
      </c>
      <c r="AN120" s="72">
        <f>F120*LeagueRatings!$K$27</f>
        <v>18.888888888888889</v>
      </c>
      <c r="AO120" s="72">
        <f>G120*LeagueRatings!$K$27</f>
        <v>18.888888888888889</v>
      </c>
      <c r="AP120" s="72">
        <f>T120*LeagueRatings!$K$27</f>
        <v>473.88888888888891</v>
      </c>
      <c r="AR120" s="72">
        <f t="shared" si="14"/>
        <v>190</v>
      </c>
      <c r="AW120" s="97">
        <v>228.67</v>
      </c>
    </row>
    <row r="121" spans="1:50" x14ac:dyDescent="0.2">
      <c r="A121" s="41" t="s">
        <v>1339</v>
      </c>
      <c r="B121" s="76" t="s">
        <v>150</v>
      </c>
      <c r="C121" s="76">
        <v>6</v>
      </c>
      <c r="D121" s="76">
        <v>0</v>
      </c>
      <c r="E121" s="97">
        <v>4.22</v>
      </c>
      <c r="F121" s="76">
        <v>38</v>
      </c>
      <c r="G121" s="76">
        <v>0</v>
      </c>
      <c r="H121" s="76">
        <v>0</v>
      </c>
      <c r="I121" s="76">
        <v>0</v>
      </c>
      <c r="J121" s="76">
        <v>0</v>
      </c>
      <c r="K121" s="76">
        <v>0</v>
      </c>
      <c r="L121" s="258">
        <f>INDEX('C-P-RollAdj'!$P$4:$P$900,MATCH((U121),'C-P-RollAdj'!$O$4:$O$900,FALSE),0)</f>
        <v>53.33</v>
      </c>
      <c r="M121" s="76">
        <v>60</v>
      </c>
      <c r="N121" s="76">
        <v>27</v>
      </c>
      <c r="O121" s="76">
        <v>25</v>
      </c>
      <c r="P121" s="76">
        <v>6</v>
      </c>
      <c r="Q121" s="76">
        <v>18</v>
      </c>
      <c r="R121" s="76">
        <v>0</v>
      </c>
      <c r="S121" s="76">
        <v>30</v>
      </c>
      <c r="T121" s="76">
        <v>231</v>
      </c>
      <c r="U121" s="76">
        <v>53.1</v>
      </c>
      <c r="V121" s="100">
        <v>0.28599999999999998</v>
      </c>
      <c r="W121" s="76">
        <v>1.46</v>
      </c>
      <c r="X121" s="50"/>
      <c r="Y121" s="50">
        <f t="shared" si="20"/>
        <v>7.7922077922077921</v>
      </c>
      <c r="Z121" s="6">
        <f>IF(Y121&lt;LeagueRatings!$K$10,((LeagueRatings!$K$10-Y121)/LeagueRatings!$K$10)*36,(LeagueRatings!$K$10-Y121)*6.48)</f>
        <v>3.6356988584151901</v>
      </c>
      <c r="AA121" s="16">
        <f>INDEX('C-P-RollAdj'!$B$4:$B$76,MATCH(INT(Z121),'C-P-RollAdj'!$A$4:$A$76,FALSE),0)</f>
        <v>-0.24</v>
      </c>
      <c r="AB121" s="16">
        <f>(P121/(T121-R121))*100</f>
        <v>2.5974025974025974</v>
      </c>
      <c r="AC121" s="6">
        <f>IF(AB121&lt;LeagueRatings!$K$8,((LeagueRatings!$K$8-AB121)/LeagueRatings!$K$8)*36,(LeagueRatings!$K$8-AB121)/LeagueRatings!$K$11)</f>
        <v>6.7994582105011574</v>
      </c>
      <c r="AD121" s="16">
        <f>INDEX('C-P-RollAdj'!$F$4:$F$76,MATCH(INT(AC121),'C-P-RollAdj'!$E$4:$E$76,FALSE),0)</f>
        <v>-0.42000000000000004</v>
      </c>
      <c r="AE121" s="17">
        <f>+((LeagueRatings!$I$6-E121)*5)+9.5</f>
        <v>9.4080514552774055</v>
      </c>
      <c r="AF121" s="17">
        <f>IF(AE121&lt;4,4,AE121)</f>
        <v>9.4080514552774055</v>
      </c>
      <c r="AG121" s="17">
        <f>IF(M121&lt;L121,((1-(M121/L121))*7)-0.07,(1-(M121/L121))*5)</f>
        <v>-0.62535158447402983</v>
      </c>
      <c r="AH121" s="4">
        <f>+AA121+AD121+AF121+AG121</f>
        <v>8.1226998708033751</v>
      </c>
      <c r="AI121" s="41" t="s">
        <v>1339</v>
      </c>
      <c r="AJ121" s="5" t="s">
        <v>55</v>
      </c>
      <c r="AK121" s="219">
        <f>INDEX('C-P-RollAdj'!$J$4:$J$76,MATCH(INT(Z121),'C-P-RollAdj'!$I$4:$I$76,FALSE),0)</f>
        <v>13</v>
      </c>
      <c r="AL121" s="219">
        <f>INDEX('C-P-RollAdj'!$J$4:$J$76,MATCH(INT(AC121),'C-P-RollAdj'!$I$4:$I$76,FALSE),0)</f>
        <v>16</v>
      </c>
      <c r="AM121" s="14">
        <f>+AR121*LeagueRatings!$K$27</f>
        <v>30</v>
      </c>
      <c r="AN121" s="72">
        <f>F121*LeagueRatings!$K$27</f>
        <v>21.111111111111111</v>
      </c>
      <c r="AO121" s="72">
        <f>G121*LeagueRatings!$K$27</f>
        <v>0</v>
      </c>
      <c r="AP121" s="72">
        <f>T121*LeagueRatings!$K$27</f>
        <v>128.33333333333334</v>
      </c>
      <c r="AR121" s="72">
        <f>ROUNDUP(L121,0)</f>
        <v>54</v>
      </c>
      <c r="AW121" s="97">
        <v>228.67</v>
      </c>
    </row>
    <row r="122" spans="1:50" x14ac:dyDescent="0.2">
      <c r="A122" s="41" t="s">
        <v>819</v>
      </c>
      <c r="B122" s="76" t="s">
        <v>150</v>
      </c>
      <c r="C122" s="76">
        <v>3</v>
      </c>
      <c r="D122" s="76">
        <v>9</v>
      </c>
      <c r="E122" s="97">
        <v>6.19</v>
      </c>
      <c r="F122" s="76">
        <v>34</v>
      </c>
      <c r="G122" s="76">
        <v>13</v>
      </c>
      <c r="H122" s="76">
        <v>0</v>
      </c>
      <c r="I122" s="76">
        <v>0</v>
      </c>
      <c r="J122" s="76">
        <v>1</v>
      </c>
      <c r="K122" s="76">
        <v>1</v>
      </c>
      <c r="L122" s="258">
        <f>INDEX('C-P-RollAdj'!$P$4:$P$900,MATCH((U122),'C-P-RollAdj'!$O$4:$O$900,FALSE),0)</f>
        <v>88.67</v>
      </c>
      <c r="M122" s="76">
        <v>104</v>
      </c>
      <c r="N122" s="76">
        <v>63</v>
      </c>
      <c r="O122" s="76">
        <v>61</v>
      </c>
      <c r="P122" s="76">
        <v>28</v>
      </c>
      <c r="Q122" s="76">
        <v>43</v>
      </c>
      <c r="R122" s="76">
        <v>1</v>
      </c>
      <c r="S122" s="76">
        <v>94</v>
      </c>
      <c r="T122" s="76">
        <v>406</v>
      </c>
      <c r="U122" s="76">
        <v>88.2</v>
      </c>
      <c r="V122" s="100">
        <v>0.29099999999999998</v>
      </c>
      <c r="W122" s="76">
        <v>1.66</v>
      </c>
      <c r="X122" s="50"/>
      <c r="Y122" s="50">
        <f t="shared" si="20"/>
        <v>10.37037037037037</v>
      </c>
      <c r="Z122" s="6">
        <f>IF(Y122&lt;LeagueRatings!$K$10,((LeagueRatings!$K$10-Y122)/LeagueRatings!$K$10)*36,(LeagueRatings!$K$10-Y122)*6.48)</f>
        <v>-11.034219505806339</v>
      </c>
      <c r="AA122" s="16">
        <f>INDEX('C-P-RollAdj'!$B$4:$B$76,MATCH(INT(Z122),'C-P-RollAdj'!$A$4:$A$76,FALSE),0)</f>
        <v>1.24</v>
      </c>
      <c r="AB122" s="16">
        <f>(P122/(T122-R122))*100</f>
        <v>6.9135802469135799</v>
      </c>
      <c r="AC122" s="6">
        <f>IF(AB122&lt;LeagueRatings!$K$8,((LeagueRatings!$K$8-AB122)/LeagueRatings!$K$8)*36,(LeagueRatings!$K$8-AB122)/LeagueRatings!$K$11)</f>
        <v>-29.46989782271438</v>
      </c>
      <c r="AD122" s="16">
        <f>INDEX('C-P-RollAdj'!$F$4:$F$76,MATCH(INT(AC122),'C-P-RollAdj'!$E$4:$E$76,FALSE),0)</f>
        <v>3.75</v>
      </c>
      <c r="AE122" s="17">
        <f>+((LeagueRatings!$I$6-E122)*5)+9.5</f>
        <v>-0.44194854472259948</v>
      </c>
      <c r="AF122" s="17">
        <f>IF(AE122&lt;4,4,AE122)</f>
        <v>4</v>
      </c>
      <c r="AG122" s="17">
        <f>IF(M122&lt;L122,((1-(M122/L122))*7)-0.07,(1-(M122/L122))*5)</f>
        <v>-0.86444118642156287</v>
      </c>
      <c r="AH122" s="4">
        <f>+AA122+AD122+AF122+AG122</f>
        <v>8.1255588135784365</v>
      </c>
      <c r="AI122" s="41" t="s">
        <v>819</v>
      </c>
      <c r="AJ122" s="5" t="s">
        <v>55</v>
      </c>
      <c r="AK122" s="219">
        <f>INDEX('C-P-RollAdj'!$J$4:$J$76,MATCH(INT(Z122),'C-P-RollAdj'!$I$4:$I$76,FALSE),0)</f>
        <v>-26</v>
      </c>
      <c r="AL122" s="219">
        <f>INDEX('C-P-RollAdj'!$J$4:$J$76,MATCH(INT(AC122),'C-P-RollAdj'!$I$4:$I$76,FALSE),0)</f>
        <v>-56</v>
      </c>
      <c r="AM122" s="14">
        <f>+AR122*LeagueRatings!$K$27</f>
        <v>49.44444444444445</v>
      </c>
      <c r="AN122" s="72">
        <f>F122*LeagueRatings!$K$27</f>
        <v>18.888888888888889</v>
      </c>
      <c r="AO122" s="72">
        <f>G122*LeagueRatings!$K$27</f>
        <v>7.2222222222222223</v>
      </c>
      <c r="AP122" s="72">
        <f>T122*LeagueRatings!$K$27</f>
        <v>225.55555555555557</v>
      </c>
      <c r="AR122" s="72">
        <f>ROUNDUP(L122,0)</f>
        <v>89</v>
      </c>
      <c r="AW122" s="97">
        <v>33.33</v>
      </c>
    </row>
    <row r="123" spans="1:50" s="28" customFormat="1" x14ac:dyDescent="0.2">
      <c r="A123" s="105"/>
      <c r="B123" s="76"/>
      <c r="C123" s="76"/>
      <c r="D123" s="76"/>
      <c r="E123" s="97"/>
      <c r="F123" s="76"/>
      <c r="G123" s="76"/>
      <c r="H123" s="177"/>
      <c r="I123" s="177"/>
      <c r="J123" s="76"/>
      <c r="K123" s="76"/>
      <c r="L123" s="110"/>
      <c r="M123" s="76"/>
      <c r="N123" s="76"/>
      <c r="O123" s="76"/>
      <c r="P123" s="76"/>
      <c r="Q123"/>
      <c r="R123" s="76"/>
      <c r="S123" s="76"/>
      <c r="T123" s="76"/>
      <c r="U123" s="76"/>
      <c r="V123" s="269"/>
      <c r="X123" s="50"/>
      <c r="Y123" s="50"/>
      <c r="Z123" s="6"/>
      <c r="AA123" s="16"/>
      <c r="AB123" s="16"/>
      <c r="AC123" s="6"/>
      <c r="AD123" s="16"/>
      <c r="AE123" s="17"/>
      <c r="AF123" s="17"/>
      <c r="AG123" s="17"/>
      <c r="AH123" s="4"/>
      <c r="AI123" s="105"/>
      <c r="AJ123" s="5"/>
      <c r="AK123" s="5"/>
      <c r="AL123" s="5"/>
      <c r="AM123" s="14"/>
      <c r="AN123" s="72"/>
      <c r="AO123" s="72"/>
      <c r="AP123" s="72"/>
      <c r="AQ123" s="24"/>
      <c r="AR123" s="72"/>
      <c r="AS123" s="113"/>
      <c r="AT123" s="113"/>
      <c r="AU123" s="113"/>
      <c r="AV123" s="24"/>
      <c r="AW123" s="110"/>
      <c r="AX123" s="24"/>
    </row>
    <row r="124" spans="1:50" s="28" customFormat="1" x14ac:dyDescent="0.2">
      <c r="A124" s="69" t="s">
        <v>106</v>
      </c>
      <c r="B124" s="70" t="s">
        <v>157</v>
      </c>
      <c r="C124" s="71" t="s">
        <v>85</v>
      </c>
      <c r="D124" s="70" t="s">
        <v>86</v>
      </c>
      <c r="E124" s="71" t="s">
        <v>87</v>
      </c>
      <c r="F124" s="70" t="s">
        <v>108</v>
      </c>
      <c r="G124" s="70" t="s">
        <v>88</v>
      </c>
      <c r="H124" s="182" t="s">
        <v>89</v>
      </c>
      <c r="I124" s="178" t="s">
        <v>317</v>
      </c>
      <c r="J124" s="72" t="s">
        <v>90</v>
      </c>
      <c r="K124" s="72" t="s">
        <v>158</v>
      </c>
      <c r="L124" s="71" t="s">
        <v>91</v>
      </c>
      <c r="M124" s="70" t="s">
        <v>92</v>
      </c>
      <c r="N124" s="70" t="s">
        <v>93</v>
      </c>
      <c r="O124" s="70" t="s">
        <v>94</v>
      </c>
      <c r="P124" s="70" t="s">
        <v>95</v>
      </c>
      <c r="Q124" s="70" t="s">
        <v>96</v>
      </c>
      <c r="R124" s="70" t="s">
        <v>98</v>
      </c>
      <c r="S124" s="70" t="s">
        <v>97</v>
      </c>
      <c r="T124" s="70" t="s">
        <v>109</v>
      </c>
      <c r="U124" s="155" t="s">
        <v>91</v>
      </c>
      <c r="V124" s="250" t="s">
        <v>1517</v>
      </c>
      <c r="W124" s="155" t="s">
        <v>1072</v>
      </c>
      <c r="X124" s="117"/>
      <c r="Y124" s="117" t="s">
        <v>2</v>
      </c>
      <c r="Z124" s="116" t="s">
        <v>3</v>
      </c>
      <c r="AA124" s="117" t="s">
        <v>4</v>
      </c>
      <c r="AB124" s="118" t="s">
        <v>5</v>
      </c>
      <c r="AC124" s="116" t="s">
        <v>6</v>
      </c>
      <c r="AD124" s="117" t="s">
        <v>7</v>
      </c>
      <c r="AE124" s="119" t="s">
        <v>8</v>
      </c>
      <c r="AF124" s="119" t="s">
        <v>81</v>
      </c>
      <c r="AG124" s="119" t="s">
        <v>9</v>
      </c>
      <c r="AH124" s="128" t="s">
        <v>10</v>
      </c>
      <c r="AI124" s="69" t="s">
        <v>106</v>
      </c>
      <c r="AJ124" s="7" t="s">
        <v>11</v>
      </c>
      <c r="AK124" s="7" t="s">
        <v>12</v>
      </c>
      <c r="AL124" s="7" t="s">
        <v>13</v>
      </c>
      <c r="AM124" s="14"/>
      <c r="AN124" s="72"/>
      <c r="AO124" s="72"/>
      <c r="AP124" s="72"/>
      <c r="AQ124" s="122"/>
      <c r="AR124" s="72"/>
      <c r="AS124" s="114"/>
      <c r="AT124" s="114"/>
      <c r="AU124" s="114"/>
      <c r="AV124" s="122"/>
      <c r="AW124" s="71" t="s">
        <v>91</v>
      </c>
      <c r="AX124" s="122"/>
    </row>
    <row r="125" spans="1:50" x14ac:dyDescent="0.2">
      <c r="A125" s="69"/>
      <c r="B125" s="70"/>
      <c r="C125" s="71"/>
      <c r="D125" s="70"/>
      <c r="E125" s="71"/>
      <c r="F125" s="70"/>
      <c r="G125" s="70"/>
      <c r="H125" s="182"/>
      <c r="I125" s="178"/>
      <c r="J125" s="72"/>
      <c r="K125" s="72"/>
      <c r="L125" s="71"/>
      <c r="M125" s="70"/>
      <c r="N125" s="70"/>
      <c r="O125" s="70"/>
      <c r="P125" s="70"/>
      <c r="Q125" s="122"/>
      <c r="R125" s="70"/>
      <c r="S125" s="70"/>
      <c r="T125" s="70"/>
      <c r="U125" s="70"/>
      <c r="X125" s="50"/>
      <c r="Y125" s="50"/>
      <c r="Z125" s="6"/>
      <c r="AB125" s="16"/>
      <c r="AC125" s="6"/>
      <c r="AE125" s="17"/>
      <c r="AF125" s="17"/>
      <c r="AG125" s="17"/>
      <c r="AH125" s="4"/>
      <c r="AI125" s="69"/>
      <c r="AJ125" s="7"/>
      <c r="AK125" s="7"/>
      <c r="AL125" s="7"/>
      <c r="AM125" s="14"/>
      <c r="AN125" s="72"/>
      <c r="AO125" s="72"/>
      <c r="AP125" s="72"/>
      <c r="AQ125" s="122"/>
      <c r="AR125" s="72"/>
      <c r="AV125" s="122"/>
      <c r="AW125" s="71"/>
      <c r="AX125" s="122"/>
    </row>
    <row r="126" spans="1:50" s="122" customFormat="1" x14ac:dyDescent="0.2">
      <c r="A126" s="41" t="s">
        <v>811</v>
      </c>
      <c r="B126" s="76" t="s">
        <v>143</v>
      </c>
      <c r="C126" s="76">
        <v>1</v>
      </c>
      <c r="D126" s="76">
        <v>0</v>
      </c>
      <c r="E126" s="97">
        <v>3.11</v>
      </c>
      <c r="F126" s="76">
        <v>27</v>
      </c>
      <c r="G126" s="76">
        <v>0</v>
      </c>
      <c r="H126" s="76">
        <v>0</v>
      </c>
      <c r="I126" s="76">
        <v>0</v>
      </c>
      <c r="J126" s="76">
        <v>0</v>
      </c>
      <c r="K126" s="76">
        <v>0</v>
      </c>
      <c r="L126" s="258">
        <f>INDEX('C-P-RollAdj'!$P$4:$P$900,MATCH((U126),'C-P-RollAdj'!$O$4:$O$900,FALSE),0)</f>
        <v>37.67</v>
      </c>
      <c r="M126" s="76">
        <v>43</v>
      </c>
      <c r="N126" s="76">
        <v>13</v>
      </c>
      <c r="O126" s="76">
        <v>13</v>
      </c>
      <c r="P126" s="76">
        <v>7</v>
      </c>
      <c r="Q126" s="76">
        <v>12</v>
      </c>
      <c r="R126" s="76">
        <v>1</v>
      </c>
      <c r="S126" s="76">
        <v>14</v>
      </c>
      <c r="T126" s="76">
        <v>160</v>
      </c>
      <c r="U126" s="76">
        <v>37.200000000000003</v>
      </c>
      <c r="V126" s="100">
        <v>0.29499999999999998</v>
      </c>
      <c r="W126" s="76">
        <v>1.46</v>
      </c>
      <c r="X126" s="50"/>
      <c r="Y126" s="50">
        <f t="shared" ref="Y126:Y140" si="25">+(Q126-R126)/(T126-R126)*100</f>
        <v>6.9182389937106921</v>
      </c>
      <c r="Z126" s="6">
        <f>IF(Y126&lt;LeagueRatings!$K$10,((LeagueRatings!$K$10-Y126)/LeagueRatings!$K$10)*36,(LeagueRatings!$K$10-Y126)*6.48)</f>
        <v>7.265657162555204</v>
      </c>
      <c r="AA126" s="16">
        <f>INDEX('C-P-RollAdj'!$B$4:$B$76,MATCH(INT(Z126),'C-P-RollAdj'!$A$4:$A$76,FALSE),0)</f>
        <v>-0.56000000000000005</v>
      </c>
      <c r="AB126" s="16">
        <f t="shared" ref="AB126:AB140" si="26">(P126/(T126-R126))*100</f>
        <v>4.4025157232704402</v>
      </c>
      <c r="AC126" s="6">
        <f>IF(AB126&lt;LeagueRatings!$K$8,((LeagueRatings!$K$8-AB126)/LeagueRatings!$K$8)*36,(LeagueRatings!$K$8-AB126)/LeagueRatings!$K$11)</f>
        <v>-9.5309090578755633</v>
      </c>
      <c r="AD126" s="16">
        <f>INDEX('C-P-RollAdj'!$F$4:$F$76,MATCH(INT(AC126),'C-P-RollAdj'!$E$4:$E$76,FALSE),0)</f>
        <v>0.92</v>
      </c>
      <c r="AE126" s="17">
        <f>+((LeagueRatings!$I$6-E126)*5)+9.5</f>
        <v>14.958051455277404</v>
      </c>
      <c r="AF126" s="17">
        <f t="shared" ref="AF126:AF140" si="27">IF(AE126&lt;4,4,AE126)</f>
        <v>14.958051455277404</v>
      </c>
      <c r="AG126" s="17">
        <f t="shared" ref="AG126:AG140" si="28">IF(M126&lt;L126,((1-(M126/L126))*7)-0.07,(1-(M126/L126))*5)</f>
        <v>-0.70745951685691533</v>
      </c>
      <c r="AH126" s="4">
        <f t="shared" ref="AH126:AH140" si="29">+AA126+AD126+AF126+AG126</f>
        <v>14.610591938420489</v>
      </c>
      <c r="AI126" s="41" t="s">
        <v>811</v>
      </c>
      <c r="AJ126" s="5" t="s">
        <v>14</v>
      </c>
      <c r="AK126" s="219">
        <f>INDEX('C-P-RollAdj'!$J$4:$J$76,MATCH(INT(Z126),'C-P-RollAdj'!$I$4:$I$76,FALSE),0)</f>
        <v>21</v>
      </c>
      <c r="AL126" s="219">
        <f>INDEX('C-P-RollAdj'!$J$4:$J$76,MATCH(INT(AC126),'C-P-RollAdj'!$I$4:$I$76,FALSE),0)</f>
        <v>-24</v>
      </c>
      <c r="AM126" s="14">
        <f>+AR126*LeagueRatings!$K$27</f>
        <v>21.111111111111111</v>
      </c>
      <c r="AN126" s="72">
        <f>F126*LeagueRatings!$K$27</f>
        <v>15</v>
      </c>
      <c r="AO126" s="72">
        <f>G126*LeagueRatings!$K$27</f>
        <v>0</v>
      </c>
      <c r="AP126" s="72">
        <f>T126*LeagueRatings!$K$27</f>
        <v>88.888888888888886</v>
      </c>
      <c r="AQ126" s="24"/>
      <c r="AR126" s="72">
        <f t="shared" si="14"/>
        <v>38</v>
      </c>
      <c r="AS126" s="113"/>
      <c r="AT126" s="113"/>
      <c r="AU126" s="113"/>
      <c r="AV126" s="24"/>
      <c r="AW126" s="97">
        <v>132.66999999999999</v>
      </c>
      <c r="AX126" s="24"/>
    </row>
    <row r="127" spans="1:50" s="122" customFormat="1" x14ac:dyDescent="0.2">
      <c r="A127" s="41" t="s">
        <v>545</v>
      </c>
      <c r="B127" s="76" t="s">
        <v>143</v>
      </c>
      <c r="C127" s="76">
        <v>1</v>
      </c>
      <c r="D127" s="76">
        <v>3</v>
      </c>
      <c r="E127" s="97">
        <v>3.45</v>
      </c>
      <c r="F127" s="76">
        <v>64</v>
      </c>
      <c r="G127" s="76">
        <v>0</v>
      </c>
      <c r="H127" s="76">
        <v>0</v>
      </c>
      <c r="I127" s="76">
        <v>0</v>
      </c>
      <c r="J127" s="76">
        <v>0</v>
      </c>
      <c r="K127" s="76">
        <v>1</v>
      </c>
      <c r="L127" s="258">
        <f>INDEX('C-P-RollAdj'!$P$4:$P$900,MATCH((U127),'C-P-RollAdj'!$O$4:$O$900,FALSE),0)</f>
        <v>57.33</v>
      </c>
      <c r="M127" s="76">
        <v>71</v>
      </c>
      <c r="N127" s="76">
        <v>29</v>
      </c>
      <c r="O127" s="76">
        <v>22</v>
      </c>
      <c r="P127" s="76">
        <v>4</v>
      </c>
      <c r="Q127" s="76">
        <v>15</v>
      </c>
      <c r="R127" s="76">
        <v>4</v>
      </c>
      <c r="S127" s="76">
        <v>51</v>
      </c>
      <c r="T127" s="76">
        <v>256</v>
      </c>
      <c r="U127" s="76">
        <v>57.1</v>
      </c>
      <c r="V127" s="100">
        <v>0.29799999999999999</v>
      </c>
      <c r="W127" s="76">
        <v>1.5</v>
      </c>
      <c r="X127" s="50"/>
      <c r="Y127" s="50">
        <f t="shared" si="25"/>
        <v>4.3650793650793647</v>
      </c>
      <c r="Z127" s="6">
        <f>IF(Y127&lt;LeagueRatings!$K$10,((LeagueRatings!$K$10-Y127)/LeagueRatings!$K$10)*36,(LeagueRatings!$K$10-Y127)*6.48)</f>
        <v>17.869997971612214</v>
      </c>
      <c r="AA127" s="16">
        <f>INDEX('C-P-RollAdj'!$B$4:$B$76,MATCH(INT(Z127),'C-P-RollAdj'!$A$4:$A$76,FALSE),0)</f>
        <v>-1.49</v>
      </c>
      <c r="AB127" s="16">
        <f t="shared" si="26"/>
        <v>1.5873015873015872</v>
      </c>
      <c r="AC127" s="6">
        <f>IF(AB127&lt;LeagueRatings!$K$8,((LeagueRatings!$K$8-AB127)/LeagueRatings!$K$8)*36,(LeagueRatings!$K$8-AB127)/LeagueRatings!$K$11)</f>
        <v>18.155224461972928</v>
      </c>
      <c r="AD127" s="16">
        <f>INDEX('C-P-RollAdj'!$F$4:$F$76,MATCH(INT(AC127),'C-P-RollAdj'!$E$4:$E$76,FALSE),0)</f>
        <v>-1.4100000000000001</v>
      </c>
      <c r="AE127" s="17">
        <f>+((LeagueRatings!$I$6-E127)*5)+9.5</f>
        <v>13.258051455277403</v>
      </c>
      <c r="AF127" s="17">
        <f t="shared" si="27"/>
        <v>13.258051455277403</v>
      </c>
      <c r="AG127" s="17">
        <f t="shared" si="28"/>
        <v>-1.1922204779347634</v>
      </c>
      <c r="AH127" s="4">
        <f t="shared" si="29"/>
        <v>9.1658309773426403</v>
      </c>
      <c r="AI127" s="41" t="s">
        <v>545</v>
      </c>
      <c r="AJ127" s="5" t="s">
        <v>34</v>
      </c>
      <c r="AK127" s="219">
        <f>INDEX('C-P-RollAdj'!$J$4:$J$76,MATCH(INT(Z127),'C-P-RollAdj'!$I$4:$I$76,FALSE),0)</f>
        <v>35</v>
      </c>
      <c r="AL127" s="219">
        <f>INDEX('C-P-RollAdj'!$J$4:$J$76,MATCH(INT(AC127),'C-P-RollAdj'!$I$4:$I$76,FALSE),0)</f>
        <v>36</v>
      </c>
      <c r="AM127" s="14">
        <f>+AR127*LeagueRatings!$K$27</f>
        <v>32.222222222222221</v>
      </c>
      <c r="AN127" s="72">
        <f>F127*LeagueRatings!$K$27</f>
        <v>35.555555555555557</v>
      </c>
      <c r="AO127" s="72">
        <f>G127*LeagueRatings!$K$27</f>
        <v>0</v>
      </c>
      <c r="AP127" s="72">
        <f>T127*LeagueRatings!$K$27</f>
        <v>142.22222222222223</v>
      </c>
      <c r="AQ127" s="24"/>
      <c r="AR127" s="72">
        <f t="shared" si="14"/>
        <v>58</v>
      </c>
      <c r="AS127" s="113"/>
      <c r="AT127" s="113"/>
      <c r="AU127" s="113"/>
      <c r="AV127" s="24"/>
      <c r="AW127" s="97">
        <v>15.33</v>
      </c>
      <c r="AX127" s="24"/>
    </row>
    <row r="128" spans="1:50" x14ac:dyDescent="0.2">
      <c r="A128" s="41" t="s">
        <v>1201</v>
      </c>
      <c r="B128" s="76" t="s">
        <v>143</v>
      </c>
      <c r="C128" s="76">
        <v>0</v>
      </c>
      <c r="D128" s="76">
        <v>0</v>
      </c>
      <c r="E128" s="97">
        <v>2.38</v>
      </c>
      <c r="F128" s="76">
        <v>12</v>
      </c>
      <c r="G128" s="76">
        <v>0</v>
      </c>
      <c r="H128" s="76">
        <v>0</v>
      </c>
      <c r="I128" s="76">
        <v>0</v>
      </c>
      <c r="J128" s="76">
        <v>6</v>
      </c>
      <c r="K128" s="76">
        <v>6</v>
      </c>
      <c r="L128" s="258">
        <f>INDEX('C-P-RollAdj'!$P$4:$P$900,MATCH((U128),'C-P-RollAdj'!$O$4:$O$900,FALSE),0)</f>
        <v>11.33</v>
      </c>
      <c r="M128" s="76">
        <v>9</v>
      </c>
      <c r="N128" s="76">
        <v>3</v>
      </c>
      <c r="O128" s="76">
        <v>3</v>
      </c>
      <c r="P128" s="76">
        <v>1</v>
      </c>
      <c r="Q128" s="76">
        <v>2</v>
      </c>
      <c r="R128" s="76">
        <v>0</v>
      </c>
      <c r="S128" s="76">
        <v>8</v>
      </c>
      <c r="T128" s="76">
        <v>46</v>
      </c>
      <c r="U128" s="76">
        <v>11.1</v>
      </c>
      <c r="V128" s="100">
        <v>0.214</v>
      </c>
      <c r="W128" s="76">
        <v>0.97</v>
      </c>
      <c r="X128" s="50"/>
      <c r="Y128" s="50">
        <f t="shared" si="25"/>
        <v>4.3478260869565215</v>
      </c>
      <c r="Z128" s="6">
        <f>IF(Y128&lt;LeagueRatings!$K$10,((LeagueRatings!$K$10-Y128)/LeagueRatings!$K$10)*36,(LeagueRatings!$K$10-Y128)*6.48)</f>
        <v>17.94165805868094</v>
      </c>
      <c r="AA128" s="16">
        <f>INDEX('C-P-RollAdj'!$B$4:$B$76,MATCH(INT(Z128),'C-P-RollAdj'!$A$4:$A$76,FALSE),0)</f>
        <v>-1.49</v>
      </c>
      <c r="AB128" s="16">
        <f t="shared" si="26"/>
        <v>2.1739130434782608</v>
      </c>
      <c r="AC128" s="6">
        <f>IF(AB128&lt;LeagueRatings!$K$8,((LeagueRatings!$K$8-AB128)/LeagueRatings!$K$8)*36,(LeagueRatings!$K$8-AB128)/LeagueRatings!$K$11)</f>
        <v>11.560416110962926</v>
      </c>
      <c r="AD128" s="16">
        <f>INDEX('C-P-RollAdj'!$F$4:$F$76,MATCH(INT(AC128),'C-P-RollAdj'!$E$4:$E$76,FALSE),0)</f>
        <v>-0.81</v>
      </c>
      <c r="AE128" s="17">
        <f>+((LeagueRatings!$I$6-E128)*5)+9.5</f>
        <v>18.608051455277405</v>
      </c>
      <c r="AF128" s="17">
        <f t="shared" si="27"/>
        <v>18.608051455277405</v>
      </c>
      <c r="AG128" s="17">
        <f t="shared" si="28"/>
        <v>1.3695410414827889</v>
      </c>
      <c r="AH128" s="4">
        <f t="shared" si="29"/>
        <v>17.677592496760195</v>
      </c>
      <c r="AI128" s="41" t="s">
        <v>1201</v>
      </c>
      <c r="AJ128" s="5" t="s">
        <v>63</v>
      </c>
      <c r="AK128" s="219">
        <f>INDEX('C-P-RollAdj'!$J$4:$J$76,MATCH(INT(Z128),'C-P-RollAdj'!$I$4:$I$76,FALSE),0)</f>
        <v>35</v>
      </c>
      <c r="AL128" s="219">
        <f>INDEX('C-P-RollAdj'!$J$4:$J$76,MATCH(INT(AC128),'C-P-RollAdj'!$I$4:$I$76,FALSE),0)</f>
        <v>25</v>
      </c>
      <c r="AM128" s="14">
        <f>+AR128*LeagueRatings!$K$27</f>
        <v>6.666666666666667</v>
      </c>
      <c r="AN128" s="72">
        <f>F128*LeagueRatings!$K$27</f>
        <v>6.666666666666667</v>
      </c>
      <c r="AO128" s="72">
        <f>G128*LeagueRatings!$K$27</f>
        <v>0</v>
      </c>
      <c r="AP128" s="72">
        <f>T128*LeagueRatings!$K$27</f>
        <v>25.555555555555557</v>
      </c>
      <c r="AR128" s="72">
        <f t="shared" si="14"/>
        <v>12</v>
      </c>
      <c r="AW128" s="97">
        <v>72.33</v>
      </c>
    </row>
    <row r="129" spans="1:50" x14ac:dyDescent="0.2">
      <c r="A129" s="41" t="s">
        <v>810</v>
      </c>
      <c r="B129" s="76" t="s">
        <v>143</v>
      </c>
      <c r="C129" s="76">
        <v>2</v>
      </c>
      <c r="D129" s="76">
        <v>0</v>
      </c>
      <c r="E129" s="97">
        <v>1.1200000000000001</v>
      </c>
      <c r="F129" s="76">
        <v>45</v>
      </c>
      <c r="G129" s="76">
        <v>0</v>
      </c>
      <c r="H129" s="76">
        <v>0</v>
      </c>
      <c r="I129" s="76">
        <v>0</v>
      </c>
      <c r="J129" s="76">
        <v>1</v>
      </c>
      <c r="K129" s="76">
        <v>2</v>
      </c>
      <c r="L129" s="258">
        <f>INDEX('C-P-RollAdj'!$P$4:$P$900,MATCH((U129),'C-P-RollAdj'!$O$4:$O$900,FALSE),0)</f>
        <v>40.33</v>
      </c>
      <c r="M129" s="76">
        <v>30</v>
      </c>
      <c r="N129" s="76">
        <v>7</v>
      </c>
      <c r="O129" s="76">
        <v>5</v>
      </c>
      <c r="P129" s="76">
        <v>1</v>
      </c>
      <c r="Q129" s="76">
        <v>14</v>
      </c>
      <c r="R129" s="76">
        <v>1</v>
      </c>
      <c r="S129" s="76">
        <v>51</v>
      </c>
      <c r="T129" s="76">
        <v>162</v>
      </c>
      <c r="U129" s="76">
        <v>40.1</v>
      </c>
      <c r="V129" s="100">
        <v>0.20699999999999999</v>
      </c>
      <c r="W129" s="76">
        <v>1.0900000000000001</v>
      </c>
      <c r="X129" s="50"/>
      <c r="Y129" s="50">
        <f t="shared" si="25"/>
        <v>8.0745341614906838</v>
      </c>
      <c r="Z129" s="6">
        <f>IF(Y129&lt;LeagueRatings!$K$10,((LeagueRatings!$K$10-Y129)/LeagueRatings!$K$10)*36,(LeagueRatings!$K$10-Y129)*6.48)</f>
        <v>2.4630792518360272</v>
      </c>
      <c r="AA129" s="16">
        <f>INDEX('C-P-RollAdj'!$B$4:$B$76,MATCH(INT(Z129),'C-P-RollAdj'!$A$4:$A$76,FALSE),0)</f>
        <v>-0.16</v>
      </c>
      <c r="AB129" s="16">
        <f t="shared" si="26"/>
        <v>0.6211180124223602</v>
      </c>
      <c r="AC129" s="6">
        <f>IF(AB129&lt;LeagueRatings!$K$8,((LeagueRatings!$K$8-AB129)/LeagueRatings!$K$8)*36,(LeagueRatings!$K$8-AB129)/LeagueRatings!$K$11)</f>
        <v>29.017261745989408</v>
      </c>
      <c r="AD129" s="16">
        <f>INDEX('C-P-RollAdj'!$F$4:$F$76,MATCH(INT(AC129),'C-P-RollAdj'!$E$4:$E$76,FALSE),0)</f>
        <v>-2.4899999999999998</v>
      </c>
      <c r="AE129" s="17">
        <f>+((LeagueRatings!$I$6-E129)*5)+9.5</f>
        <v>24.908051455277402</v>
      </c>
      <c r="AF129" s="17">
        <f t="shared" si="27"/>
        <v>24.908051455277402</v>
      </c>
      <c r="AG129" s="17">
        <f t="shared" si="28"/>
        <v>1.7229580957103889</v>
      </c>
      <c r="AH129" s="4">
        <f t="shared" si="29"/>
        <v>23.981009550987793</v>
      </c>
      <c r="AI129" s="41" t="s">
        <v>810</v>
      </c>
      <c r="AJ129" s="5" t="s">
        <v>318</v>
      </c>
      <c r="AK129" s="219">
        <f>INDEX('C-P-RollAdj'!$J$4:$J$76,MATCH(INT(Z129),'C-P-RollAdj'!$I$4:$I$76,FALSE),0)</f>
        <v>12</v>
      </c>
      <c r="AL129" s="219">
        <f>INDEX('C-P-RollAdj'!$J$4:$J$76,MATCH(INT(AC129),'C-P-RollAdj'!$I$4:$I$76,FALSE),0)</f>
        <v>55</v>
      </c>
      <c r="AM129" s="14">
        <f>+AR129*LeagueRatings!$K$27</f>
        <v>22.777777777777779</v>
      </c>
      <c r="AN129" s="72">
        <f>F129*LeagueRatings!$K$27</f>
        <v>25</v>
      </c>
      <c r="AO129" s="72">
        <f>G129*LeagueRatings!$K$27</f>
        <v>0</v>
      </c>
      <c r="AP129" s="72">
        <f>T129*LeagueRatings!$K$27</f>
        <v>90</v>
      </c>
      <c r="AR129" s="72">
        <f t="shared" si="14"/>
        <v>41</v>
      </c>
      <c r="AW129" s="97">
        <v>68.67</v>
      </c>
    </row>
    <row r="130" spans="1:50" s="34" customFormat="1" x14ac:dyDescent="0.2">
      <c r="A130" s="41" t="s">
        <v>365</v>
      </c>
      <c r="B130" s="76" t="s">
        <v>143</v>
      </c>
      <c r="C130" s="76">
        <v>5</v>
      </c>
      <c r="D130" s="76">
        <v>6</v>
      </c>
      <c r="E130" s="97">
        <v>4.68</v>
      </c>
      <c r="F130" s="76">
        <v>29</v>
      </c>
      <c r="G130" s="76">
        <v>17</v>
      </c>
      <c r="H130" s="76">
        <v>1</v>
      </c>
      <c r="I130" s="76">
        <v>0</v>
      </c>
      <c r="J130" s="76">
        <v>0</v>
      </c>
      <c r="K130" s="76">
        <v>0</v>
      </c>
      <c r="L130" s="258">
        <f>INDEX('C-P-RollAdj'!$P$4:$P$900,MATCH((U130),'C-P-RollAdj'!$O$4:$O$900,FALSE),0)</f>
        <v>117.33</v>
      </c>
      <c r="M130" s="76">
        <v>124</v>
      </c>
      <c r="N130" s="76">
        <v>64</v>
      </c>
      <c r="O130" s="76">
        <v>61</v>
      </c>
      <c r="P130" s="76">
        <v>10</v>
      </c>
      <c r="Q130" s="76">
        <v>47</v>
      </c>
      <c r="R130" s="76">
        <v>4</v>
      </c>
      <c r="S130" s="76">
        <v>92</v>
      </c>
      <c r="T130" s="76">
        <v>515</v>
      </c>
      <c r="U130" s="76">
        <v>117.1</v>
      </c>
      <c r="V130" s="100">
        <v>0.27200000000000002</v>
      </c>
      <c r="W130" s="76">
        <v>1.46</v>
      </c>
      <c r="X130" s="50"/>
      <c r="Y130" s="50">
        <f t="shared" si="25"/>
        <v>8.4148727984344411</v>
      </c>
      <c r="Z130" s="6">
        <f>IF(Y130&lt;LeagueRatings!$K$10,((LeagueRatings!$K$10-Y130)/LeagueRatings!$K$10)*36,(LeagueRatings!$K$10-Y130)*6.48)</f>
        <v>1.0495104110282802</v>
      </c>
      <c r="AA130" s="16">
        <f>INDEX('C-P-RollAdj'!$B$4:$B$76,MATCH(INT(Z130),'C-P-RollAdj'!$A$4:$A$76,FALSE),0)</f>
        <v>-0.08</v>
      </c>
      <c r="AB130" s="16">
        <f t="shared" si="26"/>
        <v>1.9569471624266144</v>
      </c>
      <c r="AC130" s="6">
        <f>IF(AB130&lt;LeagueRatings!$K$8,((LeagueRatings!$K$8-AB130)/LeagueRatings!$K$8)*36,(LeagueRatings!$K$8-AB130)/LeagueRatings!$K$11)</f>
        <v>13.999591802432379</v>
      </c>
      <c r="AD130" s="16">
        <f>INDEX('C-P-RollAdj'!$F$4:$F$76,MATCH(INT(AC130),'C-P-RollAdj'!$E$4:$E$76,FALSE),0)</f>
        <v>-0.97</v>
      </c>
      <c r="AE130" s="17">
        <f>+((LeagueRatings!$I$6-E130)*5)+9.5</f>
        <v>7.1080514552774048</v>
      </c>
      <c r="AF130" s="17">
        <f t="shared" si="27"/>
        <v>7.1080514552774048</v>
      </c>
      <c r="AG130" s="17">
        <f t="shared" si="28"/>
        <v>-0.28424102957470443</v>
      </c>
      <c r="AH130" s="4">
        <f t="shared" si="29"/>
        <v>5.7738104257027008</v>
      </c>
      <c r="AI130" s="41" t="s">
        <v>365</v>
      </c>
      <c r="AJ130" s="5" t="s">
        <v>24</v>
      </c>
      <c r="AK130" s="219">
        <f>INDEX('C-P-RollAdj'!$J$4:$J$76,MATCH(INT(Z130),'C-P-RollAdj'!$I$4:$I$76,FALSE),0)</f>
        <v>11</v>
      </c>
      <c r="AL130" s="219">
        <f>INDEX('C-P-RollAdj'!$J$4:$J$76,MATCH(INT(AC130),'C-P-RollAdj'!$I$4:$I$76,FALSE),0)</f>
        <v>31</v>
      </c>
      <c r="AM130" s="14">
        <f>+AR130*LeagueRatings!$K$27</f>
        <v>65.555555555555557</v>
      </c>
      <c r="AN130" s="72">
        <f>F130*LeagueRatings!$K$27</f>
        <v>16.111111111111111</v>
      </c>
      <c r="AO130" s="72">
        <f>G130*LeagueRatings!$K$27</f>
        <v>9.4444444444444446</v>
      </c>
      <c r="AP130" s="72">
        <f>T130*LeagueRatings!$K$27</f>
        <v>286.11111111111114</v>
      </c>
      <c r="AQ130" s="24"/>
      <c r="AR130" s="72">
        <f t="shared" si="14"/>
        <v>118</v>
      </c>
      <c r="AS130" s="113"/>
      <c r="AT130" s="113"/>
      <c r="AU130" s="113"/>
      <c r="AV130" s="24"/>
      <c r="AW130" s="97">
        <v>26</v>
      </c>
      <c r="AX130" s="24"/>
    </row>
    <row r="131" spans="1:50" x14ac:dyDescent="0.2">
      <c r="A131" s="41" t="s">
        <v>1152</v>
      </c>
      <c r="B131" s="76" t="s">
        <v>143</v>
      </c>
      <c r="C131" s="76">
        <v>3</v>
      </c>
      <c r="D131" s="76">
        <v>0</v>
      </c>
      <c r="E131" s="97">
        <v>3.21</v>
      </c>
      <c r="F131" s="76">
        <v>44</v>
      </c>
      <c r="G131" s="76">
        <v>0</v>
      </c>
      <c r="H131" s="76">
        <v>0</v>
      </c>
      <c r="I131" s="76">
        <v>0</v>
      </c>
      <c r="J131" s="76">
        <v>0</v>
      </c>
      <c r="K131" s="76">
        <v>4</v>
      </c>
      <c r="L131" s="258">
        <f>INDEX('C-P-RollAdj'!$P$4:$P$900,MATCH((U131),'C-P-RollAdj'!$O$4:$O$900,FALSE),0)</f>
        <v>53.33</v>
      </c>
      <c r="M131" s="76">
        <v>52</v>
      </c>
      <c r="N131" s="76">
        <v>23</v>
      </c>
      <c r="O131" s="76">
        <v>19</v>
      </c>
      <c r="P131" s="76">
        <v>6</v>
      </c>
      <c r="Q131" s="76">
        <v>7</v>
      </c>
      <c r="R131" s="76">
        <v>0</v>
      </c>
      <c r="S131" s="76">
        <v>36</v>
      </c>
      <c r="T131" s="76">
        <v>220</v>
      </c>
      <c r="U131" s="76">
        <v>53.1</v>
      </c>
      <c r="V131" s="100">
        <v>0.249</v>
      </c>
      <c r="W131" s="76">
        <v>1.1100000000000001</v>
      </c>
      <c r="X131" s="50"/>
      <c r="Y131" s="50">
        <f t="shared" si="25"/>
        <v>3.1818181818181817</v>
      </c>
      <c r="Z131" s="6">
        <f>IF(Y131&lt;LeagueRatings!$K$10,((LeagueRatings!$K$10-Y131)/LeagueRatings!$K$10)*36,(LeagueRatings!$K$10-Y131)*6.48)</f>
        <v>22.784577033852869</v>
      </c>
      <c r="AA131" s="16">
        <f>INDEX('C-P-RollAdj'!$B$4:$B$76,MATCH(INT(Z131),'C-P-RollAdj'!$A$4:$A$76,FALSE),0)</f>
        <v>-2</v>
      </c>
      <c r="AB131" s="16">
        <f t="shared" si="26"/>
        <v>2.7272727272727271</v>
      </c>
      <c r="AC131" s="6">
        <f>IF(AB131&lt;LeagueRatings!$K$8,((LeagueRatings!$K$8-AB131)/LeagueRatings!$K$8)*36,(LeagueRatings!$K$8-AB131)/LeagueRatings!$K$11)</f>
        <v>5.3394311210262169</v>
      </c>
      <c r="AD131" s="16">
        <f>INDEX('C-P-RollAdj'!$F$4:$F$76,MATCH(INT(AC131),'C-P-RollAdj'!$E$4:$E$76,FALSE),0)</f>
        <v>-0.35000000000000003</v>
      </c>
      <c r="AE131" s="17">
        <f>+((LeagueRatings!$I$6-E131)*5)+9.5</f>
        <v>14.458051455277403</v>
      </c>
      <c r="AF131" s="17">
        <f t="shared" si="27"/>
        <v>14.458051455277403</v>
      </c>
      <c r="AG131" s="17">
        <f t="shared" si="28"/>
        <v>0.10457341083817734</v>
      </c>
      <c r="AH131" s="4">
        <f t="shared" si="29"/>
        <v>12.212624866115581</v>
      </c>
      <c r="AI131" s="41" t="s">
        <v>1152</v>
      </c>
      <c r="AJ131" s="9" t="s">
        <v>16</v>
      </c>
      <c r="AK131" s="219">
        <f>INDEX('C-P-RollAdj'!$J$4:$J$76,MATCH(INT(Z131),'C-P-RollAdj'!$I$4:$I$76,FALSE),0)</f>
        <v>44</v>
      </c>
      <c r="AL131" s="219">
        <f>INDEX('C-P-RollAdj'!$J$4:$J$76,MATCH(INT(AC131),'C-P-RollAdj'!$I$4:$I$76,FALSE),0)</f>
        <v>15</v>
      </c>
      <c r="AM131" s="14">
        <f>+AR131*LeagueRatings!$K$27</f>
        <v>30</v>
      </c>
      <c r="AN131" s="72">
        <f>F131*LeagueRatings!$K$27</f>
        <v>24.444444444444446</v>
      </c>
      <c r="AO131" s="72">
        <f>G131*LeagueRatings!$K$27</f>
        <v>0</v>
      </c>
      <c r="AP131" s="72">
        <f>T131*LeagueRatings!$K$27</f>
        <v>122.22222222222223</v>
      </c>
      <c r="AR131" s="72">
        <f t="shared" ref="AR131:AR194" si="30">ROUNDUP(L131,0)</f>
        <v>54</v>
      </c>
      <c r="AW131" s="97">
        <v>73</v>
      </c>
    </row>
    <row r="132" spans="1:50" x14ac:dyDescent="0.2">
      <c r="A132" s="41" t="s">
        <v>809</v>
      </c>
      <c r="B132" s="76" t="s">
        <v>143</v>
      </c>
      <c r="C132" s="76">
        <v>2</v>
      </c>
      <c r="D132" s="76">
        <v>2</v>
      </c>
      <c r="E132" s="97">
        <v>4.37</v>
      </c>
      <c r="F132" s="76">
        <v>60</v>
      </c>
      <c r="G132" s="76">
        <v>0</v>
      </c>
      <c r="H132" s="76">
        <v>0</v>
      </c>
      <c r="I132" s="76">
        <v>0</v>
      </c>
      <c r="J132" s="76">
        <v>0</v>
      </c>
      <c r="K132" s="76">
        <v>1</v>
      </c>
      <c r="L132" s="258">
        <f>INDEX('C-P-RollAdj'!$P$4:$P$900,MATCH((U132),'C-P-RollAdj'!$O$4:$O$900,FALSE),0)</f>
        <v>55.67</v>
      </c>
      <c r="M132" s="76">
        <v>52</v>
      </c>
      <c r="N132" s="76">
        <v>31</v>
      </c>
      <c r="O132" s="76">
        <v>27</v>
      </c>
      <c r="P132" s="76">
        <v>6</v>
      </c>
      <c r="Q132" s="76">
        <v>15</v>
      </c>
      <c r="R132" s="76">
        <v>1</v>
      </c>
      <c r="S132" s="76">
        <v>49</v>
      </c>
      <c r="T132" s="76">
        <v>227</v>
      </c>
      <c r="U132" s="76">
        <v>55.2</v>
      </c>
      <c r="V132" s="100">
        <v>0.25</v>
      </c>
      <c r="W132" s="76">
        <v>1.2</v>
      </c>
      <c r="X132" s="50"/>
      <c r="Y132" s="50">
        <f t="shared" si="25"/>
        <v>6.1946902654867255</v>
      </c>
      <c r="Z132" s="6">
        <f>IF(Y132&lt;LeagueRatings!$K$10,((LeagueRatings!$K$10-Y132)/LeagueRatings!$K$10)*36,(LeagueRatings!$K$10-Y132)*6.48)</f>
        <v>10.270857942014436</v>
      </c>
      <c r="AA132" s="16">
        <f>INDEX('C-P-RollAdj'!$B$4:$B$76,MATCH(INT(Z132),'C-P-RollAdj'!$A$4:$A$76,FALSE),0)</f>
        <v>-0.83000000000000007</v>
      </c>
      <c r="AB132" s="16">
        <f t="shared" si="26"/>
        <v>2.6548672566371683</v>
      </c>
      <c r="AC132" s="6">
        <f>IF(AB132&lt;LeagueRatings!$K$8,((LeagueRatings!$K$8-AB132)/LeagueRatings!$K$8)*36,(LeagueRatings!$K$8-AB132)/LeagueRatings!$K$11)</f>
        <v>6.1534285248927745</v>
      </c>
      <c r="AD132" s="16">
        <f>INDEX('C-P-RollAdj'!$F$4:$F$76,MATCH(INT(AC132),'C-P-RollAdj'!$E$4:$E$76,FALSE),0)</f>
        <v>-0.42000000000000004</v>
      </c>
      <c r="AE132" s="17">
        <f>+((LeagueRatings!$I$6-E132)*5)+9.5</f>
        <v>8.6580514552774019</v>
      </c>
      <c r="AF132" s="17">
        <f t="shared" si="27"/>
        <v>8.6580514552774019</v>
      </c>
      <c r="AG132" s="17">
        <f t="shared" si="28"/>
        <v>0.39146937309143176</v>
      </c>
      <c r="AH132" s="4">
        <f t="shared" si="29"/>
        <v>7.7995208283688333</v>
      </c>
      <c r="AI132" s="41" t="s">
        <v>809</v>
      </c>
      <c r="AJ132" s="5" t="s">
        <v>55</v>
      </c>
      <c r="AK132" s="219">
        <f>INDEX('C-P-RollAdj'!$J$4:$J$76,MATCH(INT(Z132),'C-P-RollAdj'!$I$4:$I$76,FALSE),0)</f>
        <v>24</v>
      </c>
      <c r="AL132" s="219">
        <f>INDEX('C-P-RollAdj'!$J$4:$J$76,MATCH(INT(AC132),'C-P-RollAdj'!$I$4:$I$76,FALSE),0)</f>
        <v>16</v>
      </c>
      <c r="AM132" s="14">
        <f>+AR132*LeagueRatings!$K$27</f>
        <v>31.111111111111114</v>
      </c>
      <c r="AN132" s="72">
        <f>F132*LeagueRatings!$K$27</f>
        <v>33.333333333333336</v>
      </c>
      <c r="AO132" s="72">
        <f>G132*LeagueRatings!$K$27</f>
        <v>0</v>
      </c>
      <c r="AP132" s="72">
        <f>T132*LeagueRatings!$K$27</f>
        <v>126.11111111111111</v>
      </c>
      <c r="AR132" s="72">
        <f t="shared" si="30"/>
        <v>56</v>
      </c>
      <c r="AW132" s="97">
        <v>36</v>
      </c>
    </row>
    <row r="133" spans="1:50" x14ac:dyDescent="0.2">
      <c r="A133" s="41" t="s">
        <v>380</v>
      </c>
      <c r="B133" s="76" t="s">
        <v>143</v>
      </c>
      <c r="C133" s="76">
        <v>4</v>
      </c>
      <c r="D133" s="76">
        <v>6</v>
      </c>
      <c r="E133" s="97">
        <v>3.21</v>
      </c>
      <c r="F133" s="76">
        <v>11</v>
      </c>
      <c r="G133" s="76">
        <v>11</v>
      </c>
      <c r="H133" s="76">
        <v>1</v>
      </c>
      <c r="I133" s="76">
        <v>1</v>
      </c>
      <c r="J133" s="76">
        <v>0</v>
      </c>
      <c r="K133" s="76">
        <v>0</v>
      </c>
      <c r="L133" s="258">
        <f>INDEX('C-P-RollAdj'!$P$4:$P$900,MATCH((U133),'C-P-RollAdj'!$O$4:$O$900,FALSE),0)</f>
        <v>73</v>
      </c>
      <c r="M133" s="76">
        <v>63</v>
      </c>
      <c r="N133" s="76">
        <v>27</v>
      </c>
      <c r="O133" s="76">
        <v>26</v>
      </c>
      <c r="P133" s="76">
        <v>8</v>
      </c>
      <c r="Q133" s="76">
        <v>15</v>
      </c>
      <c r="R133" s="76">
        <v>0</v>
      </c>
      <c r="S133" s="76">
        <v>51</v>
      </c>
      <c r="T133" s="76">
        <v>290</v>
      </c>
      <c r="U133" s="76">
        <v>73</v>
      </c>
      <c r="V133" s="100">
        <v>0.23200000000000001</v>
      </c>
      <c r="W133" s="76">
        <v>1.07</v>
      </c>
      <c r="X133" s="50"/>
      <c r="Y133" s="50">
        <f t="shared" si="25"/>
        <v>5.1724137931034484</v>
      </c>
      <c r="Z133" s="6">
        <f>IF(Y133&lt;LeagueRatings!$K$10,((LeagueRatings!$K$10-Y133)/LeagueRatings!$K$10)*36,(LeagueRatings!$K$10-Y133)*6.48)</f>
        <v>14.516800104292841</v>
      </c>
      <c r="AA133" s="16">
        <f>INDEX('C-P-RollAdj'!$B$4:$B$76,MATCH(INT(Z133),'C-P-RollAdj'!$A$4:$A$76,FALSE),0)</f>
        <v>-1.19</v>
      </c>
      <c r="AB133" s="16">
        <f t="shared" si="26"/>
        <v>2.7586206896551726</v>
      </c>
      <c r="AC133" s="6">
        <f>IF(AB133&lt;LeagueRatings!$K$8,((LeagueRatings!$K$8-AB133)/LeagueRatings!$K$8)*36,(LeagueRatings!$K$8-AB133)/LeagueRatings!$K$11)</f>
        <v>4.9870107890839854</v>
      </c>
      <c r="AD133" s="16">
        <f>INDEX('C-P-RollAdj'!$F$4:$F$76,MATCH(INT(AC133),'C-P-RollAdj'!$E$4:$E$76,FALSE),0)</f>
        <v>-0.28000000000000003</v>
      </c>
      <c r="AE133" s="17">
        <f>+((LeagueRatings!$I$6-E133)*5)+9.5</f>
        <v>14.458051455277403</v>
      </c>
      <c r="AF133" s="17">
        <f t="shared" si="27"/>
        <v>14.458051455277403</v>
      </c>
      <c r="AG133" s="17">
        <f t="shared" si="28"/>
        <v>0.88890410958904109</v>
      </c>
      <c r="AH133" s="4">
        <f t="shared" si="29"/>
        <v>13.876955564866442</v>
      </c>
      <c r="AI133" s="41" t="s">
        <v>380</v>
      </c>
      <c r="AJ133" s="5" t="s">
        <v>21</v>
      </c>
      <c r="AK133" s="219">
        <f>INDEX('C-P-RollAdj'!$J$4:$J$76,MATCH(INT(Z133),'C-P-RollAdj'!$I$4:$I$76,FALSE),0)</f>
        <v>32</v>
      </c>
      <c r="AL133" s="219">
        <f>INDEX('C-P-RollAdj'!$J$4:$J$76,MATCH(INT(AC133),'C-P-RollAdj'!$I$4:$I$76,FALSE),0)</f>
        <v>14</v>
      </c>
      <c r="AM133" s="14">
        <f>+AR133*LeagueRatings!$K$27</f>
        <v>40.555555555555557</v>
      </c>
      <c r="AN133" s="72">
        <f>F133*LeagueRatings!$K$27</f>
        <v>6.1111111111111116</v>
      </c>
      <c r="AO133" s="72">
        <f>G133*LeagueRatings!$K$27</f>
        <v>6.1111111111111116</v>
      </c>
      <c r="AP133" s="72">
        <f>T133*LeagueRatings!$K$27</f>
        <v>161.11111111111111</v>
      </c>
      <c r="AR133" s="72">
        <f t="shared" si="30"/>
        <v>73</v>
      </c>
      <c r="AW133" s="97">
        <v>53</v>
      </c>
    </row>
    <row r="134" spans="1:50" s="28" customFormat="1" x14ac:dyDescent="0.2">
      <c r="A134" s="41" t="s">
        <v>548</v>
      </c>
      <c r="B134" s="76" t="s">
        <v>143</v>
      </c>
      <c r="C134" s="76">
        <v>1</v>
      </c>
      <c r="D134" s="76">
        <v>1</v>
      </c>
      <c r="E134" s="97">
        <v>8.5500000000000007</v>
      </c>
      <c r="F134" s="76">
        <v>11</v>
      </c>
      <c r="G134" s="76">
        <v>2</v>
      </c>
      <c r="H134" s="76">
        <v>0</v>
      </c>
      <c r="I134" s="76">
        <v>0</v>
      </c>
      <c r="J134" s="76">
        <v>0</v>
      </c>
      <c r="K134" s="76">
        <v>0</v>
      </c>
      <c r="L134" s="258">
        <f>INDEX('C-P-RollAdj'!$P$4:$P$900,MATCH((U134),'C-P-RollAdj'!$O$4:$O$900,FALSE),0)</f>
        <v>20</v>
      </c>
      <c r="M134" s="76">
        <v>27</v>
      </c>
      <c r="N134" s="76">
        <v>19</v>
      </c>
      <c r="O134" s="76">
        <v>19</v>
      </c>
      <c r="P134" s="76">
        <v>7</v>
      </c>
      <c r="Q134" s="76">
        <v>9</v>
      </c>
      <c r="R134" s="76">
        <v>1</v>
      </c>
      <c r="S134" s="76">
        <v>16</v>
      </c>
      <c r="T134" s="76">
        <v>95</v>
      </c>
      <c r="U134" s="76">
        <v>20</v>
      </c>
      <c r="V134" s="100">
        <v>0.318</v>
      </c>
      <c r="W134" s="76">
        <v>1.8</v>
      </c>
      <c r="X134" s="50"/>
      <c r="Y134" s="50">
        <f t="shared" si="25"/>
        <v>8.5106382978723403</v>
      </c>
      <c r="Z134" s="6">
        <f>IF(Y134&lt;LeagueRatings!$K$10,((LeagueRatings!$K$10-Y134)/LeagueRatings!$K$10)*36,(LeagueRatings!$K$10-Y134)*6.48)</f>
        <v>0.6517561999712006</v>
      </c>
      <c r="AA134" s="16">
        <f>INDEX('C-P-RollAdj'!$B$4:$B$76,MATCH(INT(Z134),'C-P-RollAdj'!$A$4:$A$76,FALSE),0)</f>
        <v>0</v>
      </c>
      <c r="AB134" s="16">
        <f t="shared" si="26"/>
        <v>7.4468085106382977</v>
      </c>
      <c r="AC134" s="6">
        <f>IF(AB134&lt;LeagueRatings!$K$8,((LeagueRatings!$K$8-AB134)/LeagueRatings!$K$8)*36,(LeagueRatings!$K$8-AB134)/LeagueRatings!$K$11)</f>
        <v>-33.703971562912955</v>
      </c>
      <c r="AD134" s="16">
        <f>INDEX('C-P-RollAdj'!$F$4:$F$76,MATCH(INT(AC134),'C-P-RollAdj'!$E$4:$E$76,FALSE),0)</f>
        <v>4.4800000000000004</v>
      </c>
      <c r="AE134" s="17">
        <f>+((LeagueRatings!$I$6-E134)*5)+9.5</f>
        <v>-12.2419485447226</v>
      </c>
      <c r="AF134" s="17">
        <f t="shared" si="27"/>
        <v>4</v>
      </c>
      <c r="AG134" s="17">
        <f t="shared" si="28"/>
        <v>-1.7500000000000004</v>
      </c>
      <c r="AH134" s="4">
        <f t="shared" si="29"/>
        <v>6.73</v>
      </c>
      <c r="AI134" s="41" t="s">
        <v>548</v>
      </c>
      <c r="AJ134" s="5" t="s">
        <v>66</v>
      </c>
      <c r="AK134" s="219">
        <f>INDEX('C-P-RollAdj'!$J$4:$J$76,MATCH(INT(Z134),'C-P-RollAdj'!$I$4:$I$76,FALSE),0)</f>
        <v>0</v>
      </c>
      <c r="AL134" s="219">
        <f>INDEX('C-P-RollAdj'!$J$4:$J$76,MATCH(INT(AC134),'C-P-RollAdj'!$I$4:$I$76,FALSE),0)</f>
        <v>-64</v>
      </c>
      <c r="AM134" s="14">
        <f>+AR134*LeagueRatings!$K$27</f>
        <v>11.111111111111111</v>
      </c>
      <c r="AN134" s="72">
        <f>F134*LeagueRatings!$K$27</f>
        <v>6.1111111111111116</v>
      </c>
      <c r="AO134" s="72">
        <f>G134*LeagueRatings!$K$27</f>
        <v>1.1111111111111112</v>
      </c>
      <c r="AP134" s="72">
        <f>T134*LeagueRatings!$K$27</f>
        <v>52.777777777777779</v>
      </c>
      <c r="AQ134" s="24"/>
      <c r="AR134" s="72">
        <f t="shared" si="30"/>
        <v>20</v>
      </c>
      <c r="AS134" s="113"/>
      <c r="AT134" s="113"/>
      <c r="AU134" s="113"/>
      <c r="AV134" s="24"/>
      <c r="AW134" s="97">
        <v>15</v>
      </c>
      <c r="AX134" s="24"/>
    </row>
    <row r="135" spans="1:50" s="28" customFormat="1" x14ac:dyDescent="0.2">
      <c r="A135" s="41" t="s">
        <v>424</v>
      </c>
      <c r="B135" s="76" t="s">
        <v>143</v>
      </c>
      <c r="C135" s="76">
        <v>2</v>
      </c>
      <c r="D135" s="76">
        <v>1</v>
      </c>
      <c r="E135" s="97">
        <v>2.91</v>
      </c>
      <c r="F135" s="76">
        <v>43</v>
      </c>
      <c r="G135" s="76">
        <v>0</v>
      </c>
      <c r="H135" s="76">
        <v>0</v>
      </c>
      <c r="I135" s="76">
        <v>0</v>
      </c>
      <c r="J135" s="76">
        <v>1</v>
      </c>
      <c r="K135" s="76">
        <v>2</v>
      </c>
      <c r="L135" s="258">
        <f>INDEX('C-P-RollAdj'!$P$4:$P$900,MATCH((U135),'C-P-RollAdj'!$O$4:$O$900,FALSE),0)</f>
        <v>46.33</v>
      </c>
      <c r="M135" s="76">
        <v>42</v>
      </c>
      <c r="N135" s="76">
        <v>17</v>
      </c>
      <c r="O135" s="76">
        <v>15</v>
      </c>
      <c r="P135" s="76">
        <v>5</v>
      </c>
      <c r="Q135" s="76">
        <v>13</v>
      </c>
      <c r="R135" s="76">
        <v>0</v>
      </c>
      <c r="S135" s="76">
        <v>31</v>
      </c>
      <c r="T135" s="76">
        <v>196</v>
      </c>
      <c r="U135" s="76">
        <v>46.1</v>
      </c>
      <c r="V135" s="100">
        <v>0.24099999999999999</v>
      </c>
      <c r="W135" s="76">
        <v>1.19</v>
      </c>
      <c r="X135" s="50"/>
      <c r="Y135" s="50">
        <f t="shared" si="25"/>
        <v>6.6326530612244898</v>
      </c>
      <c r="Z135" s="6">
        <f>IF(Y135&lt;LeagueRatings!$K$10,((LeagueRatings!$K$10-Y135)/LeagueRatings!$K$10)*36,(LeagueRatings!$K$10-Y135)*6.48)</f>
        <v>8.4518150997224524</v>
      </c>
      <c r="AA135" s="16">
        <f>INDEX('C-P-RollAdj'!$B$4:$B$76,MATCH(INT(Z135),'C-P-RollAdj'!$A$4:$A$76,FALSE),0)</f>
        <v>-0.65</v>
      </c>
      <c r="AB135" s="16">
        <f t="shared" si="26"/>
        <v>2.5510204081632653</v>
      </c>
      <c r="AC135" s="6">
        <f>IF(AB135&lt;LeagueRatings!$K$8,((LeagueRatings!$K$8-AB135)/LeagueRatings!$K$8)*36,(LeagueRatings!$K$8-AB135)/LeagueRatings!$K$11)</f>
        <v>7.3208964567422079</v>
      </c>
      <c r="AD135" s="16">
        <f>INDEX('C-P-RollAdj'!$F$4:$F$76,MATCH(INT(AC135),'C-P-RollAdj'!$E$4:$E$76,FALSE),0)</f>
        <v>-0.49000000000000005</v>
      </c>
      <c r="AE135" s="17">
        <f>+((LeagueRatings!$I$6-E135)*5)+9.5</f>
        <v>15.958051455277403</v>
      </c>
      <c r="AF135" s="17">
        <f t="shared" si="27"/>
        <v>15.958051455277403</v>
      </c>
      <c r="AG135" s="17">
        <f t="shared" si="28"/>
        <v>0.58421972803798816</v>
      </c>
      <c r="AH135" s="4">
        <f t="shared" si="29"/>
        <v>15.40227118331539</v>
      </c>
      <c r="AI135" s="41" t="s">
        <v>424</v>
      </c>
      <c r="AJ135" s="5" t="s">
        <v>14</v>
      </c>
      <c r="AK135" s="219">
        <f>INDEX('C-P-RollAdj'!$J$4:$J$76,MATCH(INT(Z135),'C-P-RollAdj'!$I$4:$I$76,FALSE),0)</f>
        <v>22</v>
      </c>
      <c r="AL135" s="219">
        <f>INDEX('C-P-RollAdj'!$J$4:$J$76,MATCH(INT(AC135),'C-P-RollAdj'!$I$4:$I$76,FALSE),0)</f>
        <v>21</v>
      </c>
      <c r="AM135" s="14">
        <f>+AR135*LeagueRatings!$K$27</f>
        <v>26.111111111111111</v>
      </c>
      <c r="AN135" s="72">
        <f>F135*LeagueRatings!$K$27</f>
        <v>23.888888888888889</v>
      </c>
      <c r="AO135" s="72">
        <f>G135*LeagueRatings!$K$27</f>
        <v>0</v>
      </c>
      <c r="AP135" s="72">
        <f>T135*LeagueRatings!$K$27</f>
        <v>108.8888888888889</v>
      </c>
      <c r="AQ135" s="24"/>
      <c r="AR135" s="72">
        <f t="shared" si="30"/>
        <v>47</v>
      </c>
      <c r="AS135" s="103">
        <f>+AR135*LeagueRatings!$K$27</f>
        <v>26.111111111111111</v>
      </c>
      <c r="AT135" s="113"/>
      <c r="AU135" s="113"/>
      <c r="AV135" s="24"/>
      <c r="AW135" s="97">
        <v>145</v>
      </c>
      <c r="AX135" s="24"/>
    </row>
    <row r="136" spans="1:50" s="28" customFormat="1" x14ac:dyDescent="0.2">
      <c r="A136" s="41" t="s">
        <v>562</v>
      </c>
      <c r="B136" s="76" t="s">
        <v>143</v>
      </c>
      <c r="C136" s="76">
        <v>9</v>
      </c>
      <c r="D136" s="76">
        <v>13</v>
      </c>
      <c r="E136" s="97">
        <v>3.88</v>
      </c>
      <c r="F136" s="76">
        <v>27</v>
      </c>
      <c r="G136" s="76">
        <v>27</v>
      </c>
      <c r="H136" s="76">
        <v>1</v>
      </c>
      <c r="I136" s="76">
        <v>1</v>
      </c>
      <c r="J136" s="76">
        <v>0</v>
      </c>
      <c r="K136" s="76">
        <v>0</v>
      </c>
      <c r="L136" s="258">
        <f>INDEX('C-P-RollAdj'!$P$4:$P$900,MATCH((U136),'C-P-RollAdj'!$O$4:$O$900,FALSE),0)</f>
        <v>160</v>
      </c>
      <c r="M136" s="76">
        <v>166</v>
      </c>
      <c r="N136" s="76">
        <v>71</v>
      </c>
      <c r="O136" s="76">
        <v>69</v>
      </c>
      <c r="P136" s="76">
        <v>18</v>
      </c>
      <c r="Q136" s="76">
        <v>30</v>
      </c>
      <c r="R136" s="76">
        <v>1</v>
      </c>
      <c r="S136" s="76">
        <v>143</v>
      </c>
      <c r="T136" s="76">
        <v>668</v>
      </c>
      <c r="U136" s="76">
        <v>160</v>
      </c>
      <c r="V136" s="100">
        <v>0.26600000000000001</v>
      </c>
      <c r="W136" s="76">
        <v>1.23</v>
      </c>
      <c r="X136" s="50"/>
      <c r="Y136" s="50">
        <f t="shared" si="25"/>
        <v>4.3478260869565215</v>
      </c>
      <c r="Z136" s="6">
        <f>IF(Y136&lt;LeagueRatings!$K$10,((LeagueRatings!$K$10-Y136)/LeagueRatings!$K$10)*36,(LeagueRatings!$K$10-Y136)*6.48)</f>
        <v>17.94165805868094</v>
      </c>
      <c r="AA136" s="16">
        <f>INDEX('C-P-RollAdj'!$B$4:$B$76,MATCH(INT(Z136),'C-P-RollAdj'!$A$4:$A$76,FALSE),0)</f>
        <v>-1.49</v>
      </c>
      <c r="AB136" s="16">
        <f t="shared" si="26"/>
        <v>2.6986506746626686</v>
      </c>
      <c r="AC136" s="6">
        <f>IF(AB136&lt;LeagueRatings!$K$8,((LeagueRatings!$K$8-AB136)/LeagueRatings!$K$8)*36,(LeagueRatings!$K$8-AB136)/LeagueRatings!$K$11)</f>
        <v>5.6612062067125963</v>
      </c>
      <c r="AD136" s="16">
        <f>INDEX('C-P-RollAdj'!$F$4:$F$76,MATCH(INT(AC136),'C-P-RollAdj'!$E$4:$E$76,FALSE),0)</f>
        <v>-0.35000000000000003</v>
      </c>
      <c r="AE136" s="17">
        <f>+((LeagueRatings!$I$6-E136)*5)+9.5</f>
        <v>11.108051455277405</v>
      </c>
      <c r="AF136" s="17">
        <f t="shared" si="27"/>
        <v>11.108051455277405</v>
      </c>
      <c r="AG136" s="17">
        <f t="shared" si="28"/>
        <v>-0.18750000000000044</v>
      </c>
      <c r="AH136" s="4">
        <f t="shared" si="29"/>
        <v>9.0805514552774049</v>
      </c>
      <c r="AI136" s="41" t="s">
        <v>562</v>
      </c>
      <c r="AJ136" s="5" t="s">
        <v>34</v>
      </c>
      <c r="AK136" s="219">
        <f>INDEX('C-P-RollAdj'!$J$4:$J$76,MATCH(INT(Z136),'C-P-RollAdj'!$I$4:$I$76,FALSE),0)</f>
        <v>35</v>
      </c>
      <c r="AL136" s="219">
        <f>INDEX('C-P-RollAdj'!$J$4:$J$76,MATCH(INT(AC136),'C-P-RollAdj'!$I$4:$I$76,FALSE),0)</f>
        <v>15</v>
      </c>
      <c r="AM136" s="14">
        <f>+AR136*LeagueRatings!$K$27</f>
        <v>88.888888888888886</v>
      </c>
      <c r="AN136" s="72">
        <f>F136*LeagueRatings!$K$27</f>
        <v>15</v>
      </c>
      <c r="AO136" s="72">
        <f>G136*LeagueRatings!$K$27</f>
        <v>15</v>
      </c>
      <c r="AP136" s="72">
        <f>T136*LeagueRatings!$K$27</f>
        <v>371.11111111111114</v>
      </c>
      <c r="AQ136" s="33"/>
      <c r="AR136" s="72">
        <f t="shared" si="30"/>
        <v>160</v>
      </c>
      <c r="AS136" s="113"/>
      <c r="AT136" s="113"/>
      <c r="AU136" s="113"/>
      <c r="AV136" s="33"/>
      <c r="AW136" s="97">
        <v>150</v>
      </c>
      <c r="AX136" s="33"/>
    </row>
    <row r="137" spans="1:50" s="28" customFormat="1" x14ac:dyDescent="0.2">
      <c r="A137" s="41" t="s">
        <v>1344</v>
      </c>
      <c r="B137" s="76" t="s">
        <v>143</v>
      </c>
      <c r="C137" s="76">
        <v>3</v>
      </c>
      <c r="D137" s="76">
        <v>4</v>
      </c>
      <c r="E137" s="97">
        <v>4.17</v>
      </c>
      <c r="F137" s="76">
        <v>10</v>
      </c>
      <c r="G137" s="76">
        <v>10</v>
      </c>
      <c r="H137" s="76">
        <v>0</v>
      </c>
      <c r="I137" s="76">
        <v>0</v>
      </c>
      <c r="J137" s="76">
        <v>0</v>
      </c>
      <c r="K137" s="76">
        <v>0</v>
      </c>
      <c r="L137" s="258">
        <f>INDEX('C-P-RollAdj'!$P$4:$P$900,MATCH((U137),'C-P-RollAdj'!$O$4:$O$900,FALSE),0)</f>
        <v>49.67</v>
      </c>
      <c r="M137" s="76">
        <v>51</v>
      </c>
      <c r="N137" s="76">
        <v>23</v>
      </c>
      <c r="O137" s="76">
        <v>23</v>
      </c>
      <c r="P137" s="76">
        <v>5</v>
      </c>
      <c r="Q137" s="76">
        <v>23</v>
      </c>
      <c r="R137" s="76">
        <v>0</v>
      </c>
      <c r="S137" s="76">
        <v>50</v>
      </c>
      <c r="T137" s="76">
        <v>219</v>
      </c>
      <c r="U137" s="76">
        <v>49.2</v>
      </c>
      <c r="V137" s="100">
        <v>0.26700000000000002</v>
      </c>
      <c r="W137" s="76">
        <v>1.49</v>
      </c>
      <c r="X137" s="50"/>
      <c r="Y137" s="50">
        <f t="shared" si="25"/>
        <v>10.50228310502283</v>
      </c>
      <c r="Z137" s="6">
        <f>IF(Y137&lt;LeagueRatings!$K$10,((LeagueRatings!$K$10-Y137)/LeagueRatings!$K$10)*36,(LeagueRatings!$K$10-Y137)*6.48)</f>
        <v>-11.889014026354277</v>
      </c>
      <c r="AA137" s="16">
        <f>INDEX('C-P-RollAdj'!$B$4:$B$76,MATCH(INT(Z137),'C-P-RollAdj'!$A$4:$A$76,FALSE),0)</f>
        <v>1.24</v>
      </c>
      <c r="AB137" s="16">
        <f t="shared" si="26"/>
        <v>2.2831050228310499</v>
      </c>
      <c r="AC137" s="6">
        <f>IF(AB137&lt;LeagueRatings!$K$8,((LeagueRatings!$K$8-AB137)/LeagueRatings!$K$8)*36,(LeagueRatings!$K$8-AB137)/LeagueRatings!$K$11)</f>
        <v>10.332857102837778</v>
      </c>
      <c r="AD137" s="16">
        <f>INDEX('C-P-RollAdj'!$F$4:$F$76,MATCH(INT(AC137),'C-P-RollAdj'!$E$4:$E$76,FALSE),0)</f>
        <v>-0.73</v>
      </c>
      <c r="AE137" s="17">
        <f>+((LeagueRatings!$I$6-E137)*5)+9.5</f>
        <v>9.6580514552774037</v>
      </c>
      <c r="AF137" s="17">
        <f t="shared" si="27"/>
        <v>9.6580514552774037</v>
      </c>
      <c r="AG137" s="17">
        <f t="shared" si="28"/>
        <v>-0.13388363197100794</v>
      </c>
      <c r="AH137" s="4">
        <f t="shared" si="29"/>
        <v>10.034167823306396</v>
      </c>
      <c r="AI137" s="41" t="s">
        <v>1344</v>
      </c>
      <c r="AJ137" s="5" t="s">
        <v>39</v>
      </c>
      <c r="AK137" s="219">
        <f>INDEX('C-P-RollAdj'!$J$4:$J$76,MATCH(INT(Z137),'C-P-RollAdj'!$I$4:$I$76,FALSE),0)</f>
        <v>-26</v>
      </c>
      <c r="AL137" s="219">
        <f>INDEX('C-P-RollAdj'!$J$4:$J$76,MATCH(INT(AC137),'C-P-RollAdj'!$I$4:$I$76,FALSE),0)</f>
        <v>24</v>
      </c>
      <c r="AM137" s="14">
        <f>+AR137*LeagueRatings!$K$27</f>
        <v>27.777777777777779</v>
      </c>
      <c r="AN137" s="72">
        <f>F137*LeagueRatings!$K$27</f>
        <v>5.5555555555555554</v>
      </c>
      <c r="AO137" s="72">
        <f>G137*LeagueRatings!$K$27</f>
        <v>5.5555555555555554</v>
      </c>
      <c r="AP137" s="72">
        <f>T137*LeagueRatings!$K$27</f>
        <v>121.66666666666667</v>
      </c>
      <c r="AQ137" s="24"/>
      <c r="AR137" s="72">
        <f t="shared" si="30"/>
        <v>50</v>
      </c>
      <c r="AS137" s="113"/>
      <c r="AT137" s="113"/>
      <c r="AU137" s="113"/>
      <c r="AV137" s="24"/>
      <c r="AW137" s="97">
        <v>154.33000000000001</v>
      </c>
      <c r="AX137" s="24"/>
    </row>
    <row r="138" spans="1:50" x14ac:dyDescent="0.2">
      <c r="A138" s="41" t="s">
        <v>439</v>
      </c>
      <c r="B138" s="76" t="s">
        <v>143</v>
      </c>
      <c r="C138" s="76">
        <v>3</v>
      </c>
      <c r="D138" s="76">
        <v>2</v>
      </c>
      <c r="E138" s="97">
        <v>6.45</v>
      </c>
      <c r="F138" s="76">
        <v>26</v>
      </c>
      <c r="G138" s="76">
        <v>0</v>
      </c>
      <c r="H138" s="76">
        <v>0</v>
      </c>
      <c r="I138" s="76">
        <v>0</v>
      </c>
      <c r="J138" s="76">
        <v>9</v>
      </c>
      <c r="K138" s="76">
        <v>12</v>
      </c>
      <c r="L138" s="258">
        <f>INDEX('C-P-RollAdj'!$P$4:$P$900,MATCH((U138),'C-P-RollAdj'!$O$4:$O$900,FALSE),0)</f>
        <v>22.33</v>
      </c>
      <c r="M138" s="76">
        <v>31</v>
      </c>
      <c r="N138" s="76">
        <v>16</v>
      </c>
      <c r="O138" s="76">
        <v>16</v>
      </c>
      <c r="P138" s="76">
        <v>5</v>
      </c>
      <c r="Q138" s="76">
        <v>12</v>
      </c>
      <c r="R138" s="76">
        <v>2</v>
      </c>
      <c r="S138" s="76">
        <v>14</v>
      </c>
      <c r="T138" s="76">
        <v>105</v>
      </c>
      <c r="U138" s="76">
        <v>22.1</v>
      </c>
      <c r="V138" s="100">
        <v>0.33700000000000002</v>
      </c>
      <c r="W138" s="76">
        <v>1.93</v>
      </c>
      <c r="X138" s="50"/>
      <c r="Y138" s="50">
        <f t="shared" si="25"/>
        <v>9.7087378640776691</v>
      </c>
      <c r="Z138" s="6">
        <f>IF(Y138&lt;LeagueRatings!$K$10,((LeagueRatings!$K$10-Y138)/LeagueRatings!$K$10)*36,(LeagueRatings!$K$10-Y138)*6.48)</f>
        <v>-6.7468408650296361</v>
      </c>
      <c r="AA138" s="16">
        <f>INDEX('C-P-RollAdj'!$B$4:$B$76,MATCH(INT(Z138),'C-P-RollAdj'!$A$4:$A$76,FALSE),0)</f>
        <v>0.65</v>
      </c>
      <c r="AB138" s="16">
        <f t="shared" si="26"/>
        <v>4.8543689320388346</v>
      </c>
      <c r="AC138" s="6">
        <f>IF(AB138&lt;LeagueRatings!$K$8,((LeagueRatings!$K$8-AB138)/LeagueRatings!$K$8)*36,(LeagueRatings!$K$8-AB138)/LeagueRatings!$K$11)</f>
        <v>-13.118828033337847</v>
      </c>
      <c r="AD138" s="16">
        <f>INDEX('C-P-RollAdj'!$F$4:$F$76,MATCH(INT(AC138),'C-P-RollAdj'!$E$4:$E$76,FALSE),0)</f>
        <v>1.38</v>
      </c>
      <c r="AE138" s="17">
        <f>+((LeagueRatings!$I$6-E138)*5)+9.5</f>
        <v>-1.7419485447225966</v>
      </c>
      <c r="AF138" s="17">
        <f t="shared" si="27"/>
        <v>4</v>
      </c>
      <c r="AG138" s="17">
        <f t="shared" si="28"/>
        <v>-1.9413345275414251</v>
      </c>
      <c r="AH138" s="4">
        <f t="shared" si="29"/>
        <v>4.0886654724585743</v>
      </c>
      <c r="AI138" s="41" t="s">
        <v>439</v>
      </c>
      <c r="AJ138" s="5" t="s">
        <v>19</v>
      </c>
      <c r="AK138" s="219">
        <f>INDEX('C-P-RollAdj'!$J$4:$J$76,MATCH(INT(Z138),'C-P-RollAdj'!$I$4:$I$76,FALSE),0)</f>
        <v>-21</v>
      </c>
      <c r="AL138" s="219">
        <f>INDEX('C-P-RollAdj'!$J$4:$J$76,MATCH(INT(AC138),'C-P-RollAdj'!$I$4:$I$76,FALSE),0)</f>
        <v>-32</v>
      </c>
      <c r="AM138" s="14">
        <f>+AR138*LeagueRatings!$K$27</f>
        <v>12.777777777777779</v>
      </c>
      <c r="AN138" s="72">
        <f>F138*LeagueRatings!$K$27</f>
        <v>14.444444444444445</v>
      </c>
      <c r="AO138" s="72">
        <f>G138*LeagueRatings!$K$27</f>
        <v>0</v>
      </c>
      <c r="AP138" s="72">
        <f>T138*LeagueRatings!$K$27</f>
        <v>58.333333333333336</v>
      </c>
      <c r="AQ138" s="28"/>
      <c r="AR138" s="72">
        <f t="shared" si="30"/>
        <v>23</v>
      </c>
      <c r="AV138" s="28"/>
      <c r="AW138" s="97">
        <v>169.33</v>
      </c>
      <c r="AX138" s="28"/>
    </row>
    <row r="139" spans="1:50" x14ac:dyDescent="0.2">
      <c r="A139" s="41" t="s">
        <v>803</v>
      </c>
      <c r="B139" s="76" t="s">
        <v>143</v>
      </c>
      <c r="C139" s="76">
        <v>3</v>
      </c>
      <c r="D139" s="76">
        <v>2</v>
      </c>
      <c r="E139" s="97">
        <v>3.56</v>
      </c>
      <c r="F139" s="76">
        <v>13</v>
      </c>
      <c r="G139" s="76">
        <v>13</v>
      </c>
      <c r="H139" s="76">
        <v>0</v>
      </c>
      <c r="I139" s="76">
        <v>0</v>
      </c>
      <c r="J139" s="76">
        <v>0</v>
      </c>
      <c r="K139" s="76">
        <v>0</v>
      </c>
      <c r="L139" s="258">
        <f>INDEX('C-P-RollAdj'!$P$4:$P$900,MATCH((U139),'C-P-RollAdj'!$O$4:$O$900,FALSE),0)</f>
        <v>68.33</v>
      </c>
      <c r="M139" s="76">
        <v>70</v>
      </c>
      <c r="N139" s="76">
        <v>27</v>
      </c>
      <c r="O139" s="76">
        <v>27</v>
      </c>
      <c r="P139" s="76">
        <v>14</v>
      </c>
      <c r="Q139" s="76">
        <v>31</v>
      </c>
      <c r="R139" s="76">
        <v>1</v>
      </c>
      <c r="S139" s="76">
        <v>68</v>
      </c>
      <c r="T139" s="76">
        <v>296</v>
      </c>
      <c r="U139" s="76">
        <v>68.099999999999994</v>
      </c>
      <c r="V139" s="100">
        <v>0.27</v>
      </c>
      <c r="W139" s="76">
        <v>1.48</v>
      </c>
      <c r="X139" s="50"/>
      <c r="Y139" s="50">
        <f t="shared" si="25"/>
        <v>10.16949152542373</v>
      </c>
      <c r="Z139" s="6">
        <f>IF(Y139&lt;LeagueRatings!$K$10,((LeagueRatings!$K$10-Y139)/LeagueRatings!$K$10)*36,(LeagueRatings!$K$10-Y139)*6.48)</f>
        <v>-9.7325245905521118</v>
      </c>
      <c r="AA139" s="16">
        <f>INDEX('C-P-RollAdj'!$B$4:$B$76,MATCH(INT(Z139),'C-P-RollAdj'!$A$4:$A$76,FALSE),0)</f>
        <v>0.98</v>
      </c>
      <c r="AB139" s="16">
        <f>(P139/(T139-R139))*100</f>
        <v>4.7457627118644066</v>
      </c>
      <c r="AC139" s="6">
        <f>IF(AB139&lt;LeagueRatings!$K$8,((LeagueRatings!$K$8-AB139)/LeagueRatings!$K$8)*36,(LeagueRatings!$K$8-AB139)/LeagueRatings!$K$11)</f>
        <v>-12.256445492602595</v>
      </c>
      <c r="AD139" s="16">
        <f>INDEX('C-P-RollAdj'!$F$4:$F$76,MATCH(INT(AC139),'C-P-RollAdj'!$E$4:$E$76,FALSE),0)</f>
        <v>1.2599999999999998</v>
      </c>
      <c r="AE139" s="17">
        <f>+((LeagueRatings!$I$6-E139)*5)+9.5</f>
        <v>12.708051455277403</v>
      </c>
      <c r="AF139" s="17">
        <f>IF(AE139&lt;4,4,AE139)</f>
        <v>12.708051455277403</v>
      </c>
      <c r="AG139" s="17">
        <f>IF(M139&lt;L139,((1-(M139/L139))*7)-0.07,(1-(M139/L139))*5)</f>
        <v>-0.12220108297965715</v>
      </c>
      <c r="AH139" s="4">
        <f>+AA139+AD139+AF139+AG139</f>
        <v>14.825850372297745</v>
      </c>
      <c r="AI139" s="41" t="s">
        <v>803</v>
      </c>
      <c r="AJ139" s="5" t="s">
        <v>14</v>
      </c>
      <c r="AK139" s="219">
        <f>INDEX('C-P-RollAdj'!$J$4:$J$76,MATCH(INT(Z139),'C-P-RollAdj'!$I$4:$I$76,FALSE),0)</f>
        <v>-24</v>
      </c>
      <c r="AL139" s="219">
        <f>INDEX('C-P-RollAdj'!$J$4:$J$76,MATCH(INT(AC139),'C-P-RollAdj'!$I$4:$I$76,FALSE),0)</f>
        <v>-31</v>
      </c>
      <c r="AM139" s="14">
        <f>+AR139*LeagueRatings!$K$27</f>
        <v>38.333333333333336</v>
      </c>
      <c r="AN139" s="72">
        <f>F139*LeagueRatings!$K$27</f>
        <v>7.2222222222222223</v>
      </c>
      <c r="AO139" s="72">
        <f>G139*LeagueRatings!$K$27</f>
        <v>7.2222222222222223</v>
      </c>
      <c r="AP139" s="72">
        <f>T139*LeagueRatings!$K$27</f>
        <v>164.44444444444446</v>
      </c>
      <c r="AQ139" s="28"/>
      <c r="AR139" s="72">
        <f>ROUNDUP(L139,0)</f>
        <v>69</v>
      </c>
      <c r="AV139" s="28"/>
      <c r="AW139" s="97">
        <v>212.33</v>
      </c>
      <c r="AX139" s="28"/>
    </row>
    <row r="140" spans="1:50" x14ac:dyDescent="0.2">
      <c r="A140" s="41" t="s">
        <v>563</v>
      </c>
      <c r="B140" s="76" t="s">
        <v>143</v>
      </c>
      <c r="C140" s="76">
        <v>12</v>
      </c>
      <c r="D140" s="76">
        <v>12</v>
      </c>
      <c r="E140" s="97">
        <v>5.0599999999999996</v>
      </c>
      <c r="F140" s="76">
        <v>31</v>
      </c>
      <c r="G140" s="76">
        <v>31</v>
      </c>
      <c r="H140" s="76">
        <v>1</v>
      </c>
      <c r="I140" s="76">
        <v>1</v>
      </c>
      <c r="J140" s="76">
        <v>0</v>
      </c>
      <c r="K140" s="76">
        <v>0</v>
      </c>
      <c r="L140" s="258">
        <f>INDEX('C-P-RollAdj'!$P$4:$P$900,MATCH((U140),'C-P-RollAdj'!$O$4:$O$900,FALSE),0)</f>
        <v>178</v>
      </c>
      <c r="M140" s="76">
        <v>209</v>
      </c>
      <c r="N140" s="76">
        <v>106</v>
      </c>
      <c r="O140" s="76">
        <v>100</v>
      </c>
      <c r="P140" s="76">
        <v>37</v>
      </c>
      <c r="Q140" s="76">
        <v>51</v>
      </c>
      <c r="R140" s="76">
        <v>2</v>
      </c>
      <c r="S140" s="76">
        <v>103</v>
      </c>
      <c r="T140" s="76">
        <v>767</v>
      </c>
      <c r="U140" s="76">
        <v>178</v>
      </c>
      <c r="V140" s="100">
        <v>0.29699999999999999</v>
      </c>
      <c r="W140" s="76">
        <v>1.46</v>
      </c>
      <c r="X140" s="50"/>
      <c r="Y140" s="50">
        <f t="shared" si="25"/>
        <v>6.4052287581699341</v>
      </c>
      <c r="Z140" s="6">
        <f>IF(Y140&lt;LeagueRatings!$K$10,((LeagueRatings!$K$10-Y140)/LeagueRatings!$K$10)*36,(LeagueRatings!$K$10-Y140)*6.48)</f>
        <v>9.3964034406972825</v>
      </c>
      <c r="AA140" s="16">
        <f>INDEX('C-P-RollAdj'!$B$4:$B$76,MATCH(INT(Z140),'C-P-RollAdj'!$A$4:$A$76,FALSE),0)</f>
        <v>-0.74</v>
      </c>
      <c r="AB140" s="16">
        <f t="shared" si="26"/>
        <v>4.8366013071895431</v>
      </c>
      <c r="AC140" s="6">
        <f>IF(AB140&lt;LeagueRatings!$K$8,((LeagueRatings!$K$8-AB140)/LeagueRatings!$K$8)*36,(LeagueRatings!$K$8-AB140)/LeagueRatings!$K$11)</f>
        <v>-12.9777450508369</v>
      </c>
      <c r="AD140" s="16">
        <f>INDEX('C-P-RollAdj'!$F$4:$F$76,MATCH(INT(AC140),'C-P-RollAdj'!$E$4:$E$76,FALSE),0)</f>
        <v>1.2599999999999998</v>
      </c>
      <c r="AE140" s="17">
        <f>+((LeagueRatings!$I$6-E140)*5)+9.5</f>
        <v>5.2080514552774053</v>
      </c>
      <c r="AF140" s="17">
        <f t="shared" si="27"/>
        <v>5.2080514552774053</v>
      </c>
      <c r="AG140" s="17">
        <f t="shared" si="28"/>
        <v>-0.87078651685393305</v>
      </c>
      <c r="AH140" s="4">
        <f t="shared" si="29"/>
        <v>4.8572649384234721</v>
      </c>
      <c r="AI140" s="41" t="s">
        <v>563</v>
      </c>
      <c r="AJ140" s="5" t="s">
        <v>19</v>
      </c>
      <c r="AK140" s="219">
        <f>INDEX('C-P-RollAdj'!$J$4:$J$76,MATCH(INT(Z140),'C-P-RollAdj'!$I$4:$I$76,FALSE),0)</f>
        <v>23</v>
      </c>
      <c r="AL140" s="219">
        <f>INDEX('C-P-RollAdj'!$J$4:$J$76,MATCH(INT(AC140),'C-P-RollAdj'!$I$4:$I$76,FALSE),0)</f>
        <v>-31</v>
      </c>
      <c r="AM140" s="14">
        <f>+AR140*LeagueRatings!$K$27</f>
        <v>98.8888888888889</v>
      </c>
      <c r="AN140" s="72">
        <f>F140*LeagueRatings!$K$27</f>
        <v>17.222222222222221</v>
      </c>
      <c r="AO140" s="72">
        <f>G140*LeagueRatings!$K$27</f>
        <v>17.222222222222221</v>
      </c>
      <c r="AP140" s="72">
        <f>T140*LeagueRatings!$K$27</f>
        <v>426.11111111111114</v>
      </c>
      <c r="AQ140" s="28"/>
      <c r="AR140" s="72">
        <f t="shared" si="30"/>
        <v>178</v>
      </c>
      <c r="AV140" s="28"/>
      <c r="AW140" s="97">
        <v>212.33</v>
      </c>
      <c r="AX140" s="28"/>
    </row>
    <row r="141" spans="1:50" x14ac:dyDescent="0.2">
      <c r="A141" s="105"/>
      <c r="B141" s="76"/>
      <c r="C141" s="76"/>
      <c r="D141" s="76"/>
      <c r="E141" s="97"/>
      <c r="F141" s="76"/>
      <c r="G141" s="76"/>
      <c r="I141" s="176"/>
      <c r="J141" s="76"/>
      <c r="K141" s="76"/>
      <c r="L141" s="110"/>
      <c r="M141" s="76"/>
      <c r="N141" s="76"/>
      <c r="O141" s="76"/>
      <c r="P141" s="76"/>
      <c r="R141"/>
      <c r="S141" s="76"/>
      <c r="T141"/>
      <c r="U141"/>
      <c r="X141" s="50"/>
      <c r="Y141" s="50"/>
      <c r="Z141" s="6"/>
      <c r="AB141" s="16"/>
      <c r="AC141" s="6"/>
      <c r="AE141" s="17"/>
      <c r="AF141" s="17"/>
      <c r="AG141" s="17"/>
      <c r="AH141" s="4"/>
      <c r="AI141" s="105"/>
      <c r="AM141" s="14"/>
      <c r="AN141" s="72"/>
      <c r="AO141" s="72"/>
      <c r="AP141" s="72"/>
      <c r="AR141" s="72"/>
      <c r="AW141" s="110"/>
    </row>
    <row r="142" spans="1:50" s="26" customFormat="1" x14ac:dyDescent="0.2">
      <c r="A142" s="69" t="s">
        <v>106</v>
      </c>
      <c r="B142" s="70" t="s">
        <v>157</v>
      </c>
      <c r="C142" s="71" t="s">
        <v>85</v>
      </c>
      <c r="D142" s="70" t="s">
        <v>86</v>
      </c>
      <c r="E142" s="71" t="s">
        <v>87</v>
      </c>
      <c r="F142" s="70" t="s">
        <v>108</v>
      </c>
      <c r="G142" s="70" t="s">
        <v>88</v>
      </c>
      <c r="H142" s="182" t="s">
        <v>89</v>
      </c>
      <c r="I142" s="178" t="s">
        <v>317</v>
      </c>
      <c r="J142" s="72" t="s">
        <v>90</v>
      </c>
      <c r="K142" s="72" t="s">
        <v>158</v>
      </c>
      <c r="L142" s="71" t="s">
        <v>91</v>
      </c>
      <c r="M142" s="70" t="s">
        <v>92</v>
      </c>
      <c r="N142" s="70" t="s">
        <v>93</v>
      </c>
      <c r="O142" s="70" t="s">
        <v>94</v>
      </c>
      <c r="P142" s="70" t="s">
        <v>95</v>
      </c>
      <c r="Q142" s="70" t="s">
        <v>96</v>
      </c>
      <c r="R142" s="70" t="s">
        <v>98</v>
      </c>
      <c r="S142" s="70" t="s">
        <v>97</v>
      </c>
      <c r="T142" s="70" t="s">
        <v>109</v>
      </c>
      <c r="U142" s="155" t="s">
        <v>91</v>
      </c>
      <c r="V142" s="250" t="s">
        <v>1517</v>
      </c>
      <c r="W142" s="155" t="s">
        <v>1072</v>
      </c>
      <c r="X142" s="117"/>
      <c r="Y142" s="117" t="s">
        <v>2</v>
      </c>
      <c r="Z142" s="116" t="s">
        <v>3</v>
      </c>
      <c r="AA142" s="117" t="s">
        <v>4</v>
      </c>
      <c r="AB142" s="118" t="s">
        <v>5</v>
      </c>
      <c r="AC142" s="116" t="s">
        <v>6</v>
      </c>
      <c r="AD142" s="117" t="s">
        <v>7</v>
      </c>
      <c r="AE142" s="119" t="s">
        <v>8</v>
      </c>
      <c r="AF142" s="119" t="s">
        <v>81</v>
      </c>
      <c r="AG142" s="119" t="s">
        <v>9</v>
      </c>
      <c r="AH142" s="128" t="s">
        <v>10</v>
      </c>
      <c r="AI142" s="69" t="s">
        <v>106</v>
      </c>
      <c r="AJ142" s="7" t="s">
        <v>11</v>
      </c>
      <c r="AK142" s="7" t="s">
        <v>12</v>
      </c>
      <c r="AL142" s="7" t="s">
        <v>13</v>
      </c>
      <c r="AM142" s="14"/>
      <c r="AN142" s="72"/>
      <c r="AO142" s="72"/>
      <c r="AP142" s="72"/>
      <c r="AQ142" s="122"/>
      <c r="AR142" s="72"/>
      <c r="AS142" s="114"/>
      <c r="AT142" s="114"/>
      <c r="AU142" s="114"/>
      <c r="AV142" s="122"/>
      <c r="AW142" s="71" t="s">
        <v>91</v>
      </c>
      <c r="AX142" s="122"/>
    </row>
    <row r="143" spans="1:50" x14ac:dyDescent="0.2">
      <c r="A143" s="69"/>
      <c r="B143" s="70"/>
      <c r="C143" s="71"/>
      <c r="D143" s="70"/>
      <c r="E143" s="71"/>
      <c r="F143" s="70"/>
      <c r="G143" s="70"/>
      <c r="H143" s="182"/>
      <c r="I143" s="178"/>
      <c r="J143" s="72"/>
      <c r="K143" s="72"/>
      <c r="L143" s="71"/>
      <c r="M143" s="70"/>
      <c r="N143" s="70"/>
      <c r="O143" s="70"/>
      <c r="P143" s="70"/>
      <c r="Q143" s="122"/>
      <c r="R143" s="70"/>
      <c r="S143" s="70"/>
      <c r="T143" s="70"/>
      <c r="U143" s="70"/>
      <c r="X143" s="50"/>
      <c r="Y143" s="50"/>
      <c r="Z143" s="6"/>
      <c r="AB143" s="16"/>
      <c r="AC143" s="6"/>
      <c r="AE143" s="17"/>
      <c r="AF143" s="17"/>
      <c r="AG143" s="17"/>
      <c r="AH143" s="4"/>
      <c r="AI143" s="69"/>
      <c r="AJ143" s="7"/>
      <c r="AK143" s="7"/>
      <c r="AL143" s="7"/>
      <c r="AM143" s="14"/>
      <c r="AN143" s="72"/>
      <c r="AO143" s="72"/>
      <c r="AP143" s="72"/>
      <c r="AQ143" s="122"/>
      <c r="AR143" s="72"/>
      <c r="AV143" s="122"/>
      <c r="AW143" s="71"/>
      <c r="AX143" s="122"/>
    </row>
    <row r="144" spans="1:50" x14ac:dyDescent="0.2">
      <c r="A144" s="41" t="s">
        <v>1354</v>
      </c>
      <c r="B144" s="76" t="s">
        <v>151</v>
      </c>
      <c r="C144" s="76">
        <v>3</v>
      </c>
      <c r="D144" s="76">
        <v>7</v>
      </c>
      <c r="E144" s="97">
        <v>8.02</v>
      </c>
      <c r="F144" s="76">
        <v>14</v>
      </c>
      <c r="G144" s="76">
        <v>14</v>
      </c>
      <c r="H144" s="76">
        <v>0</v>
      </c>
      <c r="I144" s="76">
        <v>0</v>
      </c>
      <c r="J144" s="76">
        <v>0</v>
      </c>
      <c r="K144" s="76">
        <v>0</v>
      </c>
      <c r="L144" s="258">
        <f>INDEX('C-P-RollAdj'!$P$4:$P$900,MATCH((U144),'C-P-RollAdj'!$O$4:$O$900,FALSE),0)</f>
        <v>58.33</v>
      </c>
      <c r="M144" s="76">
        <v>74</v>
      </c>
      <c r="N144" s="76">
        <v>56</v>
      </c>
      <c r="O144" s="76">
        <v>52</v>
      </c>
      <c r="P144" s="76">
        <v>12</v>
      </c>
      <c r="Q144" s="76">
        <v>35</v>
      </c>
      <c r="R144" s="76">
        <v>0</v>
      </c>
      <c r="S144" s="76">
        <v>49</v>
      </c>
      <c r="T144" s="76">
        <v>281</v>
      </c>
      <c r="U144" s="76">
        <v>58.1</v>
      </c>
      <c r="V144" s="100">
        <v>0.31</v>
      </c>
      <c r="W144" s="76">
        <v>1.87</v>
      </c>
      <c r="X144" s="50"/>
      <c r="Y144" s="50">
        <f t="shared" ref="Y144:Y158" si="31">+(Q144-R144)/(T144-R144)*100</f>
        <v>12.455516014234876</v>
      </c>
      <c r="Z144" s="6">
        <f>IF(Y144&lt;LeagueRatings!$K$10,((LeagueRatings!$K$10-Y144)/LeagueRatings!$K$10)*36,(LeagueRatings!$K$10-Y144)*6.48)</f>
        <v>-24.545963278048337</v>
      </c>
      <c r="AA144" s="16">
        <f>INDEX('C-P-RollAdj'!$B$4:$B$76,MATCH(INT(Z144),'C-P-RollAdj'!$A$4:$A$76,FALSE),0)</f>
        <v>3.23</v>
      </c>
      <c r="AB144" s="16">
        <f t="shared" ref="AB144:AB158" si="32">(P144/(T144-R144))*100</f>
        <v>4.2704626334519578</v>
      </c>
      <c r="AC144" s="6">
        <f>IF(AB144&lt;LeagueRatings!$K$8,((LeagueRatings!$K$8-AB144)/LeagueRatings!$K$8)*36,(LeagueRatings!$K$8-AB144)/LeagueRatings!$K$11)</f>
        <v>-8.4823477606800139</v>
      </c>
      <c r="AD144" s="16">
        <f>INDEX('C-P-RollAdj'!$F$4:$F$76,MATCH(INT(AC144),'C-P-RollAdj'!$E$4:$E$76,FALSE),0)</f>
        <v>0.81</v>
      </c>
      <c r="AE144" s="17">
        <f>+((LeagueRatings!$I$6-E144)*5)+9.5</f>
        <v>-9.5919485447225945</v>
      </c>
      <c r="AF144" s="17">
        <f t="shared" ref="AF144:AF158" si="33">IF(AE144&lt;4,4,AE144)</f>
        <v>4</v>
      </c>
      <c r="AG144" s="17">
        <f t="shared" ref="AG144:AG158" si="34">IF(M144&lt;L144,((1-(M144/L144))*7)-0.07,(1-(M144/L144))*5)</f>
        <v>-1.343219612549289</v>
      </c>
      <c r="AH144" s="4">
        <f t="shared" ref="AH144:AH158" si="35">+AA144+AD144+AF144+AG144</f>
        <v>6.6967803874507101</v>
      </c>
      <c r="AI144" s="41" t="s">
        <v>1354</v>
      </c>
      <c r="AJ144" s="5" t="s">
        <v>66</v>
      </c>
      <c r="AK144" s="219">
        <f>INDEX('C-P-RollAdj'!$J$4:$J$76,MATCH(INT(Z144),'C-P-RollAdj'!$I$4:$I$76,FALSE),0)</f>
        <v>-51</v>
      </c>
      <c r="AL144" s="219">
        <f>INDEX('C-P-RollAdj'!$J$4:$J$76,MATCH(INT(AC144),'C-P-RollAdj'!$I$4:$I$76,FALSE),0)</f>
        <v>-23</v>
      </c>
      <c r="AM144" s="14">
        <f>+AR144*LeagueRatings!$K$27</f>
        <v>32.777777777777779</v>
      </c>
      <c r="AN144" s="72">
        <f>F144*LeagueRatings!$K$27</f>
        <v>7.7777777777777786</v>
      </c>
      <c r="AO144" s="72">
        <f>G144*LeagueRatings!$K$27</f>
        <v>7.7777777777777786</v>
      </c>
      <c r="AP144" s="72">
        <f>T144*LeagueRatings!$K$27</f>
        <v>156.11111111111111</v>
      </c>
      <c r="AR144" s="72">
        <f t="shared" si="30"/>
        <v>59</v>
      </c>
      <c r="AW144" s="97">
        <v>60</v>
      </c>
    </row>
    <row r="145" spans="1:50" s="122" customFormat="1" x14ac:dyDescent="0.2">
      <c r="A145" s="41" t="s">
        <v>1350</v>
      </c>
      <c r="B145" s="76" t="s">
        <v>151</v>
      </c>
      <c r="C145" s="76">
        <v>2</v>
      </c>
      <c r="D145" s="76">
        <v>0</v>
      </c>
      <c r="E145" s="97">
        <v>4.25</v>
      </c>
      <c r="F145" s="76">
        <v>37</v>
      </c>
      <c r="G145" s="76">
        <v>0</v>
      </c>
      <c r="H145" s="76">
        <v>0</v>
      </c>
      <c r="I145" s="76">
        <v>0</v>
      </c>
      <c r="J145" s="76">
        <v>0</v>
      </c>
      <c r="K145" s="76">
        <v>0</v>
      </c>
      <c r="L145" s="258">
        <f>INDEX('C-P-RollAdj'!$P$4:$P$900,MATCH((U145),'C-P-RollAdj'!$O$4:$O$900,FALSE),0)</f>
        <v>36</v>
      </c>
      <c r="M145" s="76">
        <v>35</v>
      </c>
      <c r="N145" s="76">
        <v>21</v>
      </c>
      <c r="O145" s="76">
        <v>17</v>
      </c>
      <c r="P145" s="76">
        <v>3</v>
      </c>
      <c r="Q145" s="76">
        <v>7</v>
      </c>
      <c r="R145" s="76">
        <v>1</v>
      </c>
      <c r="S145" s="76">
        <v>37</v>
      </c>
      <c r="T145" s="76">
        <v>152</v>
      </c>
      <c r="U145" s="76">
        <v>36</v>
      </c>
      <c r="V145" s="100">
        <v>0.248</v>
      </c>
      <c r="W145" s="76">
        <v>1.17</v>
      </c>
      <c r="X145" s="50"/>
      <c r="Y145" s="50">
        <f t="shared" si="31"/>
        <v>3.9735099337748347</v>
      </c>
      <c r="Z145" s="6">
        <f>IF(Y145&lt;LeagueRatings!$K$10,((LeagueRatings!$K$10-Y145)/LeagueRatings!$K$10)*36,(LeagueRatings!$K$10-Y145)*6.48)</f>
        <v>19.496349748993172</v>
      </c>
      <c r="AA145" s="16">
        <f>INDEX('C-P-RollAdj'!$B$4:$B$76,MATCH(INT(Z145),'C-P-RollAdj'!$A$4:$A$76,FALSE),0)</f>
        <v>-1.69</v>
      </c>
      <c r="AB145" s="16">
        <f t="shared" si="32"/>
        <v>1.9867549668874174</v>
      </c>
      <c r="AC145" s="6">
        <f>IF(AB145&lt;LeagueRatings!$K$8,((LeagueRatings!$K$8-AB145)/LeagueRatings!$K$8)*36,(LeagueRatings!$K$8-AB145)/LeagueRatings!$K$11)</f>
        <v>13.664486247105188</v>
      </c>
      <c r="AD145" s="16">
        <f>INDEX('C-P-RollAdj'!$F$4:$F$76,MATCH(INT(AC145),'C-P-RollAdj'!$E$4:$E$76,FALSE),0)</f>
        <v>-0.97</v>
      </c>
      <c r="AE145" s="17">
        <f>+((LeagueRatings!$I$6-E145)*5)+9.5</f>
        <v>9.2580514552774034</v>
      </c>
      <c r="AF145" s="17">
        <f t="shared" si="33"/>
        <v>9.2580514552774034</v>
      </c>
      <c r="AG145" s="17">
        <f t="shared" si="34"/>
        <v>0.12444444444444452</v>
      </c>
      <c r="AH145" s="4">
        <f t="shared" si="35"/>
        <v>6.7224958997218476</v>
      </c>
      <c r="AI145" s="41" t="s">
        <v>1350</v>
      </c>
      <c r="AJ145" s="5" t="s">
        <v>66</v>
      </c>
      <c r="AK145" s="219">
        <f>INDEX('C-P-RollAdj'!$J$4:$J$76,MATCH(INT(Z145),'C-P-RollAdj'!$I$4:$I$76,FALSE),0)</f>
        <v>41</v>
      </c>
      <c r="AL145" s="219">
        <f>INDEX('C-P-RollAdj'!$J$4:$J$76,MATCH(INT(AC145),'C-P-RollAdj'!$I$4:$I$76,FALSE),0)</f>
        <v>31</v>
      </c>
      <c r="AM145" s="14">
        <f>+AR145*LeagueRatings!$K$27</f>
        <v>20</v>
      </c>
      <c r="AN145" s="72">
        <f>F145*LeagueRatings!$K$27</f>
        <v>20.555555555555557</v>
      </c>
      <c r="AO145" s="72">
        <f>G145*LeagueRatings!$K$27</f>
        <v>0</v>
      </c>
      <c r="AP145" s="72">
        <f>T145*LeagueRatings!$K$27</f>
        <v>84.444444444444443</v>
      </c>
      <c r="AQ145" s="24"/>
      <c r="AR145" s="72">
        <f t="shared" si="30"/>
        <v>36</v>
      </c>
      <c r="AS145" s="113"/>
      <c r="AT145" s="113"/>
      <c r="AU145" s="113"/>
      <c r="AV145" s="24"/>
      <c r="AW145" s="97">
        <v>66</v>
      </c>
      <c r="AX145" s="24"/>
    </row>
    <row r="146" spans="1:50" s="122" customFormat="1" x14ac:dyDescent="0.2">
      <c r="A146" s="41" t="s">
        <v>1351</v>
      </c>
      <c r="B146" s="76" t="s">
        <v>151</v>
      </c>
      <c r="C146" s="76">
        <v>1</v>
      </c>
      <c r="D146" s="76">
        <v>1</v>
      </c>
      <c r="E146" s="97">
        <v>4.7</v>
      </c>
      <c r="F146" s="76">
        <v>25</v>
      </c>
      <c r="G146" s="76">
        <v>0</v>
      </c>
      <c r="H146" s="76">
        <v>0</v>
      </c>
      <c r="I146" s="76">
        <v>0</v>
      </c>
      <c r="J146" s="76">
        <v>0</v>
      </c>
      <c r="K146" s="76">
        <v>0</v>
      </c>
      <c r="L146" s="258">
        <f>INDEX('C-P-RollAdj'!$P$4:$P$900,MATCH((U146),'C-P-RollAdj'!$O$4:$O$900,FALSE),0)</f>
        <v>23</v>
      </c>
      <c r="M146" s="76">
        <v>25</v>
      </c>
      <c r="N146" s="76">
        <v>12</v>
      </c>
      <c r="O146" s="76">
        <v>12</v>
      </c>
      <c r="P146" s="76">
        <v>0</v>
      </c>
      <c r="Q146" s="76">
        <v>12</v>
      </c>
      <c r="R146" s="76">
        <v>0</v>
      </c>
      <c r="S146" s="76">
        <v>17</v>
      </c>
      <c r="T146" s="76">
        <v>100</v>
      </c>
      <c r="U146" s="76">
        <v>23</v>
      </c>
      <c r="V146" s="100">
        <v>0.29099999999999998</v>
      </c>
      <c r="W146" s="76">
        <v>1.61</v>
      </c>
      <c r="X146" s="50"/>
      <c r="Y146" s="50">
        <f t="shared" si="31"/>
        <v>12</v>
      </c>
      <c r="Z146" s="6">
        <f>IF(Y146&lt;LeagueRatings!$K$10,((LeagueRatings!$K$10-Y146)/LeagueRatings!$K$10)*36,(LeagueRatings!$K$10-Y146)*6.48)</f>
        <v>-21.59421950580634</v>
      </c>
      <c r="AA146" s="16">
        <f>INDEX('C-P-RollAdj'!$B$4:$B$76,MATCH(INT(Z146),'C-P-RollAdj'!$A$4:$A$76,FALSE),0)</f>
        <v>2.7199999999999998</v>
      </c>
      <c r="AB146" s="16">
        <f t="shared" si="32"/>
        <v>0</v>
      </c>
      <c r="AC146" s="6">
        <f>IF(AB146&lt;LeagueRatings!$K$8,((LeagueRatings!$K$8-AB146)/LeagueRatings!$K$8)*36,(LeagueRatings!$K$8-AB146)/LeagueRatings!$K$11)</f>
        <v>36</v>
      </c>
      <c r="AD146" s="16">
        <f>INDEX('C-P-RollAdj'!$F$4:$F$76,MATCH(INT(AC146),'C-P-RollAdj'!$E$4:$E$76,FALSE),0)</f>
        <v>-3.26</v>
      </c>
      <c r="AE146" s="17">
        <f>+((LeagueRatings!$I$6-E146)*5)+9.5</f>
        <v>7.0080514552774025</v>
      </c>
      <c r="AF146" s="17">
        <f t="shared" si="33"/>
        <v>7.0080514552774025</v>
      </c>
      <c r="AG146" s="17">
        <f t="shared" si="34"/>
        <v>-0.43478260869565188</v>
      </c>
      <c r="AH146" s="4">
        <f t="shared" si="35"/>
        <v>6.0332688465817501</v>
      </c>
      <c r="AI146" s="41" t="s">
        <v>1351</v>
      </c>
      <c r="AJ146" s="5" t="s">
        <v>66</v>
      </c>
      <c r="AK146" s="219">
        <f>INDEX('C-P-RollAdj'!$J$4:$J$76,MATCH(INT(Z146),'C-P-RollAdj'!$I$4:$I$76,FALSE),0)</f>
        <v>-44</v>
      </c>
      <c r="AL146" s="219">
        <f>INDEX('C-P-RollAdj'!$J$4:$J$76,MATCH(INT(AC146),'C-P-RollAdj'!$I$4:$I$76,FALSE),0)</f>
        <v>66</v>
      </c>
      <c r="AM146" s="14">
        <f>+AR146*LeagueRatings!$K$27</f>
        <v>12.777777777777779</v>
      </c>
      <c r="AN146" s="72">
        <f>F146*LeagueRatings!$K$27</f>
        <v>13.888888888888889</v>
      </c>
      <c r="AO146" s="72">
        <f>G146*LeagueRatings!$K$27</f>
        <v>0</v>
      </c>
      <c r="AP146" s="72">
        <f>T146*LeagueRatings!$K$27</f>
        <v>55.555555555555557</v>
      </c>
      <c r="AQ146" s="34"/>
      <c r="AR146" s="72">
        <f t="shared" si="30"/>
        <v>23</v>
      </c>
      <c r="AS146" s="113"/>
      <c r="AT146" s="113"/>
      <c r="AU146" s="113"/>
      <c r="AV146" s="34"/>
      <c r="AW146" s="97">
        <v>185.33</v>
      </c>
      <c r="AX146" s="34"/>
    </row>
    <row r="147" spans="1:50" x14ac:dyDescent="0.2">
      <c r="A147" s="41" t="s">
        <v>1192</v>
      </c>
      <c r="B147" s="76" t="s">
        <v>151</v>
      </c>
      <c r="C147" s="76">
        <v>9</v>
      </c>
      <c r="D147" s="76">
        <v>12</v>
      </c>
      <c r="E147" s="97">
        <v>6.43</v>
      </c>
      <c r="F147" s="76">
        <v>26</v>
      </c>
      <c r="G147" s="76">
        <v>26</v>
      </c>
      <c r="H147" s="76">
        <v>0</v>
      </c>
      <c r="I147" s="76">
        <v>0</v>
      </c>
      <c r="J147" s="76">
        <v>0</v>
      </c>
      <c r="K147" s="76">
        <v>0</v>
      </c>
      <c r="L147" s="258">
        <f>INDEX('C-P-RollAdj'!$P$4:$P$900,MATCH((U147),'C-P-RollAdj'!$O$4:$O$900,FALSE),0)</f>
        <v>133</v>
      </c>
      <c r="M147" s="76">
        <v>167</v>
      </c>
      <c r="N147" s="76">
        <v>103</v>
      </c>
      <c r="O147" s="76">
        <v>95</v>
      </c>
      <c r="P147" s="76">
        <v>25</v>
      </c>
      <c r="Q147" s="76">
        <v>32</v>
      </c>
      <c r="R147" s="76">
        <v>3</v>
      </c>
      <c r="S147" s="76">
        <v>114</v>
      </c>
      <c r="T147" s="76">
        <v>596</v>
      </c>
      <c r="U147" s="76">
        <v>133</v>
      </c>
      <c r="V147" s="100">
        <v>0.30099999999999999</v>
      </c>
      <c r="W147" s="76">
        <v>1.5</v>
      </c>
      <c r="X147" s="50"/>
      <c r="Y147" s="50">
        <f t="shared" si="31"/>
        <v>4.8903878583473865</v>
      </c>
      <c r="Z147" s="6">
        <f>IF(Y147&lt;LeagueRatings!$K$10,((LeagueRatings!$K$10-Y147)/LeagueRatings!$K$10)*36,(LeagueRatings!$K$10-Y147)*6.48)</f>
        <v>15.688171880506216</v>
      </c>
      <c r="AA147" s="16">
        <f>INDEX('C-P-RollAdj'!$B$4:$B$76,MATCH(INT(Z147),'C-P-RollAdj'!$A$4:$A$76,FALSE),0)</f>
        <v>-1.29</v>
      </c>
      <c r="AB147" s="16">
        <f t="shared" si="32"/>
        <v>4.2158516020236094</v>
      </c>
      <c r="AC147" s="6">
        <f>IF(AB147&lt;LeagueRatings!$K$8,((LeagueRatings!$K$8-AB147)/LeagueRatings!$K$8)*36,(LeagueRatings!$K$8-AB147)/LeagueRatings!$K$11)</f>
        <v>-8.0487114555060231</v>
      </c>
      <c r="AD147" s="16">
        <f>INDEX('C-P-RollAdj'!$F$4:$F$76,MATCH(INT(AC147),'C-P-RollAdj'!$E$4:$E$76,FALSE),0)</f>
        <v>0.81</v>
      </c>
      <c r="AE147" s="17">
        <f>+((LeagueRatings!$I$6-E147)*5)+9.5</f>
        <v>-1.6419485447225952</v>
      </c>
      <c r="AF147" s="17">
        <f t="shared" si="33"/>
        <v>4</v>
      </c>
      <c r="AG147" s="17">
        <f t="shared" si="34"/>
        <v>-1.278195488721805</v>
      </c>
      <c r="AH147" s="4">
        <f t="shared" si="35"/>
        <v>2.241804511278195</v>
      </c>
      <c r="AI147" s="41" t="s">
        <v>1192</v>
      </c>
      <c r="AJ147" s="5" t="s">
        <v>78</v>
      </c>
      <c r="AK147" s="219">
        <f>INDEX('C-P-RollAdj'!$J$4:$J$76,MATCH(INT(Z147),'C-P-RollAdj'!$I$4:$I$76,FALSE),0)</f>
        <v>33</v>
      </c>
      <c r="AL147" s="219">
        <f>INDEX('C-P-RollAdj'!$J$4:$J$76,MATCH(INT(AC147),'C-P-RollAdj'!$I$4:$I$76,FALSE),0)</f>
        <v>-23</v>
      </c>
      <c r="AM147" s="14">
        <f>+AR147*LeagueRatings!$K$27</f>
        <v>73.888888888888886</v>
      </c>
      <c r="AN147" s="72">
        <f>F147*LeagueRatings!$K$27</f>
        <v>14.444444444444445</v>
      </c>
      <c r="AO147" s="72">
        <f>G147*LeagueRatings!$K$27</f>
        <v>14.444444444444445</v>
      </c>
      <c r="AP147" s="72">
        <f>T147*LeagueRatings!$K$27</f>
        <v>331.11111111111114</v>
      </c>
      <c r="AR147" s="72">
        <f t="shared" si="30"/>
        <v>133</v>
      </c>
      <c r="AW147" s="97">
        <v>108</v>
      </c>
    </row>
    <row r="148" spans="1:50" x14ac:dyDescent="0.2">
      <c r="A148" s="41" t="s">
        <v>579</v>
      </c>
      <c r="B148" s="76" t="s">
        <v>151</v>
      </c>
      <c r="C148" s="76">
        <v>6</v>
      </c>
      <c r="D148" s="76">
        <v>11</v>
      </c>
      <c r="E148" s="97">
        <v>5.07</v>
      </c>
      <c r="F148" s="76">
        <v>25</v>
      </c>
      <c r="G148" s="76">
        <v>25</v>
      </c>
      <c r="H148" s="76">
        <v>1</v>
      </c>
      <c r="I148" s="76">
        <v>0</v>
      </c>
      <c r="J148" s="76">
        <v>0</v>
      </c>
      <c r="K148" s="76">
        <v>0</v>
      </c>
      <c r="L148" s="258">
        <f>INDEX('C-P-RollAdj'!$P$4:$P$900,MATCH((U148),'C-P-RollAdj'!$O$4:$O$900,FALSE),0)</f>
        <v>147.32999999999998</v>
      </c>
      <c r="M148" s="76">
        <v>175</v>
      </c>
      <c r="N148" s="76">
        <v>89</v>
      </c>
      <c r="O148" s="76">
        <v>83</v>
      </c>
      <c r="P148" s="76">
        <v>20</v>
      </c>
      <c r="Q148" s="76">
        <v>55</v>
      </c>
      <c r="R148" s="76">
        <v>3</v>
      </c>
      <c r="S148" s="76">
        <v>104</v>
      </c>
      <c r="T148" s="76">
        <v>653</v>
      </c>
      <c r="U148" s="76">
        <v>147.1</v>
      </c>
      <c r="V148" s="100">
        <v>0.29799999999999999</v>
      </c>
      <c r="W148" s="76">
        <v>1.56</v>
      </c>
      <c r="X148" s="50"/>
      <c r="Y148" s="50">
        <f t="shared" si="31"/>
        <v>8</v>
      </c>
      <c r="Z148" s="6">
        <f>IF(Y148&lt;LeagueRatings!$K$10,((LeagueRatings!$K$10-Y148)/LeagueRatings!$K$10)*36,(LeagueRatings!$K$10-Y148)*6.48)</f>
        <v>2.7726508279729281</v>
      </c>
      <c r="AA148" s="16">
        <f>INDEX('C-P-RollAdj'!$B$4:$B$76,MATCH(INT(Z148),'C-P-RollAdj'!$A$4:$A$76,FALSE),0)</f>
        <v>-0.16</v>
      </c>
      <c r="AB148" s="16">
        <f t="shared" si="32"/>
        <v>3.0769230769230771</v>
      </c>
      <c r="AC148" s="6">
        <f>IF(AB148&lt;LeagueRatings!$K$8,((LeagueRatings!$K$8-AB148)/LeagueRatings!$K$8)*36,(LeagueRatings!$K$8-AB148)/LeagueRatings!$K$11)</f>
        <v>1.4085889570552146</v>
      </c>
      <c r="AD148" s="16">
        <f>INDEX('C-P-RollAdj'!$F$4:$F$76,MATCH(INT(AC148),'C-P-RollAdj'!$E$4:$E$76,FALSE),0)</f>
        <v>-7.0000000000000007E-2</v>
      </c>
      <c r="AE148" s="17">
        <f>+((LeagueRatings!$I$6-E148)*5)+9.5</f>
        <v>5.1580514552774019</v>
      </c>
      <c r="AF148" s="17">
        <f t="shared" si="33"/>
        <v>5.1580514552774019</v>
      </c>
      <c r="AG148" s="17">
        <f t="shared" si="34"/>
        <v>-0.93904839476006363</v>
      </c>
      <c r="AH148" s="4">
        <f t="shared" si="35"/>
        <v>3.9890030605173381</v>
      </c>
      <c r="AI148" s="41" t="s">
        <v>579</v>
      </c>
      <c r="AJ148" s="5" t="s">
        <v>60</v>
      </c>
      <c r="AK148" s="219">
        <f>INDEX('C-P-RollAdj'!$J$4:$J$76,MATCH(INT(Z148),'C-P-RollAdj'!$I$4:$I$76,FALSE),0)</f>
        <v>12</v>
      </c>
      <c r="AL148" s="219">
        <f>INDEX('C-P-RollAdj'!$J$4:$J$76,MATCH(INT(AC148),'C-P-RollAdj'!$I$4:$I$76,FALSE),0)</f>
        <v>11</v>
      </c>
      <c r="AM148" s="14">
        <f>+AR148*LeagueRatings!$K$27</f>
        <v>82.222222222222229</v>
      </c>
      <c r="AN148" s="72">
        <f>F148*LeagueRatings!$K$27</f>
        <v>13.888888888888889</v>
      </c>
      <c r="AO148" s="72">
        <f>G148*LeagueRatings!$K$27</f>
        <v>13.888888888888889</v>
      </c>
      <c r="AP148" s="72">
        <f>T148*LeagueRatings!$K$27</f>
        <v>362.77777777777777</v>
      </c>
      <c r="AR148" s="72">
        <f t="shared" si="30"/>
        <v>148</v>
      </c>
      <c r="AW148" s="97">
        <v>131</v>
      </c>
    </row>
    <row r="149" spans="1:50" customFormat="1" ht="12.75" customHeight="1" x14ac:dyDescent="0.2">
      <c r="A149" s="41" t="s">
        <v>591</v>
      </c>
      <c r="B149" s="76" t="s">
        <v>151</v>
      </c>
      <c r="C149" s="76">
        <v>1</v>
      </c>
      <c r="D149" s="76">
        <v>7</v>
      </c>
      <c r="E149" s="97">
        <v>5.95</v>
      </c>
      <c r="F149" s="76">
        <v>12</v>
      </c>
      <c r="G149" s="76">
        <v>11</v>
      </c>
      <c r="H149" s="76">
        <v>1</v>
      </c>
      <c r="I149" s="76">
        <v>0</v>
      </c>
      <c r="J149" s="76">
        <v>0</v>
      </c>
      <c r="K149" s="76">
        <v>0</v>
      </c>
      <c r="L149" s="258">
        <f>INDEX('C-P-RollAdj'!$P$4:$P$900,MATCH((U149),'C-P-RollAdj'!$O$4:$O$900,FALSE),0)</f>
        <v>59</v>
      </c>
      <c r="M149" s="76">
        <v>76</v>
      </c>
      <c r="N149" s="76">
        <v>40</v>
      </c>
      <c r="O149" s="76">
        <v>39</v>
      </c>
      <c r="P149" s="76">
        <v>11</v>
      </c>
      <c r="Q149" s="76">
        <v>13</v>
      </c>
      <c r="R149" s="76">
        <v>0</v>
      </c>
      <c r="S149" s="76">
        <v>34</v>
      </c>
      <c r="T149" s="76">
        <v>259</v>
      </c>
      <c r="U149" s="76">
        <v>59</v>
      </c>
      <c r="V149" s="100">
        <v>0.313</v>
      </c>
      <c r="W149" s="76">
        <v>1.51</v>
      </c>
      <c r="X149" s="50"/>
      <c r="Y149" s="50">
        <f t="shared" si="31"/>
        <v>5.019305019305019</v>
      </c>
      <c r="Z149" s="6">
        <f>IF(Y149&lt;LeagueRatings!$K$10,((LeagueRatings!$K$10-Y149)/LeagueRatings!$K$10)*36,(LeagueRatings!$K$10-Y149)*6.48)</f>
        <v>15.152724940330506</v>
      </c>
      <c r="AA149" s="16">
        <f>INDEX('C-P-RollAdj'!$B$4:$B$76,MATCH(INT(Z149),'C-P-RollAdj'!$A$4:$A$76,FALSE),0)</f>
        <v>-1.29</v>
      </c>
      <c r="AB149" s="16">
        <f t="shared" si="32"/>
        <v>4.2471042471042466</v>
      </c>
      <c r="AC149" s="6">
        <f>IF(AB149&lt;LeagueRatings!$K$8,((LeagueRatings!$K$8-AB149)/LeagueRatings!$K$8)*36,(LeagueRatings!$K$8-AB149)/LeagueRatings!$K$11)</f>
        <v>-8.2968716016380863</v>
      </c>
      <c r="AD149" s="16">
        <f>INDEX('C-P-RollAdj'!$F$4:$F$76,MATCH(INT(AC149),'C-P-RollAdj'!$E$4:$E$76,FALSE),0)</f>
        <v>0.81</v>
      </c>
      <c r="AE149" s="17">
        <f>+((LeagueRatings!$I$6-E149)*5)+9.5</f>
        <v>0.75805145527740336</v>
      </c>
      <c r="AF149" s="17">
        <f t="shared" si="33"/>
        <v>4</v>
      </c>
      <c r="AG149" s="17">
        <f t="shared" si="34"/>
        <v>-1.4406779661016944</v>
      </c>
      <c r="AH149" s="4">
        <f t="shared" si="35"/>
        <v>2.0793220338983058</v>
      </c>
      <c r="AI149" s="41" t="s">
        <v>591</v>
      </c>
      <c r="AJ149" s="5" t="s">
        <v>78</v>
      </c>
      <c r="AK149" s="219">
        <f>INDEX('C-P-RollAdj'!$J$4:$J$76,MATCH(INT(Z149),'C-P-RollAdj'!$I$4:$I$76,FALSE),0)</f>
        <v>33</v>
      </c>
      <c r="AL149" s="219">
        <f>INDEX('C-P-RollAdj'!$J$4:$J$76,MATCH(INT(AC149),'C-P-RollAdj'!$I$4:$I$76,FALSE),0)</f>
        <v>-23</v>
      </c>
      <c r="AM149" s="14">
        <f>+AR149*LeagueRatings!$K$27</f>
        <v>32.777777777777779</v>
      </c>
      <c r="AN149" s="72">
        <f>F149*LeagueRatings!$K$27</f>
        <v>6.666666666666667</v>
      </c>
      <c r="AO149" s="72">
        <f>G149*LeagueRatings!$K$27</f>
        <v>6.1111111111111116</v>
      </c>
      <c r="AP149" s="72">
        <f>T149*LeagueRatings!$K$27</f>
        <v>143.88888888888889</v>
      </c>
      <c r="AQ149" s="24"/>
      <c r="AR149" s="72">
        <f t="shared" si="30"/>
        <v>59</v>
      </c>
      <c r="AS149" s="113"/>
      <c r="AT149" s="113"/>
      <c r="AU149" s="113"/>
      <c r="AV149" s="24"/>
      <c r="AW149" s="97">
        <v>61</v>
      </c>
      <c r="AX149" s="24"/>
    </row>
    <row r="150" spans="1:50" s="23" customFormat="1" ht="12.75" customHeight="1" x14ac:dyDescent="0.2">
      <c r="A150" s="41" t="s">
        <v>402</v>
      </c>
      <c r="B150" s="76" t="s">
        <v>151</v>
      </c>
      <c r="C150" s="76">
        <v>0</v>
      </c>
      <c r="D150" s="76">
        <v>2</v>
      </c>
      <c r="E150" s="97">
        <v>3.15</v>
      </c>
      <c r="F150" s="76">
        <v>54</v>
      </c>
      <c r="G150" s="76">
        <v>0</v>
      </c>
      <c r="H150" s="76">
        <v>0</v>
      </c>
      <c r="I150" s="76">
        <v>0</v>
      </c>
      <c r="J150" s="76">
        <v>17</v>
      </c>
      <c r="K150" s="76">
        <v>20</v>
      </c>
      <c r="L150" s="258">
        <f>INDEX('C-P-RollAdj'!$P$4:$P$900,MATCH((U150),'C-P-RollAdj'!$O$4:$O$900,FALSE),0)</f>
        <v>54.33</v>
      </c>
      <c r="M150" s="76">
        <v>59</v>
      </c>
      <c r="N150" s="76">
        <v>22</v>
      </c>
      <c r="O150" s="76">
        <v>19</v>
      </c>
      <c r="P150" s="76">
        <v>5</v>
      </c>
      <c r="Q150" s="76">
        <v>8</v>
      </c>
      <c r="R150" s="76">
        <v>1</v>
      </c>
      <c r="S150" s="76">
        <v>35</v>
      </c>
      <c r="T150" s="76">
        <v>224</v>
      </c>
      <c r="U150" s="76">
        <v>54.1</v>
      </c>
      <c r="V150" s="100">
        <v>0.27600000000000002</v>
      </c>
      <c r="W150" s="76">
        <v>1.23</v>
      </c>
      <c r="X150" s="50"/>
      <c r="Y150" s="50">
        <f t="shared" si="31"/>
        <v>3.1390134529147984</v>
      </c>
      <c r="Z150" s="6">
        <f>IF(Y150&lt;LeagueRatings!$K$10,((LeagueRatings!$K$10-Y150)/LeagueRatings!$K$10)*36,(LeagueRatings!$K$10-Y150)*6.48)</f>
        <v>22.962362993038703</v>
      </c>
      <c r="AA150" s="16">
        <f>INDEX('C-P-RollAdj'!$B$4:$B$76,MATCH(INT(Z150),'C-P-RollAdj'!$A$4:$A$76,FALSE),0)</f>
        <v>-2</v>
      </c>
      <c r="AB150" s="16">
        <f t="shared" si="32"/>
        <v>2.2421524663677128</v>
      </c>
      <c r="AC150" s="6">
        <f>IF(AB150&lt;LeagueRatings!$K$8,((LeagueRatings!$K$8-AB150)/LeagueRatings!$K$8)*36,(LeagueRatings!$K$8-AB150)/LeagueRatings!$K$11)</f>
        <v>10.793254284849654</v>
      </c>
      <c r="AD150" s="16">
        <f>INDEX('C-P-RollAdj'!$F$4:$F$76,MATCH(INT(AC150),'C-P-RollAdj'!$E$4:$E$76,FALSE),0)</f>
        <v>-0.73</v>
      </c>
      <c r="AE150" s="17">
        <f>+((LeagueRatings!$I$6-E150)*5)+9.5</f>
        <v>14.758051455277403</v>
      </c>
      <c r="AF150" s="17">
        <f t="shared" si="33"/>
        <v>14.758051455277403</v>
      </c>
      <c r="AG150" s="17">
        <f t="shared" si="34"/>
        <v>-0.42978096815755595</v>
      </c>
      <c r="AH150" s="4">
        <f t="shared" si="35"/>
        <v>11.598270487119848</v>
      </c>
      <c r="AI150" s="41" t="s">
        <v>402</v>
      </c>
      <c r="AJ150" s="5" t="s">
        <v>59</v>
      </c>
      <c r="AK150" s="219">
        <f>INDEX('C-P-RollAdj'!$J$4:$J$76,MATCH(INT(Z150),'C-P-RollAdj'!$I$4:$I$76,FALSE),0)</f>
        <v>44</v>
      </c>
      <c r="AL150" s="219">
        <f>INDEX('C-P-RollAdj'!$J$4:$J$76,MATCH(INT(AC150),'C-P-RollAdj'!$I$4:$I$76,FALSE),0)</f>
        <v>24</v>
      </c>
      <c r="AM150" s="14">
        <f>+AR150*LeagueRatings!$K$27</f>
        <v>30.555555555555557</v>
      </c>
      <c r="AN150" s="72">
        <f>F150*LeagueRatings!$K$27</f>
        <v>30</v>
      </c>
      <c r="AO150" s="72">
        <f>G150*LeagueRatings!$K$27</f>
        <v>0</v>
      </c>
      <c r="AP150" s="72">
        <f>T150*LeagueRatings!$K$27</f>
        <v>124.44444444444446</v>
      </c>
      <c r="AQ150" s="28"/>
      <c r="AR150" s="72">
        <f t="shared" si="30"/>
        <v>55</v>
      </c>
      <c r="AS150" s="113"/>
      <c r="AT150" s="113"/>
      <c r="AU150" s="113"/>
      <c r="AV150" s="28"/>
      <c r="AW150" s="97">
        <v>62</v>
      </c>
      <c r="AX150" s="28"/>
    </row>
    <row r="151" spans="1:50" x14ac:dyDescent="0.2">
      <c r="A151" s="41" t="s">
        <v>812</v>
      </c>
      <c r="B151" s="76" t="s">
        <v>151</v>
      </c>
      <c r="C151" s="76">
        <v>2</v>
      </c>
      <c r="D151" s="76">
        <v>2</v>
      </c>
      <c r="E151" s="97">
        <v>5.27</v>
      </c>
      <c r="F151" s="76">
        <v>44</v>
      </c>
      <c r="G151" s="76">
        <v>0</v>
      </c>
      <c r="H151" s="76">
        <v>0</v>
      </c>
      <c r="I151" s="76">
        <v>0</v>
      </c>
      <c r="J151" s="76">
        <v>0</v>
      </c>
      <c r="K151" s="76">
        <v>2</v>
      </c>
      <c r="L151" s="258">
        <f>INDEX('C-P-RollAdj'!$P$4:$P$900,MATCH((U151),'C-P-RollAdj'!$O$4:$O$900,FALSE),0)</f>
        <v>42.67</v>
      </c>
      <c r="M151" s="76">
        <v>39</v>
      </c>
      <c r="N151" s="76">
        <v>26</v>
      </c>
      <c r="O151" s="76">
        <v>25</v>
      </c>
      <c r="P151" s="76">
        <v>7</v>
      </c>
      <c r="Q151" s="76">
        <v>17</v>
      </c>
      <c r="R151" s="76">
        <v>1</v>
      </c>
      <c r="S151" s="76">
        <v>60</v>
      </c>
      <c r="T151" s="76">
        <v>187</v>
      </c>
      <c r="U151" s="76">
        <v>42.2</v>
      </c>
      <c r="V151" s="100">
        <v>0.23200000000000001</v>
      </c>
      <c r="W151" s="76">
        <v>1.31</v>
      </c>
      <c r="X151" s="50"/>
      <c r="Y151" s="50">
        <f t="shared" si="31"/>
        <v>8.6021505376344098</v>
      </c>
      <c r="Z151" s="6">
        <f>IF(Y151&lt;LeagueRatings!$K$10,((LeagueRatings!$K$10-Y151)/LeagueRatings!$K$10)*36,(LeagueRatings!$K$10-Y151)*6.48)</f>
        <v>0.27166755696013239</v>
      </c>
      <c r="AA151" s="16">
        <f>INDEX('C-P-RollAdj'!$B$4:$B$76,MATCH(INT(Z151),'C-P-RollAdj'!$A$4:$A$76,FALSE),0)</f>
        <v>0</v>
      </c>
      <c r="AB151" s="16">
        <f t="shared" si="32"/>
        <v>3.763440860215054</v>
      </c>
      <c r="AC151" s="6">
        <f>IF(AB151&lt;LeagueRatings!$K$8,((LeagueRatings!$K$8-AB151)/LeagueRatings!$K$8)*36,(LeagueRatings!$K$8-AB151)/LeagueRatings!$K$11)</f>
        <v>-4.4563654153788814</v>
      </c>
      <c r="AD151" s="16">
        <f>INDEX('C-P-RollAdj'!$F$4:$F$76,MATCH(INT(AC151),'C-P-RollAdj'!$E$4:$E$76,FALSE),0)</f>
        <v>0.42</v>
      </c>
      <c r="AE151" s="17">
        <f>+((LeagueRatings!$I$6-E151)*5)+9.5</f>
        <v>4.1580514552774055</v>
      </c>
      <c r="AF151" s="17">
        <f t="shared" si="33"/>
        <v>4.1580514552774055</v>
      </c>
      <c r="AG151" s="17">
        <f t="shared" si="34"/>
        <v>0.53206233887977494</v>
      </c>
      <c r="AH151" s="4">
        <f t="shared" si="35"/>
        <v>5.1101137941571801</v>
      </c>
      <c r="AI151" s="41" t="s">
        <v>812</v>
      </c>
      <c r="AJ151" s="5" t="s">
        <v>24</v>
      </c>
      <c r="AK151" s="219">
        <f>INDEX('C-P-RollAdj'!$J$4:$J$76,MATCH(INT(Z151),'C-P-RollAdj'!$I$4:$I$76,FALSE),0)</f>
        <v>0</v>
      </c>
      <c r="AL151" s="219">
        <f>INDEX('C-P-RollAdj'!$J$4:$J$76,MATCH(INT(AC151),'C-P-RollAdj'!$I$4:$I$76,FALSE),0)</f>
        <v>-15</v>
      </c>
      <c r="AM151" s="14">
        <f>+AR151*LeagueRatings!$K$27</f>
        <v>23.888888888888889</v>
      </c>
      <c r="AN151" s="72">
        <f>F151*LeagueRatings!$K$27</f>
        <v>24.444444444444446</v>
      </c>
      <c r="AO151" s="72">
        <f>G151*LeagueRatings!$K$27</f>
        <v>0</v>
      </c>
      <c r="AP151" s="72">
        <f>T151*LeagueRatings!$K$27</f>
        <v>103.8888888888889</v>
      </c>
      <c r="AQ151" s="28"/>
      <c r="AR151" s="72">
        <f t="shared" si="30"/>
        <v>43</v>
      </c>
      <c r="AV151" s="28"/>
      <c r="AW151" s="97">
        <v>51</v>
      </c>
      <c r="AX151" s="28"/>
    </row>
    <row r="152" spans="1:50" x14ac:dyDescent="0.2">
      <c r="A152" s="41" t="s">
        <v>602</v>
      </c>
      <c r="B152" s="76" t="s">
        <v>151</v>
      </c>
      <c r="C152" s="76">
        <v>3</v>
      </c>
      <c r="D152" s="76">
        <v>5</v>
      </c>
      <c r="E152" s="97">
        <v>5.71</v>
      </c>
      <c r="F152" s="76">
        <v>19</v>
      </c>
      <c r="G152" s="76">
        <v>12</v>
      </c>
      <c r="H152" s="76">
        <v>0</v>
      </c>
      <c r="I152" s="76">
        <v>0</v>
      </c>
      <c r="J152" s="76">
        <v>0</v>
      </c>
      <c r="K152" s="76">
        <v>0</v>
      </c>
      <c r="L152" s="258">
        <f>INDEX('C-P-RollAdj'!$P$4:$P$900,MATCH((U152),'C-P-RollAdj'!$O$4:$O$900,FALSE),0)</f>
        <v>69.33</v>
      </c>
      <c r="M152" s="76">
        <v>84</v>
      </c>
      <c r="N152" s="76">
        <v>53</v>
      </c>
      <c r="O152" s="76">
        <v>44</v>
      </c>
      <c r="P152" s="76">
        <v>15</v>
      </c>
      <c r="Q152" s="76">
        <v>22</v>
      </c>
      <c r="R152" s="76">
        <v>3</v>
      </c>
      <c r="S152" s="76">
        <v>49</v>
      </c>
      <c r="T152" s="76">
        <v>311</v>
      </c>
      <c r="U152" s="76">
        <v>69.099999999999994</v>
      </c>
      <c r="V152" s="100">
        <v>0.29899999999999999</v>
      </c>
      <c r="W152" s="76">
        <v>1.53</v>
      </c>
      <c r="X152" s="50"/>
      <c r="Y152" s="50">
        <f t="shared" si="31"/>
        <v>6.1688311688311686</v>
      </c>
      <c r="Z152" s="6">
        <f>IF(Y152&lt;LeagueRatings!$K$10,((LeagueRatings!$K$10-Y152)/LeagueRatings!$K$10)*36,(LeagueRatings!$K$10-Y152)*6.48)</f>
        <v>10.378261596245361</v>
      </c>
      <c r="AA152" s="16">
        <f>INDEX('C-P-RollAdj'!$B$4:$B$76,MATCH(INT(Z152),'C-P-RollAdj'!$A$4:$A$76,FALSE),0)</f>
        <v>-0.83000000000000007</v>
      </c>
      <c r="AB152" s="16">
        <f t="shared" si="32"/>
        <v>4.8701298701298708</v>
      </c>
      <c r="AC152" s="6">
        <f>IF(AB152&lt;LeagueRatings!$K$8,((LeagueRatings!$K$8-AB152)/LeagueRatings!$K$8)*36,(LeagueRatings!$K$8-AB152)/LeagueRatings!$K$11)</f>
        <v>-13.243977014800322</v>
      </c>
      <c r="AD152" s="16">
        <f>INDEX('C-P-RollAdj'!$F$4:$F$76,MATCH(INT(AC152),'C-P-RollAdj'!$E$4:$E$76,FALSE),0)</f>
        <v>1.38</v>
      </c>
      <c r="AE152" s="17">
        <f>+((LeagueRatings!$I$6-E152)*5)+9.5</f>
        <v>1.9580514552774035</v>
      </c>
      <c r="AF152" s="17">
        <f t="shared" si="33"/>
        <v>4</v>
      </c>
      <c r="AG152" s="17">
        <f t="shared" si="34"/>
        <v>-1.0579835569017748</v>
      </c>
      <c r="AH152" s="4">
        <f t="shared" si="35"/>
        <v>3.4920164430982252</v>
      </c>
      <c r="AI152" s="41" t="s">
        <v>602</v>
      </c>
      <c r="AJ152" s="5" t="s">
        <v>60</v>
      </c>
      <c r="AK152" s="219">
        <f>INDEX('C-P-RollAdj'!$J$4:$J$76,MATCH(INT(Z152),'C-P-RollAdj'!$I$4:$I$76,FALSE),0)</f>
        <v>24</v>
      </c>
      <c r="AL152" s="219">
        <f>INDEX('C-P-RollAdj'!$J$4:$J$76,MATCH(INT(AC152),'C-P-RollAdj'!$I$4:$I$76,FALSE),0)</f>
        <v>-32</v>
      </c>
      <c r="AM152" s="14">
        <f>+AR152*LeagueRatings!$K$27</f>
        <v>38.888888888888893</v>
      </c>
      <c r="AN152" s="72">
        <f>F152*LeagueRatings!$K$27</f>
        <v>10.555555555555555</v>
      </c>
      <c r="AO152" s="72">
        <f>G152*LeagueRatings!$K$27</f>
        <v>6.666666666666667</v>
      </c>
      <c r="AP152" s="72">
        <f>T152*LeagueRatings!$K$27</f>
        <v>172.77777777777777</v>
      </c>
      <c r="AQ152" s="28"/>
      <c r="AR152" s="72">
        <f t="shared" si="30"/>
        <v>70</v>
      </c>
      <c r="AV152" s="28"/>
      <c r="AW152" s="97">
        <v>56.67</v>
      </c>
      <c r="AX152" s="28"/>
    </row>
    <row r="153" spans="1:50" x14ac:dyDescent="0.2">
      <c r="A153" s="41" t="s">
        <v>1194</v>
      </c>
      <c r="B153" s="76" t="s">
        <v>151</v>
      </c>
      <c r="C153" s="76">
        <v>0</v>
      </c>
      <c r="D153" s="76">
        <v>1</v>
      </c>
      <c r="E153" s="97">
        <v>3.96</v>
      </c>
      <c r="F153" s="76">
        <v>26</v>
      </c>
      <c r="G153" s="76">
        <v>0</v>
      </c>
      <c r="H153" s="76">
        <v>0</v>
      </c>
      <c r="I153" s="76">
        <v>0</v>
      </c>
      <c r="J153" s="76">
        <v>0</v>
      </c>
      <c r="K153" s="76">
        <v>0</v>
      </c>
      <c r="L153" s="258">
        <f>INDEX('C-P-RollAdj'!$P$4:$P$900,MATCH((U153),'C-P-RollAdj'!$O$4:$O$900,FALSE),0)</f>
        <v>25</v>
      </c>
      <c r="M153" s="76">
        <v>18</v>
      </c>
      <c r="N153" s="76">
        <v>13</v>
      </c>
      <c r="O153" s="76">
        <v>11</v>
      </c>
      <c r="P153" s="76">
        <v>3</v>
      </c>
      <c r="Q153" s="76">
        <v>10</v>
      </c>
      <c r="R153" s="76">
        <v>0</v>
      </c>
      <c r="S153" s="76">
        <v>24</v>
      </c>
      <c r="T153" s="76">
        <v>101</v>
      </c>
      <c r="U153" s="76">
        <v>25</v>
      </c>
      <c r="V153" s="100">
        <v>0.20699999999999999</v>
      </c>
      <c r="W153" s="76">
        <v>1.1200000000000001</v>
      </c>
      <c r="X153" s="50"/>
      <c r="Y153" s="50">
        <f t="shared" si="31"/>
        <v>9.9009900990099009</v>
      </c>
      <c r="Z153" s="6">
        <f>IF(Y153&lt;LeagueRatings!$K$10,((LeagueRatings!$K$10-Y153)/LeagueRatings!$K$10)*36,(LeagueRatings!$K$10-Y153)*6.48)</f>
        <v>-7.9926353473904976</v>
      </c>
      <c r="AA153" s="16">
        <f>INDEX('C-P-RollAdj'!$B$4:$B$76,MATCH(INT(Z153),'C-P-RollAdj'!$A$4:$A$76,FALSE),0)</f>
        <v>0.76</v>
      </c>
      <c r="AB153" s="16">
        <f t="shared" si="32"/>
        <v>2.9702970297029703</v>
      </c>
      <c r="AC153" s="6">
        <f>IF(AB153&lt;LeagueRatings!$K$8,((LeagueRatings!$K$8-AB153)/LeagueRatings!$K$8)*36,(LeagueRatings!$K$8-AB153)/LeagueRatings!$K$11)</f>
        <v>2.60730122091964</v>
      </c>
      <c r="AD153" s="16">
        <f>INDEX('C-P-RollAdj'!$F$4:$F$76,MATCH(INT(AC153),'C-P-RollAdj'!$E$4:$E$76,FALSE),0)</f>
        <v>-0.14000000000000001</v>
      </c>
      <c r="AE153" s="17">
        <f>+((LeagueRatings!$I$6-E153)*5)+9.5</f>
        <v>10.708051455277403</v>
      </c>
      <c r="AF153" s="17">
        <f t="shared" si="33"/>
        <v>10.708051455277403</v>
      </c>
      <c r="AG153" s="17">
        <f t="shared" si="34"/>
        <v>1.8900000000000001</v>
      </c>
      <c r="AH153" s="4">
        <f t="shared" si="35"/>
        <v>13.218051455277402</v>
      </c>
      <c r="AI153" s="41" t="s">
        <v>1194</v>
      </c>
      <c r="AJ153" s="5" t="s">
        <v>16</v>
      </c>
      <c r="AK153" s="219">
        <f>INDEX('C-P-RollAdj'!$J$4:$J$76,MATCH(INT(Z153),'C-P-RollAdj'!$I$4:$I$76,FALSE),0)</f>
        <v>-22</v>
      </c>
      <c r="AL153" s="219">
        <f>INDEX('C-P-RollAdj'!$J$4:$J$76,MATCH(INT(AC153),'C-P-RollAdj'!$I$4:$I$76,FALSE),0)</f>
        <v>12</v>
      </c>
      <c r="AM153" s="14">
        <f>+AR153*LeagueRatings!$K$27</f>
        <v>13.888888888888889</v>
      </c>
      <c r="AN153" s="72">
        <f>F153*LeagueRatings!$K$27</f>
        <v>14.444444444444445</v>
      </c>
      <c r="AO153" s="72">
        <f>G153*LeagueRatings!$K$27</f>
        <v>0</v>
      </c>
      <c r="AP153" s="72">
        <f>T153*LeagueRatings!$K$27</f>
        <v>56.111111111111114</v>
      </c>
      <c r="AQ153" s="28"/>
      <c r="AR153" s="72">
        <f t="shared" si="30"/>
        <v>25</v>
      </c>
      <c r="AV153" s="28"/>
      <c r="AW153" s="97">
        <v>152.66999999999999</v>
      </c>
      <c r="AX153" s="28"/>
    </row>
    <row r="154" spans="1:50" s="23" customFormat="1" ht="12.75" customHeight="1" x14ac:dyDescent="0.2">
      <c r="A154" s="41" t="s">
        <v>574</v>
      </c>
      <c r="B154" s="76" t="s">
        <v>151</v>
      </c>
      <c r="C154" s="76">
        <v>6</v>
      </c>
      <c r="D154" s="76">
        <v>7</v>
      </c>
      <c r="E154" s="97">
        <v>3.7</v>
      </c>
      <c r="F154" s="76">
        <v>72</v>
      </c>
      <c r="G154" s="76">
        <v>0</v>
      </c>
      <c r="H154" s="76">
        <v>0</v>
      </c>
      <c r="I154" s="76">
        <v>0</v>
      </c>
      <c r="J154" s="76">
        <v>1</v>
      </c>
      <c r="K154" s="76">
        <v>6</v>
      </c>
      <c r="L154" s="258">
        <f>INDEX('C-P-RollAdj'!$P$4:$P$900,MATCH((U154),'C-P-RollAdj'!$O$4:$O$900,FALSE),0)</f>
        <v>75.33</v>
      </c>
      <c r="M154" s="76">
        <v>79</v>
      </c>
      <c r="N154" s="76">
        <v>34</v>
      </c>
      <c r="O154" s="76">
        <v>31</v>
      </c>
      <c r="P154" s="76">
        <v>8</v>
      </c>
      <c r="Q154" s="76">
        <v>23</v>
      </c>
      <c r="R154" s="76">
        <v>2</v>
      </c>
      <c r="S154" s="76">
        <v>67</v>
      </c>
      <c r="T154" s="76">
        <v>328</v>
      </c>
      <c r="U154" s="76">
        <v>75.099999999999994</v>
      </c>
      <c r="V154" s="100">
        <v>0.26600000000000001</v>
      </c>
      <c r="W154" s="76">
        <v>1.35</v>
      </c>
      <c r="X154" s="50"/>
      <c r="Y154" s="50">
        <f t="shared" si="31"/>
        <v>6.4417177914110431</v>
      </c>
      <c r="Z154" s="6">
        <f>IF(Y154&lt;LeagueRatings!$K$10,((LeagueRatings!$K$10-Y154)/LeagueRatings!$K$10)*36,(LeagueRatings!$K$10-Y154)*6.48)</f>
        <v>9.2448492096407779</v>
      </c>
      <c r="AA154" s="16">
        <f>INDEX('C-P-RollAdj'!$B$4:$B$76,MATCH(INT(Z154),'C-P-RollAdj'!$A$4:$A$76,FALSE),0)</f>
        <v>-0.74</v>
      </c>
      <c r="AB154" s="16">
        <f t="shared" si="32"/>
        <v>2.4539877300613497</v>
      </c>
      <c r="AC154" s="6">
        <f>IF(AB154&lt;LeagueRatings!$K$8,((LeagueRatings!$K$8-AB154)/LeagueRatings!$K$8)*36,(LeagueRatings!$K$8-AB154)/LeagueRatings!$K$11)</f>
        <v>8.4117580639090672</v>
      </c>
      <c r="AD154" s="16">
        <f>INDEX('C-P-RollAdj'!$F$4:$F$76,MATCH(INT(AC154),'C-P-RollAdj'!$E$4:$E$76,FALSE),0)</f>
        <v>-0.56999999999999995</v>
      </c>
      <c r="AE154" s="17">
        <f>+((LeagueRatings!$I$6-E154)*5)+9.5</f>
        <v>12.008051455277403</v>
      </c>
      <c r="AF154" s="17">
        <f t="shared" si="33"/>
        <v>12.008051455277403</v>
      </c>
      <c r="AG154" s="17">
        <f t="shared" si="34"/>
        <v>-0.24359484932961695</v>
      </c>
      <c r="AH154" s="4">
        <f t="shared" si="35"/>
        <v>10.454456605947787</v>
      </c>
      <c r="AI154" s="41" t="s">
        <v>574</v>
      </c>
      <c r="AJ154" s="5" t="s">
        <v>68</v>
      </c>
      <c r="AK154" s="219">
        <f>INDEX('C-P-RollAdj'!$J$4:$J$76,MATCH(INT(Z154),'C-P-RollAdj'!$I$4:$I$76,FALSE),0)</f>
        <v>23</v>
      </c>
      <c r="AL154" s="219">
        <f>INDEX('C-P-RollAdj'!$J$4:$J$76,MATCH(INT(AC154),'C-P-RollAdj'!$I$4:$I$76,FALSE),0)</f>
        <v>22</v>
      </c>
      <c r="AM154" s="14">
        <f>+AR154*LeagueRatings!$K$27</f>
        <v>42.222222222222221</v>
      </c>
      <c r="AN154" s="72">
        <f>F154*LeagueRatings!$K$27</f>
        <v>40</v>
      </c>
      <c r="AO154" s="72">
        <f>G154*LeagueRatings!$K$27</f>
        <v>0</v>
      </c>
      <c r="AP154" s="72">
        <f>T154*LeagueRatings!$K$27</f>
        <v>182.22222222222223</v>
      </c>
      <c r="AQ154" s="24"/>
      <c r="AR154" s="72">
        <f t="shared" si="30"/>
        <v>76</v>
      </c>
      <c r="AS154" s="113"/>
      <c r="AT154" s="113"/>
      <c r="AU154" s="113"/>
      <c r="AV154" s="24"/>
      <c r="AW154" s="142">
        <v>62.67</v>
      </c>
      <c r="AX154" s="24"/>
    </row>
    <row r="155" spans="1:50" x14ac:dyDescent="0.2">
      <c r="A155" s="41" t="s">
        <v>1348</v>
      </c>
      <c r="B155" s="76" t="s">
        <v>151</v>
      </c>
      <c r="C155" s="76">
        <v>3</v>
      </c>
      <c r="D155" s="76">
        <v>1</v>
      </c>
      <c r="E155" s="97">
        <v>3.96</v>
      </c>
      <c r="F155" s="76">
        <v>57</v>
      </c>
      <c r="G155" s="76">
        <v>0</v>
      </c>
      <c r="H155" s="76">
        <v>0</v>
      </c>
      <c r="I155" s="76">
        <v>0</v>
      </c>
      <c r="J155" s="76">
        <v>0</v>
      </c>
      <c r="K155" s="76">
        <v>0</v>
      </c>
      <c r="L155" s="258">
        <f>INDEX('C-P-RollAdj'!$P$4:$P$900,MATCH((U155),'C-P-RollAdj'!$O$4:$O$900,FALSE),0)</f>
        <v>61.33</v>
      </c>
      <c r="M155" s="76">
        <v>63</v>
      </c>
      <c r="N155" s="76">
        <v>29</v>
      </c>
      <c r="O155" s="76">
        <v>27</v>
      </c>
      <c r="P155" s="76">
        <v>7</v>
      </c>
      <c r="Q155" s="76">
        <v>16</v>
      </c>
      <c r="R155" s="76">
        <v>3</v>
      </c>
      <c r="S155" s="76">
        <v>64</v>
      </c>
      <c r="T155" s="76">
        <v>264</v>
      </c>
      <c r="U155" s="76">
        <v>61.1</v>
      </c>
      <c r="V155" s="100">
        <v>0.26</v>
      </c>
      <c r="W155" s="76">
        <v>1.29</v>
      </c>
      <c r="X155" s="50"/>
      <c r="Y155" s="50">
        <f t="shared" si="31"/>
        <v>4.980842911877394</v>
      </c>
      <c r="Z155" s="6">
        <f>IF(Y155&lt;LeagueRatings!$K$10,((LeagueRatings!$K$10-Y155)/LeagueRatings!$K$10)*36,(LeagueRatings!$K$10-Y155)*6.48)</f>
        <v>15.312474174504219</v>
      </c>
      <c r="AA155" s="16">
        <f>INDEX('C-P-RollAdj'!$B$4:$B$76,MATCH(INT(Z155),'C-P-RollAdj'!$A$4:$A$76,FALSE),0)</f>
        <v>-1.29</v>
      </c>
      <c r="AB155" s="16">
        <f t="shared" si="32"/>
        <v>2.6819923371647509</v>
      </c>
      <c r="AC155" s="6">
        <f>IF(AB155&lt;LeagueRatings!$K$8,((LeagueRatings!$K$8-AB155)/LeagueRatings!$K$8)*36,(LeagueRatings!$K$8-AB155)/LeagueRatings!$K$11)</f>
        <v>5.8484827116094324</v>
      </c>
      <c r="AD155" s="16">
        <f>INDEX('C-P-RollAdj'!$F$4:$F$76,MATCH(INT(AC155),'C-P-RollAdj'!$E$4:$E$76,FALSE),0)</f>
        <v>-0.35000000000000003</v>
      </c>
      <c r="AE155" s="17">
        <f>+((LeagueRatings!$I$6-E155)*5)+9.5</f>
        <v>10.708051455277403</v>
      </c>
      <c r="AF155" s="17">
        <f t="shared" si="33"/>
        <v>10.708051455277403</v>
      </c>
      <c r="AG155" s="17">
        <f t="shared" si="34"/>
        <v>-0.1361487037338982</v>
      </c>
      <c r="AH155" s="4">
        <f t="shared" si="35"/>
        <v>8.9319027515435039</v>
      </c>
      <c r="AI155" s="41" t="s">
        <v>1348</v>
      </c>
      <c r="AJ155" s="5" t="s">
        <v>34</v>
      </c>
      <c r="AK155" s="219">
        <f>INDEX('C-P-RollAdj'!$J$4:$J$76,MATCH(INT(Z155),'C-P-RollAdj'!$I$4:$I$76,FALSE),0)</f>
        <v>33</v>
      </c>
      <c r="AL155" s="219">
        <f>INDEX('C-P-RollAdj'!$J$4:$J$76,MATCH(INT(AC155),'C-P-RollAdj'!$I$4:$I$76,FALSE),0)</f>
        <v>15</v>
      </c>
      <c r="AM155" s="14">
        <f>+AR155*LeagueRatings!$K$27</f>
        <v>34.444444444444443</v>
      </c>
      <c r="AN155" s="72">
        <f>F155*LeagueRatings!$K$27</f>
        <v>31.666666666666668</v>
      </c>
      <c r="AO155" s="72">
        <f>G155*LeagueRatings!$K$27</f>
        <v>0</v>
      </c>
      <c r="AP155" s="72">
        <f>T155*LeagueRatings!$K$27</f>
        <v>146.66666666666669</v>
      </c>
      <c r="AR155" s="72">
        <f t="shared" si="30"/>
        <v>62</v>
      </c>
      <c r="AW155" s="97">
        <v>76.67</v>
      </c>
    </row>
    <row r="156" spans="1:50" x14ac:dyDescent="0.2">
      <c r="A156" s="41" t="s">
        <v>558</v>
      </c>
      <c r="B156" s="76" t="s">
        <v>151</v>
      </c>
      <c r="C156" s="76">
        <v>7</v>
      </c>
      <c r="D156" s="76">
        <v>11</v>
      </c>
      <c r="E156" s="97">
        <v>3.38</v>
      </c>
      <c r="F156" s="76">
        <v>30</v>
      </c>
      <c r="G156" s="76">
        <v>30</v>
      </c>
      <c r="H156" s="76">
        <v>2</v>
      </c>
      <c r="I156" s="76">
        <v>1</v>
      </c>
      <c r="J156" s="76">
        <v>0</v>
      </c>
      <c r="K156" s="76">
        <v>0</v>
      </c>
      <c r="L156" s="258">
        <f>INDEX('C-P-RollAdj'!$P$4:$P$900,MATCH((U156),'C-P-RollAdj'!$O$4:$O$900,FALSE),0)</f>
        <v>181.32999999999998</v>
      </c>
      <c r="M156" s="76">
        <v>168</v>
      </c>
      <c r="N156" s="76">
        <v>78</v>
      </c>
      <c r="O156" s="76">
        <v>68</v>
      </c>
      <c r="P156" s="76">
        <v>19</v>
      </c>
      <c r="Q156" s="76">
        <v>53</v>
      </c>
      <c r="R156" s="76">
        <v>2</v>
      </c>
      <c r="S156" s="76">
        <v>149</v>
      </c>
      <c r="T156" s="76">
        <v>748</v>
      </c>
      <c r="U156" s="76">
        <v>181.1</v>
      </c>
      <c r="V156" s="100">
        <v>0.245</v>
      </c>
      <c r="W156" s="76">
        <v>1.22</v>
      </c>
      <c r="X156" s="50"/>
      <c r="Y156" s="50">
        <f t="shared" si="31"/>
        <v>6.8364611260053625</v>
      </c>
      <c r="Z156" s="6">
        <f>IF(Y156&lt;LeagueRatings!$K$10,((LeagueRatings!$K$10-Y156)/LeagueRatings!$K$10)*36,(LeagueRatings!$K$10-Y156)*6.48)</f>
        <v>7.6053148831538069</v>
      </c>
      <c r="AA156" s="16">
        <f>INDEX('C-P-RollAdj'!$B$4:$B$76,MATCH(INT(Z156),'C-P-RollAdj'!$A$4:$A$76,FALSE),0)</f>
        <v>-0.56000000000000005</v>
      </c>
      <c r="AB156" s="16">
        <f t="shared" si="32"/>
        <v>2.5469168900804289</v>
      </c>
      <c r="AC156" s="6">
        <f>IF(AB156&lt;LeagueRatings!$K$8,((LeagueRatings!$K$8-AB156)/LeagueRatings!$K$8)*36,(LeagueRatings!$K$8-AB156)/LeagueRatings!$K$11)</f>
        <v>7.3670290629780117</v>
      </c>
      <c r="AD156" s="16">
        <f>INDEX('C-P-RollAdj'!$F$4:$F$76,MATCH(INT(AC156),'C-P-RollAdj'!$E$4:$E$76,FALSE),0)</f>
        <v>-0.49000000000000005</v>
      </c>
      <c r="AE156" s="17">
        <f>+((LeagueRatings!$I$6-E156)*5)+9.5</f>
        <v>13.608051455277405</v>
      </c>
      <c r="AF156" s="17">
        <f t="shared" si="33"/>
        <v>13.608051455277405</v>
      </c>
      <c r="AG156" s="17">
        <f t="shared" si="34"/>
        <v>0.44458666519605056</v>
      </c>
      <c r="AH156" s="4">
        <f t="shared" si="35"/>
        <v>13.002638120473454</v>
      </c>
      <c r="AI156" s="41" t="s">
        <v>558</v>
      </c>
      <c r="AJ156" s="5" t="s">
        <v>16</v>
      </c>
      <c r="AK156" s="219">
        <f>INDEX('C-P-RollAdj'!$J$4:$J$76,MATCH(INT(Z156),'C-P-RollAdj'!$I$4:$I$76,FALSE),0)</f>
        <v>21</v>
      </c>
      <c r="AL156" s="219">
        <f>INDEX('C-P-RollAdj'!$J$4:$J$76,MATCH(INT(AC156),'C-P-RollAdj'!$I$4:$I$76,FALSE),0)</f>
        <v>21</v>
      </c>
      <c r="AM156" s="14">
        <f>+AR156*LeagueRatings!$K$27</f>
        <v>101.11111111111111</v>
      </c>
      <c r="AN156" s="72">
        <f>F156*LeagueRatings!$K$27</f>
        <v>16.666666666666668</v>
      </c>
      <c r="AO156" s="72">
        <f>G156*LeagueRatings!$K$27</f>
        <v>16.666666666666668</v>
      </c>
      <c r="AP156" s="72">
        <f>T156*LeagueRatings!$K$27</f>
        <v>415.5555555555556</v>
      </c>
      <c r="AR156" s="72">
        <f t="shared" si="30"/>
        <v>182</v>
      </c>
      <c r="AW156" s="97">
        <v>62</v>
      </c>
    </row>
    <row r="157" spans="1:50" x14ac:dyDescent="0.2">
      <c r="A157" s="41" t="s">
        <v>515</v>
      </c>
      <c r="B157" s="76" t="s">
        <v>151</v>
      </c>
      <c r="C157" s="76">
        <v>3</v>
      </c>
      <c r="D157" s="76">
        <v>6</v>
      </c>
      <c r="E157" s="97">
        <v>5.58</v>
      </c>
      <c r="F157" s="76">
        <v>11</v>
      </c>
      <c r="G157" s="76">
        <v>11</v>
      </c>
      <c r="H157" s="76">
        <v>0</v>
      </c>
      <c r="I157" s="76">
        <v>0</v>
      </c>
      <c r="J157" s="76">
        <v>0</v>
      </c>
      <c r="K157" s="76">
        <v>0</v>
      </c>
      <c r="L157" s="258">
        <f>INDEX('C-P-RollAdj'!$P$4:$P$900,MATCH((U157),'C-P-RollAdj'!$O$4:$O$900,FALSE),0)</f>
        <v>61.33</v>
      </c>
      <c r="M157" s="76">
        <v>65</v>
      </c>
      <c r="N157" s="76">
        <v>39</v>
      </c>
      <c r="O157" s="76">
        <v>38</v>
      </c>
      <c r="P157" s="76">
        <v>13</v>
      </c>
      <c r="Q157" s="76">
        <v>22</v>
      </c>
      <c r="R157" s="76">
        <v>0</v>
      </c>
      <c r="S157" s="76">
        <v>37</v>
      </c>
      <c r="T157" s="76">
        <v>270</v>
      </c>
      <c r="U157" s="76">
        <v>61.1</v>
      </c>
      <c r="V157" s="100">
        <v>0.26700000000000002</v>
      </c>
      <c r="W157" s="76">
        <v>1.42</v>
      </c>
      <c r="X157" s="50"/>
      <c r="Y157" s="50">
        <f t="shared" si="31"/>
        <v>8.1481481481481488</v>
      </c>
      <c r="Z157" s="6">
        <f>IF(Y157&lt;LeagueRatings!$K$10,((LeagueRatings!$K$10-Y157)/LeagueRatings!$K$10)*36,(LeagueRatings!$K$10-Y157)*6.48)</f>
        <v>2.1573295470094607</v>
      </c>
      <c r="AA157" s="16">
        <f>INDEX('C-P-RollAdj'!$B$4:$B$76,MATCH(INT(Z157),'C-P-RollAdj'!$A$4:$A$76,FALSE),0)</f>
        <v>-0.16</v>
      </c>
      <c r="AB157" s="16">
        <f t="shared" si="32"/>
        <v>4.8148148148148149</v>
      </c>
      <c r="AC157" s="6">
        <f>IF(AB157&lt;LeagueRatings!$K$8,((LeagueRatings!$K$8-AB157)/LeagueRatings!$K$8)*36,(LeagueRatings!$K$8-AB157)/LeagueRatings!$K$11)</f>
        <v>-12.804750441341678</v>
      </c>
      <c r="AD157" s="16">
        <f>INDEX('C-P-RollAdj'!$F$4:$F$76,MATCH(INT(AC157),'C-P-RollAdj'!$E$4:$E$76,FALSE),0)</f>
        <v>1.2599999999999998</v>
      </c>
      <c r="AE157" s="17">
        <f>+((LeagueRatings!$I$6-E157)*5)+9.5</f>
        <v>2.608051455277403</v>
      </c>
      <c r="AF157" s="17">
        <f t="shared" si="33"/>
        <v>4</v>
      </c>
      <c r="AG157" s="17">
        <f t="shared" si="34"/>
        <v>-0.29920104353497456</v>
      </c>
      <c r="AH157" s="4">
        <f t="shared" si="35"/>
        <v>4.8007989564650249</v>
      </c>
      <c r="AI157" s="41" t="s">
        <v>515</v>
      </c>
      <c r="AJ157" s="5" t="s">
        <v>19</v>
      </c>
      <c r="AK157" s="219">
        <f>INDEX('C-P-RollAdj'!$J$4:$J$76,MATCH(INT(Z157),'C-P-RollAdj'!$I$4:$I$76,FALSE),0)</f>
        <v>12</v>
      </c>
      <c r="AL157" s="219">
        <f>INDEX('C-P-RollAdj'!$J$4:$J$76,MATCH(INT(AC157),'C-P-RollAdj'!$I$4:$I$76,FALSE),0)</f>
        <v>-31</v>
      </c>
      <c r="AM157" s="14">
        <f>+AR157*LeagueRatings!$K$27</f>
        <v>34.444444444444443</v>
      </c>
      <c r="AN157" s="72">
        <f>F157*LeagueRatings!$K$27</f>
        <v>6.1111111111111116</v>
      </c>
      <c r="AO157" s="72">
        <f>G157*LeagueRatings!$K$27</f>
        <v>6.1111111111111116</v>
      </c>
      <c r="AP157" s="72">
        <f>T157*LeagueRatings!$K$27</f>
        <v>150</v>
      </c>
      <c r="AQ157" s="26"/>
      <c r="AR157" s="72">
        <f t="shared" si="30"/>
        <v>62</v>
      </c>
      <c r="AV157" s="26"/>
      <c r="AW157" s="97">
        <v>96</v>
      </c>
      <c r="AX157" s="26"/>
    </row>
    <row r="158" spans="1:50" customFormat="1" ht="12.75" customHeight="1" x14ac:dyDescent="0.2">
      <c r="A158" s="41" t="s">
        <v>570</v>
      </c>
      <c r="B158" s="76" t="s">
        <v>151</v>
      </c>
      <c r="C158" s="76">
        <v>3</v>
      </c>
      <c r="D158" s="76">
        <v>2</v>
      </c>
      <c r="E158" s="97">
        <v>5.0199999999999996</v>
      </c>
      <c r="F158" s="76">
        <v>65</v>
      </c>
      <c r="G158" s="76">
        <v>0</v>
      </c>
      <c r="H158" s="76">
        <v>0</v>
      </c>
      <c r="I158" s="76">
        <v>0</v>
      </c>
      <c r="J158" s="76">
        <v>0</v>
      </c>
      <c r="K158" s="76">
        <v>2</v>
      </c>
      <c r="L158" s="258">
        <f>INDEX('C-P-RollAdj'!$P$4:$P$900,MATCH((U158),'C-P-RollAdj'!$O$4:$O$900,FALSE),0)</f>
        <v>71.67</v>
      </c>
      <c r="M158" s="76">
        <v>80</v>
      </c>
      <c r="N158" s="76">
        <v>46</v>
      </c>
      <c r="O158" s="76">
        <v>40</v>
      </c>
      <c r="P158" s="76">
        <v>13</v>
      </c>
      <c r="Q158" s="76">
        <v>24</v>
      </c>
      <c r="R158" s="76">
        <v>0</v>
      </c>
      <c r="S158" s="76">
        <v>80</v>
      </c>
      <c r="T158" s="76">
        <v>315</v>
      </c>
      <c r="U158" s="76">
        <v>71.2</v>
      </c>
      <c r="V158" s="100">
        <v>0.28000000000000003</v>
      </c>
      <c r="W158" s="76">
        <v>1.45</v>
      </c>
      <c r="X158" s="50"/>
      <c r="Y158" s="50">
        <f t="shared" si="31"/>
        <v>7.6190476190476195</v>
      </c>
      <c r="Z158" s="6">
        <f>IF(Y158&lt;LeagueRatings!$K$10,((LeagueRatings!$K$10-Y158)/LeagueRatings!$K$10)*36,(LeagueRatings!$K$10-Y158)*6.48)</f>
        <v>4.3549055504504057</v>
      </c>
      <c r="AA158" s="16">
        <f>INDEX('C-P-RollAdj'!$B$4:$B$76,MATCH(INT(Z158),'C-P-RollAdj'!$A$4:$A$76,FALSE),0)</f>
        <v>-0.32</v>
      </c>
      <c r="AB158" s="16">
        <f t="shared" si="32"/>
        <v>4.1269841269841265</v>
      </c>
      <c r="AC158" s="6">
        <f>IF(AB158&lt;LeagueRatings!$K$8,((LeagueRatings!$K$8-AB158)/LeagueRatings!$K$8)*36,(LeagueRatings!$K$8-AB158)/LeagueRatings!$K$11)</f>
        <v>-7.343063484421207</v>
      </c>
      <c r="AD158" s="16">
        <f>INDEX('C-P-RollAdj'!$F$4:$F$76,MATCH(INT(AC158),'C-P-RollAdj'!$E$4:$E$76,FALSE),0)</f>
        <v>0.71</v>
      </c>
      <c r="AE158" s="17">
        <f>+((LeagueRatings!$I$6-E158)*5)+9.5</f>
        <v>5.4080514552774055</v>
      </c>
      <c r="AF158" s="17">
        <f t="shared" si="33"/>
        <v>5.4080514552774055</v>
      </c>
      <c r="AG158" s="17">
        <f t="shared" si="34"/>
        <v>-0.58113576112738929</v>
      </c>
      <c r="AH158" s="4">
        <f t="shared" si="35"/>
        <v>5.2169156941500159</v>
      </c>
      <c r="AI158" s="41" t="s">
        <v>570</v>
      </c>
      <c r="AJ158" s="5" t="s">
        <v>24</v>
      </c>
      <c r="AK158" s="219">
        <f>INDEX('C-P-RollAdj'!$J$4:$J$76,MATCH(INT(Z158),'C-P-RollAdj'!$I$4:$I$76,FALSE),0)</f>
        <v>14</v>
      </c>
      <c r="AL158" s="219">
        <f>INDEX('C-P-RollAdj'!$J$4:$J$76,MATCH(INT(AC158),'C-P-RollAdj'!$I$4:$I$76,FALSE),0)</f>
        <v>-22</v>
      </c>
      <c r="AM158" s="14">
        <f>+AR158*LeagueRatings!$K$27</f>
        <v>40</v>
      </c>
      <c r="AN158" s="72">
        <f>F158*LeagueRatings!$K$27</f>
        <v>36.111111111111114</v>
      </c>
      <c r="AO158" s="72">
        <f>G158*LeagueRatings!$K$27</f>
        <v>0</v>
      </c>
      <c r="AP158" s="72">
        <f>T158*LeagueRatings!$K$27</f>
        <v>175</v>
      </c>
      <c r="AQ158" s="24"/>
      <c r="AR158" s="72">
        <f t="shared" si="30"/>
        <v>72</v>
      </c>
      <c r="AS158" s="113"/>
      <c r="AT158" s="113"/>
      <c r="AU158" s="113"/>
      <c r="AV158" s="24"/>
      <c r="AW158" s="3">
        <v>46</v>
      </c>
      <c r="AX158" s="24"/>
    </row>
    <row r="159" spans="1:50" x14ac:dyDescent="0.2">
      <c r="A159" s="107"/>
      <c r="C159"/>
      <c r="D159" s="3"/>
      <c r="G159" s="62"/>
      <c r="I159" s="176"/>
      <c r="J159" s="62"/>
      <c r="K159" s="3"/>
      <c r="N159"/>
      <c r="R159" s="62"/>
      <c r="S159" s="2"/>
      <c r="T159"/>
      <c r="U159"/>
      <c r="X159" s="50"/>
      <c r="Y159" s="50"/>
      <c r="Z159" s="6"/>
      <c r="AB159" s="16"/>
      <c r="AC159" s="6"/>
      <c r="AE159" s="17"/>
      <c r="AF159" s="17"/>
      <c r="AG159" s="17"/>
      <c r="AH159" s="4"/>
      <c r="AI159" s="107"/>
      <c r="AM159" s="14"/>
      <c r="AN159" s="72"/>
      <c r="AO159" s="72"/>
      <c r="AP159" s="72"/>
      <c r="AR159" s="72"/>
      <c r="AW159" s="111"/>
    </row>
    <row r="160" spans="1:50" x14ac:dyDescent="0.2">
      <c r="A160" s="69" t="s">
        <v>106</v>
      </c>
      <c r="B160" s="70" t="s">
        <v>157</v>
      </c>
      <c r="C160" s="71" t="s">
        <v>85</v>
      </c>
      <c r="D160" s="70" t="s">
        <v>86</v>
      </c>
      <c r="E160" s="71" t="s">
        <v>87</v>
      </c>
      <c r="F160" s="70" t="s">
        <v>108</v>
      </c>
      <c r="G160" s="70" t="s">
        <v>88</v>
      </c>
      <c r="H160" s="182" t="s">
        <v>89</v>
      </c>
      <c r="I160" s="178" t="s">
        <v>317</v>
      </c>
      <c r="J160" s="72" t="s">
        <v>90</v>
      </c>
      <c r="K160" s="72" t="s">
        <v>158</v>
      </c>
      <c r="L160" s="71" t="s">
        <v>91</v>
      </c>
      <c r="M160" s="70" t="s">
        <v>92</v>
      </c>
      <c r="N160" s="70" t="s">
        <v>93</v>
      </c>
      <c r="O160" s="70" t="s">
        <v>94</v>
      </c>
      <c r="P160" s="70" t="s">
        <v>95</v>
      </c>
      <c r="Q160" s="70" t="s">
        <v>96</v>
      </c>
      <c r="R160" s="70" t="s">
        <v>98</v>
      </c>
      <c r="S160" s="70" t="s">
        <v>97</v>
      </c>
      <c r="T160" s="70" t="s">
        <v>109</v>
      </c>
      <c r="U160" s="155" t="s">
        <v>91</v>
      </c>
      <c r="V160" s="250" t="s">
        <v>1517</v>
      </c>
      <c r="W160" s="155" t="s">
        <v>1072</v>
      </c>
      <c r="X160" s="117"/>
      <c r="Y160" s="117" t="s">
        <v>2</v>
      </c>
      <c r="Z160" s="116" t="s">
        <v>3</v>
      </c>
      <c r="AA160" s="117" t="s">
        <v>4</v>
      </c>
      <c r="AB160" s="118" t="s">
        <v>5</v>
      </c>
      <c r="AC160" s="116" t="s">
        <v>6</v>
      </c>
      <c r="AD160" s="117" t="s">
        <v>7</v>
      </c>
      <c r="AE160" s="119" t="s">
        <v>8</v>
      </c>
      <c r="AF160" s="119" t="s">
        <v>81</v>
      </c>
      <c r="AG160" s="119" t="s">
        <v>9</v>
      </c>
      <c r="AH160" s="128" t="s">
        <v>10</v>
      </c>
      <c r="AI160" s="69" t="s">
        <v>106</v>
      </c>
      <c r="AJ160" s="7" t="s">
        <v>11</v>
      </c>
      <c r="AK160" s="7" t="s">
        <v>12</v>
      </c>
      <c r="AL160" s="7" t="s">
        <v>13</v>
      </c>
      <c r="AM160" s="14"/>
      <c r="AN160" s="72"/>
      <c r="AO160" s="72"/>
      <c r="AP160" s="72"/>
      <c r="AQ160" s="122"/>
      <c r="AR160" s="72"/>
      <c r="AS160" s="114"/>
      <c r="AT160" s="114"/>
      <c r="AU160" s="114"/>
      <c r="AV160" s="122"/>
      <c r="AW160" s="71" t="s">
        <v>91</v>
      </c>
      <c r="AX160" s="122"/>
    </row>
    <row r="161" spans="1:50" x14ac:dyDescent="0.2">
      <c r="A161" s="69"/>
      <c r="B161" s="70"/>
      <c r="C161" s="71"/>
      <c r="D161" s="70"/>
      <c r="E161" s="71"/>
      <c r="F161" s="70"/>
      <c r="G161" s="70"/>
      <c r="H161" s="182"/>
      <c r="I161" s="178"/>
      <c r="J161" s="72"/>
      <c r="K161" s="72"/>
      <c r="L161" s="71"/>
      <c r="M161" s="70"/>
      <c r="N161" s="70"/>
      <c r="O161" s="70"/>
      <c r="P161" s="70"/>
      <c r="Q161" s="122"/>
      <c r="R161" s="70"/>
      <c r="S161" s="70"/>
      <c r="T161" s="70"/>
      <c r="U161" s="70"/>
      <c r="X161" s="50"/>
      <c r="Y161" s="50"/>
      <c r="Z161" s="6"/>
      <c r="AB161" s="16"/>
      <c r="AC161" s="6"/>
      <c r="AE161" s="17"/>
      <c r="AF161" s="17"/>
      <c r="AG161" s="17"/>
      <c r="AH161" s="4"/>
      <c r="AI161" s="69"/>
      <c r="AJ161" s="7"/>
      <c r="AK161" s="7"/>
      <c r="AL161" s="7"/>
      <c r="AM161" s="14"/>
      <c r="AN161" s="72"/>
      <c r="AO161" s="72"/>
      <c r="AP161" s="72"/>
      <c r="AQ161" s="122"/>
      <c r="AR161" s="72"/>
      <c r="AV161" s="122"/>
      <c r="AW161" s="71"/>
      <c r="AX161" s="122"/>
    </row>
    <row r="162" spans="1:50" customFormat="1" ht="12.75" customHeight="1" x14ac:dyDescent="0.2">
      <c r="A162" s="41" t="s">
        <v>592</v>
      </c>
      <c r="B162" s="76" t="s">
        <v>152</v>
      </c>
      <c r="C162" s="76">
        <v>3</v>
      </c>
      <c r="D162" s="76">
        <v>6</v>
      </c>
      <c r="E162" s="97">
        <v>3.08</v>
      </c>
      <c r="F162" s="76">
        <v>73</v>
      </c>
      <c r="G162" s="76">
        <v>0</v>
      </c>
      <c r="H162" s="76">
        <v>0</v>
      </c>
      <c r="I162" s="76">
        <v>0</v>
      </c>
      <c r="J162" s="76">
        <v>12</v>
      </c>
      <c r="K162" s="76">
        <v>17</v>
      </c>
      <c r="L162" s="258">
        <f>INDEX('C-P-RollAdj'!$P$4:$P$900,MATCH((U162),'C-P-RollAdj'!$O$4:$O$900,FALSE),0)</f>
        <v>73</v>
      </c>
      <c r="M162" s="76">
        <v>54</v>
      </c>
      <c r="N162" s="76">
        <v>31</v>
      </c>
      <c r="O162" s="76">
        <v>25</v>
      </c>
      <c r="P162" s="76">
        <v>5</v>
      </c>
      <c r="Q162" s="76">
        <v>28</v>
      </c>
      <c r="R162" s="76">
        <v>0</v>
      </c>
      <c r="S162" s="76">
        <v>126</v>
      </c>
      <c r="T162" s="76">
        <v>299</v>
      </c>
      <c r="U162" s="76">
        <v>73</v>
      </c>
      <c r="V162" s="100">
        <v>0.20100000000000001</v>
      </c>
      <c r="W162" s="76">
        <v>1.1200000000000001</v>
      </c>
      <c r="X162" s="50"/>
      <c r="Y162" s="50">
        <f t="shared" ref="Y162:Y176" si="36">+(Q162-R162)/(T162-R162)*100</f>
        <v>9.3645484949832767</v>
      </c>
      <c r="Z162" s="6">
        <f>IF(Y162&lt;LeagueRatings!$K$10,((LeagueRatings!$K$10-Y162)/LeagueRatings!$K$10)*36,(LeagueRatings!$K$10-Y162)*6.48)</f>
        <v>-4.516493753297973</v>
      </c>
      <c r="AA162" s="16">
        <f>INDEX('C-P-RollAdj'!$B$4:$B$76,MATCH(INT(Z162),'C-P-RollAdj'!$A$4:$A$76,FALSE),0)</f>
        <v>0.44999999999999996</v>
      </c>
      <c r="AB162" s="16">
        <f t="shared" ref="AB162:AB176" si="37">(P162/(T162-R162))*100</f>
        <v>1.6722408026755853</v>
      </c>
      <c r="AC162" s="6">
        <f>IF(AB162&lt;LeagueRatings!$K$8,((LeagueRatings!$K$8-AB162)/LeagueRatings!$K$8)*36,(LeagueRatings!$K$8-AB162)/LeagueRatings!$K$11)</f>
        <v>17.200320085356097</v>
      </c>
      <c r="AD162" s="16">
        <f>INDEX('C-P-RollAdj'!$F$4:$F$76,MATCH(INT(AC162),'C-P-RollAdj'!$E$4:$E$76,FALSE),0)</f>
        <v>-1.32</v>
      </c>
      <c r="AE162" s="17">
        <f>+((LeagueRatings!$I$6-E162)*5)+9.5</f>
        <v>15.108051455277403</v>
      </c>
      <c r="AF162" s="17">
        <f t="shared" ref="AF162:AF176" si="38">IF(AE162&lt;4,4,AE162)</f>
        <v>15.108051455277403</v>
      </c>
      <c r="AG162" s="17">
        <f t="shared" ref="AG162:AG176" si="39">IF(M162&lt;L162,((1-(M162/L162))*7)-0.07,(1-(M162/L162))*5)</f>
        <v>1.7519178082191782</v>
      </c>
      <c r="AH162" s="4">
        <f t="shared" ref="AH162:AH176" si="40">+AA162+AD162+AF162+AG162</f>
        <v>15.989969263496581</v>
      </c>
      <c r="AI162" s="41" t="s">
        <v>592</v>
      </c>
      <c r="AJ162" s="5" t="s">
        <v>31</v>
      </c>
      <c r="AK162" s="219">
        <f>INDEX('C-P-RollAdj'!$J$4:$J$76,MATCH(INT(Z162),'C-P-RollAdj'!$I$4:$I$76,FALSE),0)</f>
        <v>-15</v>
      </c>
      <c r="AL162" s="219">
        <f>INDEX('C-P-RollAdj'!$J$4:$J$76,MATCH(INT(AC162),'C-P-RollAdj'!$I$4:$I$76,FALSE),0)</f>
        <v>35</v>
      </c>
      <c r="AM162" s="14">
        <f>+AR162*LeagueRatings!$K$27</f>
        <v>40.555555555555557</v>
      </c>
      <c r="AN162" s="72">
        <f>F162*LeagueRatings!$K$27</f>
        <v>40.555555555555557</v>
      </c>
      <c r="AO162" s="72">
        <f>G162*LeagueRatings!$K$27</f>
        <v>0</v>
      </c>
      <c r="AP162" s="72">
        <f>T162*LeagueRatings!$K$27</f>
        <v>166.11111111111111</v>
      </c>
      <c r="AQ162" s="24"/>
      <c r="AR162" s="72">
        <f t="shared" si="30"/>
        <v>73</v>
      </c>
      <c r="AS162" s="113"/>
      <c r="AT162" s="113"/>
      <c r="AU162" s="113"/>
      <c r="AV162" s="24"/>
      <c r="AW162" s="97">
        <v>42</v>
      </c>
      <c r="AX162" s="24"/>
    </row>
    <row r="163" spans="1:50" s="122" customFormat="1" x14ac:dyDescent="0.2">
      <c r="A163" s="41" t="s">
        <v>1355</v>
      </c>
      <c r="B163" s="76" t="s">
        <v>152</v>
      </c>
      <c r="C163" s="76">
        <v>0</v>
      </c>
      <c r="D163" s="76">
        <v>0</v>
      </c>
      <c r="E163" s="97">
        <v>1.96</v>
      </c>
      <c r="F163" s="76">
        <v>23</v>
      </c>
      <c r="G163" s="76">
        <v>0</v>
      </c>
      <c r="H163" s="76">
        <v>0</v>
      </c>
      <c r="I163" s="76">
        <v>0</v>
      </c>
      <c r="J163" s="76">
        <v>0</v>
      </c>
      <c r="K163" s="76">
        <v>0</v>
      </c>
      <c r="L163" s="258">
        <f>INDEX('C-P-RollAdj'!$P$4:$P$900,MATCH((U163),'C-P-RollAdj'!$O$4:$O$900,FALSE),0)</f>
        <v>23</v>
      </c>
      <c r="M163" s="76">
        <v>20</v>
      </c>
      <c r="N163" s="76">
        <v>6</v>
      </c>
      <c r="O163" s="76">
        <v>5</v>
      </c>
      <c r="P163" s="76">
        <v>0</v>
      </c>
      <c r="Q163" s="76">
        <v>4</v>
      </c>
      <c r="R163" s="76">
        <v>0</v>
      </c>
      <c r="S163" s="76">
        <v>13</v>
      </c>
      <c r="T163" s="76">
        <v>92</v>
      </c>
      <c r="U163" s="76">
        <v>23</v>
      </c>
      <c r="V163" s="100">
        <v>0.23300000000000001</v>
      </c>
      <c r="W163" s="76">
        <v>1.04</v>
      </c>
      <c r="X163" s="50"/>
      <c r="Y163" s="50">
        <f t="shared" si="36"/>
        <v>4.3478260869565215</v>
      </c>
      <c r="Z163" s="6">
        <f>IF(Y163&lt;LeagueRatings!$K$10,((LeagueRatings!$K$10-Y163)/LeagueRatings!$K$10)*36,(LeagueRatings!$K$10-Y163)*6.48)</f>
        <v>17.94165805868094</v>
      </c>
      <c r="AA163" s="16">
        <f>INDEX('C-P-RollAdj'!$B$4:$B$76,MATCH(INT(Z163),'C-P-RollAdj'!$A$4:$A$76,FALSE),0)</f>
        <v>-1.49</v>
      </c>
      <c r="AB163" s="16">
        <f t="shared" si="37"/>
        <v>0</v>
      </c>
      <c r="AC163" s="6">
        <f>IF(AB163&lt;LeagueRatings!$K$8,((LeagueRatings!$K$8-AB163)/LeagueRatings!$K$8)*36,(LeagueRatings!$K$8-AB163)/LeagueRatings!$K$11)</f>
        <v>36</v>
      </c>
      <c r="AD163" s="16">
        <f>INDEX('C-P-RollAdj'!$F$4:$F$76,MATCH(INT(AC163),'C-P-RollAdj'!$E$4:$E$76,FALSE),0)</f>
        <v>-3.26</v>
      </c>
      <c r="AE163" s="17">
        <f>+((LeagueRatings!$I$6-E163)*5)+9.5</f>
        <v>20.708051455277403</v>
      </c>
      <c r="AF163" s="17">
        <f t="shared" si="38"/>
        <v>20.708051455277403</v>
      </c>
      <c r="AG163" s="17">
        <f t="shared" si="39"/>
        <v>0.84304347826086978</v>
      </c>
      <c r="AH163" s="4">
        <f t="shared" si="40"/>
        <v>16.801094933538273</v>
      </c>
      <c r="AI163" s="41" t="s">
        <v>1355</v>
      </c>
      <c r="AJ163" s="5" t="s">
        <v>53</v>
      </c>
      <c r="AK163" s="219">
        <f>INDEX('C-P-RollAdj'!$J$4:$J$76,MATCH(INT(Z163),'C-P-RollAdj'!$I$4:$I$76,FALSE),0)</f>
        <v>35</v>
      </c>
      <c r="AL163" s="219">
        <f>INDEX('C-P-RollAdj'!$J$4:$J$76,MATCH(INT(AC163),'C-P-RollAdj'!$I$4:$I$76,FALSE),0)</f>
        <v>66</v>
      </c>
      <c r="AM163" s="14">
        <f>+AR163*LeagueRatings!$K$27</f>
        <v>12.777777777777779</v>
      </c>
      <c r="AN163" s="72">
        <f>F163*LeagueRatings!$K$27</f>
        <v>12.777777777777779</v>
      </c>
      <c r="AO163" s="72">
        <f>G163*LeagueRatings!$K$27</f>
        <v>0</v>
      </c>
      <c r="AP163" s="72">
        <f>T163*LeagueRatings!$K$27</f>
        <v>51.111111111111114</v>
      </c>
      <c r="AQ163" s="24"/>
      <c r="AR163" s="72">
        <f t="shared" si="30"/>
        <v>23</v>
      </c>
      <c r="AS163" s="113"/>
      <c r="AT163" s="113"/>
      <c r="AU163" s="113"/>
      <c r="AV163" s="24"/>
      <c r="AW163" s="97">
        <v>50.33</v>
      </c>
      <c r="AX163" s="24"/>
    </row>
    <row r="164" spans="1:50" s="30" customFormat="1" x14ac:dyDescent="0.2">
      <c r="A164" s="41" t="s">
        <v>1357</v>
      </c>
      <c r="B164" s="76" t="s">
        <v>152</v>
      </c>
      <c r="C164" s="76">
        <v>4</v>
      </c>
      <c r="D164" s="76">
        <v>4</v>
      </c>
      <c r="E164" s="97">
        <v>4.3499999999999996</v>
      </c>
      <c r="F164" s="76">
        <v>17</v>
      </c>
      <c r="G164" s="76">
        <v>9</v>
      </c>
      <c r="H164" s="76">
        <v>0</v>
      </c>
      <c r="I164" s="76">
        <v>0</v>
      </c>
      <c r="J164" s="76">
        <v>0</v>
      </c>
      <c r="K164" s="76">
        <v>0</v>
      </c>
      <c r="L164" s="258">
        <f>INDEX('C-P-RollAdj'!$P$4:$P$900,MATCH((U164),'C-P-RollAdj'!$O$4:$O$900,FALSE),0)</f>
        <v>70.33</v>
      </c>
      <c r="M164" s="76">
        <v>64</v>
      </c>
      <c r="N164" s="76">
        <v>36</v>
      </c>
      <c r="O164" s="76">
        <v>34</v>
      </c>
      <c r="P164" s="76">
        <v>16</v>
      </c>
      <c r="Q164" s="76">
        <v>14</v>
      </c>
      <c r="R164" s="76">
        <v>0</v>
      </c>
      <c r="S164" s="76">
        <v>46</v>
      </c>
      <c r="T164" s="76">
        <v>285</v>
      </c>
      <c r="U164" s="76">
        <v>70.099999999999994</v>
      </c>
      <c r="V164" s="100">
        <v>0.24099999999999999</v>
      </c>
      <c r="W164" s="76">
        <v>1.1100000000000001</v>
      </c>
      <c r="X164" s="50"/>
      <c r="Y164" s="50">
        <f t="shared" si="36"/>
        <v>4.9122807017543861</v>
      </c>
      <c r="Z164" s="6">
        <f>IF(Y164&lt;LeagueRatings!$K$10,((LeagueRatings!$K$10-Y164)/LeagueRatings!$K$10)*36,(LeagueRatings!$K$10-Y164)*6.48)</f>
        <v>15.597241736474604</v>
      </c>
      <c r="AA164" s="16">
        <f>INDEX('C-P-RollAdj'!$B$4:$B$76,MATCH(INT(Z164),'C-P-RollAdj'!$A$4:$A$76,FALSE),0)</f>
        <v>-1.29</v>
      </c>
      <c r="AB164" s="16">
        <f t="shared" si="37"/>
        <v>5.6140350877192979</v>
      </c>
      <c r="AC164" s="6">
        <f>IF(AB164&lt;LeagueRatings!$K$8,((LeagueRatings!$K$8-AB164)/LeagueRatings!$K$8)*36,(LeagueRatings!$K$8-AB164)/LeagueRatings!$K$11)</f>
        <v>-19.150921115982054</v>
      </c>
      <c r="AD164" s="16">
        <f>INDEX('C-P-RollAdj'!$F$4:$F$76,MATCH(INT(AC164),'C-P-RollAdj'!$E$4:$E$76,FALSE),0)</f>
        <v>2.17</v>
      </c>
      <c r="AE164" s="17">
        <f>+((LeagueRatings!$I$6-E164)*5)+9.5</f>
        <v>8.7580514552774051</v>
      </c>
      <c r="AF164" s="17">
        <f t="shared" si="38"/>
        <v>8.7580514552774051</v>
      </c>
      <c r="AG164" s="17">
        <f t="shared" si="39"/>
        <v>0.56002985923503479</v>
      </c>
      <c r="AH164" s="4">
        <f t="shared" si="40"/>
        <v>10.198081314512441</v>
      </c>
      <c r="AI164" s="41" t="s">
        <v>1357</v>
      </c>
      <c r="AJ164" s="94" t="s">
        <v>68</v>
      </c>
      <c r="AK164" s="219">
        <f>INDEX('C-P-RollAdj'!$J$4:$J$76,MATCH(INT(Z164),'C-P-RollAdj'!$I$4:$I$76,FALSE),0)</f>
        <v>33</v>
      </c>
      <c r="AL164" s="219">
        <f>INDEX('C-P-RollAdj'!$J$4:$J$76,MATCH(INT(AC164),'C-P-RollAdj'!$I$4:$I$76,FALSE),0)</f>
        <v>-42</v>
      </c>
      <c r="AM164" s="14">
        <f>+AR164*LeagueRatings!$K$27</f>
        <v>39.444444444444443</v>
      </c>
      <c r="AN164" s="72">
        <f>F164*LeagueRatings!$K$27</f>
        <v>9.4444444444444446</v>
      </c>
      <c r="AO164" s="72">
        <f>G164*LeagueRatings!$K$27</f>
        <v>5</v>
      </c>
      <c r="AP164" s="72">
        <f>T164*LeagueRatings!$K$27</f>
        <v>158.33333333333334</v>
      </c>
      <c r="AQ164" s="76"/>
      <c r="AR164" s="72">
        <f t="shared" si="30"/>
        <v>71</v>
      </c>
      <c r="AS164" s="113"/>
      <c r="AT164" s="113"/>
      <c r="AU164" s="113"/>
      <c r="AV164" s="76"/>
      <c r="AW164" s="97">
        <v>34.67</v>
      </c>
      <c r="AX164"/>
    </row>
    <row r="165" spans="1:50" customFormat="1" ht="12.75" customHeight="1" x14ac:dyDescent="0.2">
      <c r="A165" s="41" t="s">
        <v>474</v>
      </c>
      <c r="B165" s="76" t="s">
        <v>152</v>
      </c>
      <c r="C165" s="76">
        <v>2</v>
      </c>
      <c r="D165" s="76">
        <v>3</v>
      </c>
      <c r="E165" s="97">
        <v>2.4900000000000002</v>
      </c>
      <c r="F165" s="76">
        <v>29</v>
      </c>
      <c r="G165" s="76">
        <v>0</v>
      </c>
      <c r="H165" s="76">
        <v>0</v>
      </c>
      <c r="I165" s="76">
        <v>0</v>
      </c>
      <c r="J165" s="76">
        <v>2</v>
      </c>
      <c r="K165" s="76">
        <v>3</v>
      </c>
      <c r="L165" s="258">
        <f>INDEX('C-P-RollAdj'!$P$4:$P$900,MATCH((U165),'C-P-RollAdj'!$O$4:$O$900,FALSE),0)</f>
        <v>25.33</v>
      </c>
      <c r="M165" s="76">
        <v>20</v>
      </c>
      <c r="N165" s="76">
        <v>9</v>
      </c>
      <c r="O165" s="76">
        <v>7</v>
      </c>
      <c r="P165" s="76">
        <v>3</v>
      </c>
      <c r="Q165" s="76">
        <v>11</v>
      </c>
      <c r="R165" s="76">
        <v>2</v>
      </c>
      <c r="S165" s="76">
        <v>26</v>
      </c>
      <c r="T165" s="76">
        <v>107</v>
      </c>
      <c r="U165" s="76">
        <v>25.1</v>
      </c>
      <c r="V165" s="100">
        <v>0.21099999999999999</v>
      </c>
      <c r="W165" s="76">
        <v>1.22</v>
      </c>
      <c r="X165" s="50"/>
      <c r="Y165" s="50">
        <f t="shared" si="36"/>
        <v>8.5714285714285712</v>
      </c>
      <c r="Z165" s="6">
        <f>IF(Y165&lt;LeagueRatings!$K$10,((LeagueRatings!$K$10-Y165)/LeagueRatings!$K$10)*36,(LeagueRatings!$K$10-Y165)*6.48)</f>
        <v>0.39926874425670955</v>
      </c>
      <c r="AA165" s="16">
        <f>INDEX('C-P-RollAdj'!$B$4:$B$76,MATCH(INT(Z165),'C-P-RollAdj'!$A$4:$A$76,FALSE),0)</f>
        <v>0</v>
      </c>
      <c r="AB165" s="16">
        <f t="shared" si="37"/>
        <v>2.8571428571428572</v>
      </c>
      <c r="AC165" s="6">
        <f>IF(AB165&lt;LeagueRatings!$K$8,((LeagueRatings!$K$8-AB165)/LeagueRatings!$K$8)*36,(LeagueRatings!$K$8-AB165)/LeagueRatings!$K$11)</f>
        <v>3.8794040315512719</v>
      </c>
      <c r="AD165" s="16">
        <f>INDEX('C-P-RollAdj'!$F$4:$F$76,MATCH(INT(AC165),'C-P-RollAdj'!$E$4:$E$76,FALSE),0)</f>
        <v>-0.21000000000000002</v>
      </c>
      <c r="AE165" s="17">
        <f>+((LeagueRatings!$I$6-E165)*5)+9.5</f>
        <v>18.058051455277401</v>
      </c>
      <c r="AF165" s="17">
        <f t="shared" si="38"/>
        <v>18.058051455277401</v>
      </c>
      <c r="AG165" s="17">
        <f t="shared" si="39"/>
        <v>1.4029569680221077</v>
      </c>
      <c r="AH165" s="4">
        <f t="shared" si="40"/>
        <v>19.251008423299506</v>
      </c>
      <c r="AI165" s="41" t="s">
        <v>474</v>
      </c>
      <c r="AJ165" s="94" t="s">
        <v>67</v>
      </c>
      <c r="AK165" s="219">
        <f>INDEX('C-P-RollAdj'!$J$4:$J$76,MATCH(INT(Z165),'C-P-RollAdj'!$I$4:$I$76,FALSE),0)</f>
        <v>0</v>
      </c>
      <c r="AL165" s="219">
        <f>INDEX('C-P-RollAdj'!$J$4:$J$76,MATCH(INT(AC165),'C-P-RollAdj'!$I$4:$I$76,FALSE),0)</f>
        <v>13</v>
      </c>
      <c r="AM165" s="14">
        <f>+AR165*LeagueRatings!$K$27</f>
        <v>14.444444444444445</v>
      </c>
      <c r="AN165" s="72">
        <f>F165*LeagueRatings!$K$27</f>
        <v>16.111111111111111</v>
      </c>
      <c r="AO165" s="72">
        <f>G165*LeagueRatings!$K$27</f>
        <v>0</v>
      </c>
      <c r="AP165" s="72">
        <f>T165*LeagueRatings!$K$27</f>
        <v>59.44444444444445</v>
      </c>
      <c r="AQ165" s="76"/>
      <c r="AR165" s="72">
        <f t="shared" si="30"/>
        <v>26</v>
      </c>
      <c r="AS165" s="113"/>
      <c r="AT165" s="113"/>
      <c r="AU165" s="113"/>
      <c r="AV165" s="76"/>
      <c r="AW165" s="97">
        <v>145.66999999999999</v>
      </c>
      <c r="AX165" s="23"/>
    </row>
    <row r="166" spans="1:50" s="23" customFormat="1" ht="12.75" customHeight="1" x14ac:dyDescent="0.2">
      <c r="A166" s="41" t="s">
        <v>393</v>
      </c>
      <c r="B166" s="76" t="s">
        <v>152</v>
      </c>
      <c r="C166" s="76">
        <v>9</v>
      </c>
      <c r="D166" s="76">
        <v>8</v>
      </c>
      <c r="E166" s="97">
        <v>4.76</v>
      </c>
      <c r="F166" s="76">
        <v>24</v>
      </c>
      <c r="G166" s="76">
        <v>21</v>
      </c>
      <c r="H166" s="76">
        <v>0</v>
      </c>
      <c r="I166" s="76">
        <v>0</v>
      </c>
      <c r="J166" s="76">
        <v>0</v>
      </c>
      <c r="K166" s="76">
        <v>0</v>
      </c>
      <c r="L166" s="258">
        <f>INDEX('C-P-RollAdj'!$P$4:$P$900,MATCH((U166),'C-P-RollAdj'!$O$4:$O$900,FALSE),0)</f>
        <v>124.67</v>
      </c>
      <c r="M166" s="76">
        <v>123</v>
      </c>
      <c r="N166" s="76">
        <v>66</v>
      </c>
      <c r="O166" s="76">
        <v>66</v>
      </c>
      <c r="P166" s="76">
        <v>23</v>
      </c>
      <c r="Q166" s="76">
        <v>40</v>
      </c>
      <c r="R166" s="76">
        <v>2</v>
      </c>
      <c r="S166" s="76">
        <v>97</v>
      </c>
      <c r="T166" s="76">
        <v>525</v>
      </c>
      <c r="U166" s="76">
        <v>124.2</v>
      </c>
      <c r="V166" s="100">
        <v>0.255</v>
      </c>
      <c r="W166" s="76">
        <v>1.31</v>
      </c>
      <c r="X166" s="50"/>
      <c r="Y166" s="50">
        <f t="shared" si="36"/>
        <v>7.2657743785850863</v>
      </c>
      <c r="Z166" s="6">
        <f>IF(Y166&lt;LeagueRatings!$K$10,((LeagueRatings!$K$10-Y166)/LeagueRatings!$K$10)*36,(LeagueRatings!$K$10-Y166)*6.48)</f>
        <v>5.8221972146981651</v>
      </c>
      <c r="AA166" s="16">
        <f>INDEX('C-P-RollAdj'!$B$4:$B$76,MATCH(INT(Z166),'C-P-RollAdj'!$A$4:$A$76,FALSE),0)</f>
        <v>-0.4</v>
      </c>
      <c r="AB166" s="16">
        <f t="shared" si="37"/>
        <v>4.3977055449330784</v>
      </c>
      <c r="AC166" s="6">
        <f>IF(AB166&lt;LeagueRatings!$K$8,((LeagueRatings!$K$8-AB166)/LeagueRatings!$K$8)*36,(LeagueRatings!$K$8-AB166)/LeagueRatings!$K$11)</f>
        <v>-9.4927140649064548</v>
      </c>
      <c r="AD166" s="16">
        <f>INDEX('C-P-RollAdj'!$F$4:$F$76,MATCH(INT(AC166),'C-P-RollAdj'!$E$4:$E$76,FALSE),0)</f>
        <v>0.92</v>
      </c>
      <c r="AE166" s="17">
        <f>+((LeagueRatings!$I$6-E166)*5)+9.5</f>
        <v>6.7080514552774044</v>
      </c>
      <c r="AF166" s="17">
        <f t="shared" si="38"/>
        <v>6.7080514552774044</v>
      </c>
      <c r="AG166" s="17">
        <f t="shared" si="39"/>
        <v>2.3767546322290667E-2</v>
      </c>
      <c r="AH166" s="4">
        <f t="shared" si="40"/>
        <v>7.2518190015996948</v>
      </c>
      <c r="AI166" s="41" t="s">
        <v>393</v>
      </c>
      <c r="AJ166" s="5" t="s">
        <v>55</v>
      </c>
      <c r="AK166" s="219">
        <f>INDEX('C-P-RollAdj'!$J$4:$J$76,MATCH(INT(Z166),'C-P-RollAdj'!$I$4:$I$76,FALSE),0)</f>
        <v>15</v>
      </c>
      <c r="AL166" s="219">
        <f>INDEX('C-P-RollAdj'!$J$4:$J$76,MATCH(INT(AC166),'C-P-RollAdj'!$I$4:$I$76,FALSE),0)</f>
        <v>-24</v>
      </c>
      <c r="AM166" s="14">
        <f>+AR166*LeagueRatings!$K$27</f>
        <v>69.444444444444443</v>
      </c>
      <c r="AN166" s="72">
        <f>F166*LeagueRatings!$K$27</f>
        <v>13.333333333333334</v>
      </c>
      <c r="AO166" s="72">
        <f>G166*LeagueRatings!$K$27</f>
        <v>11.666666666666668</v>
      </c>
      <c r="AP166" s="72">
        <f>T166*LeagueRatings!$K$27</f>
        <v>291.66666666666669</v>
      </c>
      <c r="AQ166" s="24"/>
      <c r="AR166" s="72">
        <f t="shared" si="30"/>
        <v>125</v>
      </c>
      <c r="AS166" s="113"/>
      <c r="AT166" s="113"/>
      <c r="AU166" s="113"/>
      <c r="AV166" s="24"/>
      <c r="AW166" s="97">
        <v>53.33</v>
      </c>
      <c r="AX166" s="24"/>
    </row>
    <row r="167" spans="1:50" x14ac:dyDescent="0.2">
      <c r="A167" s="41" t="s">
        <v>1199</v>
      </c>
      <c r="B167" s="76" t="s">
        <v>152</v>
      </c>
      <c r="C167" s="76">
        <v>0</v>
      </c>
      <c r="D167" s="76">
        <v>0</v>
      </c>
      <c r="E167" s="97">
        <v>4.66</v>
      </c>
      <c r="F167" s="76">
        <v>27</v>
      </c>
      <c r="G167" s="76">
        <v>0</v>
      </c>
      <c r="H167" s="76">
        <v>0</v>
      </c>
      <c r="I167" s="76">
        <v>0</v>
      </c>
      <c r="J167" s="76">
        <v>0</v>
      </c>
      <c r="K167" s="76">
        <v>0</v>
      </c>
      <c r="L167" s="258">
        <f>INDEX('C-P-RollAdj'!$P$4:$P$900,MATCH((U167),'C-P-RollAdj'!$O$4:$O$900,FALSE),0)</f>
        <v>29</v>
      </c>
      <c r="M167" s="76">
        <v>30</v>
      </c>
      <c r="N167" s="76">
        <v>15</v>
      </c>
      <c r="O167" s="76">
        <v>15</v>
      </c>
      <c r="P167" s="76">
        <v>7</v>
      </c>
      <c r="Q167" s="76">
        <v>12</v>
      </c>
      <c r="R167" s="76">
        <v>1</v>
      </c>
      <c r="S167" s="76">
        <v>34</v>
      </c>
      <c r="T167" s="76">
        <v>128</v>
      </c>
      <c r="U167" s="76">
        <v>29</v>
      </c>
      <c r="V167" s="100">
        <v>0.26500000000000001</v>
      </c>
      <c r="W167" s="76">
        <v>1.45</v>
      </c>
      <c r="X167" s="50"/>
      <c r="Y167" s="50">
        <f t="shared" si="36"/>
        <v>8.6614173228346463</v>
      </c>
      <c r="Z167" s="6">
        <f>IF(Y167&lt;LeagueRatings!$K$10,((LeagueRatings!$K$10-Y167)/LeagueRatings!$K$10)*36,(LeagueRatings!$K$10-Y167)*6.48)</f>
        <v>2.5507786191159648E-2</v>
      </c>
      <c r="AA167" s="16">
        <f>INDEX('C-P-RollAdj'!$B$4:$B$76,MATCH(INT(Z167),'C-P-RollAdj'!$A$4:$A$76,FALSE),0)</f>
        <v>0</v>
      </c>
      <c r="AB167" s="16">
        <f t="shared" si="37"/>
        <v>5.5118110236220472</v>
      </c>
      <c r="AC167" s="6">
        <f>IF(AB167&lt;LeagueRatings!$K$8,((LeagueRatings!$K$8-AB167)/LeagueRatings!$K$8)*36,(LeagueRatings!$K$8-AB167)/LeagueRatings!$K$11)</f>
        <v>-18.339215782909175</v>
      </c>
      <c r="AD167" s="16">
        <f>INDEX('C-P-RollAdj'!$F$4:$F$76,MATCH(INT(AC167),'C-P-RollAdj'!$E$4:$E$76,FALSE),0)</f>
        <v>2.0299999999999998</v>
      </c>
      <c r="AE167" s="17">
        <f>+((LeagueRatings!$I$6-E167)*5)+9.5</f>
        <v>7.2080514552774027</v>
      </c>
      <c r="AF167" s="17">
        <f t="shared" si="38"/>
        <v>7.2080514552774027</v>
      </c>
      <c r="AG167" s="17">
        <f t="shared" si="39"/>
        <v>-0.17241379310344862</v>
      </c>
      <c r="AH167" s="4">
        <f t="shared" si="40"/>
        <v>9.0656376621739536</v>
      </c>
      <c r="AI167" s="41" t="s">
        <v>1199</v>
      </c>
      <c r="AJ167" s="5" t="s">
        <v>34</v>
      </c>
      <c r="AK167" s="219">
        <f>INDEX('C-P-RollAdj'!$J$4:$J$76,MATCH(INT(Z167),'C-P-RollAdj'!$I$4:$I$76,FALSE),0)</f>
        <v>0</v>
      </c>
      <c r="AL167" s="219">
        <f>INDEX('C-P-RollAdj'!$J$4:$J$76,MATCH(INT(AC167),'C-P-RollAdj'!$I$4:$I$76,FALSE),0)</f>
        <v>-41</v>
      </c>
      <c r="AM167" s="14">
        <f>+AR167*LeagueRatings!$K$27</f>
        <v>16.111111111111111</v>
      </c>
      <c r="AN167" s="72">
        <f>F167*LeagueRatings!$K$27</f>
        <v>15</v>
      </c>
      <c r="AO167" s="72">
        <f>G167*LeagueRatings!$K$27</f>
        <v>0</v>
      </c>
      <c r="AP167" s="72">
        <f>T167*LeagueRatings!$K$27</f>
        <v>71.111111111111114</v>
      </c>
      <c r="AR167" s="72">
        <f t="shared" si="30"/>
        <v>29</v>
      </c>
      <c r="AW167" s="97">
        <v>201.33</v>
      </c>
    </row>
    <row r="168" spans="1:50" x14ac:dyDescent="0.2">
      <c r="A168" s="41" t="s">
        <v>437</v>
      </c>
      <c r="B168" s="76" t="s">
        <v>152</v>
      </c>
      <c r="C168" s="76">
        <v>2</v>
      </c>
      <c r="D168" s="76">
        <v>0</v>
      </c>
      <c r="E168" s="97">
        <v>3.38</v>
      </c>
      <c r="F168" s="76">
        <v>29</v>
      </c>
      <c r="G168" s="76">
        <v>0</v>
      </c>
      <c r="H168" s="76">
        <v>0</v>
      </c>
      <c r="I168" s="76">
        <v>0</v>
      </c>
      <c r="J168" s="76">
        <v>1</v>
      </c>
      <c r="K168" s="76">
        <v>2</v>
      </c>
      <c r="L168" s="258">
        <f>INDEX('C-P-RollAdj'!$P$4:$P$900,MATCH((U168),'C-P-RollAdj'!$O$4:$O$900,FALSE),0)</f>
        <v>16</v>
      </c>
      <c r="M168" s="76">
        <v>10</v>
      </c>
      <c r="N168" s="76">
        <v>6</v>
      </c>
      <c r="O168" s="76">
        <v>6</v>
      </c>
      <c r="P168" s="76">
        <v>2</v>
      </c>
      <c r="Q168" s="76">
        <v>7</v>
      </c>
      <c r="R168" s="76">
        <v>1</v>
      </c>
      <c r="S168" s="76">
        <v>13</v>
      </c>
      <c r="T168" s="76">
        <v>67</v>
      </c>
      <c r="U168" s="76">
        <v>16</v>
      </c>
      <c r="V168" s="100">
        <v>0.17499999999999999</v>
      </c>
      <c r="W168" s="76">
        <v>1.06</v>
      </c>
      <c r="X168" s="50"/>
      <c r="Y168" s="50">
        <f t="shared" si="36"/>
        <v>9.0909090909090917</v>
      </c>
      <c r="Z168" s="6">
        <f>IF(Y168&lt;LeagueRatings!$K$10,((LeagueRatings!$K$10-Y168)/LeagueRatings!$K$10)*36,(LeagueRatings!$K$10-Y168)*6.48)</f>
        <v>-2.743310414897254</v>
      </c>
      <c r="AA168" s="16">
        <f>INDEX('C-P-RollAdj'!$B$4:$B$76,MATCH(INT(Z168),'C-P-RollAdj'!$A$4:$A$76,FALSE),0)</f>
        <v>0.27</v>
      </c>
      <c r="AB168" s="16">
        <f t="shared" si="37"/>
        <v>3.0303030303030303</v>
      </c>
      <c r="AC168" s="6">
        <f>IF(AB168&lt;LeagueRatings!$K$8,((LeagueRatings!$K$8-AB168)/LeagueRatings!$K$8)*36,(LeagueRatings!$K$8-AB168)/LeagueRatings!$K$11)</f>
        <v>1.932701245584683</v>
      </c>
      <c r="AD168" s="16">
        <f>INDEX('C-P-RollAdj'!$F$4:$F$76,MATCH(INT(AC168),'C-P-RollAdj'!$E$4:$E$76,FALSE),0)</f>
        <v>-7.0000000000000007E-2</v>
      </c>
      <c r="AE168" s="17">
        <f>+((LeagueRatings!$I$6-E168)*5)+9.5</f>
        <v>13.608051455277405</v>
      </c>
      <c r="AF168" s="17">
        <f t="shared" si="38"/>
        <v>13.608051455277405</v>
      </c>
      <c r="AG168" s="17">
        <f t="shared" si="39"/>
        <v>2.5550000000000002</v>
      </c>
      <c r="AH168" s="4">
        <f t="shared" si="40"/>
        <v>16.363051455277404</v>
      </c>
      <c r="AI168" s="41" t="s">
        <v>437</v>
      </c>
      <c r="AJ168" s="5" t="s">
        <v>31</v>
      </c>
      <c r="AK168" s="219">
        <f>INDEX('C-P-RollAdj'!$J$4:$J$76,MATCH(INT(Z168),'C-P-RollAdj'!$I$4:$I$76,FALSE),0)</f>
        <v>-13</v>
      </c>
      <c r="AL168" s="219">
        <f>INDEX('C-P-RollAdj'!$J$4:$J$76,MATCH(INT(AC168),'C-P-RollAdj'!$I$4:$I$76,FALSE),0)</f>
        <v>11</v>
      </c>
      <c r="AM168" s="14">
        <f>+AR168*LeagueRatings!$K$27</f>
        <v>8.8888888888888893</v>
      </c>
      <c r="AN168" s="72">
        <f>F168*LeagueRatings!$K$27</f>
        <v>16.111111111111111</v>
      </c>
      <c r="AO168" s="72">
        <f>G168*LeagueRatings!$K$27</f>
        <v>0</v>
      </c>
      <c r="AP168" s="72">
        <f>T168*LeagueRatings!$K$27</f>
        <v>37.222222222222221</v>
      </c>
      <c r="AR168" s="72">
        <f t="shared" si="30"/>
        <v>16</v>
      </c>
      <c r="AW168" s="97">
        <v>39</v>
      </c>
    </row>
    <row r="169" spans="1:50" customFormat="1" ht="12.75" customHeight="1" x14ac:dyDescent="0.2">
      <c r="A169" s="41" t="s">
        <v>813</v>
      </c>
      <c r="B169" s="76" t="s">
        <v>152</v>
      </c>
      <c r="C169" s="76">
        <v>6</v>
      </c>
      <c r="D169" s="76">
        <v>12</v>
      </c>
      <c r="E169" s="97">
        <v>4.82</v>
      </c>
      <c r="F169" s="76">
        <v>32</v>
      </c>
      <c r="G169" s="76">
        <v>32</v>
      </c>
      <c r="H169" s="76">
        <v>0</v>
      </c>
      <c r="I169" s="76">
        <v>0</v>
      </c>
      <c r="J169" s="76">
        <v>0</v>
      </c>
      <c r="K169" s="76">
        <v>0</v>
      </c>
      <c r="L169" s="258">
        <f>INDEX('C-P-RollAdj'!$P$4:$P$900,MATCH((U169),'C-P-RollAdj'!$O$4:$O$900,FALSE),0)</f>
        <v>175.67000000000002</v>
      </c>
      <c r="M169" s="76">
        <v>184</v>
      </c>
      <c r="N169" s="76">
        <v>98</v>
      </c>
      <c r="O169" s="76">
        <v>94</v>
      </c>
      <c r="P169" s="76">
        <v>27</v>
      </c>
      <c r="Q169" s="76">
        <v>53</v>
      </c>
      <c r="R169" s="76">
        <v>1</v>
      </c>
      <c r="S169" s="76">
        <v>207</v>
      </c>
      <c r="T169" s="76">
        <v>756</v>
      </c>
      <c r="U169" s="76">
        <v>175.2</v>
      </c>
      <c r="V169" s="100">
        <v>0.26600000000000001</v>
      </c>
      <c r="W169" s="76">
        <v>1.35</v>
      </c>
      <c r="X169" s="50"/>
      <c r="Y169" s="50">
        <f t="shared" si="36"/>
        <v>6.887417218543046</v>
      </c>
      <c r="Z169" s="6">
        <f>IF(Y169&lt;LeagueRatings!$K$10,((LeagueRatings!$K$10-Y169)/LeagueRatings!$K$10)*36,(LeagueRatings!$K$10-Y169)*6.48)</f>
        <v>7.3936728982548399</v>
      </c>
      <c r="AA169" s="16">
        <f>INDEX('C-P-RollAdj'!$B$4:$B$76,MATCH(INT(Z169),'C-P-RollAdj'!$A$4:$A$76,FALSE),0)</f>
        <v>-0.56000000000000005</v>
      </c>
      <c r="AB169" s="16">
        <f t="shared" si="37"/>
        <v>3.576158940397351</v>
      </c>
      <c r="AC169" s="6">
        <f>IF(AB169&lt;LeagueRatings!$K$8,((LeagueRatings!$K$8-AB169)/LeagueRatings!$K$8)*36,(LeagueRatings!$K$8-AB169)/LeagueRatings!$K$11)</f>
        <v>-2.9692622127559161</v>
      </c>
      <c r="AD169" s="16">
        <f>INDEX('C-P-RollAdj'!$F$4:$F$76,MATCH(INT(AC169),'C-P-RollAdj'!$E$4:$E$76,FALSE),0)</f>
        <v>0.24</v>
      </c>
      <c r="AE169" s="17">
        <f>+((LeagueRatings!$I$6-E169)*5)+9.5</f>
        <v>6.4080514552774019</v>
      </c>
      <c r="AF169" s="17">
        <f t="shared" si="38"/>
        <v>6.4080514552774019</v>
      </c>
      <c r="AG169" s="17">
        <f t="shared" si="39"/>
        <v>-0.23709227528889376</v>
      </c>
      <c r="AH169" s="4">
        <f t="shared" si="40"/>
        <v>5.8509591799885081</v>
      </c>
      <c r="AI169" s="41" t="s">
        <v>813</v>
      </c>
      <c r="AJ169" s="94" t="s">
        <v>24</v>
      </c>
      <c r="AK169" s="219">
        <f>INDEX('C-P-RollAdj'!$J$4:$J$76,MATCH(INT(Z169),'C-P-RollAdj'!$I$4:$I$76,FALSE),0)</f>
        <v>21</v>
      </c>
      <c r="AL169" s="219">
        <f>INDEX('C-P-RollAdj'!$J$4:$J$76,MATCH(INT(AC169),'C-P-RollAdj'!$I$4:$I$76,FALSE),0)</f>
        <v>-13</v>
      </c>
      <c r="AM169" s="14">
        <f>+AR169*LeagueRatings!$K$27</f>
        <v>97.777777777777786</v>
      </c>
      <c r="AN169" s="72">
        <f>F169*LeagueRatings!$K$27</f>
        <v>17.777777777777779</v>
      </c>
      <c r="AO169" s="72">
        <f>G169*LeagueRatings!$K$27</f>
        <v>17.777777777777779</v>
      </c>
      <c r="AP169" s="72">
        <f>T169*LeagueRatings!$K$27</f>
        <v>420</v>
      </c>
      <c r="AQ169" s="76"/>
      <c r="AR169" s="72">
        <f t="shared" si="30"/>
        <v>176</v>
      </c>
      <c r="AS169" s="113"/>
      <c r="AT169" s="113"/>
      <c r="AU169" s="113"/>
      <c r="AV169" s="76"/>
      <c r="AW169" s="97">
        <v>139.33000000000001</v>
      </c>
      <c r="AX169" s="23"/>
    </row>
    <row r="170" spans="1:50" x14ac:dyDescent="0.2">
      <c r="A170" s="41" t="s">
        <v>588</v>
      </c>
      <c r="B170" s="76" t="s">
        <v>152</v>
      </c>
      <c r="C170" s="76">
        <v>9</v>
      </c>
      <c r="D170" s="76">
        <v>12</v>
      </c>
      <c r="E170" s="97">
        <v>3.91</v>
      </c>
      <c r="F170" s="76">
        <v>30</v>
      </c>
      <c r="G170" s="76">
        <v>30</v>
      </c>
      <c r="H170" s="76">
        <v>0</v>
      </c>
      <c r="I170" s="76">
        <v>0</v>
      </c>
      <c r="J170" s="76">
        <v>0</v>
      </c>
      <c r="K170" s="76">
        <v>0</v>
      </c>
      <c r="L170" s="258">
        <f>INDEX('C-P-RollAdj'!$P$4:$P$900,MATCH((U170),'C-P-RollAdj'!$O$4:$O$900,FALSE),0)</f>
        <v>179.67000000000002</v>
      </c>
      <c r="M170" s="76">
        <v>172</v>
      </c>
      <c r="N170" s="76">
        <v>83</v>
      </c>
      <c r="O170" s="76">
        <v>78</v>
      </c>
      <c r="P170" s="76">
        <v>22</v>
      </c>
      <c r="Q170" s="76">
        <v>65</v>
      </c>
      <c r="R170" s="76">
        <v>1</v>
      </c>
      <c r="S170" s="76">
        <v>152</v>
      </c>
      <c r="T170" s="76">
        <v>768</v>
      </c>
      <c r="U170" s="76">
        <v>179.2</v>
      </c>
      <c r="V170" s="100">
        <v>0.25</v>
      </c>
      <c r="W170" s="76">
        <v>1.32</v>
      </c>
      <c r="X170" s="50"/>
      <c r="Y170" s="50">
        <f t="shared" si="36"/>
        <v>8.3441981747066496</v>
      </c>
      <c r="Z170" s="6">
        <f>IF(Y170&lt;LeagueRatings!$K$10,((LeagueRatings!$K$10-Y170)/LeagueRatings!$K$10)*36,(LeagueRatings!$K$10-Y170)*6.48)</f>
        <v>1.3430517110539002</v>
      </c>
      <c r="AA170" s="16">
        <f>INDEX('C-P-RollAdj'!$B$4:$B$76,MATCH(INT(Z170),'C-P-RollAdj'!$A$4:$A$76,FALSE),0)</f>
        <v>-0.08</v>
      </c>
      <c r="AB170" s="16">
        <f t="shared" si="37"/>
        <v>2.8683181225554106</v>
      </c>
      <c r="AC170" s="6">
        <f>IF(AB170&lt;LeagueRatings!$K$8,((LeagueRatings!$K$8-AB170)/LeagueRatings!$K$8)*36,(LeagueRatings!$K$8-AB170)/LeagueRatings!$K$11)</f>
        <v>3.7537693667463889</v>
      </c>
      <c r="AD170" s="16">
        <f>INDEX('C-P-RollAdj'!$F$4:$F$76,MATCH(INT(AC170),'C-P-RollAdj'!$E$4:$E$76,FALSE),0)</f>
        <v>-0.21000000000000002</v>
      </c>
      <c r="AE170" s="17">
        <f>+((LeagueRatings!$I$6-E170)*5)+9.5</f>
        <v>10.958051455277403</v>
      </c>
      <c r="AF170" s="17">
        <f t="shared" si="38"/>
        <v>10.958051455277403</v>
      </c>
      <c r="AG170" s="17">
        <f t="shared" si="39"/>
        <v>0.22882562475649854</v>
      </c>
      <c r="AH170" s="4">
        <f t="shared" si="40"/>
        <v>10.896877080033901</v>
      </c>
      <c r="AI170" s="41" t="s">
        <v>588</v>
      </c>
      <c r="AJ170" s="5" t="s">
        <v>68</v>
      </c>
      <c r="AK170" s="219">
        <f>INDEX('C-P-RollAdj'!$J$4:$J$76,MATCH(INT(Z170),'C-P-RollAdj'!$I$4:$I$76,FALSE),0)</f>
        <v>11</v>
      </c>
      <c r="AL170" s="219">
        <f>INDEX('C-P-RollAdj'!$J$4:$J$76,MATCH(INT(AC170),'C-P-RollAdj'!$I$4:$I$76,FALSE),0)</f>
        <v>13</v>
      </c>
      <c r="AM170" s="14">
        <f>+AR170*LeagueRatings!$K$27</f>
        <v>100</v>
      </c>
      <c r="AN170" s="72">
        <f>F170*LeagueRatings!$K$27</f>
        <v>16.666666666666668</v>
      </c>
      <c r="AO170" s="72">
        <f>G170*LeagueRatings!$K$27</f>
        <v>16.666666666666668</v>
      </c>
      <c r="AP170" s="72">
        <f>T170*LeagueRatings!$K$27</f>
        <v>426.66666666666669</v>
      </c>
      <c r="AR170" s="72">
        <f t="shared" si="30"/>
        <v>180</v>
      </c>
      <c r="AW170" s="97">
        <v>185.33</v>
      </c>
    </row>
    <row r="171" spans="1:50" s="23" customFormat="1" ht="12.75" customHeight="1" x14ac:dyDescent="0.2">
      <c r="A171" s="41" t="s">
        <v>1197</v>
      </c>
      <c r="B171" s="76" t="s">
        <v>152</v>
      </c>
      <c r="C171" s="76">
        <v>3</v>
      </c>
      <c r="D171" s="76">
        <v>8</v>
      </c>
      <c r="E171" s="97">
        <v>5.83</v>
      </c>
      <c r="F171" s="76">
        <v>22</v>
      </c>
      <c r="G171" s="76">
        <v>11</v>
      </c>
      <c r="H171" s="76">
        <v>0</v>
      </c>
      <c r="I171" s="76">
        <v>0</v>
      </c>
      <c r="J171" s="76">
        <v>0</v>
      </c>
      <c r="K171" s="76">
        <v>0</v>
      </c>
      <c r="L171" s="258">
        <f>INDEX('C-P-RollAdj'!$P$4:$P$900,MATCH((U171),'C-P-RollAdj'!$O$4:$O$900,FALSE),0)</f>
        <v>71</v>
      </c>
      <c r="M171" s="76">
        <v>78</v>
      </c>
      <c r="N171" s="76">
        <v>48</v>
      </c>
      <c r="O171" s="76">
        <v>46</v>
      </c>
      <c r="P171" s="76">
        <v>11</v>
      </c>
      <c r="Q171" s="76">
        <v>25</v>
      </c>
      <c r="R171" s="76">
        <v>1</v>
      </c>
      <c r="S171" s="76">
        <v>66</v>
      </c>
      <c r="T171" s="76">
        <v>312</v>
      </c>
      <c r="U171" s="76">
        <v>71</v>
      </c>
      <c r="V171" s="100">
        <v>0.27500000000000002</v>
      </c>
      <c r="W171" s="76">
        <v>1.45</v>
      </c>
      <c r="X171" s="50"/>
      <c r="Y171" s="50">
        <f t="shared" si="36"/>
        <v>7.7170418006430879</v>
      </c>
      <c r="Z171" s="6">
        <f>IF(Y171&lt;LeagueRatings!$K$10,((LeagueRatings!$K$10-Y171)/LeagueRatings!$K$10)*36,(LeagueRatings!$K$10-Y171)*6.48)</f>
        <v>3.9478946893629487</v>
      </c>
      <c r="AA171" s="16">
        <f>INDEX('C-P-RollAdj'!$B$4:$B$76,MATCH(INT(Z171),'C-P-RollAdj'!$A$4:$A$76,FALSE),0)</f>
        <v>-0.24</v>
      </c>
      <c r="AB171" s="16">
        <f t="shared" si="37"/>
        <v>3.536977491961415</v>
      </c>
      <c r="AC171" s="6">
        <f>IF(AB171&lt;LeagueRatings!$K$8,((LeagueRatings!$K$8-AB171)/LeagueRatings!$K$8)*36,(LeagueRatings!$K$8-AB171)/LeagueRatings!$K$11)</f>
        <v>-2.6581437795980167</v>
      </c>
      <c r="AD171" s="16">
        <f>INDEX('C-P-RollAdj'!$F$4:$F$76,MATCH(INT(AC171),'C-P-RollAdj'!$E$4:$E$76,FALSE),0)</f>
        <v>0.24</v>
      </c>
      <c r="AE171" s="17">
        <f>+((LeagueRatings!$I$6-E171)*5)+9.5</f>
        <v>1.358051455277403</v>
      </c>
      <c r="AF171" s="17">
        <f t="shared" si="38"/>
        <v>4</v>
      </c>
      <c r="AG171" s="17">
        <f t="shared" si="39"/>
        <v>-0.49295774647887369</v>
      </c>
      <c r="AH171" s="4">
        <f t="shared" si="40"/>
        <v>3.5070422535211261</v>
      </c>
      <c r="AI171" s="41" t="s">
        <v>1197</v>
      </c>
      <c r="AJ171" s="5" t="s">
        <v>60</v>
      </c>
      <c r="AK171" s="219">
        <f>INDEX('C-P-RollAdj'!$J$4:$J$76,MATCH(INT(Z171),'C-P-RollAdj'!$I$4:$I$76,FALSE),0)</f>
        <v>13</v>
      </c>
      <c r="AL171" s="219">
        <f>INDEX('C-P-RollAdj'!$J$4:$J$76,MATCH(INT(AC171),'C-P-RollAdj'!$I$4:$I$76,FALSE),0)</f>
        <v>-13</v>
      </c>
      <c r="AM171" s="14">
        <f>+AR171*LeagueRatings!$K$27</f>
        <v>39.444444444444443</v>
      </c>
      <c r="AN171" s="72">
        <f>F171*LeagueRatings!$K$27</f>
        <v>12.222222222222223</v>
      </c>
      <c r="AO171" s="72">
        <f>G171*LeagueRatings!$K$27</f>
        <v>6.1111111111111116</v>
      </c>
      <c r="AP171" s="72">
        <f>T171*LeagueRatings!$K$27</f>
        <v>173.33333333333334</v>
      </c>
      <c r="AQ171" s="24"/>
      <c r="AR171" s="72">
        <f t="shared" si="30"/>
        <v>71</v>
      </c>
      <c r="AS171" s="113"/>
      <c r="AT171" s="113"/>
      <c r="AU171" s="113"/>
      <c r="AV171" s="24"/>
      <c r="AW171" s="97">
        <v>86.67</v>
      </c>
      <c r="AX171" s="24"/>
    </row>
    <row r="172" spans="1:50" customFormat="1" ht="12.75" customHeight="1" x14ac:dyDescent="0.2">
      <c r="A172" s="41" t="s">
        <v>751</v>
      </c>
      <c r="B172" s="76" t="s">
        <v>152</v>
      </c>
      <c r="C172" s="76">
        <v>2</v>
      </c>
      <c r="D172" s="76">
        <v>1</v>
      </c>
      <c r="E172" s="97">
        <v>5.18</v>
      </c>
      <c r="F172" s="76">
        <v>37</v>
      </c>
      <c r="G172" s="76">
        <v>0</v>
      </c>
      <c r="H172" s="76">
        <v>0</v>
      </c>
      <c r="I172" s="76">
        <v>0</v>
      </c>
      <c r="J172" s="76">
        <v>1</v>
      </c>
      <c r="K172" s="76">
        <v>1</v>
      </c>
      <c r="L172" s="258">
        <f>INDEX('C-P-RollAdj'!$P$4:$P$900,MATCH((U172),'C-P-RollAdj'!$O$4:$O$900,FALSE),0)</f>
        <v>33</v>
      </c>
      <c r="M172" s="76">
        <v>29</v>
      </c>
      <c r="N172" s="76">
        <v>19</v>
      </c>
      <c r="O172" s="76">
        <v>19</v>
      </c>
      <c r="P172" s="76">
        <v>8</v>
      </c>
      <c r="Q172" s="76">
        <v>13</v>
      </c>
      <c r="R172" s="76">
        <v>0</v>
      </c>
      <c r="S172" s="76">
        <v>33</v>
      </c>
      <c r="T172" s="76">
        <v>142</v>
      </c>
      <c r="U172" s="76">
        <v>33</v>
      </c>
      <c r="V172" s="100">
        <v>0.23200000000000001</v>
      </c>
      <c r="W172" s="76">
        <v>1.27</v>
      </c>
      <c r="X172" s="50"/>
      <c r="Y172" s="50">
        <f t="shared" si="36"/>
        <v>9.1549295774647899</v>
      </c>
      <c r="Z172" s="6">
        <f>IF(Y172&lt;LeagueRatings!$K$10,((LeagueRatings!$K$10-Y172)/LeagueRatings!$K$10)*36,(LeagueRatings!$K$10-Y172)*6.48)</f>
        <v>-3.1581631677781781</v>
      </c>
      <c r="AA172" s="16">
        <f>INDEX('C-P-RollAdj'!$B$4:$B$76,MATCH(INT(Z172),'C-P-RollAdj'!$A$4:$A$76,FALSE),0)</f>
        <v>0.36</v>
      </c>
      <c r="AB172" s="16">
        <f t="shared" si="37"/>
        <v>5.6338028169014089</v>
      </c>
      <c r="AC172" s="6">
        <f>IF(AB172&lt;LeagueRatings!$K$8,((LeagueRatings!$K$8-AB172)/LeagueRatings!$K$8)*36,(LeagueRatings!$K$8-AB172)/LeagueRatings!$K$11)</f>
        <v>-19.30788583208447</v>
      </c>
      <c r="AD172" s="16">
        <f>INDEX('C-P-RollAdj'!$F$4:$F$76,MATCH(INT(AC172),'C-P-RollAdj'!$E$4:$E$76,FALSE),0)</f>
        <v>2.17</v>
      </c>
      <c r="AE172" s="17">
        <f>+((LeagueRatings!$I$6-E172)*5)+9.5</f>
        <v>4.6080514552774048</v>
      </c>
      <c r="AF172" s="17">
        <f t="shared" si="38"/>
        <v>4.6080514552774048</v>
      </c>
      <c r="AG172" s="17">
        <f t="shared" si="39"/>
        <v>0.77848484848484856</v>
      </c>
      <c r="AH172" s="4">
        <f t="shared" si="40"/>
        <v>7.9165363037622525</v>
      </c>
      <c r="AI172" s="41" t="s">
        <v>751</v>
      </c>
      <c r="AJ172" s="5" t="s">
        <v>55</v>
      </c>
      <c r="AK172" s="219">
        <f>INDEX('C-P-RollAdj'!$J$4:$J$76,MATCH(INT(Z172),'C-P-RollAdj'!$I$4:$I$76,FALSE),0)</f>
        <v>-14</v>
      </c>
      <c r="AL172" s="219">
        <f>INDEX('C-P-RollAdj'!$J$4:$J$76,MATCH(INT(AC172),'C-P-RollAdj'!$I$4:$I$76,FALSE),0)</f>
        <v>-42</v>
      </c>
      <c r="AM172" s="14">
        <f>+AR172*LeagueRatings!$K$27</f>
        <v>18.333333333333336</v>
      </c>
      <c r="AN172" s="72">
        <f>F172*LeagueRatings!$K$27</f>
        <v>20.555555555555557</v>
      </c>
      <c r="AO172" s="72">
        <f>G172*LeagueRatings!$K$27</f>
        <v>0</v>
      </c>
      <c r="AP172" s="72">
        <f>T172*LeagueRatings!$K$27</f>
        <v>78.888888888888886</v>
      </c>
      <c r="AQ172" s="24"/>
      <c r="AR172" s="72">
        <f t="shared" si="30"/>
        <v>33</v>
      </c>
      <c r="AS172" s="113"/>
      <c r="AT172" s="113"/>
      <c r="AU172" s="113"/>
      <c r="AV172" s="24"/>
      <c r="AW172" s="97">
        <v>64</v>
      </c>
      <c r="AX172" s="24"/>
    </row>
    <row r="173" spans="1:50" x14ac:dyDescent="0.2">
      <c r="A173" s="41" t="s">
        <v>572</v>
      </c>
      <c r="B173" s="76" t="s">
        <v>152</v>
      </c>
      <c r="C173" s="76">
        <v>1</v>
      </c>
      <c r="D173" s="76">
        <v>2</v>
      </c>
      <c r="E173" s="97">
        <v>5.52</v>
      </c>
      <c r="F173" s="76">
        <v>26</v>
      </c>
      <c r="G173" s="76">
        <v>0</v>
      </c>
      <c r="H173" s="76">
        <v>0</v>
      </c>
      <c r="I173" s="76">
        <v>0</v>
      </c>
      <c r="J173" s="76">
        <v>0</v>
      </c>
      <c r="K173" s="76">
        <v>1</v>
      </c>
      <c r="L173" s="258">
        <f>INDEX('C-P-RollAdj'!$P$4:$P$900,MATCH((U173),'C-P-RollAdj'!$O$4:$O$900,FALSE),0)</f>
        <v>31</v>
      </c>
      <c r="M173" s="76">
        <v>28</v>
      </c>
      <c r="N173" s="76">
        <v>19</v>
      </c>
      <c r="O173" s="76">
        <v>19</v>
      </c>
      <c r="P173" s="76">
        <v>10</v>
      </c>
      <c r="Q173" s="76">
        <v>7</v>
      </c>
      <c r="R173" s="76">
        <v>0</v>
      </c>
      <c r="S173" s="76">
        <v>31</v>
      </c>
      <c r="T173" s="76">
        <v>124</v>
      </c>
      <c r="U173" s="76">
        <v>31</v>
      </c>
      <c r="V173" s="100">
        <v>0.24299999999999999</v>
      </c>
      <c r="W173" s="76">
        <v>1.1299999999999999</v>
      </c>
      <c r="X173" s="50"/>
      <c r="Y173" s="50">
        <f t="shared" si="36"/>
        <v>5.6451612903225801</v>
      </c>
      <c r="Z173" s="6">
        <f>IF(Y173&lt;LeagueRatings!$K$10,((LeagueRatings!$K$10-Y173)/LeagueRatings!$K$10)*36,(LeagueRatings!$K$10-Y173)*6.48)</f>
        <v>12.553281834255092</v>
      </c>
      <c r="AA173" s="16">
        <f>INDEX('C-P-RollAdj'!$B$4:$B$76,MATCH(INT(Z173),'C-P-RollAdj'!$A$4:$A$76,FALSE),0)</f>
        <v>-1.01</v>
      </c>
      <c r="AB173" s="16">
        <f t="shared" si="37"/>
        <v>8.064516129032258</v>
      </c>
      <c r="AC173" s="6">
        <f>IF(AB173&lt;LeagueRatings!$K$8,((LeagueRatings!$K$8-AB173)/LeagueRatings!$K$8)*36,(LeagueRatings!$K$8-AB173)/LeagueRatings!$K$11)</f>
        <v>-38.608849612499419</v>
      </c>
      <c r="AD173" s="260">
        <v>4.8600000000000003</v>
      </c>
      <c r="AE173" s="17">
        <f>+((LeagueRatings!$I$6-E173)*5)+9.5</f>
        <v>2.9080514552774055</v>
      </c>
      <c r="AF173" s="17">
        <f t="shared" si="38"/>
        <v>4</v>
      </c>
      <c r="AG173" s="17">
        <f t="shared" si="39"/>
        <v>0.6074193548387099</v>
      </c>
      <c r="AH173" s="4">
        <f t="shared" si="40"/>
        <v>8.4574193548387111</v>
      </c>
      <c r="AI173" s="41" t="s">
        <v>572</v>
      </c>
      <c r="AJ173" s="94" t="s">
        <v>34</v>
      </c>
      <c r="AK173" s="219">
        <f>INDEX('C-P-RollAdj'!$J$4:$J$76,MATCH(INT(Z173),'C-P-RollAdj'!$I$4:$I$76,FALSE),0)</f>
        <v>26</v>
      </c>
      <c r="AL173" s="219">
        <v>-66</v>
      </c>
      <c r="AM173" s="14">
        <f>+AR173*LeagueRatings!$K$27</f>
        <v>17.222222222222221</v>
      </c>
      <c r="AN173" s="72">
        <f>F173*LeagueRatings!$K$27</f>
        <v>14.444444444444445</v>
      </c>
      <c r="AO173" s="72">
        <f>G173*LeagueRatings!$K$27</f>
        <v>0</v>
      </c>
      <c r="AP173" s="72">
        <f>T173*LeagueRatings!$K$27</f>
        <v>68.888888888888886</v>
      </c>
      <c r="AQ173" s="76"/>
      <c r="AR173" s="72">
        <f t="shared" si="30"/>
        <v>31</v>
      </c>
      <c r="AV173" s="76"/>
      <c r="AW173" s="97">
        <v>66.33</v>
      </c>
      <c r="AX173"/>
    </row>
    <row r="174" spans="1:50" x14ac:dyDescent="0.2">
      <c r="A174" s="41" t="s">
        <v>815</v>
      </c>
      <c r="B174" s="76" t="s">
        <v>152</v>
      </c>
      <c r="C174" s="76">
        <v>14</v>
      </c>
      <c r="D174" s="76">
        <v>4</v>
      </c>
      <c r="E174" s="97">
        <v>3.07</v>
      </c>
      <c r="F174" s="76">
        <v>31</v>
      </c>
      <c r="G174" s="76">
        <v>31</v>
      </c>
      <c r="H174" s="76">
        <v>0</v>
      </c>
      <c r="I174" s="76">
        <v>0</v>
      </c>
      <c r="J174" s="76">
        <v>0</v>
      </c>
      <c r="K174" s="76">
        <v>0</v>
      </c>
      <c r="L174" s="258">
        <f>INDEX('C-P-RollAdj'!$P$4:$P$900,MATCH((U174),'C-P-RollAdj'!$O$4:$O$900,FALSE),0)</f>
        <v>199.67000000000002</v>
      </c>
      <c r="M174" s="76">
        <v>179</v>
      </c>
      <c r="N174" s="76">
        <v>75</v>
      </c>
      <c r="O174" s="76">
        <v>68</v>
      </c>
      <c r="P174" s="76">
        <v>22</v>
      </c>
      <c r="Q174" s="76">
        <v>36</v>
      </c>
      <c r="R174" s="76">
        <v>0</v>
      </c>
      <c r="S174" s="76">
        <v>165</v>
      </c>
      <c r="T174" s="76">
        <v>805</v>
      </c>
      <c r="U174" s="76">
        <v>199.2</v>
      </c>
      <c r="V174" s="100">
        <v>0.23599999999999999</v>
      </c>
      <c r="W174" s="76">
        <v>1.08</v>
      </c>
      <c r="X174" s="50"/>
      <c r="Y174" s="50">
        <f t="shared" si="36"/>
        <v>4.4720496894409942</v>
      </c>
      <c r="Z174" s="6">
        <f>IF(Y174&lt;LeagueRatings!$K$10,((LeagueRatings!$K$10-Y174)/LeagueRatings!$K$10)*36,(LeagueRatings!$K$10-Y174)*6.48)</f>
        <v>17.425705431786106</v>
      </c>
      <c r="AA174" s="16">
        <f>INDEX('C-P-RollAdj'!$B$4:$B$76,MATCH(INT(Z174),'C-P-RollAdj'!$A$4:$A$76,FALSE),0)</f>
        <v>-1.49</v>
      </c>
      <c r="AB174" s="16">
        <f t="shared" si="37"/>
        <v>2.7329192546583849</v>
      </c>
      <c r="AC174" s="6">
        <f>IF(AB174&lt;LeagueRatings!$K$8,((LeagueRatings!$K$8-AB174)/LeagueRatings!$K$8)*36,(LeagueRatings!$K$8-AB174)/LeagueRatings!$K$11)</f>
        <v>5.2759516823533934</v>
      </c>
      <c r="AD174" s="16">
        <f>INDEX('C-P-RollAdj'!$F$4:$F$76,MATCH(INT(AC174),'C-P-RollAdj'!$E$4:$E$76,FALSE),0)</f>
        <v>-0.35000000000000003</v>
      </c>
      <c r="AE174" s="17">
        <f>+((LeagueRatings!$I$6-E174)*5)+9.5</f>
        <v>15.158051455277404</v>
      </c>
      <c r="AF174" s="17">
        <f t="shared" si="38"/>
        <v>15.158051455277404</v>
      </c>
      <c r="AG174" s="17">
        <f t="shared" si="39"/>
        <v>0.65464566534782476</v>
      </c>
      <c r="AH174" s="4">
        <f t="shared" si="40"/>
        <v>13.972697120625229</v>
      </c>
      <c r="AI174" s="41" t="s">
        <v>815</v>
      </c>
      <c r="AJ174" s="5" t="s">
        <v>21</v>
      </c>
      <c r="AK174" s="219">
        <f>INDEX('C-P-RollAdj'!$J$4:$J$76,MATCH(INT(Z174),'C-P-RollAdj'!$I$4:$I$76,FALSE),0)</f>
        <v>35</v>
      </c>
      <c r="AL174" s="219">
        <f>INDEX('C-P-RollAdj'!$J$4:$J$76,MATCH(INT(AC174),'C-P-RollAdj'!$I$4:$I$76,FALSE),0)</f>
        <v>15</v>
      </c>
      <c r="AM174" s="14">
        <f>+AR174*LeagueRatings!$K$27</f>
        <v>111.11111111111111</v>
      </c>
      <c r="AN174" s="72">
        <f>F174*LeagueRatings!$K$27</f>
        <v>17.222222222222221</v>
      </c>
      <c r="AO174" s="72">
        <f>G174*LeagueRatings!$K$27</f>
        <v>17.222222222222221</v>
      </c>
      <c r="AP174" s="72">
        <f>T174*LeagueRatings!$K$27</f>
        <v>447.22222222222223</v>
      </c>
      <c r="AR174" s="72">
        <f t="shared" si="30"/>
        <v>200</v>
      </c>
      <c r="AW174" s="97">
        <v>211</v>
      </c>
    </row>
    <row r="175" spans="1:50" x14ac:dyDescent="0.2">
      <c r="A175" s="41" t="s">
        <v>586</v>
      </c>
      <c r="B175" s="76" t="s">
        <v>152</v>
      </c>
      <c r="C175" s="76">
        <v>4</v>
      </c>
      <c r="D175" s="76">
        <v>2</v>
      </c>
      <c r="E175" s="97">
        <v>3.26</v>
      </c>
      <c r="F175" s="76">
        <v>29</v>
      </c>
      <c r="G175" s="76">
        <v>0</v>
      </c>
      <c r="H175" s="76">
        <v>0</v>
      </c>
      <c r="I175" s="76">
        <v>0</v>
      </c>
      <c r="J175" s="76">
        <v>0</v>
      </c>
      <c r="K175" s="76">
        <v>2</v>
      </c>
      <c r="L175" s="258">
        <f>INDEX('C-P-RollAdj'!$P$4:$P$900,MATCH((U175),'C-P-RollAdj'!$O$4:$O$900,FALSE),0)</f>
        <v>30.33</v>
      </c>
      <c r="M175" s="76">
        <v>28</v>
      </c>
      <c r="N175" s="76">
        <v>13</v>
      </c>
      <c r="O175" s="76">
        <v>11</v>
      </c>
      <c r="P175" s="76">
        <v>4</v>
      </c>
      <c r="Q175" s="76">
        <v>10</v>
      </c>
      <c r="R175" s="76">
        <v>2</v>
      </c>
      <c r="S175" s="76">
        <v>25</v>
      </c>
      <c r="T175" s="76">
        <v>125</v>
      </c>
      <c r="U175" s="76">
        <v>30.1</v>
      </c>
      <c r="V175" s="100">
        <v>0.25</v>
      </c>
      <c r="W175" s="76">
        <v>1.25</v>
      </c>
      <c r="X175" s="50"/>
      <c r="Y175" s="50">
        <f t="shared" si="36"/>
        <v>6.5040650406504072</v>
      </c>
      <c r="Z175" s="6">
        <f>IF(Y175&lt;LeagueRatings!$K$10,((LeagueRatings!$K$10-Y175)/LeagueRatings!$K$10)*36,(LeagueRatings!$K$10-Y175)*6.48)</f>
        <v>8.9858949820918088</v>
      </c>
      <c r="AA175" s="16">
        <f>INDEX('C-P-RollAdj'!$B$4:$B$76,MATCH(INT(Z175),'C-P-RollAdj'!$A$4:$A$76,FALSE),0)</f>
        <v>-0.65</v>
      </c>
      <c r="AB175" s="16">
        <f>(P175/(T175-R175))*100</f>
        <v>3.2520325203252036</v>
      </c>
      <c r="AC175" s="6">
        <f>IF(AB175&lt;LeagueRatings!$K$8,((LeagueRatings!$K$8-AB175)/LeagueRatings!$K$8)*36,(LeagueRatings!$K$8-AB175)/LeagueRatings!$K$11)</f>
        <v>-0.3955517455993065</v>
      </c>
      <c r="AD175" s="16">
        <f>INDEX('C-P-RollAdj'!$F$4:$F$76,MATCH(INT(AC175),'C-P-RollAdj'!$E$4:$E$76,FALSE),0)</f>
        <v>0.08</v>
      </c>
      <c r="AE175" s="17">
        <f>+((LeagueRatings!$I$6-E175)*5)+9.5</f>
        <v>14.208051455277404</v>
      </c>
      <c r="AF175" s="17">
        <f>IF(AE175&lt;4,4,AE175)</f>
        <v>14.208051455277404</v>
      </c>
      <c r="AG175" s="17">
        <f>IF(M175&lt;L175,((1-(M175/L175))*7)-0.07,(1-(M175/L175))*5)</f>
        <v>0.46775140125288467</v>
      </c>
      <c r="AH175" s="4">
        <f>+AA175+AD175+AF175+AG175</f>
        <v>14.105802856530289</v>
      </c>
      <c r="AI175" s="41" t="s">
        <v>586</v>
      </c>
      <c r="AJ175" s="5" t="s">
        <v>21</v>
      </c>
      <c r="AK175" s="219">
        <f>INDEX('C-P-RollAdj'!$J$4:$J$76,MATCH(INT(Z175),'C-P-RollAdj'!$I$4:$I$76,FALSE),0)</f>
        <v>22</v>
      </c>
      <c r="AL175" s="219">
        <f>INDEX('C-P-RollAdj'!$J$4:$J$76,MATCH(INT(AC175),'C-P-RollAdj'!$I$4:$I$76,FALSE),0)</f>
        <v>-11</v>
      </c>
      <c r="AM175" s="14">
        <f>+AR175*LeagueRatings!$K$27</f>
        <v>17.222222222222221</v>
      </c>
      <c r="AN175" s="72">
        <f>F175*LeagueRatings!$K$27</f>
        <v>16.111111111111111</v>
      </c>
      <c r="AO175" s="72">
        <f>G175*LeagueRatings!$K$27</f>
        <v>0</v>
      </c>
      <c r="AP175" s="72">
        <f>T175*LeagueRatings!$K$27</f>
        <v>69.444444444444443</v>
      </c>
      <c r="AR175" s="72">
        <f>ROUNDUP(L175,0)</f>
        <v>31</v>
      </c>
      <c r="AW175" s="97">
        <v>77</v>
      </c>
    </row>
    <row r="176" spans="1:50" x14ac:dyDescent="0.2">
      <c r="A176" s="41" t="s">
        <v>822</v>
      </c>
      <c r="B176" s="76" t="s">
        <v>152</v>
      </c>
      <c r="C176" s="76">
        <v>2</v>
      </c>
      <c r="D176" s="76">
        <v>1</v>
      </c>
      <c r="E176" s="97">
        <v>5.23</v>
      </c>
      <c r="F176" s="76">
        <v>41</v>
      </c>
      <c r="G176" s="76">
        <v>0</v>
      </c>
      <c r="H176" s="76">
        <v>0</v>
      </c>
      <c r="I176" s="76">
        <v>0</v>
      </c>
      <c r="J176" s="76">
        <v>0</v>
      </c>
      <c r="K176" s="76">
        <v>2</v>
      </c>
      <c r="L176" s="258">
        <f>INDEX('C-P-RollAdj'!$P$4:$P$900,MATCH((U176),'C-P-RollAdj'!$O$4:$O$900,FALSE),0)</f>
        <v>41.33</v>
      </c>
      <c r="M176" s="76">
        <v>41</v>
      </c>
      <c r="N176" s="76">
        <v>24</v>
      </c>
      <c r="O176" s="76">
        <v>24</v>
      </c>
      <c r="P176" s="76">
        <v>5</v>
      </c>
      <c r="Q176" s="76">
        <v>19</v>
      </c>
      <c r="R176" s="76">
        <v>1</v>
      </c>
      <c r="S176" s="76">
        <v>50</v>
      </c>
      <c r="T176" s="76">
        <v>184</v>
      </c>
      <c r="U176" s="76">
        <v>41.1</v>
      </c>
      <c r="V176" s="100">
        <v>0.25800000000000001</v>
      </c>
      <c r="W176" s="76">
        <v>1.45</v>
      </c>
      <c r="X176" s="50"/>
      <c r="Y176" s="50">
        <f t="shared" si="36"/>
        <v>9.8360655737704921</v>
      </c>
      <c r="Z176" s="6">
        <f>IF(Y176&lt;LeagueRatings!$K$10,((LeagueRatings!$K$10-Y176)/LeagueRatings!$K$10)*36,(LeagueRatings!$K$10-Y176)*6.48)</f>
        <v>-7.5719244238391283</v>
      </c>
      <c r="AA176" s="16">
        <f>INDEX('C-P-RollAdj'!$B$4:$B$76,MATCH(INT(Z176),'C-P-RollAdj'!$A$4:$A$76,FALSE),0)</f>
        <v>0.76</v>
      </c>
      <c r="AB176" s="16">
        <f t="shared" si="37"/>
        <v>2.7322404371584699</v>
      </c>
      <c r="AC176" s="6">
        <f>IF(AB176&lt;LeagueRatings!$K$8,((LeagueRatings!$K$8-AB176)/LeagueRatings!$K$8)*36,(LeagueRatings!$K$8-AB176)/LeagueRatings!$K$11)</f>
        <v>5.2835830902812724</v>
      </c>
      <c r="AD176" s="16">
        <f>INDEX('C-P-RollAdj'!$F$4:$F$76,MATCH(INT(AC176),'C-P-RollAdj'!$E$4:$E$76,FALSE),0)</f>
        <v>-0.35000000000000003</v>
      </c>
      <c r="AE176" s="17">
        <f>+((LeagueRatings!$I$6-E176)*5)+9.5</f>
        <v>4.3580514552774012</v>
      </c>
      <c r="AF176" s="17">
        <f t="shared" si="38"/>
        <v>4.3580514552774012</v>
      </c>
      <c r="AG176" s="17">
        <f t="shared" si="39"/>
        <v>-1.4108395838374477E-2</v>
      </c>
      <c r="AH176" s="4">
        <f t="shared" si="40"/>
        <v>4.7539430594390266</v>
      </c>
      <c r="AI176" s="41" t="s">
        <v>822</v>
      </c>
      <c r="AJ176" s="5" t="s">
        <v>19</v>
      </c>
      <c r="AK176" s="219">
        <f>INDEX('C-P-RollAdj'!$J$4:$J$76,MATCH(INT(Z176),'C-P-RollAdj'!$I$4:$I$76,FALSE),0)</f>
        <v>-22</v>
      </c>
      <c r="AL176" s="219">
        <f>INDEX('C-P-RollAdj'!$J$4:$J$76,MATCH(INT(AC176),'C-P-RollAdj'!$I$4:$I$76,FALSE),0)</f>
        <v>15</v>
      </c>
      <c r="AM176" s="14">
        <f>+AR176*LeagueRatings!$K$27</f>
        <v>23.333333333333336</v>
      </c>
      <c r="AN176" s="72">
        <f>F176*LeagueRatings!$K$27</f>
        <v>22.777777777777779</v>
      </c>
      <c r="AO176" s="72">
        <f>G176*LeagueRatings!$K$27</f>
        <v>0</v>
      </c>
      <c r="AP176" s="72">
        <f>T176*LeagueRatings!$K$27</f>
        <v>102.22222222222223</v>
      </c>
      <c r="AR176" s="72">
        <f t="shared" si="30"/>
        <v>42</v>
      </c>
      <c r="AW176" s="97">
        <v>77</v>
      </c>
    </row>
    <row r="177" spans="1:50" customFormat="1" ht="12.75" customHeight="1" x14ac:dyDescent="0.2">
      <c r="A177" s="107"/>
      <c r="D177" s="3"/>
      <c r="E177" s="3"/>
      <c r="G177" s="62"/>
      <c r="H177" s="176"/>
      <c r="I177" s="176"/>
      <c r="J177" s="62"/>
      <c r="K177" s="3"/>
      <c r="L177" s="111"/>
      <c r="R177" s="62"/>
      <c r="S177" s="2"/>
      <c r="V177" s="2"/>
      <c r="X177" s="50"/>
      <c r="Y177" s="50"/>
      <c r="Z177" s="6"/>
      <c r="AA177" s="16"/>
      <c r="AB177" s="16"/>
      <c r="AC177" s="6"/>
      <c r="AD177" s="16"/>
      <c r="AE177" s="17"/>
      <c r="AF177" s="17"/>
      <c r="AG177" s="17"/>
      <c r="AH177" s="4"/>
      <c r="AI177" s="107"/>
      <c r="AJ177" s="94"/>
      <c r="AK177" s="94"/>
      <c r="AL177" s="94"/>
      <c r="AM177" s="14"/>
      <c r="AN177" s="72"/>
      <c r="AO177" s="72"/>
      <c r="AP177" s="72"/>
      <c r="AQ177" s="76"/>
      <c r="AR177" s="72"/>
      <c r="AS177" s="113"/>
      <c r="AT177" s="113"/>
      <c r="AU177" s="113"/>
      <c r="AV177" s="76"/>
      <c r="AW177" s="111"/>
    </row>
    <row r="178" spans="1:50" x14ac:dyDescent="0.2">
      <c r="A178" s="69" t="s">
        <v>106</v>
      </c>
      <c r="B178" s="70" t="s">
        <v>157</v>
      </c>
      <c r="C178" s="71" t="s">
        <v>85</v>
      </c>
      <c r="D178" s="70" t="s">
        <v>86</v>
      </c>
      <c r="E178" s="71" t="s">
        <v>87</v>
      </c>
      <c r="F178" s="70" t="s">
        <v>108</v>
      </c>
      <c r="G178" s="70" t="s">
        <v>88</v>
      </c>
      <c r="H178" s="182" t="s">
        <v>89</v>
      </c>
      <c r="I178" s="178" t="s">
        <v>317</v>
      </c>
      <c r="J178" s="72" t="s">
        <v>90</v>
      </c>
      <c r="K178" s="72" t="s">
        <v>158</v>
      </c>
      <c r="L178" s="71" t="s">
        <v>91</v>
      </c>
      <c r="M178" s="70" t="s">
        <v>92</v>
      </c>
      <c r="N178" s="70" t="s">
        <v>93</v>
      </c>
      <c r="O178" s="70" t="s">
        <v>94</v>
      </c>
      <c r="P178" s="70" t="s">
        <v>95</v>
      </c>
      <c r="Q178" s="70" t="s">
        <v>96</v>
      </c>
      <c r="R178" s="70" t="s">
        <v>98</v>
      </c>
      <c r="S178" s="70" t="s">
        <v>97</v>
      </c>
      <c r="T178" s="70" t="s">
        <v>109</v>
      </c>
      <c r="U178" s="155" t="s">
        <v>91</v>
      </c>
      <c r="V178" s="250" t="s">
        <v>1517</v>
      </c>
      <c r="W178" s="155" t="s">
        <v>1072</v>
      </c>
      <c r="X178" s="117"/>
      <c r="Y178" s="117" t="s">
        <v>2</v>
      </c>
      <c r="Z178" s="116" t="s">
        <v>3</v>
      </c>
      <c r="AA178" s="117" t="s">
        <v>4</v>
      </c>
      <c r="AB178" s="118" t="s">
        <v>5</v>
      </c>
      <c r="AC178" s="116" t="s">
        <v>6</v>
      </c>
      <c r="AD178" s="117" t="s">
        <v>7</v>
      </c>
      <c r="AE178" s="119" t="s">
        <v>8</v>
      </c>
      <c r="AF178" s="119" t="s">
        <v>81</v>
      </c>
      <c r="AG178" s="119" t="s">
        <v>9</v>
      </c>
      <c r="AH178" s="128" t="s">
        <v>10</v>
      </c>
      <c r="AI178" s="69" t="s">
        <v>106</v>
      </c>
      <c r="AJ178" s="7" t="s">
        <v>11</v>
      </c>
      <c r="AK178" s="7" t="s">
        <v>12</v>
      </c>
      <c r="AL178" s="7" t="s">
        <v>13</v>
      </c>
      <c r="AM178" s="14"/>
      <c r="AN178" s="72"/>
      <c r="AO178" s="72"/>
      <c r="AP178" s="72"/>
      <c r="AQ178" s="122"/>
      <c r="AR178" s="72"/>
      <c r="AS178" s="114"/>
      <c r="AT178" s="114"/>
      <c r="AU178" s="114"/>
      <c r="AV178" s="122"/>
      <c r="AW178" s="71" t="s">
        <v>91</v>
      </c>
      <c r="AX178" s="122"/>
    </row>
    <row r="179" spans="1:50" x14ac:dyDescent="0.2">
      <c r="A179" s="69"/>
      <c r="B179" s="18"/>
      <c r="C179" s="103"/>
      <c r="D179" s="18"/>
      <c r="E179" s="103"/>
      <c r="F179" s="18"/>
      <c r="G179" s="18"/>
      <c r="H179" s="143"/>
      <c r="I179" s="175"/>
      <c r="J179" s="14"/>
      <c r="K179" s="14"/>
      <c r="L179" s="103"/>
      <c r="M179" s="18"/>
      <c r="N179" s="18"/>
      <c r="O179" s="18"/>
      <c r="P179" s="18"/>
      <c r="Q179" s="30"/>
      <c r="R179" s="18"/>
      <c r="S179" s="18"/>
      <c r="T179" s="18"/>
      <c r="U179" s="18"/>
      <c r="X179" s="50"/>
      <c r="Y179" s="50"/>
      <c r="Z179" s="6"/>
      <c r="AB179" s="16"/>
      <c r="AC179" s="6"/>
      <c r="AE179" s="17"/>
      <c r="AF179" s="17"/>
      <c r="AG179" s="17"/>
      <c r="AH179" s="4"/>
      <c r="AI179" s="69"/>
      <c r="AJ179" s="7"/>
      <c r="AK179" s="7"/>
      <c r="AL179" s="7"/>
      <c r="AM179" s="14"/>
      <c r="AN179" s="72"/>
      <c r="AO179" s="72"/>
      <c r="AP179" s="72"/>
      <c r="AQ179" s="30"/>
      <c r="AR179" s="72"/>
      <c r="AV179" s="30"/>
      <c r="AW179" s="103"/>
      <c r="AX179" s="30"/>
    </row>
    <row r="180" spans="1:50" s="122" customFormat="1" x14ac:dyDescent="0.2">
      <c r="A180" s="41" t="s">
        <v>408</v>
      </c>
      <c r="B180" s="76" t="s">
        <v>153</v>
      </c>
      <c r="C180" s="76">
        <v>6</v>
      </c>
      <c r="D180" s="76">
        <v>4</v>
      </c>
      <c r="E180" s="97">
        <v>3.97</v>
      </c>
      <c r="F180" s="76">
        <v>68</v>
      </c>
      <c r="G180" s="76">
        <v>0</v>
      </c>
      <c r="H180" s="76">
        <v>0</v>
      </c>
      <c r="I180" s="76">
        <v>0</v>
      </c>
      <c r="J180" s="76">
        <v>3</v>
      </c>
      <c r="K180" s="76">
        <v>10</v>
      </c>
      <c r="L180" s="258">
        <f>INDEX('C-P-RollAdj'!$P$4:$P$900,MATCH((U180),'C-P-RollAdj'!$O$4:$O$900,FALSE),0)</f>
        <v>65.67</v>
      </c>
      <c r="M180" s="76">
        <v>65</v>
      </c>
      <c r="N180" s="76">
        <v>30</v>
      </c>
      <c r="O180" s="76">
        <v>29</v>
      </c>
      <c r="P180" s="76">
        <v>6</v>
      </c>
      <c r="Q180" s="76">
        <v>30</v>
      </c>
      <c r="R180" s="76">
        <v>1</v>
      </c>
      <c r="S180" s="76">
        <v>60</v>
      </c>
      <c r="T180" s="76">
        <v>289</v>
      </c>
      <c r="U180" s="76">
        <v>65.2</v>
      </c>
      <c r="V180" s="100">
        <v>0.25800000000000001</v>
      </c>
      <c r="W180" s="76">
        <v>1.45</v>
      </c>
      <c r="X180" s="50"/>
      <c r="Y180" s="50">
        <f t="shared" ref="Y180:Y194" si="41">+(Q180-R180)/(T180-R180)*100</f>
        <v>10.069444444444445</v>
      </c>
      <c r="Z180" s="6">
        <f>IF(Y180&lt;LeagueRatings!$K$10,((LeagueRatings!$K$10-Y180)/LeagueRatings!$K$10)*36,(LeagueRatings!$K$10-Y180)*6.48)</f>
        <v>-9.0842195058063417</v>
      </c>
      <c r="AA180" s="16">
        <f>INDEX('C-P-RollAdj'!$B$4:$B$76,MATCH(INT(Z180),'C-P-RollAdj'!$A$4:$A$76,FALSE),0)</f>
        <v>0.98</v>
      </c>
      <c r="AB180" s="16">
        <f t="shared" ref="AB180:AB194" si="42">(P180/(T180-R180))*100</f>
        <v>2.083333333333333</v>
      </c>
      <c r="AC180" s="6">
        <f>IF(AB180&lt;LeagueRatings!$K$8,((LeagueRatings!$K$8-AB180)/LeagueRatings!$K$8)*36,(LeagueRatings!$K$8-AB180)/LeagueRatings!$K$11)</f>
        <v>12.578732106339473</v>
      </c>
      <c r="AD180" s="16">
        <f>INDEX('C-P-RollAdj'!$F$4:$F$76,MATCH(INT(AC180),'C-P-RollAdj'!$E$4:$E$76,FALSE),0)</f>
        <v>-0.89</v>
      </c>
      <c r="AE180" s="17">
        <f>+((LeagueRatings!$I$6-E180)*5)+9.5</f>
        <v>10.658051455277402</v>
      </c>
      <c r="AF180" s="17">
        <f t="shared" ref="AF180:AF194" si="43">IF(AE180&lt;4,4,AE180)</f>
        <v>10.658051455277402</v>
      </c>
      <c r="AG180" s="17">
        <f t="shared" ref="AG180:AG194" si="44">IF(M180&lt;L180,((1-(M180/L180))*7)-0.07,(1-(M180/L180))*5)</f>
        <v>1.4176945332723956E-3</v>
      </c>
      <c r="AH180" s="4">
        <f t="shared" ref="AH180:AH194" si="45">+AA180+AD180+AF180+AG180</f>
        <v>10.749469149810674</v>
      </c>
      <c r="AI180" s="41" t="s">
        <v>408</v>
      </c>
      <c r="AJ180" s="94" t="s">
        <v>68</v>
      </c>
      <c r="AK180" s="219">
        <f>INDEX('C-P-RollAdj'!$J$4:$J$76,MATCH(INT(Z180),'C-P-RollAdj'!$I$4:$I$76,FALSE),0)</f>
        <v>-24</v>
      </c>
      <c r="AL180" s="219">
        <f>INDEX('C-P-RollAdj'!$J$4:$J$76,MATCH(INT(AC180),'C-P-RollAdj'!$I$4:$I$76,FALSE),0)</f>
        <v>26</v>
      </c>
      <c r="AM180" s="14">
        <f>+AR180*LeagueRatings!$K$27</f>
        <v>36.666666666666671</v>
      </c>
      <c r="AN180" s="72">
        <f>F180*LeagueRatings!$K$27</f>
        <v>37.777777777777779</v>
      </c>
      <c r="AO180" s="72">
        <f>G180*LeagueRatings!$K$27</f>
        <v>0</v>
      </c>
      <c r="AP180" s="72">
        <f>T180*LeagueRatings!$K$27</f>
        <v>160.55555555555557</v>
      </c>
      <c r="AQ180" s="76"/>
      <c r="AR180" s="72">
        <f t="shared" si="30"/>
        <v>66</v>
      </c>
      <c r="AS180" s="113"/>
      <c r="AT180" s="113"/>
      <c r="AU180" s="113"/>
      <c r="AV180" s="76"/>
      <c r="AW180" s="97">
        <v>62.67</v>
      </c>
      <c r="AX180"/>
    </row>
    <row r="181" spans="1:50" s="30" customFormat="1" x14ac:dyDescent="0.2">
      <c r="A181" s="41" t="s">
        <v>764</v>
      </c>
      <c r="B181" s="76" t="s">
        <v>153</v>
      </c>
      <c r="C181" s="76">
        <v>3</v>
      </c>
      <c r="D181" s="76">
        <v>1</v>
      </c>
      <c r="E181" s="97">
        <v>4.53</v>
      </c>
      <c r="F181" s="76">
        <v>35</v>
      </c>
      <c r="G181" s="76">
        <v>0</v>
      </c>
      <c r="H181" s="76">
        <v>0</v>
      </c>
      <c r="I181" s="76">
        <v>0</v>
      </c>
      <c r="J181" s="76">
        <v>0</v>
      </c>
      <c r="K181" s="76">
        <v>1</v>
      </c>
      <c r="L181" s="258">
        <f>INDEX('C-P-RollAdj'!$P$4:$P$900,MATCH((U181),'C-P-RollAdj'!$O$4:$O$900,FALSE),0)</f>
        <v>47.67</v>
      </c>
      <c r="M181" s="76">
        <v>37</v>
      </c>
      <c r="N181" s="76">
        <v>24</v>
      </c>
      <c r="O181" s="76">
        <v>24</v>
      </c>
      <c r="P181" s="76">
        <v>6</v>
      </c>
      <c r="Q181" s="76">
        <v>17</v>
      </c>
      <c r="R181" s="76">
        <v>2</v>
      </c>
      <c r="S181" s="76">
        <v>54</v>
      </c>
      <c r="T181" s="76">
        <v>193</v>
      </c>
      <c r="U181" s="76">
        <v>47.2</v>
      </c>
      <c r="V181" s="100">
        <v>0.216</v>
      </c>
      <c r="W181" s="76">
        <v>1.1299999999999999</v>
      </c>
      <c r="X181" s="50"/>
      <c r="Y181" s="50">
        <f t="shared" si="41"/>
        <v>7.8534031413612562</v>
      </c>
      <c r="Z181" s="6">
        <f>IF(Y181&lt;LeagueRatings!$K$10,((LeagueRatings!$K$10-Y181)/LeagueRatings!$K$10)*36,(LeagueRatings!$K$10-Y181)*6.48)</f>
        <v>3.3815289541619071</v>
      </c>
      <c r="AA181" s="16">
        <f>INDEX('C-P-RollAdj'!$B$4:$B$76,MATCH(INT(Z181),'C-P-RollAdj'!$A$4:$A$76,FALSE),0)</f>
        <v>-0.24</v>
      </c>
      <c r="AB181" s="16">
        <f t="shared" si="42"/>
        <v>3.1413612565445024</v>
      </c>
      <c r="AC181" s="6">
        <f>IF(AB181&lt;LeagueRatings!$K$8,((LeagueRatings!$K$8-AB181)/LeagueRatings!$K$8)*36,(LeagueRatings!$K$8-AB181)/LeagueRatings!$K$11)</f>
        <v>0.68416150065846981</v>
      </c>
      <c r="AD181" s="16">
        <f>INDEX('C-P-RollAdj'!$F$4:$F$76,MATCH(INT(AC181),'C-P-RollAdj'!$E$4:$E$76,FALSE),0)</f>
        <v>0</v>
      </c>
      <c r="AE181" s="17">
        <f>+((LeagueRatings!$I$6-E181)*5)+9.5</f>
        <v>7.8580514552774021</v>
      </c>
      <c r="AF181" s="17">
        <f t="shared" si="43"/>
        <v>7.8580514552774021</v>
      </c>
      <c r="AG181" s="17">
        <f t="shared" si="44"/>
        <v>1.496813509544787</v>
      </c>
      <c r="AH181" s="4">
        <f t="shared" si="45"/>
        <v>9.1148649648221891</v>
      </c>
      <c r="AI181" s="41" t="s">
        <v>764</v>
      </c>
      <c r="AJ181" s="94" t="s">
        <v>34</v>
      </c>
      <c r="AK181" s="219">
        <f>INDEX('C-P-RollAdj'!$J$4:$J$76,MATCH(INT(Z181),'C-P-RollAdj'!$I$4:$I$76,FALSE),0)</f>
        <v>13</v>
      </c>
      <c r="AL181" s="219">
        <f>INDEX('C-P-RollAdj'!$J$4:$J$76,MATCH(INT(AC181),'C-P-RollAdj'!$I$4:$I$76,FALSE),0)</f>
        <v>0</v>
      </c>
      <c r="AM181" s="14">
        <f>+AR181*LeagueRatings!$K$27</f>
        <v>26.666666666666668</v>
      </c>
      <c r="AN181" s="72">
        <f>F181*LeagueRatings!$K$27</f>
        <v>19.444444444444446</v>
      </c>
      <c r="AO181" s="72">
        <f>G181*LeagueRatings!$K$27</f>
        <v>0</v>
      </c>
      <c r="AP181" s="72">
        <f>T181*LeagueRatings!$K$27</f>
        <v>107.22222222222223</v>
      </c>
      <c r="AQ181" s="76"/>
      <c r="AR181" s="72">
        <f t="shared" si="30"/>
        <v>48</v>
      </c>
      <c r="AS181" s="113"/>
      <c r="AT181" s="113"/>
      <c r="AU181" s="113"/>
      <c r="AV181" s="76"/>
      <c r="AW181" s="97">
        <v>60</v>
      </c>
      <c r="AX181" s="23"/>
    </row>
    <row r="182" spans="1:50" customFormat="1" ht="12.75" customHeight="1" x14ac:dyDescent="0.2">
      <c r="A182" s="41" t="s">
        <v>597</v>
      </c>
      <c r="B182" s="76" t="s">
        <v>153</v>
      </c>
      <c r="C182" s="76">
        <v>2</v>
      </c>
      <c r="D182" s="76">
        <v>3</v>
      </c>
      <c r="E182" s="97">
        <v>3.23</v>
      </c>
      <c r="F182" s="76">
        <v>44</v>
      </c>
      <c r="G182" s="76">
        <v>0</v>
      </c>
      <c r="H182" s="76">
        <v>0</v>
      </c>
      <c r="I182" s="76">
        <v>0</v>
      </c>
      <c r="J182" s="76">
        <v>4</v>
      </c>
      <c r="K182" s="76">
        <v>6</v>
      </c>
      <c r="L182" s="258">
        <f>INDEX('C-P-RollAdj'!$P$4:$P$900,MATCH((U182),'C-P-RollAdj'!$O$4:$O$900,FALSE),0)</f>
        <v>39</v>
      </c>
      <c r="M182" s="76">
        <v>33</v>
      </c>
      <c r="N182" s="76">
        <v>14</v>
      </c>
      <c r="O182" s="76">
        <v>14</v>
      </c>
      <c r="P182" s="76">
        <v>6</v>
      </c>
      <c r="Q182" s="76">
        <v>8</v>
      </c>
      <c r="R182" s="76">
        <v>2</v>
      </c>
      <c r="S182" s="76">
        <v>45</v>
      </c>
      <c r="T182" s="76">
        <v>155</v>
      </c>
      <c r="U182" s="76">
        <v>39</v>
      </c>
      <c r="V182" s="100">
        <v>0.23100000000000001</v>
      </c>
      <c r="W182" s="76">
        <v>1.05</v>
      </c>
      <c r="X182" s="50"/>
      <c r="Y182" s="50">
        <f t="shared" si="41"/>
        <v>3.9215686274509802</v>
      </c>
      <c r="Z182" s="6">
        <f>IF(Y182&lt;LeagueRatings!$K$10,((LeagueRatings!$K$10-Y182)/LeagueRatings!$K$10)*36,(LeagueRatings!$K$10-Y182)*6.48)</f>
        <v>19.712083739202413</v>
      </c>
      <c r="AA182" s="16">
        <f>INDEX('C-P-RollAdj'!$B$4:$B$76,MATCH(INT(Z182),'C-P-RollAdj'!$A$4:$A$76,FALSE),0)</f>
        <v>-1.69</v>
      </c>
      <c r="AB182" s="16">
        <f t="shared" si="42"/>
        <v>3.9215686274509802</v>
      </c>
      <c r="AC182" s="6">
        <f>IF(AB182&lt;LeagueRatings!$K$8,((LeagueRatings!$K$8-AB182)/LeagueRatings!$K$8)*36,(LeagueRatings!$K$8-AB182)/LeagueRatings!$K$11)</f>
        <v>-5.7119714520377212</v>
      </c>
      <c r="AD182" s="16">
        <f>INDEX('C-P-RollAdj'!$F$4:$F$76,MATCH(INT(AC182),'C-P-RollAdj'!$E$4:$E$76,FALSE),0)</f>
        <v>0.51</v>
      </c>
      <c r="AE182" s="17">
        <f>+((LeagueRatings!$I$6-E182)*5)+9.5</f>
        <v>14.358051455277403</v>
      </c>
      <c r="AF182" s="17">
        <f t="shared" si="43"/>
        <v>14.358051455277403</v>
      </c>
      <c r="AG182" s="17">
        <f t="shared" si="44"/>
        <v>1.006923076923077</v>
      </c>
      <c r="AH182" s="4">
        <f t="shared" si="45"/>
        <v>14.18497453220048</v>
      </c>
      <c r="AI182" s="41" t="s">
        <v>597</v>
      </c>
      <c r="AJ182" s="5" t="s">
        <v>21</v>
      </c>
      <c r="AK182" s="219">
        <f>INDEX('C-P-RollAdj'!$J$4:$J$76,MATCH(INT(Z182),'C-P-RollAdj'!$I$4:$I$76,FALSE),0)</f>
        <v>41</v>
      </c>
      <c r="AL182" s="219">
        <f>INDEX('C-P-RollAdj'!$J$4:$J$76,MATCH(INT(AC182),'C-P-RollAdj'!$I$4:$I$76,FALSE),0)</f>
        <v>-16</v>
      </c>
      <c r="AM182" s="14">
        <f>+AR182*LeagueRatings!$K$27</f>
        <v>21.666666666666668</v>
      </c>
      <c r="AN182" s="72">
        <f>F182*LeagueRatings!$K$27</f>
        <v>24.444444444444446</v>
      </c>
      <c r="AO182" s="72">
        <f>G182*LeagueRatings!$K$27</f>
        <v>0</v>
      </c>
      <c r="AP182" s="72">
        <f>T182*LeagueRatings!$K$27</f>
        <v>86.111111111111114</v>
      </c>
      <c r="AQ182" s="24"/>
      <c r="AR182" s="72">
        <f t="shared" si="30"/>
        <v>39</v>
      </c>
      <c r="AS182" s="113"/>
      <c r="AT182" s="113"/>
      <c r="AU182" s="113"/>
      <c r="AV182" s="24"/>
      <c r="AW182" s="97">
        <v>57.33</v>
      </c>
      <c r="AX182" s="24"/>
    </row>
    <row r="183" spans="1:50" x14ac:dyDescent="0.2">
      <c r="A183" s="41" t="s">
        <v>1202</v>
      </c>
      <c r="B183" s="76" t="s">
        <v>153</v>
      </c>
      <c r="C183" s="76">
        <v>5</v>
      </c>
      <c r="D183" s="76">
        <v>5</v>
      </c>
      <c r="E183" s="97">
        <v>2.42</v>
      </c>
      <c r="F183" s="76">
        <v>70</v>
      </c>
      <c r="G183" s="76">
        <v>0</v>
      </c>
      <c r="H183" s="76">
        <v>0</v>
      </c>
      <c r="I183" s="76">
        <v>0</v>
      </c>
      <c r="J183" s="76">
        <v>3</v>
      </c>
      <c r="K183" s="76">
        <v>6</v>
      </c>
      <c r="L183" s="258">
        <f>INDEX('C-P-RollAdj'!$P$4:$P$900,MATCH((U183),'C-P-RollAdj'!$O$4:$O$900,FALSE),0)</f>
        <v>74.33</v>
      </c>
      <c r="M183" s="76">
        <v>50</v>
      </c>
      <c r="N183" s="76">
        <v>23</v>
      </c>
      <c r="O183" s="76">
        <v>20</v>
      </c>
      <c r="P183" s="76">
        <v>10</v>
      </c>
      <c r="Q183" s="76">
        <v>15</v>
      </c>
      <c r="R183" s="76">
        <v>4</v>
      </c>
      <c r="S183" s="76">
        <v>73</v>
      </c>
      <c r="T183" s="76">
        <v>290</v>
      </c>
      <c r="U183" s="76">
        <v>74.099999999999994</v>
      </c>
      <c r="V183" s="100">
        <v>0.186</v>
      </c>
      <c r="W183" s="76">
        <v>0.87</v>
      </c>
      <c r="X183" s="50"/>
      <c r="Y183" s="50">
        <f t="shared" si="41"/>
        <v>3.8461538461538463</v>
      </c>
      <c r="Z183" s="6">
        <f>IF(Y183&lt;LeagueRatings!$K$10,((LeagueRatings!$K$10-Y183)/LeagueRatings!$K$10)*36,(LeagueRatings!$K$10-Y183)*6.48)</f>
        <v>20.025312898063902</v>
      </c>
      <c r="AA183" s="16">
        <f>INDEX('C-P-RollAdj'!$B$4:$B$76,MATCH(INT(Z183),'C-P-RollAdj'!$A$4:$A$76,FALSE),0)</f>
        <v>-1.79</v>
      </c>
      <c r="AB183" s="16">
        <f t="shared" si="42"/>
        <v>3.4965034965034967</v>
      </c>
      <c r="AC183" s="6">
        <f>IF(AB183&lt;LeagueRatings!$K$8,((LeagueRatings!$K$8-AB183)/LeagueRatings!$K$8)*36,(LeagueRatings!$K$8-AB183)/LeagueRatings!$K$11)</f>
        <v>-2.3367619381100364</v>
      </c>
      <c r="AD183" s="16">
        <f>INDEX('C-P-RollAdj'!$F$4:$F$76,MATCH(INT(AC183),'C-P-RollAdj'!$E$4:$E$76,FALSE),0)</f>
        <v>0.24</v>
      </c>
      <c r="AE183" s="17">
        <f>+((LeagueRatings!$I$6-E183)*5)+9.5</f>
        <v>18.408051455277402</v>
      </c>
      <c r="AF183" s="17">
        <f t="shared" si="43"/>
        <v>18.408051455277402</v>
      </c>
      <c r="AG183" s="17">
        <f t="shared" si="44"/>
        <v>2.221268666756357</v>
      </c>
      <c r="AH183" s="4">
        <f t="shared" si="45"/>
        <v>19.079320122033756</v>
      </c>
      <c r="AI183" s="41" t="s">
        <v>1202</v>
      </c>
      <c r="AJ183" s="5" t="s">
        <v>67</v>
      </c>
      <c r="AK183" s="219">
        <f>INDEX('C-P-RollAdj'!$J$4:$J$76,MATCH(INT(Z183),'C-P-RollAdj'!$I$4:$I$76,FALSE),0)</f>
        <v>42</v>
      </c>
      <c r="AL183" s="219">
        <f>INDEX('C-P-RollAdj'!$J$4:$J$76,MATCH(INT(AC183),'C-P-RollAdj'!$I$4:$I$76,FALSE),0)</f>
        <v>-13</v>
      </c>
      <c r="AM183" s="14">
        <f>+AR183*LeagueRatings!$K$27</f>
        <v>41.666666666666671</v>
      </c>
      <c r="AN183" s="72">
        <f>F183*LeagueRatings!$K$27</f>
        <v>38.888888888888893</v>
      </c>
      <c r="AO183" s="72">
        <f>G183*LeagueRatings!$K$27</f>
        <v>0</v>
      </c>
      <c r="AP183" s="72">
        <f>T183*LeagueRatings!$K$27</f>
        <v>161.11111111111111</v>
      </c>
      <c r="AR183" s="72">
        <f t="shared" si="30"/>
        <v>75</v>
      </c>
      <c r="AW183" s="97">
        <v>190.33</v>
      </c>
    </row>
    <row r="184" spans="1:50" x14ac:dyDescent="0.2">
      <c r="A184" s="41" t="s">
        <v>829</v>
      </c>
      <c r="B184" s="76" t="s">
        <v>153</v>
      </c>
      <c r="C184" s="76">
        <v>10</v>
      </c>
      <c r="D184" s="76">
        <v>11</v>
      </c>
      <c r="E184" s="97">
        <v>4.1100000000000003</v>
      </c>
      <c r="F184" s="76">
        <v>31</v>
      </c>
      <c r="G184" s="76">
        <v>31</v>
      </c>
      <c r="H184" s="76">
        <v>2</v>
      </c>
      <c r="I184" s="76">
        <v>1</v>
      </c>
      <c r="J184" s="76">
        <v>0</v>
      </c>
      <c r="K184" s="76">
        <v>0</v>
      </c>
      <c r="L184" s="258">
        <f>INDEX('C-P-RollAdj'!$P$4:$P$900,MATCH((U184),'C-P-RollAdj'!$O$4:$O$900,FALSE),0)</f>
        <v>186</v>
      </c>
      <c r="M184" s="76">
        <v>196</v>
      </c>
      <c r="N184" s="76">
        <v>87</v>
      </c>
      <c r="O184" s="76">
        <v>85</v>
      </c>
      <c r="P184" s="76">
        <v>22</v>
      </c>
      <c r="Q184" s="76">
        <v>47</v>
      </c>
      <c r="R184" s="76">
        <v>2</v>
      </c>
      <c r="S184" s="76">
        <v>108</v>
      </c>
      <c r="T184" s="76">
        <v>786</v>
      </c>
      <c r="U184" s="76">
        <v>186</v>
      </c>
      <c r="V184" s="100">
        <v>0.27100000000000002</v>
      </c>
      <c r="W184" s="76">
        <v>1.31</v>
      </c>
      <c r="X184" s="50"/>
      <c r="Y184" s="50">
        <f t="shared" si="41"/>
        <v>5.7397959183673475</v>
      </c>
      <c r="Z184" s="6">
        <f>IF(Y184&lt;LeagueRatings!$K$10,((LeagueRatings!$K$10-Y184)/LeagueRatings!$K$10)*36,(LeagueRatings!$K$10-Y184)*6.48)</f>
        <v>12.160224605529043</v>
      </c>
      <c r="AA184" s="16">
        <f>INDEX('C-P-RollAdj'!$B$4:$B$76,MATCH(INT(Z184),'C-P-RollAdj'!$A$4:$A$76,FALSE),0)</f>
        <v>-1.01</v>
      </c>
      <c r="AB184" s="16">
        <f t="shared" si="42"/>
        <v>2.806122448979592</v>
      </c>
      <c r="AC184" s="6">
        <f>IF(AB184&lt;LeagueRatings!$K$8,((LeagueRatings!$K$8-AB184)/LeagueRatings!$K$8)*36,(LeagueRatings!$K$8-AB184)/LeagueRatings!$K$11)</f>
        <v>4.4529861024164266</v>
      </c>
      <c r="AD184" s="16">
        <f>INDEX('C-P-RollAdj'!$F$4:$F$76,MATCH(INT(AC184),'C-P-RollAdj'!$E$4:$E$76,FALSE),0)</f>
        <v>-0.28000000000000003</v>
      </c>
      <c r="AE184" s="17">
        <f>+((LeagueRatings!$I$6-E184)*5)+9.5</f>
        <v>9.9580514552774027</v>
      </c>
      <c r="AF184" s="17">
        <f t="shared" si="43"/>
        <v>9.9580514552774027</v>
      </c>
      <c r="AG184" s="17">
        <f t="shared" si="44"/>
        <v>-0.26881720430107503</v>
      </c>
      <c r="AH184" s="4">
        <f t="shared" si="45"/>
        <v>8.3992342509763276</v>
      </c>
      <c r="AI184" s="41" t="s">
        <v>829</v>
      </c>
      <c r="AJ184" s="94" t="s">
        <v>34</v>
      </c>
      <c r="AK184" s="219">
        <f>INDEX('C-P-RollAdj'!$J$4:$J$76,MATCH(INT(Z184),'C-P-RollAdj'!$I$4:$I$76,FALSE),0)</f>
        <v>26</v>
      </c>
      <c r="AL184" s="219">
        <f>INDEX('C-P-RollAdj'!$J$4:$J$76,MATCH(INT(AC184),'C-P-RollAdj'!$I$4:$I$76,FALSE),0)</f>
        <v>14</v>
      </c>
      <c r="AM184" s="14">
        <f>+AR184*LeagueRatings!$K$27</f>
        <v>103.33333333333334</v>
      </c>
      <c r="AN184" s="72">
        <f>F184*LeagueRatings!$K$27</f>
        <v>17.222222222222221</v>
      </c>
      <c r="AO184" s="72">
        <f>G184*LeagueRatings!$K$27</f>
        <v>17.222222222222221</v>
      </c>
      <c r="AP184" s="72">
        <f>T184*LeagueRatings!$K$27</f>
        <v>436.66666666666669</v>
      </c>
      <c r="AQ184" s="76"/>
      <c r="AR184" s="72">
        <f t="shared" si="30"/>
        <v>186</v>
      </c>
      <c r="AV184" s="76"/>
      <c r="AW184" s="97">
        <v>67.33</v>
      </c>
      <c r="AX184"/>
    </row>
    <row r="185" spans="1:50" x14ac:dyDescent="0.2">
      <c r="A185" s="41" t="s">
        <v>596</v>
      </c>
      <c r="B185" s="76" t="s">
        <v>153</v>
      </c>
      <c r="C185" s="76">
        <v>5</v>
      </c>
      <c r="D185" s="76">
        <v>11</v>
      </c>
      <c r="E185" s="97">
        <v>5.69</v>
      </c>
      <c r="F185" s="76">
        <v>22</v>
      </c>
      <c r="G185" s="76">
        <v>22</v>
      </c>
      <c r="H185" s="76">
        <v>0</v>
      </c>
      <c r="I185" s="76">
        <v>0</v>
      </c>
      <c r="J185" s="76">
        <v>0</v>
      </c>
      <c r="K185" s="76">
        <v>0</v>
      </c>
      <c r="L185" s="258">
        <f>INDEX('C-P-RollAdj'!$P$4:$P$900,MATCH((U185),'C-P-RollAdj'!$O$4:$O$900,FALSE),0)</f>
        <v>117</v>
      </c>
      <c r="M185" s="76">
        <v>133</v>
      </c>
      <c r="N185" s="76">
        <v>80</v>
      </c>
      <c r="O185" s="76">
        <v>74</v>
      </c>
      <c r="P185" s="76">
        <v>18</v>
      </c>
      <c r="Q185" s="76">
        <v>42</v>
      </c>
      <c r="R185" s="76">
        <v>0</v>
      </c>
      <c r="S185" s="76">
        <v>94</v>
      </c>
      <c r="T185" s="76">
        <v>517</v>
      </c>
      <c r="U185" s="76">
        <v>117</v>
      </c>
      <c r="V185" s="100">
        <v>0.28599999999999998</v>
      </c>
      <c r="W185" s="76">
        <v>1.5</v>
      </c>
      <c r="X185" s="50"/>
      <c r="Y185" s="50">
        <f t="shared" si="41"/>
        <v>8.123791102514506</v>
      </c>
      <c r="Z185" s="6">
        <f>IF(Y185&lt;LeagueRatings!$K$10,((LeagueRatings!$K$10-Y185)/LeagueRatings!$K$10)*36,(LeagueRatings!$K$10-Y185)*6.48)</f>
        <v>2.2584945545179669</v>
      </c>
      <c r="AA185" s="16">
        <f>INDEX('C-P-RollAdj'!$B$4:$B$76,MATCH(INT(Z185),'C-P-RollAdj'!$A$4:$A$76,FALSE),0)</f>
        <v>-0.16</v>
      </c>
      <c r="AB185" s="16">
        <f t="shared" si="42"/>
        <v>3.4816247582205029</v>
      </c>
      <c r="AC185" s="6">
        <f>IF(AB185&lt;LeagueRatings!$K$8,((LeagueRatings!$K$8-AB185)/LeagueRatings!$K$8)*36,(LeagueRatings!$K$8-AB185)/LeagueRatings!$K$11)</f>
        <v>-2.2186180223857299</v>
      </c>
      <c r="AD185" s="16">
        <f>INDEX('C-P-RollAdj'!$F$4:$F$76,MATCH(INT(AC185),'C-P-RollAdj'!$E$4:$E$76,FALSE),0)</f>
        <v>0.24</v>
      </c>
      <c r="AE185" s="17">
        <f>+((LeagueRatings!$I$6-E185)*5)+9.5</f>
        <v>2.0580514552774014</v>
      </c>
      <c r="AF185" s="17">
        <f t="shared" si="43"/>
        <v>4</v>
      </c>
      <c r="AG185" s="17">
        <f t="shared" si="44"/>
        <v>-0.68376068376068355</v>
      </c>
      <c r="AH185" s="4">
        <f t="shared" si="45"/>
        <v>3.3962393162393165</v>
      </c>
      <c r="AI185" s="41" t="s">
        <v>596</v>
      </c>
      <c r="AJ185" s="5" t="s">
        <v>60</v>
      </c>
      <c r="AK185" s="219">
        <f>INDEX('C-P-RollAdj'!$J$4:$J$76,MATCH(INT(Z185),'C-P-RollAdj'!$I$4:$I$76,FALSE),0)</f>
        <v>12</v>
      </c>
      <c r="AL185" s="219">
        <f>INDEX('C-P-RollAdj'!$J$4:$J$76,MATCH(INT(AC185),'C-P-RollAdj'!$I$4:$I$76,FALSE),0)</f>
        <v>-13</v>
      </c>
      <c r="AM185" s="14">
        <f>+AR185*LeagueRatings!$K$27</f>
        <v>65</v>
      </c>
      <c r="AN185" s="72">
        <f>F185*LeagueRatings!$K$27</f>
        <v>12.222222222222223</v>
      </c>
      <c r="AO185" s="72">
        <f>G185*LeagueRatings!$K$27</f>
        <v>12.222222222222223</v>
      </c>
      <c r="AP185" s="72">
        <f>T185*LeagueRatings!$K$27</f>
        <v>287.22222222222223</v>
      </c>
      <c r="AR185" s="72">
        <f t="shared" si="30"/>
        <v>117</v>
      </c>
      <c r="AW185" s="97">
        <v>69</v>
      </c>
    </row>
    <row r="186" spans="1:50" s="23" customFormat="1" ht="12.75" customHeight="1" x14ac:dyDescent="0.2">
      <c r="A186" s="41" t="s">
        <v>776</v>
      </c>
      <c r="B186" s="76" t="s">
        <v>153</v>
      </c>
      <c r="C186" s="76">
        <v>2</v>
      </c>
      <c r="D186" s="76">
        <v>4</v>
      </c>
      <c r="E186" s="97">
        <v>6.02</v>
      </c>
      <c r="F186" s="76">
        <v>9</v>
      </c>
      <c r="G186" s="76">
        <v>9</v>
      </c>
      <c r="H186" s="76">
        <v>0</v>
      </c>
      <c r="I186" s="76">
        <v>0</v>
      </c>
      <c r="J186" s="76">
        <v>0</v>
      </c>
      <c r="K186" s="76">
        <v>0</v>
      </c>
      <c r="L186" s="258">
        <f>INDEX('C-P-RollAdj'!$P$4:$P$900,MATCH((U186),'C-P-RollAdj'!$O$4:$O$900,FALSE),0)</f>
        <v>46.33</v>
      </c>
      <c r="M186" s="76">
        <v>57</v>
      </c>
      <c r="N186" s="76">
        <v>32</v>
      </c>
      <c r="O186" s="76">
        <v>31</v>
      </c>
      <c r="P186" s="76">
        <v>8</v>
      </c>
      <c r="Q186" s="76">
        <v>19</v>
      </c>
      <c r="R186" s="76">
        <v>1</v>
      </c>
      <c r="S186" s="76">
        <v>23</v>
      </c>
      <c r="T186" s="76">
        <v>203</v>
      </c>
      <c r="U186" s="76">
        <v>46.1</v>
      </c>
      <c r="V186" s="100">
        <v>0.313</v>
      </c>
      <c r="W186" s="76">
        <v>1.64</v>
      </c>
      <c r="X186" s="50"/>
      <c r="Y186" s="50">
        <f t="shared" si="41"/>
        <v>8.9108910891089099</v>
      </c>
      <c r="Z186" s="6">
        <f>IF(Y186&lt;LeagueRatings!$K$10,((LeagueRatings!$K$10-Y186)/LeagueRatings!$K$10)*36,(LeagueRatings!$K$10-Y186)*6.48)</f>
        <v>-1.5767937632320759</v>
      </c>
      <c r="AA186" s="16">
        <f>INDEX('C-P-RollAdj'!$B$4:$B$76,MATCH(INT(Z186),'C-P-RollAdj'!$A$4:$A$76,FALSE),0)</f>
        <v>0.18</v>
      </c>
      <c r="AB186" s="16">
        <f t="shared" si="42"/>
        <v>3.9603960396039604</v>
      </c>
      <c r="AC186" s="6">
        <f>IF(AB186&lt;LeagueRatings!$K$8,((LeagueRatings!$K$8-AB186)/LeagueRatings!$K$8)*36,(LeagueRatings!$K$8-AB186)/LeagueRatings!$K$11)</f>
        <v>-6.020278676880686</v>
      </c>
      <c r="AD186" s="16">
        <f>INDEX('C-P-RollAdj'!$F$4:$F$76,MATCH(INT(AC186),'C-P-RollAdj'!$E$4:$E$76,FALSE),0)</f>
        <v>0.61</v>
      </c>
      <c r="AE186" s="17">
        <f>+((LeagueRatings!$I$6-E186)*5)+9.5</f>
        <v>0.40805145527740549</v>
      </c>
      <c r="AF186" s="17">
        <f t="shared" si="43"/>
        <v>4</v>
      </c>
      <c r="AG186" s="17">
        <f t="shared" si="44"/>
        <v>-1.1515216922080729</v>
      </c>
      <c r="AH186" s="4">
        <f t="shared" si="45"/>
        <v>3.6384783077919272</v>
      </c>
      <c r="AI186" s="41" t="s">
        <v>776</v>
      </c>
      <c r="AJ186" s="94" t="s">
        <v>60</v>
      </c>
      <c r="AK186" s="219">
        <f>INDEX('C-P-RollAdj'!$J$4:$J$76,MATCH(INT(Z186),'C-P-RollAdj'!$I$4:$I$76,FALSE),0)</f>
        <v>-12</v>
      </c>
      <c r="AL186" s="219">
        <f>INDEX('C-P-RollAdj'!$J$4:$J$76,MATCH(INT(AC186),'C-P-RollAdj'!$I$4:$I$76,FALSE),0)</f>
        <v>-21</v>
      </c>
      <c r="AM186" s="14">
        <f>+AR186*LeagueRatings!$K$27</f>
        <v>26.111111111111111</v>
      </c>
      <c r="AN186" s="72">
        <f>F186*LeagueRatings!$K$27</f>
        <v>5</v>
      </c>
      <c r="AO186" s="72">
        <f>G186*LeagueRatings!$K$27</f>
        <v>5</v>
      </c>
      <c r="AP186" s="72">
        <f>T186*LeagueRatings!$K$27</f>
        <v>112.77777777777779</v>
      </c>
      <c r="AQ186" s="76"/>
      <c r="AR186" s="72">
        <f t="shared" si="30"/>
        <v>47</v>
      </c>
      <c r="AS186" s="113"/>
      <c r="AT186" s="113"/>
      <c r="AU186" s="113"/>
      <c r="AV186" s="76"/>
      <c r="AW186" s="97">
        <v>64</v>
      </c>
    </row>
    <row r="187" spans="1:50" customFormat="1" ht="12.75" customHeight="1" x14ac:dyDescent="0.2">
      <c r="A187" s="41" t="s">
        <v>580</v>
      </c>
      <c r="B187" s="76" t="s">
        <v>153</v>
      </c>
      <c r="C187" s="76">
        <v>0</v>
      </c>
      <c r="D187" s="76">
        <v>4</v>
      </c>
      <c r="E187" s="97">
        <v>3.76</v>
      </c>
      <c r="F187" s="76">
        <v>53</v>
      </c>
      <c r="G187" s="76">
        <v>0</v>
      </c>
      <c r="H187" s="76">
        <v>0</v>
      </c>
      <c r="I187" s="76">
        <v>0</v>
      </c>
      <c r="J187" s="76">
        <v>0</v>
      </c>
      <c r="K187" s="76">
        <v>1</v>
      </c>
      <c r="L187" s="258">
        <f>INDEX('C-P-RollAdj'!$P$4:$P$900,MATCH((U187),'C-P-RollAdj'!$O$4:$O$900,FALSE),0)</f>
        <v>64.67</v>
      </c>
      <c r="M187" s="76">
        <v>69</v>
      </c>
      <c r="N187" s="76">
        <v>31</v>
      </c>
      <c r="O187" s="76">
        <v>27</v>
      </c>
      <c r="P187" s="76">
        <v>6</v>
      </c>
      <c r="Q187" s="76">
        <v>14</v>
      </c>
      <c r="R187" s="76">
        <v>3</v>
      </c>
      <c r="S187" s="76">
        <v>71</v>
      </c>
      <c r="T187" s="76">
        <v>275</v>
      </c>
      <c r="U187" s="76">
        <v>64.2</v>
      </c>
      <c r="V187" s="100">
        <v>0.27</v>
      </c>
      <c r="W187" s="76">
        <v>1.28</v>
      </c>
      <c r="X187" s="50"/>
      <c r="Y187" s="50">
        <f t="shared" si="41"/>
        <v>4.0441176470588234</v>
      </c>
      <c r="Z187" s="6">
        <f>IF(Y187&lt;LeagueRatings!$K$10,((LeagueRatings!$K$10-Y187)/LeagueRatings!$K$10)*36,(LeagueRatings!$K$10-Y187)*6.48)</f>
        <v>19.203086356052491</v>
      </c>
      <c r="AA187" s="16">
        <f>INDEX('C-P-RollAdj'!$B$4:$B$76,MATCH(INT(Z187),'C-P-RollAdj'!$A$4:$A$76,FALSE),0)</f>
        <v>-1.69</v>
      </c>
      <c r="AB187" s="16">
        <f t="shared" si="42"/>
        <v>2.2058823529411766</v>
      </c>
      <c r="AC187" s="6">
        <f>IF(AB187&lt;LeagueRatings!$K$8,((LeagueRatings!$K$8-AB187)/LeagueRatings!$K$8)*36,(LeagueRatings!$K$8-AB187)/LeagueRatings!$K$11)</f>
        <v>11.201010465535907</v>
      </c>
      <c r="AD187" s="16">
        <f>INDEX('C-P-RollAdj'!$F$4:$F$76,MATCH(INT(AC187),'C-P-RollAdj'!$E$4:$E$76,FALSE),0)</f>
        <v>-0.81</v>
      </c>
      <c r="AE187" s="17">
        <f>+((LeagueRatings!$I$6-E187)*5)+9.5</f>
        <v>11.708051455277404</v>
      </c>
      <c r="AF187" s="17">
        <f t="shared" si="43"/>
        <v>11.708051455277404</v>
      </c>
      <c r="AG187" s="17">
        <f t="shared" si="44"/>
        <v>-0.33477655790938643</v>
      </c>
      <c r="AH187" s="4">
        <f t="shared" si="45"/>
        <v>8.8732748973680184</v>
      </c>
      <c r="AI187" s="41" t="s">
        <v>580</v>
      </c>
      <c r="AJ187" s="94" t="s">
        <v>34</v>
      </c>
      <c r="AK187" s="219">
        <f>INDEX('C-P-RollAdj'!$J$4:$J$76,MATCH(INT(Z187),'C-P-RollAdj'!$I$4:$I$76,FALSE),0)</f>
        <v>41</v>
      </c>
      <c r="AL187" s="219">
        <f>INDEX('C-P-RollAdj'!$J$4:$J$76,MATCH(INT(AC187),'C-P-RollAdj'!$I$4:$I$76,FALSE),0)</f>
        <v>25</v>
      </c>
      <c r="AM187" s="14">
        <f>+AR187*LeagueRatings!$K$27</f>
        <v>36.111111111111114</v>
      </c>
      <c r="AN187" s="72">
        <f>F187*LeagueRatings!$K$27</f>
        <v>29.444444444444446</v>
      </c>
      <c r="AO187" s="72">
        <f>G187*LeagueRatings!$K$27</f>
        <v>0</v>
      </c>
      <c r="AP187" s="72">
        <f>T187*LeagueRatings!$K$27</f>
        <v>152.77777777777777</v>
      </c>
      <c r="AQ187" s="76"/>
      <c r="AR187" s="72">
        <f t="shared" si="30"/>
        <v>65</v>
      </c>
      <c r="AS187" s="113"/>
      <c r="AT187" s="113"/>
      <c r="AU187" s="113"/>
      <c r="AV187" s="76"/>
      <c r="AW187" s="97">
        <v>200</v>
      </c>
    </row>
    <row r="188" spans="1:50" x14ac:dyDescent="0.2">
      <c r="A188" s="41" t="s">
        <v>1186</v>
      </c>
      <c r="B188" s="76" t="s">
        <v>153</v>
      </c>
      <c r="C188" s="76">
        <v>6</v>
      </c>
      <c r="D188" s="76">
        <v>7</v>
      </c>
      <c r="E188" s="97">
        <v>3.62</v>
      </c>
      <c r="F188" s="76">
        <v>63</v>
      </c>
      <c r="G188" s="76">
        <v>0</v>
      </c>
      <c r="H188" s="76">
        <v>0</v>
      </c>
      <c r="I188" s="76">
        <v>0</v>
      </c>
      <c r="J188" s="76">
        <v>30</v>
      </c>
      <c r="K188" s="76">
        <v>37</v>
      </c>
      <c r="L188" s="258">
        <f>INDEX('C-P-RollAdj'!$P$4:$P$900,MATCH((U188),'C-P-RollAdj'!$O$4:$O$900,FALSE),0)</f>
        <v>64.67</v>
      </c>
      <c r="M188" s="76">
        <v>63</v>
      </c>
      <c r="N188" s="76">
        <v>27</v>
      </c>
      <c r="O188" s="76">
        <v>26</v>
      </c>
      <c r="P188" s="76">
        <v>7</v>
      </c>
      <c r="Q188" s="76">
        <v>20</v>
      </c>
      <c r="R188" s="76">
        <v>3</v>
      </c>
      <c r="S188" s="76">
        <v>49</v>
      </c>
      <c r="T188" s="76">
        <v>270</v>
      </c>
      <c r="U188" s="76">
        <v>64.2</v>
      </c>
      <c r="V188" s="100">
        <v>0.25700000000000001</v>
      </c>
      <c r="W188" s="76">
        <v>1.28</v>
      </c>
      <c r="X188" s="50"/>
      <c r="Y188" s="50">
        <f t="shared" si="41"/>
        <v>6.3670411985018731</v>
      </c>
      <c r="Z188" s="6">
        <f>IF(Y188&lt;LeagueRatings!$K$10,((LeagueRatings!$K$10-Y188)/LeagueRatings!$K$10)*36,(LeagueRatings!$K$10-Y188)*6.48)</f>
        <v>9.5550123630870676</v>
      </c>
      <c r="AA188" s="16">
        <f>INDEX('C-P-RollAdj'!$B$4:$B$76,MATCH(INT(Z188),'C-P-RollAdj'!$A$4:$A$76,FALSE),0)</f>
        <v>-0.74</v>
      </c>
      <c r="AB188" s="16">
        <f t="shared" si="42"/>
        <v>2.6217228464419478</v>
      </c>
      <c r="AC188" s="6">
        <f>IF(AB188&lt;LeagueRatings!$K$8,((LeagueRatings!$K$8-AB188)/LeagueRatings!$K$8)*36,(LeagueRatings!$K$8-AB188)/LeagueRatings!$K$11)</f>
        <v>6.5260448978653978</v>
      </c>
      <c r="AD188" s="16">
        <f>INDEX('C-P-RollAdj'!$F$4:$F$76,MATCH(INT(AC188),'C-P-RollAdj'!$E$4:$E$76,FALSE),0)</f>
        <v>-0.42000000000000004</v>
      </c>
      <c r="AE188" s="17">
        <f>+((LeagueRatings!$I$6-E188)*5)+9.5</f>
        <v>12.408051455277402</v>
      </c>
      <c r="AF188" s="17">
        <f t="shared" si="43"/>
        <v>12.408051455277402</v>
      </c>
      <c r="AG188" s="17">
        <f t="shared" si="44"/>
        <v>0.11076387815061123</v>
      </c>
      <c r="AH188" s="4">
        <f t="shared" si="45"/>
        <v>11.358815333428012</v>
      </c>
      <c r="AI188" s="41" t="s">
        <v>1186</v>
      </c>
      <c r="AJ188" s="5" t="s">
        <v>59</v>
      </c>
      <c r="AK188" s="219">
        <f>INDEX('C-P-RollAdj'!$J$4:$J$76,MATCH(INT(Z188),'C-P-RollAdj'!$I$4:$I$76,FALSE),0)</f>
        <v>23</v>
      </c>
      <c r="AL188" s="219">
        <f>INDEX('C-P-RollAdj'!$J$4:$J$76,MATCH(INT(AC188),'C-P-RollAdj'!$I$4:$I$76,FALSE),0)</f>
        <v>16</v>
      </c>
      <c r="AM188" s="14">
        <f>+AR188*LeagueRatings!$K$27</f>
        <v>36.111111111111114</v>
      </c>
      <c r="AN188" s="72">
        <f>F188*LeagueRatings!$K$27</f>
        <v>35</v>
      </c>
      <c r="AO188" s="72">
        <f>G188*LeagueRatings!$K$27</f>
        <v>0</v>
      </c>
      <c r="AP188" s="72">
        <f>T188*LeagueRatings!$K$27</f>
        <v>150</v>
      </c>
      <c r="AR188" s="72">
        <f t="shared" si="30"/>
        <v>65</v>
      </c>
      <c r="AW188" s="97">
        <v>156.33000000000001</v>
      </c>
    </row>
    <row r="189" spans="1:50" x14ac:dyDescent="0.2">
      <c r="A189" s="41" t="s">
        <v>1366</v>
      </c>
      <c r="B189" s="76" t="s">
        <v>153</v>
      </c>
      <c r="C189" s="76">
        <v>7</v>
      </c>
      <c r="D189" s="76">
        <v>9</v>
      </c>
      <c r="E189" s="97">
        <v>3.86</v>
      </c>
      <c r="F189" s="76">
        <v>25</v>
      </c>
      <c r="G189" s="76">
        <v>24</v>
      </c>
      <c r="H189" s="76">
        <v>0</v>
      </c>
      <c r="I189" s="76">
        <v>0</v>
      </c>
      <c r="J189" s="76">
        <v>0</v>
      </c>
      <c r="K189" s="76">
        <v>0</v>
      </c>
      <c r="L189" s="258">
        <f>INDEX('C-P-RollAdj'!$P$4:$P$900,MATCH((U189),'C-P-RollAdj'!$O$4:$O$900,FALSE),0)</f>
        <v>144.67000000000002</v>
      </c>
      <c r="M189" s="76">
        <v>135</v>
      </c>
      <c r="N189" s="76">
        <v>65</v>
      </c>
      <c r="O189" s="76">
        <v>62</v>
      </c>
      <c r="P189" s="76">
        <v>20</v>
      </c>
      <c r="Q189" s="76">
        <v>37</v>
      </c>
      <c r="R189" s="76">
        <v>1</v>
      </c>
      <c r="S189" s="76">
        <v>124</v>
      </c>
      <c r="T189" s="76">
        <v>594</v>
      </c>
      <c r="U189" s="76">
        <v>144.19999999999999</v>
      </c>
      <c r="V189" s="100">
        <v>0.248</v>
      </c>
      <c r="W189" s="76">
        <v>1.19</v>
      </c>
      <c r="X189" s="50"/>
      <c r="Y189" s="50">
        <f t="shared" si="41"/>
        <v>6.0708263069139967</v>
      </c>
      <c r="Z189" s="6">
        <f>IF(Y189&lt;LeagueRatings!$K$10,((LeagueRatings!$K$10-Y189)/LeagueRatings!$K$10)*36,(LeagueRatings!$K$10-Y189)*6.48)</f>
        <v>10.78531681718013</v>
      </c>
      <c r="AA189" s="16">
        <f>INDEX('C-P-RollAdj'!$B$4:$B$76,MATCH(INT(Z189),'C-P-RollAdj'!$A$4:$A$76,FALSE),0)</f>
        <v>-0.83000000000000007</v>
      </c>
      <c r="AB189" s="16">
        <f t="shared" si="42"/>
        <v>3.3726812816188869</v>
      </c>
      <c r="AC189" s="6">
        <f>IF(AB189&lt;LeagueRatings!$K$8,((LeagueRatings!$K$8-AB189)/LeagueRatings!$K$8)*36,(LeagueRatings!$K$8-AB189)/LeagueRatings!$K$11)</f>
        <v>-1.3535575129844961</v>
      </c>
      <c r="AD189" s="16">
        <f>INDEX('C-P-RollAdj'!$F$4:$F$76,MATCH(INT(AC189),'C-P-RollAdj'!$E$4:$E$76,FALSE),0)</f>
        <v>0.16</v>
      </c>
      <c r="AE189" s="17">
        <f>+((LeagueRatings!$I$6-E189)*5)+9.5</f>
        <v>11.208051455277404</v>
      </c>
      <c r="AF189" s="17">
        <f t="shared" si="43"/>
        <v>11.208051455277404</v>
      </c>
      <c r="AG189" s="17">
        <f t="shared" si="44"/>
        <v>0.39789244487454284</v>
      </c>
      <c r="AH189" s="4">
        <f t="shared" si="45"/>
        <v>10.935943900151948</v>
      </c>
      <c r="AI189" s="41" t="s">
        <v>1366</v>
      </c>
      <c r="AJ189" s="5" t="s">
        <v>68</v>
      </c>
      <c r="AK189" s="219">
        <f>INDEX('C-P-RollAdj'!$J$4:$J$76,MATCH(INT(Z189),'C-P-RollAdj'!$I$4:$I$76,FALSE),0)</f>
        <v>24</v>
      </c>
      <c r="AL189" s="219">
        <f>INDEX('C-P-RollAdj'!$J$4:$J$76,MATCH(INT(AC189),'C-P-RollAdj'!$I$4:$I$76,FALSE),0)</f>
        <v>-12</v>
      </c>
      <c r="AM189" s="14">
        <f>+AR189*LeagueRatings!$K$27</f>
        <v>80.555555555555557</v>
      </c>
      <c r="AN189" s="72">
        <f>F189*LeagueRatings!$K$27</f>
        <v>13.888888888888889</v>
      </c>
      <c r="AO189" s="72">
        <f>G189*LeagueRatings!$K$27</f>
        <v>13.333333333333334</v>
      </c>
      <c r="AP189" s="72">
        <f>T189*LeagueRatings!$K$27</f>
        <v>330</v>
      </c>
      <c r="AR189" s="72">
        <f t="shared" si="30"/>
        <v>145</v>
      </c>
      <c r="AW189" s="97">
        <v>40.33</v>
      </c>
    </row>
    <row r="190" spans="1:50" x14ac:dyDescent="0.2">
      <c r="A190" s="41" t="s">
        <v>1369</v>
      </c>
      <c r="B190" s="76" t="s">
        <v>153</v>
      </c>
      <c r="C190" s="76">
        <v>2</v>
      </c>
      <c r="D190" s="76">
        <v>9</v>
      </c>
      <c r="E190" s="97">
        <v>6.5</v>
      </c>
      <c r="F190" s="76">
        <v>14</v>
      </c>
      <c r="G190" s="76">
        <v>14</v>
      </c>
      <c r="H190" s="76">
        <v>0</v>
      </c>
      <c r="I190" s="76">
        <v>0</v>
      </c>
      <c r="J190" s="76">
        <v>0</v>
      </c>
      <c r="K190" s="76">
        <v>0</v>
      </c>
      <c r="L190" s="258">
        <f>INDEX('C-P-RollAdj'!$P$4:$P$900,MATCH((U190),'C-P-RollAdj'!$O$4:$O$900,FALSE),0)</f>
        <v>72</v>
      </c>
      <c r="M190" s="76">
        <v>83</v>
      </c>
      <c r="N190" s="76">
        <v>54</v>
      </c>
      <c r="O190" s="76">
        <v>52</v>
      </c>
      <c r="P190" s="76">
        <v>9</v>
      </c>
      <c r="Q190" s="76">
        <v>33</v>
      </c>
      <c r="R190" s="76">
        <v>0</v>
      </c>
      <c r="S190" s="76">
        <v>71</v>
      </c>
      <c r="T190" s="76">
        <v>332</v>
      </c>
      <c r="U190" s="76">
        <v>72</v>
      </c>
      <c r="V190" s="100">
        <v>0.28399999999999997</v>
      </c>
      <c r="W190" s="76">
        <v>1.61</v>
      </c>
      <c r="X190" s="50"/>
      <c r="Y190" s="50">
        <f t="shared" si="41"/>
        <v>9.9397590361445776</v>
      </c>
      <c r="Z190" s="6">
        <f>IF(Y190&lt;LeagueRatings!$K$10,((LeagueRatings!$K$10-Y190)/LeagueRatings!$K$10)*36,(LeagueRatings!$K$10-Y190)*6.48)</f>
        <v>-8.2438580600232019</v>
      </c>
      <c r="AA190" s="16">
        <f>INDEX('C-P-RollAdj'!$B$4:$B$76,MATCH(INT(Z190),'C-P-RollAdj'!$A$4:$A$76,FALSE),0)</f>
        <v>0.87000000000000011</v>
      </c>
      <c r="AB190" s="16">
        <f t="shared" si="42"/>
        <v>2.7108433734939759</v>
      </c>
      <c r="AC190" s="6">
        <f>IF(AB190&lt;LeagueRatings!$K$8,((LeagueRatings!$K$8-AB190)/LeagueRatings!$K$8)*36,(LeagueRatings!$K$8-AB190)/LeagueRatings!$K$11)</f>
        <v>5.5241333431887076</v>
      </c>
      <c r="AD190" s="16">
        <f>INDEX('C-P-RollAdj'!$F$4:$F$76,MATCH(INT(AC190),'C-P-RollAdj'!$E$4:$E$76,FALSE),0)</f>
        <v>-0.35000000000000003</v>
      </c>
      <c r="AE190" s="17">
        <f>+((LeagueRatings!$I$6-E190)*5)+9.5</f>
        <v>-1.9919485447225966</v>
      </c>
      <c r="AF190" s="17">
        <f t="shared" si="43"/>
        <v>4</v>
      </c>
      <c r="AG190" s="17">
        <f t="shared" si="44"/>
        <v>-0.7638888888888884</v>
      </c>
      <c r="AH190" s="4">
        <f t="shared" si="45"/>
        <v>3.7561111111111112</v>
      </c>
      <c r="AI190" s="41" t="s">
        <v>1369</v>
      </c>
      <c r="AJ190" s="5" t="s">
        <v>60</v>
      </c>
      <c r="AK190" s="219">
        <f>INDEX('C-P-RollAdj'!$J$4:$J$76,MATCH(INT(Z190),'C-P-RollAdj'!$I$4:$I$76,FALSE),0)</f>
        <v>-23</v>
      </c>
      <c r="AL190" s="219">
        <f>INDEX('C-P-RollAdj'!$J$4:$J$76,MATCH(INT(AC190),'C-P-RollAdj'!$I$4:$I$76,FALSE),0)</f>
        <v>15</v>
      </c>
      <c r="AM190" s="14">
        <f>+AR190*LeagueRatings!$K$27</f>
        <v>40</v>
      </c>
      <c r="AN190" s="72">
        <f>F190*LeagueRatings!$K$27</f>
        <v>7.7777777777777786</v>
      </c>
      <c r="AO190" s="72">
        <f>G190*LeagueRatings!$K$27</f>
        <v>7.7777777777777786</v>
      </c>
      <c r="AP190" s="72">
        <f>T190*LeagueRatings!$K$27</f>
        <v>184.44444444444446</v>
      </c>
      <c r="AR190" s="72">
        <f t="shared" si="30"/>
        <v>72</v>
      </c>
      <c r="AW190" s="3">
        <v>39</v>
      </c>
    </row>
    <row r="191" spans="1:50" s="23" customFormat="1" ht="12.75" customHeight="1" x14ac:dyDescent="0.2">
      <c r="A191" s="41" t="s">
        <v>1367</v>
      </c>
      <c r="B191" s="76" t="s">
        <v>153</v>
      </c>
      <c r="C191" s="76">
        <v>2</v>
      </c>
      <c r="D191" s="76">
        <v>4</v>
      </c>
      <c r="E191" s="97">
        <v>4.24</v>
      </c>
      <c r="F191" s="76">
        <v>24</v>
      </c>
      <c r="G191" s="76">
        <v>6</v>
      </c>
      <c r="H191" s="76">
        <v>0</v>
      </c>
      <c r="I191" s="76">
        <v>0</v>
      </c>
      <c r="J191" s="76">
        <v>2</v>
      </c>
      <c r="K191" s="76">
        <v>3</v>
      </c>
      <c r="L191" s="258">
        <f>INDEX('C-P-RollAdj'!$P$4:$P$900,MATCH((U191),'C-P-RollAdj'!$O$4:$O$900,FALSE),0)</f>
        <v>70</v>
      </c>
      <c r="M191" s="76">
        <v>72</v>
      </c>
      <c r="N191" s="76">
        <v>35</v>
      </c>
      <c r="O191" s="76">
        <v>33</v>
      </c>
      <c r="P191" s="76">
        <v>9</v>
      </c>
      <c r="Q191" s="76">
        <v>6</v>
      </c>
      <c r="R191" s="76">
        <v>0</v>
      </c>
      <c r="S191" s="76">
        <v>27</v>
      </c>
      <c r="T191" s="76">
        <v>281</v>
      </c>
      <c r="U191" s="76">
        <v>70</v>
      </c>
      <c r="V191" s="100">
        <v>0.26500000000000001</v>
      </c>
      <c r="W191" s="76">
        <v>1.1100000000000001</v>
      </c>
      <c r="X191" s="50"/>
      <c r="Y191" s="50">
        <f t="shared" si="41"/>
        <v>2.1352313167259789</v>
      </c>
      <c r="Z191" s="6">
        <f>IF(Y191&lt;LeagueRatings!$K$10,((LeagueRatings!$K$10-Y191)/LeagueRatings!$K$10)*36,(LeagueRatings!$K$10-Y191)*6.48)</f>
        <v>27.131490434512347</v>
      </c>
      <c r="AA191" s="16">
        <f>INDEX('C-P-RollAdj'!$B$4:$B$76,MATCH(INT(Z191),'C-P-RollAdj'!$A$4:$A$76,FALSE),0)</f>
        <v>-2.5499999999999998</v>
      </c>
      <c r="AB191" s="16">
        <f t="shared" si="42"/>
        <v>3.2028469750889679</v>
      </c>
      <c r="AC191" s="6">
        <f>IF(AB191&lt;LeagueRatings!$K$8,((LeagueRatings!$K$8-AB191)/LeagueRatings!$K$8)*36,(LeagueRatings!$K$8-AB191)/LeagueRatings!$K$11)</f>
        <v>-4.9962562346095602E-3</v>
      </c>
      <c r="AD191" s="16">
        <f>INDEX('C-P-RollAdj'!$F$4:$F$76,MATCH(INT(AC191),'C-P-RollAdj'!$E$4:$E$76,FALSE),0)</f>
        <v>0.08</v>
      </c>
      <c r="AE191" s="17">
        <f>+((LeagueRatings!$I$6-E191)*5)+9.5</f>
        <v>9.3080514552774023</v>
      </c>
      <c r="AF191" s="17">
        <f t="shared" si="43"/>
        <v>9.3080514552774023</v>
      </c>
      <c r="AG191" s="17">
        <f t="shared" si="44"/>
        <v>-0.14285714285714235</v>
      </c>
      <c r="AH191" s="4">
        <f t="shared" si="45"/>
        <v>6.6951943124202602</v>
      </c>
      <c r="AI191" s="41" t="s">
        <v>1367</v>
      </c>
      <c r="AJ191" s="94" t="s">
        <v>66</v>
      </c>
      <c r="AK191" s="219">
        <f>INDEX('C-P-RollAdj'!$J$4:$J$76,MATCH(INT(Z191),'C-P-RollAdj'!$I$4:$I$76,FALSE),0)</f>
        <v>53</v>
      </c>
      <c r="AL191" s="219">
        <f>INDEX('C-P-RollAdj'!$J$4:$J$76,MATCH(INT(AC191),'C-P-RollAdj'!$I$4:$I$76,FALSE),0)</f>
        <v>-11</v>
      </c>
      <c r="AM191" s="14">
        <f>+AR191*LeagueRatings!$K$27</f>
        <v>38.888888888888893</v>
      </c>
      <c r="AN191" s="72">
        <f>F191*LeagueRatings!$K$27</f>
        <v>13.333333333333334</v>
      </c>
      <c r="AO191" s="72">
        <f>G191*LeagueRatings!$K$27</f>
        <v>3.3333333333333335</v>
      </c>
      <c r="AP191" s="72">
        <f>T191*LeagueRatings!$K$27</f>
        <v>156.11111111111111</v>
      </c>
      <c r="AQ191" s="76"/>
      <c r="AR191" s="72">
        <f t="shared" si="30"/>
        <v>70</v>
      </c>
      <c r="AS191" s="113"/>
      <c r="AT191" s="113"/>
      <c r="AU191" s="113"/>
      <c r="AV191" s="76"/>
      <c r="AW191" s="97">
        <v>197</v>
      </c>
      <c r="AX191"/>
    </row>
    <row r="192" spans="1:50" customFormat="1" ht="12.75" customHeight="1" x14ac:dyDescent="0.2">
      <c r="A192" s="41" t="s">
        <v>400</v>
      </c>
      <c r="B192" s="76" t="s">
        <v>153</v>
      </c>
      <c r="C192" s="76">
        <v>2</v>
      </c>
      <c r="D192" s="76">
        <v>0</v>
      </c>
      <c r="E192" s="97">
        <v>4.2</v>
      </c>
      <c r="F192" s="76">
        <v>34</v>
      </c>
      <c r="G192" s="76">
        <v>0</v>
      </c>
      <c r="H192" s="76">
        <v>0</v>
      </c>
      <c r="I192" s="76">
        <v>0</v>
      </c>
      <c r="J192" s="76">
        <v>0</v>
      </c>
      <c r="K192" s="76">
        <v>0</v>
      </c>
      <c r="L192" s="258">
        <f>INDEX('C-P-RollAdj'!$P$4:$P$900,MATCH((U192),'C-P-RollAdj'!$O$4:$O$900,FALSE),0)</f>
        <v>40.67</v>
      </c>
      <c r="M192" s="76">
        <v>30</v>
      </c>
      <c r="N192" s="76">
        <v>19</v>
      </c>
      <c r="O192" s="76">
        <v>19</v>
      </c>
      <c r="P192" s="76">
        <v>3</v>
      </c>
      <c r="Q192" s="76">
        <v>17</v>
      </c>
      <c r="R192" s="76">
        <v>0</v>
      </c>
      <c r="S192" s="76">
        <v>37</v>
      </c>
      <c r="T192" s="76">
        <v>163</v>
      </c>
      <c r="U192" s="76">
        <v>40.200000000000003</v>
      </c>
      <c r="V192" s="100">
        <v>0.21</v>
      </c>
      <c r="W192" s="76">
        <v>1.1599999999999999</v>
      </c>
      <c r="X192" s="50"/>
      <c r="Y192" s="50">
        <f t="shared" si="41"/>
        <v>10.429447852760736</v>
      </c>
      <c r="Z192" s="6">
        <f>IF(Y192&lt;LeagueRatings!$K$10,((LeagueRatings!$K$10-Y192)/LeagueRatings!$K$10)*36,(LeagueRatings!$K$10-Y192)*6.48)</f>
        <v>-11.417041591695911</v>
      </c>
      <c r="AA192" s="16">
        <f>INDEX('C-P-RollAdj'!$B$4:$B$76,MATCH(INT(Z192),'C-P-RollAdj'!$A$4:$A$76,FALSE),0)</f>
        <v>1.24</v>
      </c>
      <c r="AB192" s="16">
        <f t="shared" si="42"/>
        <v>1.8404907975460123</v>
      </c>
      <c r="AC192" s="6">
        <f>IF(AB192&lt;LeagueRatings!$K$8,((LeagueRatings!$K$8-AB192)/LeagueRatings!$K$8)*36,(LeagueRatings!$K$8-AB192)/LeagueRatings!$K$11)</f>
        <v>15.308818547931802</v>
      </c>
      <c r="AD192" s="16">
        <f>INDEX('C-P-RollAdj'!$F$4:$F$76,MATCH(INT(AC192),'C-P-RollAdj'!$E$4:$E$76,FALSE),0)</f>
        <v>-1.1400000000000001</v>
      </c>
      <c r="AE192" s="17">
        <f>+((LeagueRatings!$I$6-E192)*5)+9.5</f>
        <v>9.5080514552774034</v>
      </c>
      <c r="AF192" s="17">
        <f t="shared" si="43"/>
        <v>9.5080514552774034</v>
      </c>
      <c r="AG192" s="17">
        <f t="shared" si="44"/>
        <v>1.7664888123924267</v>
      </c>
      <c r="AH192" s="4">
        <f t="shared" si="45"/>
        <v>11.374540267669829</v>
      </c>
      <c r="AI192" s="41" t="s">
        <v>400</v>
      </c>
      <c r="AJ192" s="94" t="s">
        <v>59</v>
      </c>
      <c r="AK192" s="219">
        <f>INDEX('C-P-RollAdj'!$J$4:$J$76,MATCH(INT(Z192),'C-P-RollAdj'!$I$4:$I$76,FALSE),0)</f>
        <v>-26</v>
      </c>
      <c r="AL192" s="219">
        <f>INDEX('C-P-RollAdj'!$J$4:$J$76,MATCH(INT(AC192),'C-P-RollAdj'!$I$4:$I$76,FALSE),0)</f>
        <v>33</v>
      </c>
      <c r="AM192" s="14">
        <f>+AR192*LeagueRatings!$K$27</f>
        <v>22.777777777777779</v>
      </c>
      <c r="AN192" s="72">
        <f>F192*LeagueRatings!$K$27</f>
        <v>18.888888888888889</v>
      </c>
      <c r="AO192" s="72">
        <f>G192*LeagueRatings!$K$27</f>
        <v>0</v>
      </c>
      <c r="AP192" s="72">
        <f>T192*LeagueRatings!$K$27</f>
        <v>90.555555555555557</v>
      </c>
      <c r="AQ192" s="76"/>
      <c r="AR192" s="72">
        <f t="shared" si="30"/>
        <v>41</v>
      </c>
      <c r="AS192" s="113"/>
      <c r="AT192" s="113"/>
      <c r="AU192" s="113"/>
      <c r="AV192" s="76"/>
      <c r="AW192" s="97">
        <v>18</v>
      </c>
    </row>
    <row r="193" spans="1:50" x14ac:dyDescent="0.2">
      <c r="A193" s="41" t="s">
        <v>458</v>
      </c>
      <c r="B193" s="76" t="s">
        <v>153</v>
      </c>
      <c r="C193" s="76">
        <v>0</v>
      </c>
      <c r="D193" s="76">
        <v>5</v>
      </c>
      <c r="E193" s="97">
        <v>6.98</v>
      </c>
      <c r="F193" s="76">
        <v>9</v>
      </c>
      <c r="G193" s="76">
        <v>9</v>
      </c>
      <c r="H193" s="76">
        <v>0</v>
      </c>
      <c r="I193" s="76">
        <v>0</v>
      </c>
      <c r="J193" s="76">
        <v>0</v>
      </c>
      <c r="K193" s="76">
        <v>0</v>
      </c>
      <c r="L193" s="258">
        <f>INDEX('C-P-RollAdj'!$P$4:$P$900,MATCH((U193),'C-P-RollAdj'!$O$4:$O$900,FALSE),0)</f>
        <v>38.67</v>
      </c>
      <c r="M193" s="76">
        <v>55</v>
      </c>
      <c r="N193" s="76">
        <v>32</v>
      </c>
      <c r="O193" s="76">
        <v>30</v>
      </c>
      <c r="P193" s="76">
        <v>8</v>
      </c>
      <c r="Q193" s="76">
        <v>21</v>
      </c>
      <c r="R193" s="76">
        <v>2</v>
      </c>
      <c r="S193" s="76">
        <v>22</v>
      </c>
      <c r="T193" s="76">
        <v>197</v>
      </c>
      <c r="U193" s="76">
        <v>38.200000000000003</v>
      </c>
      <c r="V193" s="100">
        <v>0.32700000000000001</v>
      </c>
      <c r="W193" s="76">
        <v>1.97</v>
      </c>
      <c r="X193" s="50"/>
      <c r="Y193" s="50">
        <f t="shared" si="41"/>
        <v>9.7435897435897445</v>
      </c>
      <c r="Z193" s="6">
        <f>IF(Y193&lt;LeagueRatings!$K$10,((LeagueRatings!$K$10-Y193)/LeagueRatings!$K$10)*36,(LeagueRatings!$K$10-Y193)*6.48)</f>
        <v>-6.9726810442678842</v>
      </c>
      <c r="AA193" s="16">
        <f>INDEX('C-P-RollAdj'!$B$4:$B$76,MATCH(INT(Z193),'C-P-RollAdj'!$A$4:$A$76,FALSE),0)</f>
        <v>0.65</v>
      </c>
      <c r="AB193" s="16">
        <f>(P193/(T193-R193))*100</f>
        <v>4.1025641025641022</v>
      </c>
      <c r="AC193" s="6">
        <f>IF(AB193&lt;LeagueRatings!$K$8,((LeagueRatings!$K$8-AB193)/LeagueRatings!$K$8)*36,(LeagueRatings!$K$8-AB193)/LeagueRatings!$K$11)</f>
        <v>-7.1491574386133809</v>
      </c>
      <c r="AD193" s="16">
        <f>INDEX('C-P-RollAdj'!$F$4:$F$76,MATCH(INT(AC193),'C-P-RollAdj'!$E$4:$E$76,FALSE),0)</f>
        <v>0.71</v>
      </c>
      <c r="AE193" s="17">
        <f>+((LeagueRatings!$I$6-E193)*5)+9.5</f>
        <v>-4.3919485447225988</v>
      </c>
      <c r="AF193" s="17">
        <f>IF(AE193&lt;4,4,AE193)</f>
        <v>4</v>
      </c>
      <c r="AG193" s="17">
        <f>IF(M193&lt;L193,((1-(M193/L193))*7)-0.07,(1-(M193/L193))*5)</f>
        <v>-2.1114559089733644</v>
      </c>
      <c r="AH193" s="4">
        <f>+AA193+AD193+AF193+AG193</f>
        <v>3.248544091026635</v>
      </c>
      <c r="AI193" s="41" t="s">
        <v>458</v>
      </c>
      <c r="AJ193" s="5" t="s">
        <v>60</v>
      </c>
      <c r="AK193" s="219">
        <f>INDEX('C-P-RollAdj'!$J$4:$J$76,MATCH(INT(Z193),'C-P-RollAdj'!$I$4:$I$76,FALSE),0)</f>
        <v>-21</v>
      </c>
      <c r="AL193" s="219">
        <f>INDEX('C-P-RollAdj'!$J$4:$J$76,MATCH(INT(AC193),'C-P-RollAdj'!$I$4:$I$76,FALSE),0)</f>
        <v>-22</v>
      </c>
      <c r="AM193" s="14">
        <f>+AR193*LeagueRatings!$K$27</f>
        <v>21.666666666666668</v>
      </c>
      <c r="AN193" s="72">
        <f>F193*LeagueRatings!$K$27</f>
        <v>5</v>
      </c>
      <c r="AO193" s="72">
        <f>G193*LeagueRatings!$K$27</f>
        <v>5</v>
      </c>
      <c r="AP193" s="72">
        <f>T193*LeagueRatings!$K$27</f>
        <v>109.44444444444444</v>
      </c>
      <c r="AR193" s="72">
        <f>ROUNDUP(L193,0)</f>
        <v>39</v>
      </c>
      <c r="AW193" s="97">
        <v>26.67</v>
      </c>
    </row>
    <row r="194" spans="1:50" x14ac:dyDescent="0.2">
      <c r="A194" s="41" t="s">
        <v>1368</v>
      </c>
      <c r="B194" s="76" t="s">
        <v>153</v>
      </c>
      <c r="C194" s="76">
        <v>1</v>
      </c>
      <c r="D194" s="76">
        <v>1</v>
      </c>
      <c r="E194" s="97">
        <v>4.3099999999999996</v>
      </c>
      <c r="F194" s="76">
        <v>24</v>
      </c>
      <c r="G194" s="76">
        <v>6</v>
      </c>
      <c r="H194" s="76">
        <v>0</v>
      </c>
      <c r="I194" s="76">
        <v>0</v>
      </c>
      <c r="J194" s="76">
        <v>0</v>
      </c>
      <c r="K194" s="76">
        <v>0</v>
      </c>
      <c r="L194" s="258">
        <f>INDEX('C-P-RollAdj'!$P$4:$P$900,MATCH((U194),'C-P-RollAdj'!$O$4:$O$900,FALSE),0)</f>
        <v>56.33</v>
      </c>
      <c r="M194" s="76">
        <v>56</v>
      </c>
      <c r="N194" s="76">
        <v>30</v>
      </c>
      <c r="O194" s="76">
        <v>27</v>
      </c>
      <c r="P194" s="76">
        <v>5</v>
      </c>
      <c r="Q194" s="76">
        <v>13</v>
      </c>
      <c r="R194" s="76">
        <v>1</v>
      </c>
      <c r="S194" s="76">
        <v>55</v>
      </c>
      <c r="T194" s="76">
        <v>238</v>
      </c>
      <c r="U194" s="76">
        <v>56.1</v>
      </c>
      <c r="V194" s="100">
        <v>0.255</v>
      </c>
      <c r="W194" s="76">
        <v>1.22</v>
      </c>
      <c r="X194" s="50"/>
      <c r="Y194" s="50">
        <f t="shared" si="41"/>
        <v>5.0632911392405067</v>
      </c>
      <c r="Z194" s="6">
        <f>IF(Y194&lt;LeagueRatings!$K$10,((LeagueRatings!$K$10-Y194)/LeagueRatings!$K$10)*36,(LeagueRatings!$K$10-Y194)*6.48)</f>
        <v>14.970032169603117</v>
      </c>
      <c r="AA194" s="16">
        <f>INDEX('C-P-RollAdj'!$B$4:$B$76,MATCH(INT(Z194),'C-P-RollAdj'!$A$4:$A$76,FALSE),0)</f>
        <v>-1.19</v>
      </c>
      <c r="AB194" s="16">
        <f t="shared" si="42"/>
        <v>2.109704641350211</v>
      </c>
      <c r="AC194" s="6">
        <f>IF(AB194&lt;LeagueRatings!$K$8,((LeagueRatings!$K$8-AB194)/LeagueRatings!$K$8)*36,(LeagueRatings!$K$8-AB194)/LeagueRatings!$K$11)</f>
        <v>12.282260360850096</v>
      </c>
      <c r="AD194" s="16">
        <f>INDEX('C-P-RollAdj'!$F$4:$F$76,MATCH(INT(AC194),'C-P-RollAdj'!$E$4:$E$76,FALSE),0)</f>
        <v>-0.89</v>
      </c>
      <c r="AE194" s="17">
        <f>+((LeagueRatings!$I$6-E194)*5)+9.5</f>
        <v>8.9580514552774062</v>
      </c>
      <c r="AF194" s="17">
        <f t="shared" si="43"/>
        <v>8.9580514552774062</v>
      </c>
      <c r="AG194" s="17">
        <f t="shared" si="44"/>
        <v>-2.899165631102435E-2</v>
      </c>
      <c r="AH194" s="4">
        <f t="shared" si="45"/>
        <v>6.8490597989663815</v>
      </c>
      <c r="AI194" s="41" t="s">
        <v>1368</v>
      </c>
      <c r="AJ194" s="5" t="s">
        <v>66</v>
      </c>
      <c r="AK194" s="219">
        <f>INDEX('C-P-RollAdj'!$J$4:$J$76,MATCH(INT(Z194),'C-P-RollAdj'!$I$4:$I$76,FALSE),0)</f>
        <v>32</v>
      </c>
      <c r="AL194" s="219">
        <f>INDEX('C-P-RollAdj'!$J$4:$J$76,MATCH(INT(AC194),'C-P-RollAdj'!$I$4:$I$76,FALSE),0)</f>
        <v>26</v>
      </c>
      <c r="AM194" s="14">
        <f>+AR194*LeagueRatings!$K$27</f>
        <v>31.666666666666668</v>
      </c>
      <c r="AN194" s="72">
        <f>F194*LeagueRatings!$K$27</f>
        <v>13.333333333333334</v>
      </c>
      <c r="AO194" s="72">
        <f>G194*LeagueRatings!$K$27</f>
        <v>3.3333333333333335</v>
      </c>
      <c r="AP194" s="72">
        <f>T194*LeagueRatings!$K$27</f>
        <v>132.22222222222223</v>
      </c>
      <c r="AR194" s="72">
        <f t="shared" si="30"/>
        <v>57</v>
      </c>
      <c r="AW194" s="97">
        <v>26.67</v>
      </c>
    </row>
    <row r="195" spans="1:50" x14ac:dyDescent="0.2">
      <c r="A195" s="107"/>
      <c r="C195"/>
      <c r="D195" s="3"/>
      <c r="G195" s="62"/>
      <c r="I195" s="176"/>
      <c r="J195" s="62"/>
      <c r="K195" s="3"/>
      <c r="N195"/>
      <c r="R195" s="62"/>
      <c r="S195" s="2"/>
      <c r="T195"/>
      <c r="U195"/>
      <c r="X195" s="50"/>
      <c r="Y195" s="50"/>
      <c r="Z195" s="6"/>
      <c r="AB195" s="16"/>
      <c r="AC195" s="6"/>
      <c r="AE195" s="17"/>
      <c r="AF195" s="17"/>
      <c r="AG195" s="17"/>
      <c r="AH195" s="4"/>
      <c r="AI195" s="107"/>
      <c r="AM195" s="14"/>
      <c r="AN195" s="72"/>
      <c r="AO195" s="72"/>
      <c r="AP195" s="72"/>
      <c r="AR195" s="72"/>
      <c r="AW195" s="111"/>
    </row>
    <row r="196" spans="1:50" x14ac:dyDescent="0.2">
      <c r="A196" s="69" t="s">
        <v>106</v>
      </c>
      <c r="B196" s="70" t="s">
        <v>157</v>
      </c>
      <c r="C196" s="71" t="s">
        <v>85</v>
      </c>
      <c r="D196" s="70" t="s">
        <v>86</v>
      </c>
      <c r="E196" s="71" t="s">
        <v>87</v>
      </c>
      <c r="F196" s="70" t="s">
        <v>108</v>
      </c>
      <c r="G196" s="70" t="s">
        <v>88</v>
      </c>
      <c r="H196" s="182" t="s">
        <v>89</v>
      </c>
      <c r="I196" s="178" t="s">
        <v>317</v>
      </c>
      <c r="J196" s="72" t="s">
        <v>90</v>
      </c>
      <c r="K196" s="72" t="s">
        <v>158</v>
      </c>
      <c r="L196" s="71" t="s">
        <v>91</v>
      </c>
      <c r="M196" s="70" t="s">
        <v>92</v>
      </c>
      <c r="N196" s="70" t="s">
        <v>93</v>
      </c>
      <c r="O196" s="70" t="s">
        <v>94</v>
      </c>
      <c r="P196" s="70" t="s">
        <v>95</v>
      </c>
      <c r="Q196" s="70" t="s">
        <v>96</v>
      </c>
      <c r="R196" s="70" t="s">
        <v>98</v>
      </c>
      <c r="S196" s="70" t="s">
        <v>97</v>
      </c>
      <c r="T196" s="70" t="s">
        <v>109</v>
      </c>
      <c r="U196" s="155" t="s">
        <v>91</v>
      </c>
      <c r="V196" s="250" t="s">
        <v>1517</v>
      </c>
      <c r="W196" s="155" t="s">
        <v>1072</v>
      </c>
      <c r="X196" s="117"/>
      <c r="Y196" s="117" t="s">
        <v>2</v>
      </c>
      <c r="Z196" s="116" t="s">
        <v>3</v>
      </c>
      <c r="AA196" s="117" t="s">
        <v>4</v>
      </c>
      <c r="AB196" s="118" t="s">
        <v>5</v>
      </c>
      <c r="AC196" s="116" t="s">
        <v>6</v>
      </c>
      <c r="AD196" s="117" t="s">
        <v>7</v>
      </c>
      <c r="AE196" s="119" t="s">
        <v>8</v>
      </c>
      <c r="AF196" s="119" t="s">
        <v>81</v>
      </c>
      <c r="AG196" s="119" t="s">
        <v>9</v>
      </c>
      <c r="AH196" s="128" t="s">
        <v>10</v>
      </c>
      <c r="AI196" s="69" t="s">
        <v>106</v>
      </c>
      <c r="AJ196" s="7" t="s">
        <v>11</v>
      </c>
      <c r="AK196" s="7" t="s">
        <v>12</v>
      </c>
      <c r="AL196" s="7" t="s">
        <v>13</v>
      </c>
      <c r="AM196" s="14"/>
      <c r="AN196" s="72"/>
      <c r="AO196" s="72"/>
      <c r="AP196" s="72"/>
      <c r="AQ196" s="122"/>
      <c r="AR196" s="72"/>
      <c r="AS196" s="114"/>
      <c r="AT196" s="114"/>
      <c r="AU196" s="114"/>
      <c r="AV196" s="122"/>
      <c r="AW196" s="71" t="s">
        <v>91</v>
      </c>
      <c r="AX196" s="122"/>
    </row>
    <row r="197" spans="1:50" s="23" customFormat="1" ht="12.75" customHeight="1" x14ac:dyDescent="0.2">
      <c r="A197" s="69"/>
      <c r="B197" s="18"/>
      <c r="C197" s="103"/>
      <c r="D197" s="18"/>
      <c r="E197" s="103"/>
      <c r="F197" s="18"/>
      <c r="G197" s="18"/>
      <c r="H197" s="143"/>
      <c r="I197" s="175"/>
      <c r="J197" s="14"/>
      <c r="K197" s="14"/>
      <c r="L197" s="103"/>
      <c r="M197" s="18"/>
      <c r="N197" s="18"/>
      <c r="O197" s="18"/>
      <c r="P197" s="18"/>
      <c r="Q197" s="30"/>
      <c r="R197" s="18"/>
      <c r="S197" s="18"/>
      <c r="T197" s="18"/>
      <c r="U197" s="18"/>
      <c r="V197" s="270"/>
      <c r="X197" s="50"/>
      <c r="Y197" s="50"/>
      <c r="Z197" s="6"/>
      <c r="AA197" s="16"/>
      <c r="AB197" s="16"/>
      <c r="AC197" s="6"/>
      <c r="AD197" s="16"/>
      <c r="AE197" s="17"/>
      <c r="AF197" s="17"/>
      <c r="AG197" s="17"/>
      <c r="AH197" s="4"/>
      <c r="AI197" s="69"/>
      <c r="AJ197" s="7"/>
      <c r="AK197" s="7"/>
      <c r="AL197" s="7"/>
      <c r="AM197" s="14"/>
      <c r="AN197" s="72"/>
      <c r="AO197" s="72"/>
      <c r="AP197" s="72"/>
      <c r="AQ197" s="30"/>
      <c r="AR197" s="72"/>
      <c r="AS197" s="113"/>
      <c r="AT197" s="113"/>
      <c r="AU197" s="113"/>
      <c r="AV197" s="30"/>
      <c r="AW197" s="103"/>
      <c r="AX197" s="30"/>
    </row>
    <row r="198" spans="1:50" s="122" customFormat="1" x14ac:dyDescent="0.2">
      <c r="A198" s="41" t="s">
        <v>1375</v>
      </c>
      <c r="B198" s="76" t="s">
        <v>154</v>
      </c>
      <c r="C198" s="76">
        <v>0</v>
      </c>
      <c r="D198" s="76">
        <v>0</v>
      </c>
      <c r="E198" s="97">
        <v>0.73</v>
      </c>
      <c r="F198" s="76">
        <v>15</v>
      </c>
      <c r="G198" s="76">
        <v>0</v>
      </c>
      <c r="H198" s="76">
        <v>0</v>
      </c>
      <c r="I198" s="76">
        <v>0</v>
      </c>
      <c r="J198" s="76">
        <v>0</v>
      </c>
      <c r="K198" s="76">
        <v>1</v>
      </c>
      <c r="L198" s="258">
        <f>INDEX('C-P-RollAdj'!$P$4:$P$900,MATCH((U198),'C-P-RollAdj'!$O$4:$O$900,FALSE),0)</f>
        <v>12.33</v>
      </c>
      <c r="M198" s="76">
        <v>11</v>
      </c>
      <c r="N198" s="76">
        <v>1</v>
      </c>
      <c r="O198" s="76">
        <v>1</v>
      </c>
      <c r="P198" s="76">
        <v>0</v>
      </c>
      <c r="Q198" s="76">
        <v>1</v>
      </c>
      <c r="R198" s="76">
        <v>0</v>
      </c>
      <c r="S198" s="76">
        <v>10</v>
      </c>
      <c r="T198" s="76">
        <v>48</v>
      </c>
      <c r="U198" s="76">
        <v>12.1</v>
      </c>
      <c r="V198" s="100">
        <v>0.24399999999999999</v>
      </c>
      <c r="W198" s="76">
        <v>0.97</v>
      </c>
      <c r="X198" s="50"/>
      <c r="Y198" s="50">
        <f t="shared" ref="Y198:Y212" si="46">+(Q198-R198)/(T198-R198)*100</f>
        <v>2.083333333333333</v>
      </c>
      <c r="Z198" s="6">
        <f>IF(Y198&lt;LeagueRatings!$K$10,((LeagueRatings!$K$10-Y198)/LeagueRatings!$K$10)*36,(LeagueRatings!$K$10-Y198)*6.48)</f>
        <v>27.347044486451285</v>
      </c>
      <c r="AA198" s="16">
        <f>INDEX('C-P-RollAdj'!$B$4:$B$76,MATCH(INT(Z198),'C-P-RollAdj'!$A$4:$A$76,FALSE),0)</f>
        <v>-2.5499999999999998</v>
      </c>
      <c r="AB198" s="16">
        <f t="shared" ref="AB198:AB212" si="47">(P198/(T198-R198))*100</f>
        <v>0</v>
      </c>
      <c r="AC198" s="6">
        <f>IF(AB198&lt;LeagueRatings!$K$8,((LeagueRatings!$K$8-AB198)/LeagueRatings!$K$8)*36,(LeagueRatings!$K$8-AB198)/LeagueRatings!$K$11)</f>
        <v>36</v>
      </c>
      <c r="AD198" s="16">
        <f>INDEX('C-P-RollAdj'!$F$4:$F$76,MATCH(INT(AC198),'C-P-RollAdj'!$E$4:$E$76,FALSE),0)</f>
        <v>-3.26</v>
      </c>
      <c r="AE198" s="17">
        <f>+((LeagueRatings!$I$6-E198)*5)+9.5</f>
        <v>26.858051455277405</v>
      </c>
      <c r="AF198" s="17">
        <f t="shared" ref="AF198:AF212" si="48">IF(AE198&lt;4,4,AE198)</f>
        <v>26.858051455277405</v>
      </c>
      <c r="AG198" s="17">
        <f t="shared" ref="AG198:AG212" si="49">IF(M198&lt;L198,((1-(M198/L198))*7)-0.07,(1-(M198/L198))*5)</f>
        <v>0.68506893755068954</v>
      </c>
      <c r="AH198" s="4">
        <f t="shared" ref="AH198:AH212" si="50">+AA198+AD198+AF198+AG198</f>
        <v>21.733120392828095</v>
      </c>
      <c r="AI198" s="41" t="s">
        <v>1375</v>
      </c>
      <c r="AJ198" s="94" t="s">
        <v>74</v>
      </c>
      <c r="AK198" s="219">
        <f>INDEX('C-P-RollAdj'!$J$4:$J$76,MATCH(INT(Z198),'C-P-RollAdj'!$I$4:$I$76,FALSE),0)</f>
        <v>53</v>
      </c>
      <c r="AL198" s="219">
        <f>INDEX('C-P-RollAdj'!$J$4:$J$76,MATCH(INT(AC198),'C-P-RollAdj'!$I$4:$I$76,FALSE),0)</f>
        <v>66</v>
      </c>
      <c r="AM198" s="14">
        <f>+AR198*LeagueRatings!$K$27</f>
        <v>7.2222222222222223</v>
      </c>
      <c r="AN198" s="72">
        <f>F198*LeagueRatings!$K$27</f>
        <v>8.3333333333333339</v>
      </c>
      <c r="AO198" s="72">
        <f>G198*LeagueRatings!$K$27</f>
        <v>0</v>
      </c>
      <c r="AP198" s="72">
        <f>T198*LeagueRatings!$K$27</f>
        <v>26.666666666666668</v>
      </c>
      <c r="AQ198" s="76"/>
      <c r="AR198" s="72">
        <f t="shared" ref="AR198:AR262" si="51">ROUNDUP(L198,0)</f>
        <v>13</v>
      </c>
      <c r="AS198" s="113"/>
      <c r="AT198" s="113"/>
      <c r="AU198" s="113"/>
      <c r="AV198" s="76"/>
      <c r="AW198" s="97">
        <v>39.67</v>
      </c>
      <c r="AX198"/>
    </row>
    <row r="199" spans="1:50" s="30" customFormat="1" x14ac:dyDescent="0.2">
      <c r="A199" s="41" t="s">
        <v>389</v>
      </c>
      <c r="B199" s="76" t="s">
        <v>154</v>
      </c>
      <c r="C199" s="76">
        <v>1</v>
      </c>
      <c r="D199" s="76">
        <v>1</v>
      </c>
      <c r="E199" s="97">
        <v>3.66</v>
      </c>
      <c r="F199" s="76">
        <v>18</v>
      </c>
      <c r="G199" s="76">
        <v>0</v>
      </c>
      <c r="H199" s="76">
        <v>0</v>
      </c>
      <c r="I199" s="76">
        <v>0</v>
      </c>
      <c r="J199" s="76">
        <v>0</v>
      </c>
      <c r="K199" s="76">
        <v>1</v>
      </c>
      <c r="L199" s="258">
        <f>INDEX('C-P-RollAdj'!$P$4:$P$900,MATCH((U199),'C-P-RollAdj'!$O$4:$O$900,FALSE),0)</f>
        <v>19.670000000000002</v>
      </c>
      <c r="M199" s="76">
        <v>21</v>
      </c>
      <c r="N199" s="76">
        <v>14</v>
      </c>
      <c r="O199" s="76">
        <v>8</v>
      </c>
      <c r="P199" s="76">
        <v>3</v>
      </c>
      <c r="Q199" s="76">
        <v>11</v>
      </c>
      <c r="R199" s="76">
        <v>1</v>
      </c>
      <c r="S199" s="76">
        <v>18</v>
      </c>
      <c r="T199" s="76">
        <v>93</v>
      </c>
      <c r="U199" s="76">
        <v>19.2</v>
      </c>
      <c r="V199" s="100">
        <v>0.26300000000000001</v>
      </c>
      <c r="W199" s="76">
        <v>1.63</v>
      </c>
      <c r="X199" s="50"/>
      <c r="Y199" s="50">
        <f t="shared" si="46"/>
        <v>10.869565217391305</v>
      </c>
      <c r="Z199" s="6">
        <f>IF(Y199&lt;LeagueRatings!$K$10,((LeagueRatings!$K$10-Y199)/LeagueRatings!$K$10)*36,(LeagueRatings!$K$10-Y199)*6.48)</f>
        <v>-14.269002114501994</v>
      </c>
      <c r="AA199" s="16">
        <f>INDEX('C-P-RollAdj'!$B$4:$B$76,MATCH(INT(Z199),'C-P-RollAdj'!$A$4:$A$76,FALSE),0)</f>
        <v>1.63</v>
      </c>
      <c r="AB199" s="16">
        <f t="shared" si="47"/>
        <v>3.2608695652173911</v>
      </c>
      <c r="AC199" s="6">
        <f>IF(AB199&lt;LeagueRatings!$K$8,((LeagueRatings!$K$8-AB199)/LeagueRatings!$K$8)*36,(LeagueRatings!$K$8-AB199)/LeagueRatings!$K$11)</f>
        <v>-0.4657218814762068</v>
      </c>
      <c r="AD199" s="16">
        <f>INDEX('C-P-RollAdj'!$F$4:$F$76,MATCH(INT(AC199),'C-P-RollAdj'!$E$4:$E$76,FALSE),0)</f>
        <v>0.08</v>
      </c>
      <c r="AE199" s="17">
        <f>+((LeagueRatings!$I$6-E199)*5)+9.5</f>
        <v>12.208051455277403</v>
      </c>
      <c r="AF199" s="17">
        <f t="shared" si="48"/>
        <v>12.208051455277403</v>
      </c>
      <c r="AG199" s="17">
        <f t="shared" si="49"/>
        <v>-0.33807829181494609</v>
      </c>
      <c r="AH199" s="4">
        <f t="shared" si="50"/>
        <v>13.579973163462457</v>
      </c>
      <c r="AI199" s="41" t="s">
        <v>389</v>
      </c>
      <c r="AJ199" s="5" t="s">
        <v>21</v>
      </c>
      <c r="AK199" s="219">
        <f>INDEX('C-P-RollAdj'!$J$4:$J$76,MATCH(INT(Z199),'C-P-RollAdj'!$I$4:$I$76,FALSE),0)</f>
        <v>-33</v>
      </c>
      <c r="AL199" s="219">
        <f>INDEX('C-P-RollAdj'!$J$4:$J$76,MATCH(INT(AC199),'C-P-RollAdj'!$I$4:$I$76,FALSE),0)</f>
        <v>-11</v>
      </c>
      <c r="AM199" s="14">
        <f>+AR199*LeagueRatings!$K$27</f>
        <v>11.111111111111111</v>
      </c>
      <c r="AN199" s="72">
        <f>F199*LeagueRatings!$K$27</f>
        <v>10</v>
      </c>
      <c r="AO199" s="72">
        <f>G199*LeagueRatings!$K$27</f>
        <v>0</v>
      </c>
      <c r="AP199" s="72">
        <f>T199*LeagueRatings!$K$27</f>
        <v>51.666666666666671</v>
      </c>
      <c r="AQ199" s="24"/>
      <c r="AR199" s="72">
        <f t="shared" si="51"/>
        <v>20</v>
      </c>
      <c r="AS199" s="113"/>
      <c r="AT199" s="113"/>
      <c r="AU199" s="113"/>
      <c r="AV199" s="24"/>
      <c r="AW199" s="97">
        <v>59</v>
      </c>
      <c r="AX199" s="24"/>
    </row>
    <row r="200" spans="1:50" x14ac:dyDescent="0.2">
      <c r="A200" s="41" t="s">
        <v>386</v>
      </c>
      <c r="B200" s="76" t="s">
        <v>154</v>
      </c>
      <c r="C200" s="76">
        <v>4</v>
      </c>
      <c r="D200" s="76">
        <v>6</v>
      </c>
      <c r="E200" s="97">
        <v>2.81</v>
      </c>
      <c r="F200" s="76">
        <v>62</v>
      </c>
      <c r="G200" s="76">
        <v>0</v>
      </c>
      <c r="H200" s="76">
        <v>0</v>
      </c>
      <c r="I200" s="76">
        <v>0</v>
      </c>
      <c r="J200" s="76">
        <v>25</v>
      </c>
      <c r="K200" s="76">
        <v>32</v>
      </c>
      <c r="L200" s="258">
        <f>INDEX('C-P-RollAdj'!$P$4:$P$900,MATCH((U200),'C-P-RollAdj'!$O$4:$O$900,FALSE),0)</f>
        <v>64</v>
      </c>
      <c r="M200" s="76">
        <v>44</v>
      </c>
      <c r="N200" s="76">
        <v>21</v>
      </c>
      <c r="O200" s="76">
        <v>20</v>
      </c>
      <c r="P200" s="76">
        <v>8</v>
      </c>
      <c r="Q200" s="76">
        <v>21</v>
      </c>
      <c r="R200" s="76">
        <v>2</v>
      </c>
      <c r="S200" s="76">
        <v>76</v>
      </c>
      <c r="T200" s="76">
        <v>258</v>
      </c>
      <c r="U200" s="76">
        <v>64</v>
      </c>
      <c r="V200" s="100">
        <v>0.19</v>
      </c>
      <c r="W200" s="76">
        <v>1.02</v>
      </c>
      <c r="X200" s="50"/>
      <c r="Y200" s="50">
        <f t="shared" si="46"/>
        <v>7.421875</v>
      </c>
      <c r="Z200" s="6">
        <f>IF(Y200&lt;LeagueRatings!$K$10,((LeagueRatings!$K$10-Y200)/LeagueRatings!$K$10)*36,(LeagueRatings!$K$10-Y200)*6.48)</f>
        <v>5.173845982982697</v>
      </c>
      <c r="AA200" s="16">
        <f>INDEX('C-P-RollAdj'!$B$4:$B$76,MATCH(INT(Z200),'C-P-RollAdj'!$A$4:$A$76,FALSE),0)</f>
        <v>-0.4</v>
      </c>
      <c r="AB200" s="16">
        <f t="shared" si="47"/>
        <v>3.125</v>
      </c>
      <c r="AC200" s="6">
        <f>IF(AB200&lt;LeagueRatings!$K$8,((LeagueRatings!$K$8-AB200)/LeagueRatings!$K$8)*36,(LeagueRatings!$K$8-AB200)/LeagueRatings!$K$11)</f>
        <v>0.8680981595092041</v>
      </c>
      <c r="AD200" s="16">
        <f>INDEX('C-P-RollAdj'!$F$4:$F$76,MATCH(INT(AC200),'C-P-RollAdj'!$E$4:$E$76,FALSE),0)</f>
        <v>0</v>
      </c>
      <c r="AE200" s="17">
        <f>+((LeagueRatings!$I$6-E200)*5)+9.5</f>
        <v>16.458051455277403</v>
      </c>
      <c r="AF200" s="17">
        <f t="shared" si="48"/>
        <v>16.458051455277403</v>
      </c>
      <c r="AG200" s="17">
        <f t="shared" si="49"/>
        <v>2.1175000000000002</v>
      </c>
      <c r="AH200" s="4">
        <f t="shared" si="50"/>
        <v>18.175551455277404</v>
      </c>
      <c r="AI200" s="41" t="s">
        <v>386</v>
      </c>
      <c r="AJ200" s="5" t="s">
        <v>63</v>
      </c>
      <c r="AK200" s="219">
        <f>INDEX('C-P-RollAdj'!$J$4:$J$76,MATCH(INT(Z200),'C-P-RollAdj'!$I$4:$I$76,FALSE),0)</f>
        <v>15</v>
      </c>
      <c r="AL200" s="219">
        <f>INDEX('C-P-RollAdj'!$J$4:$J$76,MATCH(INT(AC200),'C-P-RollAdj'!$I$4:$I$76,FALSE),0)</f>
        <v>0</v>
      </c>
      <c r="AM200" s="14">
        <f>+AR200*LeagueRatings!$K$27</f>
        <v>35.555555555555557</v>
      </c>
      <c r="AN200" s="72">
        <f>F200*LeagueRatings!$K$27</f>
        <v>34.444444444444443</v>
      </c>
      <c r="AO200" s="72">
        <f>G200*LeagueRatings!$K$27</f>
        <v>0</v>
      </c>
      <c r="AP200" s="72">
        <f>T200*LeagueRatings!$K$27</f>
        <v>143.33333333333334</v>
      </c>
      <c r="AR200" s="72">
        <f t="shared" si="51"/>
        <v>64</v>
      </c>
      <c r="AW200" s="97">
        <v>55.67</v>
      </c>
    </row>
    <row r="201" spans="1:50" x14ac:dyDescent="0.2">
      <c r="A201" s="41" t="s">
        <v>1376</v>
      </c>
      <c r="B201" s="76" t="s">
        <v>154</v>
      </c>
      <c r="C201" s="76">
        <v>0</v>
      </c>
      <c r="D201" s="76">
        <v>4</v>
      </c>
      <c r="E201" s="97">
        <v>2.79</v>
      </c>
      <c r="F201" s="76">
        <v>49</v>
      </c>
      <c r="G201" s="76">
        <v>0</v>
      </c>
      <c r="H201" s="76">
        <v>0</v>
      </c>
      <c r="I201" s="76">
        <v>0</v>
      </c>
      <c r="J201" s="76">
        <v>18</v>
      </c>
      <c r="K201" s="76">
        <v>21</v>
      </c>
      <c r="L201" s="258">
        <f>INDEX('C-P-RollAdj'!$P$4:$P$900,MATCH((U201),'C-P-RollAdj'!$O$4:$O$900,FALSE),0)</f>
        <v>51.67</v>
      </c>
      <c r="M201" s="76">
        <v>45</v>
      </c>
      <c r="N201" s="76">
        <v>16</v>
      </c>
      <c r="O201" s="76">
        <v>16</v>
      </c>
      <c r="P201" s="76">
        <v>5</v>
      </c>
      <c r="Q201" s="76">
        <v>15</v>
      </c>
      <c r="R201" s="76">
        <v>2</v>
      </c>
      <c r="S201" s="76">
        <v>88</v>
      </c>
      <c r="T201" s="76">
        <v>217</v>
      </c>
      <c r="U201" s="76">
        <v>51.2</v>
      </c>
      <c r="V201" s="100">
        <v>0.22600000000000001</v>
      </c>
      <c r="W201" s="76">
        <v>1.1599999999999999</v>
      </c>
      <c r="X201" s="50"/>
      <c r="Y201" s="50">
        <f t="shared" si="46"/>
        <v>6.0465116279069768</v>
      </c>
      <c r="Z201" s="6">
        <f>IF(Y201&lt;LeagueRatings!$K$10,((LeagueRatings!$K$10-Y201)/LeagueRatings!$K$10)*36,(LeagueRatings!$K$10-Y201)*6.48)</f>
        <v>10.886305858351632</v>
      </c>
      <c r="AA201" s="16">
        <f>INDEX('C-P-RollAdj'!$B$4:$B$76,MATCH(INT(Z201),'C-P-RollAdj'!$A$4:$A$76,FALSE),0)</f>
        <v>-0.83000000000000007</v>
      </c>
      <c r="AB201" s="16">
        <f t="shared" si="47"/>
        <v>2.3255813953488373</v>
      </c>
      <c r="AC201" s="6">
        <f>IF(AB201&lt;LeagueRatings!$K$8,((LeagueRatings!$K$8-AB201)/LeagueRatings!$K$8)*36,(LeagueRatings!$K$8-AB201)/LeagueRatings!$K$11)</f>
        <v>9.8553288628905698</v>
      </c>
      <c r="AD201" s="16">
        <f>INDEX('C-P-RollAdj'!$F$4:$F$76,MATCH(INT(AC201),'C-P-RollAdj'!$E$4:$E$76,FALSE),0)</f>
        <v>-0.65</v>
      </c>
      <c r="AE201" s="17">
        <f>+((LeagueRatings!$I$6-E201)*5)+9.5</f>
        <v>16.558051455277404</v>
      </c>
      <c r="AF201" s="17">
        <f t="shared" si="48"/>
        <v>16.558051455277404</v>
      </c>
      <c r="AG201" s="17">
        <f t="shared" si="49"/>
        <v>0.83361912134701033</v>
      </c>
      <c r="AH201" s="4">
        <f t="shared" si="50"/>
        <v>15.911670576624413</v>
      </c>
      <c r="AI201" s="41" t="s">
        <v>1376</v>
      </c>
      <c r="AJ201" s="5" t="s">
        <v>31</v>
      </c>
      <c r="AK201" s="219">
        <f>INDEX('C-P-RollAdj'!$J$4:$J$76,MATCH(INT(Z201),'C-P-RollAdj'!$I$4:$I$76,FALSE),0)</f>
        <v>24</v>
      </c>
      <c r="AL201" s="219">
        <f>INDEX('C-P-RollAdj'!$J$4:$J$76,MATCH(INT(AC201),'C-P-RollAdj'!$I$4:$I$76,FALSE),0)</f>
        <v>23</v>
      </c>
      <c r="AM201" s="14">
        <f>+AR201*LeagueRatings!$K$27</f>
        <v>28.888888888888889</v>
      </c>
      <c r="AN201" s="72">
        <f>F201*LeagueRatings!$K$27</f>
        <v>27.222222222222225</v>
      </c>
      <c r="AO201" s="72">
        <f>G201*LeagueRatings!$K$27</f>
        <v>0</v>
      </c>
      <c r="AP201" s="72">
        <f>T201*LeagueRatings!$K$27</f>
        <v>120.55555555555556</v>
      </c>
      <c r="AR201" s="72">
        <f t="shared" si="51"/>
        <v>52</v>
      </c>
      <c r="AW201" s="97">
        <v>65</v>
      </c>
    </row>
    <row r="202" spans="1:50" x14ac:dyDescent="0.2">
      <c r="A202" s="41" t="s">
        <v>607</v>
      </c>
      <c r="B202" s="76" t="s">
        <v>154</v>
      </c>
      <c r="C202" s="76">
        <v>11</v>
      </c>
      <c r="D202" s="76">
        <v>8</v>
      </c>
      <c r="E202" s="97">
        <v>3.82</v>
      </c>
      <c r="F202" s="76">
        <v>25</v>
      </c>
      <c r="G202" s="76">
        <v>25</v>
      </c>
      <c r="H202" s="76">
        <v>0</v>
      </c>
      <c r="I202" s="76">
        <v>0</v>
      </c>
      <c r="J202" s="76">
        <v>0</v>
      </c>
      <c r="K202" s="76">
        <v>0</v>
      </c>
      <c r="L202" s="258">
        <f>INDEX('C-P-RollAdj'!$P$4:$P$900,MATCH((U202),'C-P-RollAdj'!$O$4:$O$900,FALSE),0)</f>
        <v>153.32999999999998</v>
      </c>
      <c r="M202" s="76">
        <v>138</v>
      </c>
      <c r="N202" s="76">
        <v>76</v>
      </c>
      <c r="O202" s="76">
        <v>65</v>
      </c>
      <c r="P202" s="76">
        <v>19</v>
      </c>
      <c r="Q202" s="76">
        <v>65</v>
      </c>
      <c r="R202" s="76">
        <v>0</v>
      </c>
      <c r="S202" s="76">
        <v>122</v>
      </c>
      <c r="T202" s="76">
        <v>655</v>
      </c>
      <c r="U202" s="76">
        <v>153.1</v>
      </c>
      <c r="V202" s="100">
        <v>0.23899999999999999</v>
      </c>
      <c r="W202" s="76">
        <v>1.32</v>
      </c>
      <c r="X202" s="50"/>
      <c r="Y202" s="50">
        <f t="shared" si="46"/>
        <v>9.9236641221374047</v>
      </c>
      <c r="Z202" s="6">
        <f>IF(Y202&lt;LeagueRatings!$K$10,((LeagueRatings!$K$10-Y202)/LeagueRatings!$K$10)*36,(LeagueRatings!$K$10-Y202)*6.48)</f>
        <v>-8.139563017256723</v>
      </c>
      <c r="AA202" s="16">
        <f>INDEX('C-P-RollAdj'!$B$4:$B$76,MATCH(INT(Z202),'C-P-RollAdj'!$A$4:$A$76,FALSE),0)</f>
        <v>0.87000000000000011</v>
      </c>
      <c r="AB202" s="16">
        <f t="shared" si="47"/>
        <v>2.9007633587786259</v>
      </c>
      <c r="AC202" s="6">
        <f>IF(AB202&lt;LeagueRatings!$K$8,((LeagueRatings!$K$8-AB202)/LeagueRatings!$K$8)*36,(LeagueRatings!$K$8-AB202)/LeagueRatings!$K$11)</f>
        <v>3.3890132534070174</v>
      </c>
      <c r="AD202" s="16">
        <f>INDEX('C-P-RollAdj'!$F$4:$F$76,MATCH(INT(AC202),'C-P-RollAdj'!$E$4:$E$76,FALSE),0)</f>
        <v>-0.21000000000000002</v>
      </c>
      <c r="AE202" s="17">
        <f>+((LeagueRatings!$I$6-E202)*5)+9.5</f>
        <v>11.408051455277404</v>
      </c>
      <c r="AF202" s="17">
        <f t="shared" si="48"/>
        <v>11.408051455277404</v>
      </c>
      <c r="AG202" s="17">
        <f t="shared" si="49"/>
        <v>0.62986304050087982</v>
      </c>
      <c r="AH202" s="4">
        <f t="shared" si="50"/>
        <v>12.697914495778283</v>
      </c>
      <c r="AI202" s="41" t="s">
        <v>607</v>
      </c>
      <c r="AJ202" s="94" t="s">
        <v>16</v>
      </c>
      <c r="AK202" s="219">
        <f>INDEX('C-P-RollAdj'!$J$4:$J$76,MATCH(INT(Z202),'C-P-RollAdj'!$I$4:$I$76,FALSE),0)</f>
        <v>-23</v>
      </c>
      <c r="AL202" s="219">
        <f>INDEX('C-P-RollAdj'!$J$4:$J$76,MATCH(INT(AC202),'C-P-RollAdj'!$I$4:$I$76,FALSE),0)</f>
        <v>13</v>
      </c>
      <c r="AM202" s="14">
        <f>+AR202*LeagueRatings!$K$27</f>
        <v>85.555555555555557</v>
      </c>
      <c r="AN202" s="72">
        <f>F202*LeagueRatings!$K$27</f>
        <v>13.888888888888889</v>
      </c>
      <c r="AO202" s="72">
        <f>G202*LeagueRatings!$K$27</f>
        <v>13.888888888888889</v>
      </c>
      <c r="AP202" s="72">
        <f>T202*LeagueRatings!$K$27</f>
        <v>363.88888888888891</v>
      </c>
      <c r="AQ202" s="76"/>
      <c r="AR202" s="72">
        <f t="shared" si="51"/>
        <v>154</v>
      </c>
      <c r="AV202" s="76"/>
      <c r="AW202" s="97">
        <v>204.33</v>
      </c>
      <c r="AX202" s="23"/>
    </row>
    <row r="203" spans="1:50" s="23" customFormat="1" ht="12.75" customHeight="1" x14ac:dyDescent="0.2">
      <c r="A203" s="41" t="s">
        <v>606</v>
      </c>
      <c r="B203" s="76" t="s">
        <v>154</v>
      </c>
      <c r="C203" s="76">
        <v>16</v>
      </c>
      <c r="D203" s="76">
        <v>12</v>
      </c>
      <c r="E203" s="97">
        <v>4.12</v>
      </c>
      <c r="F203" s="76">
        <v>33</v>
      </c>
      <c r="G203" s="76">
        <v>33</v>
      </c>
      <c r="H203" s="76">
        <v>0</v>
      </c>
      <c r="I203" s="76">
        <v>0</v>
      </c>
      <c r="J203" s="76">
        <v>0</v>
      </c>
      <c r="K203" s="76">
        <v>0</v>
      </c>
      <c r="L203" s="258">
        <f>INDEX('C-P-RollAdj'!$P$4:$P$900,MATCH((U203),'C-P-RollAdj'!$O$4:$O$900,FALSE),0)</f>
        <v>199</v>
      </c>
      <c r="M203" s="76">
        <v>218</v>
      </c>
      <c r="N203" s="76">
        <v>95</v>
      </c>
      <c r="O203" s="76">
        <v>91</v>
      </c>
      <c r="P203" s="76">
        <v>28</v>
      </c>
      <c r="Q203" s="76">
        <v>46</v>
      </c>
      <c r="R203" s="76">
        <v>3</v>
      </c>
      <c r="S203" s="76">
        <v>147</v>
      </c>
      <c r="T203" s="76">
        <v>836</v>
      </c>
      <c r="U203" s="76">
        <v>199</v>
      </c>
      <c r="V203" s="100">
        <v>0.28199999999999997</v>
      </c>
      <c r="W203" s="76">
        <v>1.33</v>
      </c>
      <c r="X203" s="50"/>
      <c r="Y203" s="50">
        <f t="shared" si="46"/>
        <v>5.1620648259303721</v>
      </c>
      <c r="Z203" s="6">
        <f>IF(Y203&lt;LeagueRatings!$K$10,((LeagueRatings!$K$10-Y203)/LeagueRatings!$K$10)*36,(LeagueRatings!$K$10-Y203)*6.48)</f>
        <v>14.559783697521548</v>
      </c>
      <c r="AA203" s="16">
        <f>INDEX('C-P-RollAdj'!$B$4:$B$76,MATCH(INT(Z203),'C-P-RollAdj'!$A$4:$A$76,FALSE),0)</f>
        <v>-1.19</v>
      </c>
      <c r="AB203" s="16">
        <f t="shared" si="47"/>
        <v>3.3613445378151261</v>
      </c>
      <c r="AC203" s="6">
        <f>IF(AB203&lt;LeagueRatings!$K$8,((LeagueRatings!$K$8-AB203)/LeagueRatings!$K$8)*36,(LeagueRatings!$K$8-AB203)/LeagueRatings!$K$11)</f>
        <v>-1.2635386364463927</v>
      </c>
      <c r="AD203" s="16">
        <f>INDEX('C-P-RollAdj'!$F$4:$F$76,MATCH(INT(AC203),'C-P-RollAdj'!$E$4:$E$76,FALSE),0)</f>
        <v>0.16</v>
      </c>
      <c r="AE203" s="17">
        <f>+((LeagueRatings!$I$6-E203)*5)+9.5</f>
        <v>9.9080514552774019</v>
      </c>
      <c r="AF203" s="17">
        <f t="shared" si="48"/>
        <v>9.9080514552774019</v>
      </c>
      <c r="AG203" s="17">
        <f t="shared" si="49"/>
        <v>-0.47738693467336724</v>
      </c>
      <c r="AH203" s="4">
        <f t="shared" si="50"/>
        <v>8.4006645206040353</v>
      </c>
      <c r="AI203" s="41" t="s">
        <v>606</v>
      </c>
      <c r="AJ203" s="94" t="s">
        <v>34</v>
      </c>
      <c r="AK203" s="219">
        <f>INDEX('C-P-RollAdj'!$J$4:$J$76,MATCH(INT(Z203),'C-P-RollAdj'!$I$4:$I$76,FALSE),0)</f>
        <v>32</v>
      </c>
      <c r="AL203" s="219">
        <f>INDEX('C-P-RollAdj'!$J$4:$J$76,MATCH(INT(AC203),'C-P-RollAdj'!$I$4:$I$76,FALSE),0)</f>
        <v>-12</v>
      </c>
      <c r="AM203" s="14">
        <f>+AR203*LeagueRatings!$K$27</f>
        <v>110.55555555555556</v>
      </c>
      <c r="AN203" s="72">
        <f>F203*LeagueRatings!$K$27</f>
        <v>18.333333333333336</v>
      </c>
      <c r="AO203" s="72">
        <f>G203*LeagueRatings!$K$27</f>
        <v>18.333333333333336</v>
      </c>
      <c r="AP203" s="72">
        <f>T203*LeagueRatings!$K$27</f>
        <v>464.44444444444446</v>
      </c>
      <c r="AQ203" s="76"/>
      <c r="AR203" s="72">
        <f t="shared" si="51"/>
        <v>199</v>
      </c>
      <c r="AS203" s="113"/>
      <c r="AT203" s="113"/>
      <c r="AU203" s="113"/>
      <c r="AV203" s="76"/>
      <c r="AW203" s="97">
        <v>219.67</v>
      </c>
      <c r="AX203"/>
    </row>
    <row r="204" spans="1:50" x14ac:dyDescent="0.2">
      <c r="A204" s="41" t="s">
        <v>1172</v>
      </c>
      <c r="B204" s="76" t="s">
        <v>154</v>
      </c>
      <c r="C204" s="76">
        <v>1</v>
      </c>
      <c r="D204" s="76">
        <v>0</v>
      </c>
      <c r="E204" s="97">
        <v>4.32</v>
      </c>
      <c r="F204" s="76">
        <v>16</v>
      </c>
      <c r="G204" s="76">
        <v>0</v>
      </c>
      <c r="H204" s="76">
        <v>0</v>
      </c>
      <c r="I204" s="76">
        <v>0</v>
      </c>
      <c r="J204" s="76">
        <v>0</v>
      </c>
      <c r="K204" s="76">
        <v>0</v>
      </c>
      <c r="L204" s="258">
        <f>INDEX('C-P-RollAdj'!$P$4:$P$900,MATCH((U204),'C-P-RollAdj'!$O$4:$O$900,FALSE),0)</f>
        <v>16.670000000000002</v>
      </c>
      <c r="M204" s="76">
        <v>13</v>
      </c>
      <c r="N204" s="76">
        <v>8</v>
      </c>
      <c r="O204" s="76">
        <v>8</v>
      </c>
      <c r="P204" s="76">
        <v>3</v>
      </c>
      <c r="Q204" s="76">
        <v>11</v>
      </c>
      <c r="R204" s="76">
        <v>0</v>
      </c>
      <c r="S204" s="76">
        <v>17</v>
      </c>
      <c r="T204" s="76">
        <v>75</v>
      </c>
      <c r="U204" s="76">
        <v>16.2</v>
      </c>
      <c r="V204" s="100">
        <v>0.20599999999999999</v>
      </c>
      <c r="W204" s="76">
        <v>1.44</v>
      </c>
      <c r="X204" s="50"/>
      <c r="Y204" s="50">
        <f t="shared" si="46"/>
        <v>14.666666666666666</v>
      </c>
      <c r="Z204" s="6">
        <f>IF(Y204&lt;LeagueRatings!$K$10,((LeagueRatings!$K$10-Y204)/LeagueRatings!$K$10)*36,(LeagueRatings!$K$10-Y204)*6.48)</f>
        <v>-38.874219505806337</v>
      </c>
      <c r="AA204" s="260">
        <v>5.44</v>
      </c>
      <c r="AB204" s="16">
        <f t="shared" si="47"/>
        <v>4</v>
      </c>
      <c r="AC204" s="6">
        <f>IF(AB204&lt;LeagueRatings!$K$8,((LeagueRatings!$K$8-AB204)/LeagueRatings!$K$8)*36,(LeagueRatings!$K$8-AB204)/LeagueRatings!$K$11)</f>
        <v>-6.3347520462205091</v>
      </c>
      <c r="AD204" s="16">
        <f>INDEX('C-P-RollAdj'!$F$4:$F$76,MATCH(INT(AC204),'C-P-RollAdj'!$E$4:$E$76,FALSE),0)</f>
        <v>0.61</v>
      </c>
      <c r="AE204" s="17">
        <f>+((LeagueRatings!$I$6-E204)*5)+9.5</f>
        <v>8.9080514552774019</v>
      </c>
      <c r="AF204" s="17">
        <f t="shared" si="48"/>
        <v>8.9080514552774019</v>
      </c>
      <c r="AG204" s="17">
        <f t="shared" si="49"/>
        <v>1.4710917816436713</v>
      </c>
      <c r="AH204" s="4">
        <f t="shared" si="50"/>
        <v>16.429143236921075</v>
      </c>
      <c r="AI204" s="41" t="s">
        <v>1172</v>
      </c>
      <c r="AJ204" s="5" t="s">
        <v>31</v>
      </c>
      <c r="AK204" s="219">
        <v>-66</v>
      </c>
      <c r="AL204" s="219">
        <f>INDEX('C-P-RollAdj'!$J$4:$J$76,MATCH(INT(AC204),'C-P-RollAdj'!$I$4:$I$76,FALSE),0)</f>
        <v>-21</v>
      </c>
      <c r="AM204" s="14">
        <f>+AR204*LeagueRatings!$K$27</f>
        <v>9.4444444444444446</v>
      </c>
      <c r="AN204" s="72">
        <f>F204*LeagueRatings!$K$27</f>
        <v>8.8888888888888893</v>
      </c>
      <c r="AO204" s="72">
        <f>G204*LeagueRatings!$K$27</f>
        <v>0</v>
      </c>
      <c r="AP204" s="72">
        <f>T204*LeagueRatings!$K$27</f>
        <v>41.666666666666671</v>
      </c>
      <c r="AR204" s="72">
        <f t="shared" si="51"/>
        <v>17</v>
      </c>
      <c r="AW204" s="97">
        <v>37</v>
      </c>
    </row>
    <row r="205" spans="1:50" x14ac:dyDescent="0.2">
      <c r="A205" s="41" t="s">
        <v>484</v>
      </c>
      <c r="B205" s="76" t="s">
        <v>154</v>
      </c>
      <c r="C205" s="76">
        <v>6</v>
      </c>
      <c r="D205" s="76">
        <v>2</v>
      </c>
      <c r="E205" s="97">
        <v>5.15</v>
      </c>
      <c r="F205" s="76">
        <v>22</v>
      </c>
      <c r="G205" s="76">
        <v>15</v>
      </c>
      <c r="H205" s="76">
        <v>0</v>
      </c>
      <c r="I205" s="76">
        <v>0</v>
      </c>
      <c r="J205" s="76">
        <v>1</v>
      </c>
      <c r="K205" s="76">
        <v>1</v>
      </c>
      <c r="L205" s="258">
        <f>INDEX('C-P-RollAdj'!$P$4:$P$900,MATCH((U205),'C-P-RollAdj'!$O$4:$O$900,FALSE),0)</f>
        <v>94.33</v>
      </c>
      <c r="M205" s="76">
        <v>95</v>
      </c>
      <c r="N205" s="76">
        <v>55</v>
      </c>
      <c r="O205" s="76">
        <v>54</v>
      </c>
      <c r="P205" s="76">
        <v>11</v>
      </c>
      <c r="Q205" s="76">
        <v>45</v>
      </c>
      <c r="R205" s="76">
        <v>1</v>
      </c>
      <c r="S205" s="76">
        <v>101</v>
      </c>
      <c r="T205" s="76">
        <v>417</v>
      </c>
      <c r="U205" s="76">
        <v>94.1</v>
      </c>
      <c r="V205" s="100">
        <v>0.25900000000000001</v>
      </c>
      <c r="W205" s="76">
        <v>1.48</v>
      </c>
      <c r="X205" s="50"/>
      <c r="Y205" s="50">
        <f t="shared" si="46"/>
        <v>10.576923076923077</v>
      </c>
      <c r="Z205" s="6">
        <f>IF(Y205&lt;LeagueRatings!$K$10,((LeagueRatings!$K$10-Y205)/LeagueRatings!$K$10)*36,(LeagueRatings!$K$10-Y205)*6.48)</f>
        <v>-12.372681044267877</v>
      </c>
      <c r="AA205" s="16">
        <f>INDEX('C-P-RollAdj'!$B$4:$B$76,MATCH(INT(Z205),'C-P-RollAdj'!$A$4:$A$76,FALSE),0)</f>
        <v>1.37</v>
      </c>
      <c r="AB205" s="16">
        <f t="shared" si="47"/>
        <v>2.6442307692307692</v>
      </c>
      <c r="AC205" s="6">
        <f>IF(AB205&lt;LeagueRatings!$K$8,((LeagueRatings!$K$8-AB205)/LeagueRatings!$K$8)*36,(LeagueRatings!$K$8-AB205)/LeagueRatings!$K$11)</f>
        <v>6.2730061349693269</v>
      </c>
      <c r="AD205" s="16">
        <f>INDEX('C-P-RollAdj'!$F$4:$F$76,MATCH(INT(AC205),'C-P-RollAdj'!$E$4:$E$76,FALSE),0)</f>
        <v>-0.42000000000000004</v>
      </c>
      <c r="AE205" s="17">
        <f>+((LeagueRatings!$I$6-E205)*5)+9.5</f>
        <v>4.7580514552774016</v>
      </c>
      <c r="AF205" s="17">
        <f t="shared" si="48"/>
        <v>4.7580514552774016</v>
      </c>
      <c r="AG205" s="17">
        <f t="shared" si="49"/>
        <v>-3.5513622389483634E-2</v>
      </c>
      <c r="AH205" s="4">
        <f t="shared" si="50"/>
        <v>5.6725378328879179</v>
      </c>
      <c r="AI205" s="41" t="s">
        <v>484</v>
      </c>
      <c r="AJ205" s="5" t="s">
        <v>24</v>
      </c>
      <c r="AK205" s="219">
        <f>INDEX('C-P-RollAdj'!$J$4:$J$76,MATCH(INT(Z205),'C-P-RollAdj'!$I$4:$I$76,FALSE),0)</f>
        <v>-31</v>
      </c>
      <c r="AL205" s="219">
        <f>INDEX('C-P-RollAdj'!$J$4:$J$76,MATCH(INT(AC205),'C-P-RollAdj'!$I$4:$I$76,FALSE),0)</f>
        <v>16</v>
      </c>
      <c r="AM205" s="14">
        <f>+AR205*LeagueRatings!$K$27</f>
        <v>52.777777777777779</v>
      </c>
      <c r="AN205" s="72">
        <f>F205*LeagueRatings!$K$27</f>
        <v>12.222222222222223</v>
      </c>
      <c r="AO205" s="72">
        <f>G205*LeagueRatings!$K$27</f>
        <v>8.3333333333333339</v>
      </c>
      <c r="AP205" s="72">
        <f>T205*LeagueRatings!$K$27</f>
        <v>231.66666666666669</v>
      </c>
      <c r="AR205" s="72">
        <f t="shared" si="51"/>
        <v>95</v>
      </c>
      <c r="AW205" s="3">
        <v>90</v>
      </c>
    </row>
    <row r="206" spans="1:50" s="23" customFormat="1" ht="12.75" customHeight="1" x14ac:dyDescent="0.2">
      <c r="A206" s="41" t="s">
        <v>1303</v>
      </c>
      <c r="B206" s="76" t="s">
        <v>154</v>
      </c>
      <c r="C206" s="76">
        <v>5</v>
      </c>
      <c r="D206" s="76">
        <v>2</v>
      </c>
      <c r="E206" s="97">
        <v>3.54</v>
      </c>
      <c r="F206" s="76">
        <v>11</v>
      </c>
      <c r="G206" s="76">
        <v>10</v>
      </c>
      <c r="H206" s="76">
        <v>0</v>
      </c>
      <c r="I206" s="76">
        <v>0</v>
      </c>
      <c r="J206" s="76">
        <v>0</v>
      </c>
      <c r="K206" s="76">
        <v>0</v>
      </c>
      <c r="L206" s="258">
        <f>INDEX('C-P-RollAdj'!$P$4:$P$900,MATCH((U206),'C-P-RollAdj'!$O$4:$O$900,FALSE),0)</f>
        <v>56</v>
      </c>
      <c r="M206" s="76">
        <v>43</v>
      </c>
      <c r="N206" s="76">
        <v>25</v>
      </c>
      <c r="O206" s="76">
        <v>22</v>
      </c>
      <c r="P206" s="76">
        <v>12</v>
      </c>
      <c r="Q206" s="76">
        <v>18</v>
      </c>
      <c r="R206" s="76">
        <v>0</v>
      </c>
      <c r="S206" s="76">
        <v>40</v>
      </c>
      <c r="T206" s="76">
        <v>221</v>
      </c>
      <c r="U206" s="76">
        <v>56</v>
      </c>
      <c r="V206" s="100">
        <v>0.214</v>
      </c>
      <c r="W206" s="76">
        <v>1.0900000000000001</v>
      </c>
      <c r="X206" s="50"/>
      <c r="Y206" s="50">
        <f t="shared" si="46"/>
        <v>8.1447963800904972</v>
      </c>
      <c r="Z206" s="6">
        <f>IF(Y206&lt;LeagueRatings!$K$10,((LeagueRatings!$K$10-Y206)/LeagueRatings!$K$10)*36,(LeagueRatings!$K$10-Y206)*6.48)</f>
        <v>2.1712508429588655</v>
      </c>
      <c r="AA206" s="16">
        <f>INDEX('C-P-RollAdj'!$B$4:$B$76,MATCH(INT(Z206),'C-P-RollAdj'!$A$4:$A$76,FALSE),0)</f>
        <v>-0.16</v>
      </c>
      <c r="AB206" s="16">
        <f t="shared" si="47"/>
        <v>5.4298642533936654</v>
      </c>
      <c r="AC206" s="6">
        <f>IF(AB206&lt;LeagueRatings!$K$8,((LeagueRatings!$K$8-AB206)/LeagueRatings!$K$8)*36,(LeagueRatings!$K$8-AB206)/LeagueRatings!$K$11)</f>
        <v>-17.688521340168229</v>
      </c>
      <c r="AD206" s="16">
        <f>INDEX('C-P-RollAdj'!$F$4:$F$76,MATCH(INT(AC206),'C-P-RollAdj'!$E$4:$E$76,FALSE),0)</f>
        <v>1.8900000000000001</v>
      </c>
      <c r="AE206" s="17">
        <f>+((LeagueRatings!$I$6-E206)*5)+9.5</f>
        <v>12.808051455277404</v>
      </c>
      <c r="AF206" s="17">
        <f t="shared" si="48"/>
        <v>12.808051455277404</v>
      </c>
      <c r="AG206" s="17">
        <f t="shared" si="49"/>
        <v>1.5549999999999995</v>
      </c>
      <c r="AH206" s="4">
        <f t="shared" si="50"/>
        <v>16.093051455277404</v>
      </c>
      <c r="AI206" s="41" t="s">
        <v>1303</v>
      </c>
      <c r="AJ206" s="5" t="s">
        <v>31</v>
      </c>
      <c r="AK206" s="219">
        <f>INDEX('C-P-RollAdj'!$J$4:$J$76,MATCH(INT(Z206),'C-P-RollAdj'!$I$4:$I$76,FALSE),0)</f>
        <v>12</v>
      </c>
      <c r="AL206" s="219">
        <f>INDEX('C-P-RollAdj'!$J$4:$J$76,MATCH(INT(AC206),'C-P-RollAdj'!$I$4:$I$76,FALSE),0)</f>
        <v>-36</v>
      </c>
      <c r="AM206" s="14">
        <f>+AR206*LeagueRatings!$K$27</f>
        <v>31.111111111111114</v>
      </c>
      <c r="AN206" s="72">
        <f>F206*LeagueRatings!$K$27</f>
        <v>6.1111111111111116</v>
      </c>
      <c r="AO206" s="72">
        <f>G206*LeagueRatings!$K$27</f>
        <v>5.5555555555555554</v>
      </c>
      <c r="AP206" s="72">
        <f>T206*LeagueRatings!$K$27</f>
        <v>122.77777777777779</v>
      </c>
      <c r="AQ206" s="24"/>
      <c r="AR206" s="72">
        <f t="shared" si="51"/>
        <v>56</v>
      </c>
      <c r="AS206" s="113"/>
      <c r="AT206" s="113"/>
      <c r="AU206" s="113"/>
      <c r="AV206" s="24"/>
      <c r="AW206" s="97">
        <v>68</v>
      </c>
      <c r="AX206" s="24"/>
    </row>
    <row r="207" spans="1:50" customFormat="1" ht="12.75" customHeight="1" x14ac:dyDescent="0.2">
      <c r="A207" s="41" t="s">
        <v>583</v>
      </c>
      <c r="B207" s="76" t="s">
        <v>154</v>
      </c>
      <c r="C207" s="76">
        <v>1</v>
      </c>
      <c r="D207" s="76">
        <v>1</v>
      </c>
      <c r="E207" s="97">
        <v>3.53</v>
      </c>
      <c r="F207" s="76">
        <v>55</v>
      </c>
      <c r="G207" s="76">
        <v>1</v>
      </c>
      <c r="H207" s="76">
        <v>0</v>
      </c>
      <c r="I207" s="76">
        <v>0</v>
      </c>
      <c r="J207" s="76">
        <v>0</v>
      </c>
      <c r="K207" s="76">
        <v>2</v>
      </c>
      <c r="L207" s="258">
        <f>INDEX('C-P-RollAdj'!$P$4:$P$900,MATCH((U207),'C-P-RollAdj'!$O$4:$O$900,FALSE),0)</f>
        <v>58.67</v>
      </c>
      <c r="M207" s="76">
        <v>67</v>
      </c>
      <c r="N207" s="76">
        <v>23</v>
      </c>
      <c r="O207" s="76">
        <v>23</v>
      </c>
      <c r="P207" s="76">
        <v>11</v>
      </c>
      <c r="Q207" s="76">
        <v>11</v>
      </c>
      <c r="R207" s="76">
        <v>2</v>
      </c>
      <c r="S207" s="76">
        <v>51</v>
      </c>
      <c r="T207" s="76">
        <v>247</v>
      </c>
      <c r="U207" s="76">
        <v>58.2</v>
      </c>
      <c r="V207" s="100">
        <v>0.28899999999999998</v>
      </c>
      <c r="W207" s="76">
        <v>1.33</v>
      </c>
      <c r="X207" s="50"/>
      <c r="Y207" s="50">
        <f t="shared" si="46"/>
        <v>3.6734693877551026</v>
      </c>
      <c r="Z207" s="6">
        <f>IF(Y207&lt;LeagueRatings!$K$10,((LeagueRatings!$K$10-Y207)/LeagueRatings!$K$10)*36,(LeagueRatings!$K$10-Y207)*6.48)</f>
        <v>20.742543747538591</v>
      </c>
      <c r="AA207" s="16">
        <f>INDEX('C-P-RollAdj'!$B$4:$B$76,MATCH(INT(Z207),'C-P-RollAdj'!$A$4:$A$76,FALSE),0)</f>
        <v>-1.79</v>
      </c>
      <c r="AB207" s="16">
        <f t="shared" si="47"/>
        <v>4.4897959183673466</v>
      </c>
      <c r="AC207" s="6">
        <f>IF(AB207&lt;LeagueRatings!$K$8,((LeagueRatings!$K$8-AB207)/LeagueRatings!$K$8)*36,(LeagueRatings!$K$8-AB207)/LeagueRatings!$K$11)</f>
        <v>-10.223953307851783</v>
      </c>
      <c r="AD207" s="16">
        <f>INDEX('C-P-RollAdj'!$F$4:$F$76,MATCH(INT(AC207),'C-P-RollAdj'!$E$4:$E$76,FALSE),0)</f>
        <v>1.03</v>
      </c>
      <c r="AE207" s="17">
        <f>+((LeagueRatings!$I$6-E207)*5)+9.5</f>
        <v>12.858051455277405</v>
      </c>
      <c r="AF207" s="17">
        <f t="shared" si="48"/>
        <v>12.858051455277405</v>
      </c>
      <c r="AG207" s="17">
        <f t="shared" si="49"/>
        <v>-0.70990284642918011</v>
      </c>
      <c r="AH207" s="4">
        <f t="shared" si="50"/>
        <v>11.388148608848224</v>
      </c>
      <c r="AI207" s="41" t="s">
        <v>583</v>
      </c>
      <c r="AJ207" s="94" t="s">
        <v>59</v>
      </c>
      <c r="AK207" s="219">
        <f>INDEX('C-P-RollAdj'!$J$4:$J$76,MATCH(INT(Z207),'C-P-RollAdj'!$I$4:$I$76,FALSE),0)</f>
        <v>42</v>
      </c>
      <c r="AL207" s="219">
        <f>INDEX('C-P-RollAdj'!$J$4:$J$76,MATCH(INT(AC207),'C-P-RollAdj'!$I$4:$I$76,FALSE),0)</f>
        <v>-25</v>
      </c>
      <c r="AM207" s="14">
        <f>+AR207*LeagueRatings!$K$27</f>
        <v>32.777777777777779</v>
      </c>
      <c r="AN207" s="72">
        <f>F207*LeagueRatings!$K$27</f>
        <v>30.555555555555557</v>
      </c>
      <c r="AO207" s="72">
        <f>G207*LeagueRatings!$K$27</f>
        <v>0.55555555555555558</v>
      </c>
      <c r="AP207" s="72">
        <f>T207*LeagueRatings!$K$27</f>
        <v>137.22222222222223</v>
      </c>
      <c r="AQ207" s="76"/>
      <c r="AR207" s="72">
        <f t="shared" si="51"/>
        <v>59</v>
      </c>
      <c r="AS207" s="113"/>
      <c r="AT207" s="113"/>
      <c r="AU207" s="113"/>
      <c r="AV207" s="76"/>
      <c r="AW207" s="97">
        <v>24</v>
      </c>
      <c r="AX207" s="23"/>
    </row>
    <row r="208" spans="1:50" x14ac:dyDescent="0.2">
      <c r="A208" s="41" t="s">
        <v>605</v>
      </c>
      <c r="B208" s="76" t="s">
        <v>154</v>
      </c>
      <c r="C208" s="76">
        <v>6</v>
      </c>
      <c r="D208" s="76">
        <v>7</v>
      </c>
      <c r="E208" s="97">
        <v>3.79</v>
      </c>
      <c r="F208" s="76">
        <v>20</v>
      </c>
      <c r="G208" s="76">
        <v>20</v>
      </c>
      <c r="H208" s="76">
        <v>0</v>
      </c>
      <c r="I208" s="76">
        <v>0</v>
      </c>
      <c r="J208" s="76">
        <v>0</v>
      </c>
      <c r="K208" s="76">
        <v>0</v>
      </c>
      <c r="L208" s="258">
        <f>INDEX('C-P-RollAdj'!$P$4:$P$900,MATCH((U208),'C-P-RollAdj'!$O$4:$O$900,FALSE),0)</f>
        <v>121</v>
      </c>
      <c r="M208" s="76">
        <v>134</v>
      </c>
      <c r="N208" s="76">
        <v>62</v>
      </c>
      <c r="O208" s="76">
        <v>51</v>
      </c>
      <c r="P208" s="76">
        <v>9</v>
      </c>
      <c r="Q208" s="76">
        <v>24</v>
      </c>
      <c r="R208" s="76">
        <v>3</v>
      </c>
      <c r="S208" s="76">
        <v>117</v>
      </c>
      <c r="T208" s="76">
        <v>511</v>
      </c>
      <c r="U208" s="76">
        <v>121</v>
      </c>
      <c r="V208" s="100">
        <v>0.27900000000000003</v>
      </c>
      <c r="W208" s="76">
        <v>1.31</v>
      </c>
      <c r="X208" s="50"/>
      <c r="Y208" s="50">
        <f t="shared" si="46"/>
        <v>4.1338582677165361</v>
      </c>
      <c r="Z208" s="6">
        <f>IF(Y208&lt;LeagueRatings!$K$10,((LeagueRatings!$K$10-Y208)/LeagueRatings!$K$10)*36,(LeagueRatings!$K$10-Y208)*6.48)</f>
        <v>18.83035598886396</v>
      </c>
      <c r="AA208" s="16">
        <f>INDEX('C-P-RollAdj'!$B$4:$B$76,MATCH(INT(Z208),'C-P-RollAdj'!$A$4:$A$76,FALSE),0)</f>
        <v>-1.5899999999999999</v>
      </c>
      <c r="AB208" s="16">
        <f t="shared" si="47"/>
        <v>1.7716535433070866</v>
      </c>
      <c r="AC208" s="6">
        <f>IF(AB208&lt;LeagueRatings!$K$8,((LeagueRatings!$K$8-AB208)/LeagueRatings!$K$8)*36,(LeagueRatings!$K$8-AB208)/LeagueRatings!$K$11)</f>
        <v>16.082701318776873</v>
      </c>
      <c r="AD208" s="16">
        <f>INDEX('C-P-RollAdj'!$F$4:$F$76,MATCH(INT(AC208),'C-P-RollAdj'!$E$4:$E$76,FALSE),0)</f>
        <v>-1.23</v>
      </c>
      <c r="AE208" s="17">
        <f>+((LeagueRatings!$I$6-E208)*5)+9.5</f>
        <v>11.558051455277404</v>
      </c>
      <c r="AF208" s="17">
        <f t="shared" si="48"/>
        <v>11.558051455277404</v>
      </c>
      <c r="AG208" s="17">
        <f t="shared" si="49"/>
        <v>-0.53719008264462853</v>
      </c>
      <c r="AH208" s="4">
        <f t="shared" si="50"/>
        <v>8.2008613726327759</v>
      </c>
      <c r="AI208" s="41" t="s">
        <v>605</v>
      </c>
      <c r="AJ208" s="94" t="s">
        <v>34</v>
      </c>
      <c r="AK208" s="219">
        <f>INDEX('C-P-RollAdj'!$J$4:$J$76,MATCH(INT(Z208),'C-P-RollAdj'!$I$4:$I$76,FALSE),0)</f>
        <v>36</v>
      </c>
      <c r="AL208" s="219">
        <f>INDEX('C-P-RollAdj'!$J$4:$J$76,MATCH(INT(AC208),'C-P-RollAdj'!$I$4:$I$76,FALSE),0)</f>
        <v>34</v>
      </c>
      <c r="AM208" s="14">
        <f>+AR208*LeagueRatings!$K$27</f>
        <v>67.222222222222229</v>
      </c>
      <c r="AN208" s="72">
        <f>F208*LeagueRatings!$K$27</f>
        <v>11.111111111111111</v>
      </c>
      <c r="AO208" s="72">
        <f>G208*LeagueRatings!$K$27</f>
        <v>11.111111111111111</v>
      </c>
      <c r="AP208" s="72">
        <f>T208*LeagueRatings!$K$27</f>
        <v>283.88888888888891</v>
      </c>
      <c r="AQ208" s="76"/>
      <c r="AR208" s="72">
        <f t="shared" si="51"/>
        <v>121</v>
      </c>
      <c r="AV208" s="76"/>
      <c r="AW208" s="97">
        <v>53</v>
      </c>
      <c r="AX208"/>
    </row>
    <row r="209" spans="1:50" x14ac:dyDescent="0.2">
      <c r="A209" s="41" t="s">
        <v>481</v>
      </c>
      <c r="B209" s="76" t="s">
        <v>154</v>
      </c>
      <c r="C209" s="76">
        <v>3</v>
      </c>
      <c r="D209" s="76">
        <v>0</v>
      </c>
      <c r="E209" s="97">
        <v>3.44</v>
      </c>
      <c r="F209" s="76">
        <v>19</v>
      </c>
      <c r="G209" s="76">
        <v>0</v>
      </c>
      <c r="H209" s="76">
        <v>0</v>
      </c>
      <c r="I209" s="76">
        <v>0</v>
      </c>
      <c r="J209" s="76">
        <v>0</v>
      </c>
      <c r="K209" s="76">
        <v>0</v>
      </c>
      <c r="L209" s="258">
        <f>INDEX('C-P-RollAdj'!$P$4:$P$900,MATCH((U209),'C-P-RollAdj'!$O$4:$O$900,FALSE),0)</f>
        <v>18.329999999999998</v>
      </c>
      <c r="M209" s="76">
        <v>13</v>
      </c>
      <c r="N209" s="76">
        <v>7</v>
      </c>
      <c r="O209" s="76">
        <v>7</v>
      </c>
      <c r="P209" s="76">
        <v>1</v>
      </c>
      <c r="Q209" s="76">
        <v>3</v>
      </c>
      <c r="R209" s="76">
        <v>0</v>
      </c>
      <c r="S209" s="76">
        <v>16</v>
      </c>
      <c r="T209" s="76">
        <v>72</v>
      </c>
      <c r="U209" s="76">
        <v>18.100000000000001</v>
      </c>
      <c r="V209" s="100">
        <v>0.191</v>
      </c>
      <c r="W209" s="76">
        <v>0.87</v>
      </c>
      <c r="X209" s="50"/>
      <c r="Y209" s="50">
        <f t="shared" si="46"/>
        <v>4.1666666666666661</v>
      </c>
      <c r="Z209" s="6">
        <f>IF(Y209&lt;LeagueRatings!$K$10,((LeagueRatings!$K$10-Y209)/LeagueRatings!$K$10)*36,(LeagueRatings!$K$10-Y209)*6.48)</f>
        <v>18.694088972902566</v>
      </c>
      <c r="AA209" s="16">
        <f>INDEX('C-P-RollAdj'!$B$4:$B$76,MATCH(INT(Z209),'C-P-RollAdj'!$A$4:$A$76,FALSE),0)</f>
        <v>-1.5899999999999999</v>
      </c>
      <c r="AB209" s="16">
        <f t="shared" si="47"/>
        <v>1.3888888888888888</v>
      </c>
      <c r="AC209" s="6">
        <f>IF(AB209&lt;LeagueRatings!$K$8,((LeagueRatings!$K$8-AB209)/LeagueRatings!$K$8)*36,(LeagueRatings!$K$8-AB209)/LeagueRatings!$K$11)</f>
        <v>20.385821404226313</v>
      </c>
      <c r="AD209" s="16">
        <f>INDEX('C-P-RollAdj'!$F$4:$F$76,MATCH(INT(AC209),'C-P-RollAdj'!$E$4:$E$76,FALSE),0)</f>
        <v>-1.59</v>
      </c>
      <c r="AE209" s="17">
        <f>+((LeagueRatings!$I$6-E209)*5)+9.5</f>
        <v>13.308051455277404</v>
      </c>
      <c r="AF209" s="17">
        <f t="shared" si="48"/>
        <v>13.308051455277404</v>
      </c>
      <c r="AG209" s="17">
        <f t="shared" si="49"/>
        <v>1.9654609929078013</v>
      </c>
      <c r="AH209" s="4">
        <f t="shared" si="50"/>
        <v>12.093512448185205</v>
      </c>
      <c r="AI209" s="41" t="s">
        <v>481</v>
      </c>
      <c r="AJ209" s="5" t="s">
        <v>59</v>
      </c>
      <c r="AK209" s="219">
        <f>INDEX('C-P-RollAdj'!$J$4:$J$76,MATCH(INT(Z209),'C-P-RollAdj'!$I$4:$I$76,FALSE),0)</f>
        <v>36</v>
      </c>
      <c r="AL209" s="219">
        <f>INDEX('C-P-RollAdj'!$J$4:$J$76,MATCH(INT(AC209),'C-P-RollAdj'!$I$4:$I$76,FALSE),0)</f>
        <v>42</v>
      </c>
      <c r="AM209" s="14">
        <f>+AR209*LeagueRatings!$K$27</f>
        <v>10.555555555555555</v>
      </c>
      <c r="AN209" s="72">
        <f>F209*LeagueRatings!$K$27</f>
        <v>10.555555555555555</v>
      </c>
      <c r="AO209" s="72">
        <f>G209*LeagueRatings!$K$27</f>
        <v>0</v>
      </c>
      <c r="AP209" s="72">
        <f>T209*LeagueRatings!$K$27</f>
        <v>40</v>
      </c>
      <c r="AR209" s="72">
        <f t="shared" si="51"/>
        <v>19</v>
      </c>
      <c r="AW209" s="97">
        <v>72.33</v>
      </c>
    </row>
    <row r="210" spans="1:50" x14ac:dyDescent="0.2">
      <c r="A210" s="41" t="s">
        <v>438</v>
      </c>
      <c r="B210" s="76" t="s">
        <v>154</v>
      </c>
      <c r="C210" s="76">
        <v>4</v>
      </c>
      <c r="D210" s="76">
        <v>4</v>
      </c>
      <c r="E210" s="97">
        <v>3.73</v>
      </c>
      <c r="F210" s="76">
        <v>60</v>
      </c>
      <c r="G210" s="76">
        <v>0</v>
      </c>
      <c r="H210" s="76">
        <v>0</v>
      </c>
      <c r="I210" s="76">
        <v>0</v>
      </c>
      <c r="J210" s="76">
        <v>3</v>
      </c>
      <c r="K210" s="76">
        <v>9</v>
      </c>
      <c r="L210" s="258">
        <f>INDEX('C-P-RollAdj'!$P$4:$P$900,MATCH((U210),'C-P-RollAdj'!$O$4:$O$900,FALSE),0)</f>
        <v>60.33</v>
      </c>
      <c r="M210" s="76">
        <v>53</v>
      </c>
      <c r="N210" s="76">
        <v>26</v>
      </c>
      <c r="O210" s="76">
        <v>25</v>
      </c>
      <c r="P210" s="76">
        <v>11</v>
      </c>
      <c r="Q210" s="76">
        <v>15</v>
      </c>
      <c r="R210" s="76">
        <v>5</v>
      </c>
      <c r="S210" s="76">
        <v>65</v>
      </c>
      <c r="T210" s="76">
        <v>247</v>
      </c>
      <c r="U210" s="76">
        <v>60.1</v>
      </c>
      <c r="V210" s="100">
        <v>0.23100000000000001</v>
      </c>
      <c r="W210" s="76">
        <v>1.1299999999999999</v>
      </c>
      <c r="X210" s="50"/>
      <c r="Y210" s="50">
        <f t="shared" si="46"/>
        <v>4.1322314049586781</v>
      </c>
      <c r="Z210" s="6">
        <f>IF(Y210&lt;LeagueRatings!$K$10,((LeagueRatings!$K$10-Y210)/LeagueRatings!$K$10)*36,(LeagueRatings!$K$10-Y210)*6.48)</f>
        <v>18.837113030977751</v>
      </c>
      <c r="AA210" s="16">
        <f>INDEX('C-P-RollAdj'!$B$4:$B$76,MATCH(INT(Z210),'C-P-RollAdj'!$A$4:$A$76,FALSE),0)</f>
        <v>-1.5899999999999999</v>
      </c>
      <c r="AB210" s="16">
        <f t="shared" si="47"/>
        <v>4.5454545454545459</v>
      </c>
      <c r="AC210" s="6">
        <f>IF(AB210&lt;LeagueRatings!$K$8,((LeagueRatings!$K$8-AB210)/LeagueRatings!$K$8)*36,(LeagueRatings!$K$8-AB210)/LeagueRatings!$K$11)</f>
        <v>-10.665907996673527</v>
      </c>
      <c r="AD210" s="16">
        <f>INDEX('C-P-RollAdj'!$F$4:$F$76,MATCH(INT(AC210),'C-P-RollAdj'!$E$4:$E$76,FALSE),0)</f>
        <v>1.03</v>
      </c>
      <c r="AE210" s="17">
        <f>+((LeagueRatings!$I$6-E210)*5)+9.5</f>
        <v>11.858051455277403</v>
      </c>
      <c r="AF210" s="17">
        <f t="shared" si="48"/>
        <v>11.858051455277403</v>
      </c>
      <c r="AG210" s="17">
        <f t="shared" si="49"/>
        <v>0.78048897729156264</v>
      </c>
      <c r="AH210" s="4">
        <f t="shared" si="50"/>
        <v>12.078540432568966</v>
      </c>
      <c r="AI210" s="41" t="s">
        <v>438</v>
      </c>
      <c r="AJ210" s="5" t="s">
        <v>59</v>
      </c>
      <c r="AK210" s="219">
        <f>INDEX('C-P-RollAdj'!$J$4:$J$76,MATCH(INT(Z210),'C-P-RollAdj'!$I$4:$I$76,FALSE),0)</f>
        <v>36</v>
      </c>
      <c r="AL210" s="219">
        <f>INDEX('C-P-RollAdj'!$J$4:$J$76,MATCH(INT(AC210),'C-P-RollAdj'!$I$4:$I$76,FALSE),0)</f>
        <v>-25</v>
      </c>
      <c r="AM210" s="14">
        <f>+AR210*LeagueRatings!$K$27</f>
        <v>33.888888888888893</v>
      </c>
      <c r="AN210" s="72">
        <f>F210*LeagueRatings!$K$27</f>
        <v>33.333333333333336</v>
      </c>
      <c r="AO210" s="72">
        <f>G210*LeagueRatings!$K$27</f>
        <v>0</v>
      </c>
      <c r="AP210" s="72">
        <f>T210*LeagueRatings!$K$27</f>
        <v>137.22222222222223</v>
      </c>
      <c r="AR210" s="72">
        <f t="shared" si="51"/>
        <v>61</v>
      </c>
      <c r="AW210" s="97">
        <v>183</v>
      </c>
    </row>
    <row r="211" spans="1:50" x14ac:dyDescent="0.2">
      <c r="A211" s="41" t="s">
        <v>608</v>
      </c>
      <c r="B211" s="76" t="s">
        <v>154</v>
      </c>
      <c r="C211" s="76">
        <v>8</v>
      </c>
      <c r="D211" s="76">
        <v>11</v>
      </c>
      <c r="E211" s="97">
        <v>4.22</v>
      </c>
      <c r="F211" s="76">
        <v>25</v>
      </c>
      <c r="G211" s="76">
        <v>25</v>
      </c>
      <c r="H211" s="76">
        <v>1</v>
      </c>
      <c r="I211" s="76">
        <v>1</v>
      </c>
      <c r="J211" s="76">
        <v>0</v>
      </c>
      <c r="K211" s="76">
        <v>0</v>
      </c>
      <c r="L211" s="258">
        <f>INDEX('C-P-RollAdj'!$P$4:$P$900,MATCH((U211),'C-P-RollAdj'!$O$4:$O$900,FALSE),0)</f>
        <v>134.32999999999998</v>
      </c>
      <c r="M211" s="76">
        <v>129</v>
      </c>
      <c r="N211" s="76">
        <v>75</v>
      </c>
      <c r="O211" s="76">
        <v>63</v>
      </c>
      <c r="P211" s="76">
        <v>27</v>
      </c>
      <c r="Q211" s="76">
        <v>37</v>
      </c>
      <c r="R211" s="76">
        <v>2</v>
      </c>
      <c r="S211" s="76">
        <v>119</v>
      </c>
      <c r="T211" s="76">
        <v>573</v>
      </c>
      <c r="U211" s="76">
        <v>134.1</v>
      </c>
      <c r="V211" s="100">
        <v>0.247</v>
      </c>
      <c r="W211" s="76">
        <v>1.24</v>
      </c>
      <c r="X211" s="50"/>
      <c r="Y211" s="50">
        <f t="shared" si="46"/>
        <v>6.1295971978984243</v>
      </c>
      <c r="Z211" s="6">
        <f>IF(Y211&lt;LeagueRatings!$K$10,((LeagueRatings!$K$10-Y211)/LeagueRatings!$K$10)*36,(LeagueRatings!$K$10-Y211)*6.48)</f>
        <v>10.541216702693792</v>
      </c>
      <c r="AA211" s="16">
        <f>INDEX('C-P-RollAdj'!$B$4:$B$76,MATCH(INT(Z211),'C-P-RollAdj'!$A$4:$A$76,FALSE),0)</f>
        <v>-0.83000000000000007</v>
      </c>
      <c r="AB211" s="16">
        <f>(P211/(T211-R211))*100</f>
        <v>4.7285464098073557</v>
      </c>
      <c r="AC211" s="6">
        <f>IF(AB211&lt;LeagueRatings!$K$8,((LeagueRatings!$K$8-AB211)/LeagueRatings!$K$8)*36,(LeagueRatings!$K$8-AB211)/LeagueRatings!$K$11)</f>
        <v>-12.119740262587408</v>
      </c>
      <c r="AD211" s="16">
        <f>INDEX('C-P-RollAdj'!$F$4:$F$76,MATCH(INT(AC211),'C-P-RollAdj'!$E$4:$E$76,FALSE),0)</f>
        <v>1.2599999999999998</v>
      </c>
      <c r="AE211" s="17">
        <f>+((LeagueRatings!$I$6-E211)*5)+9.5</f>
        <v>9.4080514552774055</v>
      </c>
      <c r="AF211" s="17">
        <f>IF(AE211&lt;4,4,AE211)</f>
        <v>9.4080514552774055</v>
      </c>
      <c r="AG211" s="17">
        <f>IF(M211&lt;L211,((1-(M211/L211))*7)-0.07,(1-(M211/L211))*5)</f>
        <v>0.20774882751432949</v>
      </c>
      <c r="AH211" s="4">
        <f>+AA211+AD211+AF211+AG211</f>
        <v>10.045800282791735</v>
      </c>
      <c r="AI211" s="41" t="s">
        <v>608</v>
      </c>
      <c r="AJ211" s="5" t="s">
        <v>39</v>
      </c>
      <c r="AK211" s="219">
        <f>INDEX('C-P-RollAdj'!$J$4:$J$76,MATCH(INT(Z211),'C-P-RollAdj'!$I$4:$I$76,FALSE),0)</f>
        <v>24</v>
      </c>
      <c r="AL211" s="219">
        <f>INDEX('C-P-RollAdj'!$J$4:$J$76,MATCH(INT(AC211),'C-P-RollAdj'!$I$4:$I$76,FALSE),0)</f>
        <v>-31</v>
      </c>
      <c r="AM211" s="14">
        <f>+AR211*LeagueRatings!$K$27</f>
        <v>75</v>
      </c>
      <c r="AN211" s="72">
        <f>F211*LeagueRatings!$K$27</f>
        <v>13.888888888888889</v>
      </c>
      <c r="AO211" s="72">
        <f>G211*LeagueRatings!$K$27</f>
        <v>13.888888888888889</v>
      </c>
      <c r="AP211" s="72">
        <f>T211*LeagueRatings!$K$27</f>
        <v>318.33333333333337</v>
      </c>
      <c r="AR211" s="72">
        <f>ROUNDUP(L211,0)</f>
        <v>135</v>
      </c>
      <c r="AW211" s="97">
        <v>59</v>
      </c>
    </row>
    <row r="212" spans="1:50" x14ac:dyDescent="0.2">
      <c r="A212" s="41" t="s">
        <v>610</v>
      </c>
      <c r="B212" s="76" t="s">
        <v>154</v>
      </c>
      <c r="C212" s="76">
        <v>0</v>
      </c>
      <c r="D212" s="76">
        <v>1</v>
      </c>
      <c r="E212" s="97">
        <v>3.6</v>
      </c>
      <c r="F212" s="76">
        <v>29</v>
      </c>
      <c r="G212" s="76">
        <v>0</v>
      </c>
      <c r="H212" s="76">
        <v>0</v>
      </c>
      <c r="I212" s="76">
        <v>0</v>
      </c>
      <c r="J212" s="76">
        <v>1</v>
      </c>
      <c r="K212" s="76">
        <v>2</v>
      </c>
      <c r="L212" s="258">
        <f>INDEX('C-P-RollAdj'!$P$4:$P$900,MATCH((U212),'C-P-RollAdj'!$O$4:$O$900,FALSE),0)</f>
        <v>25</v>
      </c>
      <c r="M212" s="76">
        <v>22</v>
      </c>
      <c r="N212" s="76">
        <v>10</v>
      </c>
      <c r="O212" s="76">
        <v>10</v>
      </c>
      <c r="P212" s="76">
        <v>4</v>
      </c>
      <c r="Q212" s="76">
        <v>10</v>
      </c>
      <c r="R212" s="76">
        <v>0</v>
      </c>
      <c r="S212" s="76">
        <v>17</v>
      </c>
      <c r="T212" s="76">
        <v>100</v>
      </c>
      <c r="U212" s="76">
        <v>25</v>
      </c>
      <c r="V212" s="100">
        <v>0.24399999999999999</v>
      </c>
      <c r="W212" s="76">
        <v>1.28</v>
      </c>
      <c r="X212" s="50"/>
      <c r="Y212" s="50">
        <f t="shared" si="46"/>
        <v>10</v>
      </c>
      <c r="Z212" s="6">
        <f>IF(Y212&lt;LeagueRatings!$K$10,((LeagueRatings!$K$10-Y212)/LeagueRatings!$K$10)*36,(LeagueRatings!$K$10-Y212)*6.48)</f>
        <v>-8.6342195058063407</v>
      </c>
      <c r="AA212" s="16">
        <f>INDEX('C-P-RollAdj'!$B$4:$B$76,MATCH(INT(Z212),'C-P-RollAdj'!$A$4:$A$76,FALSE),0)</f>
        <v>0.87000000000000011</v>
      </c>
      <c r="AB212" s="16">
        <f t="shared" si="47"/>
        <v>4</v>
      </c>
      <c r="AC212" s="6">
        <f>IF(AB212&lt;LeagueRatings!$K$8,((LeagueRatings!$K$8-AB212)/LeagueRatings!$K$8)*36,(LeagueRatings!$K$8-AB212)/LeagueRatings!$K$11)</f>
        <v>-6.3347520462205091</v>
      </c>
      <c r="AD212" s="16">
        <f>INDEX('C-P-RollAdj'!$F$4:$F$76,MATCH(INT(AC212),'C-P-RollAdj'!$E$4:$E$76,FALSE),0)</f>
        <v>0.61</v>
      </c>
      <c r="AE212" s="17">
        <f>+((LeagueRatings!$I$6-E212)*5)+9.5</f>
        <v>12.508051455277403</v>
      </c>
      <c r="AF212" s="17">
        <f t="shared" si="48"/>
        <v>12.508051455277403</v>
      </c>
      <c r="AG212" s="17">
        <f t="shared" si="49"/>
        <v>0.77</v>
      </c>
      <c r="AH212" s="4">
        <f t="shared" si="50"/>
        <v>14.758051455277403</v>
      </c>
      <c r="AI212" s="41" t="s">
        <v>610</v>
      </c>
      <c r="AJ212" s="5" t="s">
        <v>14</v>
      </c>
      <c r="AK212" s="219">
        <f>INDEX('C-P-RollAdj'!$J$4:$J$76,MATCH(INT(Z212),'C-P-RollAdj'!$I$4:$I$76,FALSE),0)</f>
        <v>-23</v>
      </c>
      <c r="AL212" s="219">
        <f>INDEX('C-P-RollAdj'!$J$4:$J$76,MATCH(INT(AC212),'C-P-RollAdj'!$I$4:$I$76,FALSE),0)</f>
        <v>-21</v>
      </c>
      <c r="AM212" s="14">
        <f>+AR212*LeagueRatings!$K$27</f>
        <v>13.888888888888889</v>
      </c>
      <c r="AN212" s="72">
        <f>F212*LeagueRatings!$K$27</f>
        <v>16.111111111111111</v>
      </c>
      <c r="AO212" s="72">
        <f>G212*LeagueRatings!$K$27</f>
        <v>0</v>
      </c>
      <c r="AP212" s="72">
        <f>T212*LeagueRatings!$K$27</f>
        <v>55.555555555555557</v>
      </c>
      <c r="AR212" s="72">
        <f t="shared" si="51"/>
        <v>25</v>
      </c>
      <c r="AW212" s="97">
        <v>59</v>
      </c>
    </row>
    <row r="213" spans="1:50" s="23" customFormat="1" ht="12.75" customHeight="1" x14ac:dyDescent="0.2">
      <c r="A213" s="107"/>
      <c r="B213"/>
      <c r="C213"/>
      <c r="D213" s="3"/>
      <c r="E213" s="3"/>
      <c r="F213"/>
      <c r="G213" s="62"/>
      <c r="H213" s="176"/>
      <c r="I213" s="176"/>
      <c r="J213" s="62"/>
      <c r="K213" s="3"/>
      <c r="L213" s="111"/>
      <c r="M213"/>
      <c r="N213"/>
      <c r="O213"/>
      <c r="P213"/>
      <c r="R213" s="62"/>
      <c r="S213" s="2"/>
      <c r="T213"/>
      <c r="U213"/>
      <c r="V213" s="270"/>
      <c r="X213" s="50"/>
      <c r="Y213" s="50"/>
      <c r="Z213" s="6"/>
      <c r="AA213" s="16"/>
      <c r="AB213" s="16"/>
      <c r="AC213" s="6"/>
      <c r="AD213" s="16"/>
      <c r="AE213" s="17"/>
      <c r="AF213" s="17"/>
      <c r="AG213" s="17"/>
      <c r="AH213" s="4"/>
      <c r="AI213" s="107"/>
      <c r="AJ213" s="94"/>
      <c r="AK213" s="94"/>
      <c r="AL213" s="94"/>
      <c r="AM213" s="14"/>
      <c r="AN213" s="72"/>
      <c r="AO213" s="72"/>
      <c r="AP213" s="72"/>
      <c r="AQ213" s="76"/>
      <c r="AR213" s="72"/>
      <c r="AS213" s="113"/>
      <c r="AT213" s="113"/>
      <c r="AU213" s="113"/>
      <c r="AV213" s="76"/>
      <c r="AW213" s="111"/>
    </row>
    <row r="214" spans="1:50" customFormat="1" ht="12.75" customHeight="1" x14ac:dyDescent="0.2">
      <c r="A214" s="69" t="s">
        <v>106</v>
      </c>
      <c r="B214" s="70" t="s">
        <v>157</v>
      </c>
      <c r="C214" s="71" t="s">
        <v>85</v>
      </c>
      <c r="D214" s="70" t="s">
        <v>86</v>
      </c>
      <c r="E214" s="71" t="s">
        <v>87</v>
      </c>
      <c r="F214" s="70" t="s">
        <v>108</v>
      </c>
      <c r="G214" s="70" t="s">
        <v>88</v>
      </c>
      <c r="H214" s="182" t="s">
        <v>89</v>
      </c>
      <c r="I214" s="178" t="s">
        <v>317</v>
      </c>
      <c r="J214" s="72" t="s">
        <v>90</v>
      </c>
      <c r="K214" s="72" t="s">
        <v>158</v>
      </c>
      <c r="L214" s="71" t="s">
        <v>91</v>
      </c>
      <c r="M214" s="70" t="s">
        <v>92</v>
      </c>
      <c r="N214" s="70" t="s">
        <v>93</v>
      </c>
      <c r="O214" s="70" t="s">
        <v>94</v>
      </c>
      <c r="P214" s="70" t="s">
        <v>95</v>
      </c>
      <c r="Q214" s="70" t="s">
        <v>96</v>
      </c>
      <c r="R214" s="70" t="s">
        <v>98</v>
      </c>
      <c r="S214" s="70" t="s">
        <v>97</v>
      </c>
      <c r="T214" s="70" t="s">
        <v>109</v>
      </c>
      <c r="U214" s="155" t="s">
        <v>91</v>
      </c>
      <c r="V214" s="250" t="s">
        <v>1517</v>
      </c>
      <c r="W214" s="155" t="s">
        <v>1072</v>
      </c>
      <c r="X214" s="117"/>
      <c r="Y214" s="117" t="s">
        <v>2</v>
      </c>
      <c r="Z214" s="116" t="s">
        <v>3</v>
      </c>
      <c r="AA214" s="117" t="s">
        <v>4</v>
      </c>
      <c r="AB214" s="118" t="s">
        <v>5</v>
      </c>
      <c r="AC214" s="116" t="s">
        <v>6</v>
      </c>
      <c r="AD214" s="117" t="s">
        <v>7</v>
      </c>
      <c r="AE214" s="119" t="s">
        <v>8</v>
      </c>
      <c r="AF214" s="119" t="s">
        <v>81</v>
      </c>
      <c r="AG214" s="119" t="s">
        <v>9</v>
      </c>
      <c r="AH214" s="128" t="s">
        <v>10</v>
      </c>
      <c r="AI214" s="69" t="s">
        <v>106</v>
      </c>
      <c r="AJ214" s="7" t="s">
        <v>11</v>
      </c>
      <c r="AK214" s="7" t="s">
        <v>12</v>
      </c>
      <c r="AL214" s="7" t="s">
        <v>13</v>
      </c>
      <c r="AM214" s="14"/>
      <c r="AN214" s="72"/>
      <c r="AO214" s="72"/>
      <c r="AP214" s="72"/>
      <c r="AQ214" s="122"/>
      <c r="AR214" s="72"/>
      <c r="AS214" s="114"/>
      <c r="AT214" s="114"/>
      <c r="AU214" s="114"/>
      <c r="AV214" s="122"/>
      <c r="AW214" s="71" t="s">
        <v>91</v>
      </c>
      <c r="AX214" s="122"/>
    </row>
    <row r="215" spans="1:50" x14ac:dyDescent="0.2">
      <c r="A215" s="69"/>
      <c r="B215" s="18"/>
      <c r="C215" s="103"/>
      <c r="D215" s="18"/>
      <c r="E215" s="103"/>
      <c r="F215" s="18"/>
      <c r="G215" s="18"/>
      <c r="H215" s="143"/>
      <c r="I215" s="175"/>
      <c r="J215" s="14"/>
      <c r="K215" s="14"/>
      <c r="L215" s="103"/>
      <c r="M215" s="18"/>
      <c r="N215" s="18"/>
      <c r="O215" s="18"/>
      <c r="P215" s="18"/>
      <c r="Q215" s="30"/>
      <c r="R215" s="18"/>
      <c r="S215" s="18"/>
      <c r="T215" s="18"/>
      <c r="U215" s="18"/>
      <c r="X215" s="50"/>
      <c r="Y215" s="50"/>
      <c r="Z215" s="6"/>
      <c r="AB215" s="16"/>
      <c r="AC215" s="6"/>
      <c r="AE215" s="17"/>
      <c r="AF215" s="17"/>
      <c r="AG215" s="17"/>
      <c r="AH215" s="4"/>
      <c r="AI215" s="69"/>
      <c r="AJ215" s="7"/>
      <c r="AK215" s="7"/>
      <c r="AL215" s="7"/>
      <c r="AM215" s="14"/>
      <c r="AN215" s="72"/>
      <c r="AO215" s="72"/>
      <c r="AP215" s="72"/>
      <c r="AQ215" s="30"/>
      <c r="AR215" s="72"/>
      <c r="AV215" s="30"/>
      <c r="AW215" s="103"/>
      <c r="AX215" s="30"/>
    </row>
    <row r="216" spans="1:50" s="122" customFormat="1" x14ac:dyDescent="0.2">
      <c r="A216" s="41" t="s">
        <v>1211</v>
      </c>
      <c r="B216" s="76" t="s">
        <v>144</v>
      </c>
      <c r="C216" s="76">
        <v>8</v>
      </c>
      <c r="D216" s="76">
        <v>8</v>
      </c>
      <c r="E216" s="97">
        <v>4.37</v>
      </c>
      <c r="F216" s="76">
        <v>29</v>
      </c>
      <c r="G216" s="76">
        <v>19</v>
      </c>
      <c r="H216" s="76">
        <v>1</v>
      </c>
      <c r="I216" s="76">
        <v>1</v>
      </c>
      <c r="J216" s="76">
        <v>1</v>
      </c>
      <c r="K216" s="76">
        <v>1</v>
      </c>
      <c r="L216" s="258">
        <f>INDEX('C-P-RollAdj'!$P$4:$P$900,MATCH((U216),'C-P-RollAdj'!$O$4:$O$900,FALSE),0)</f>
        <v>127.67</v>
      </c>
      <c r="M216" s="76">
        <v>131</v>
      </c>
      <c r="N216" s="76">
        <v>64</v>
      </c>
      <c r="O216" s="76">
        <v>62</v>
      </c>
      <c r="P216" s="76">
        <v>17</v>
      </c>
      <c r="Q216" s="76">
        <v>25</v>
      </c>
      <c r="R216" s="76">
        <v>1</v>
      </c>
      <c r="S216" s="76">
        <v>109</v>
      </c>
      <c r="T216" s="76">
        <v>527</v>
      </c>
      <c r="U216" s="76">
        <v>127.2</v>
      </c>
      <c r="V216" s="100">
        <v>0.26500000000000001</v>
      </c>
      <c r="W216" s="76">
        <v>1.22</v>
      </c>
      <c r="X216" s="50"/>
      <c r="Y216" s="50">
        <f t="shared" ref="Y216:Y230" si="52">+(Q216-R216)/(T216-R216)*100</f>
        <v>4.5627376425855513</v>
      </c>
      <c r="Z216" s="6">
        <f>IF(Y216&lt;LeagueRatings!$K$10,((LeagueRatings!$K$10-Y216)/LeagueRatings!$K$10)*36,(LeagueRatings!$K$10-Y216)*6.48)</f>
        <v>17.049040396182278</v>
      </c>
      <c r="AA216" s="16">
        <f>INDEX('C-P-RollAdj'!$B$4:$B$76,MATCH(INT(Z216),'C-P-RollAdj'!$A$4:$A$76,FALSE),0)</f>
        <v>-1.49</v>
      </c>
      <c r="AB216" s="16">
        <f t="shared" ref="AB216:AB228" si="53">(P216/(T216-R216))*100</f>
        <v>3.2319391634980987</v>
      </c>
      <c r="AC216" s="6">
        <f>IF(AB216&lt;LeagueRatings!$K$8,((LeagueRatings!$K$8-AB216)/LeagueRatings!$K$8)*36,(LeagueRatings!$K$8-AB216)/LeagueRatings!$K$11)</f>
        <v>-0.23600139862443964</v>
      </c>
      <c r="AD216" s="16">
        <f>INDEX('C-P-RollAdj'!$F$4:$F$76,MATCH(INT(AC216),'C-P-RollAdj'!$E$4:$E$76,FALSE),0)</f>
        <v>0.08</v>
      </c>
      <c r="AE216" s="17">
        <f>+((LeagueRatings!$I$6-E216)*5)+9.5</f>
        <v>8.6580514552774019</v>
      </c>
      <c r="AF216" s="17">
        <f t="shared" ref="AF216:AF228" si="54">IF(AE216&lt;4,4,AE216)</f>
        <v>8.6580514552774019</v>
      </c>
      <c r="AG216" s="17">
        <f t="shared" ref="AG216:AG228" si="55">IF(M216&lt;L216,((1-(M216/L216))*7)-0.07,(1-(M216/L216))*5)</f>
        <v>-0.13041434949479069</v>
      </c>
      <c r="AH216" s="4">
        <f t="shared" ref="AH216:AH228" si="56">+AA216+AD216+AF216+AG216</f>
        <v>7.1176371057826113</v>
      </c>
      <c r="AI216" s="41" t="s">
        <v>1211</v>
      </c>
      <c r="AJ216" s="5" t="s">
        <v>55</v>
      </c>
      <c r="AK216" s="219">
        <f>INDEX('C-P-RollAdj'!$J$4:$J$76,MATCH(INT(Z216),'C-P-RollAdj'!$I$4:$I$76,FALSE),0)</f>
        <v>35</v>
      </c>
      <c r="AL216" s="219">
        <f>INDEX('C-P-RollAdj'!$J$4:$J$76,MATCH(INT(AC216),'C-P-RollAdj'!$I$4:$I$76,FALSE),0)</f>
        <v>-11</v>
      </c>
      <c r="AM216" s="14">
        <f>+AR216*LeagueRatings!$K$27</f>
        <v>71.111111111111114</v>
      </c>
      <c r="AN216" s="72">
        <f>F216*LeagueRatings!$K$27</f>
        <v>16.111111111111111</v>
      </c>
      <c r="AO216" s="72">
        <f>G216*LeagueRatings!$K$27</f>
        <v>10.555555555555555</v>
      </c>
      <c r="AP216" s="72">
        <f>T216*LeagueRatings!$K$27</f>
        <v>292.77777777777777</v>
      </c>
      <c r="AQ216" s="24"/>
      <c r="AR216" s="72">
        <f t="shared" si="51"/>
        <v>128</v>
      </c>
      <c r="AS216" s="113"/>
      <c r="AT216" s="113"/>
      <c r="AU216" s="113"/>
      <c r="AV216" s="24"/>
      <c r="AW216" s="97">
        <v>128.66999999999999</v>
      </c>
      <c r="AX216" s="24"/>
    </row>
    <row r="217" spans="1:50" s="30" customFormat="1" x14ac:dyDescent="0.2">
      <c r="A217" s="41" t="s">
        <v>626</v>
      </c>
      <c r="B217" s="76" t="s">
        <v>144</v>
      </c>
      <c r="C217" s="76">
        <v>9</v>
      </c>
      <c r="D217" s="76">
        <v>19</v>
      </c>
      <c r="E217" s="97">
        <v>4.0199999999999996</v>
      </c>
      <c r="F217" s="76">
        <v>33</v>
      </c>
      <c r="G217" s="76">
        <v>33</v>
      </c>
      <c r="H217" s="76">
        <v>0</v>
      </c>
      <c r="I217" s="76">
        <v>0</v>
      </c>
      <c r="J217" s="76">
        <v>0</v>
      </c>
      <c r="K217" s="76">
        <v>0</v>
      </c>
      <c r="L217" s="258">
        <f>INDEX('C-P-RollAdj'!$P$4:$P$900,MATCH((U217),'C-P-RollAdj'!$O$4:$O$900,FALSE),0)</f>
        <v>201.32999999999998</v>
      </c>
      <c r="M217" s="76">
        <v>183</v>
      </c>
      <c r="N217" s="76">
        <v>100</v>
      </c>
      <c r="O217" s="76">
        <v>90</v>
      </c>
      <c r="P217" s="76">
        <v>30</v>
      </c>
      <c r="Q217" s="76">
        <v>67</v>
      </c>
      <c r="R217" s="76">
        <v>0</v>
      </c>
      <c r="S217" s="76">
        <v>233</v>
      </c>
      <c r="T217" s="76">
        <v>850</v>
      </c>
      <c r="U217" s="76">
        <v>201.1</v>
      </c>
      <c r="V217" s="100">
        <v>0.23799999999999999</v>
      </c>
      <c r="W217" s="76">
        <v>1.24</v>
      </c>
      <c r="X217" s="50"/>
      <c r="Y217" s="50">
        <f t="shared" si="52"/>
        <v>7.882352941176471</v>
      </c>
      <c r="Z217" s="6">
        <f>IF(Y217&lt;LeagueRatings!$K$10,((LeagueRatings!$K$10-Y217)/LeagueRatings!$K$10)*36,(LeagueRatings!$K$10-Y217)*6.48)</f>
        <v>3.2612883157968535</v>
      </c>
      <c r="AA217" s="16">
        <f>INDEX('C-P-RollAdj'!$B$4:$B$76,MATCH(INT(Z217),'C-P-RollAdj'!$A$4:$A$76,FALSE),0)</f>
        <v>-0.24</v>
      </c>
      <c r="AB217" s="16">
        <f t="shared" si="53"/>
        <v>3.5294117647058822</v>
      </c>
      <c r="AC217" s="6">
        <f>IF(AB217&lt;LeagueRatings!$K$8,((LeagueRatings!$K$8-AB217)/LeagueRatings!$K$8)*36,(LeagueRatings!$K$8-AB217)/LeagueRatings!$K$11)</f>
        <v>-2.5980684811237906</v>
      </c>
      <c r="AD217" s="16">
        <f>INDEX('C-P-RollAdj'!$F$4:$F$76,MATCH(INT(AC217),'C-P-RollAdj'!$E$4:$E$76,FALSE),0)</f>
        <v>0.24</v>
      </c>
      <c r="AE217" s="17">
        <f>+((LeagueRatings!$I$6-E217)*5)+9.5</f>
        <v>10.408051455277405</v>
      </c>
      <c r="AF217" s="17">
        <f t="shared" si="54"/>
        <v>10.408051455277405</v>
      </c>
      <c r="AG217" s="17">
        <f t="shared" si="55"/>
        <v>0.56731187602443733</v>
      </c>
      <c r="AH217" s="4">
        <f t="shared" si="56"/>
        <v>10.975363331301843</v>
      </c>
      <c r="AI217" s="41" t="s">
        <v>626</v>
      </c>
      <c r="AJ217" s="5" t="s">
        <v>68</v>
      </c>
      <c r="AK217" s="219">
        <f>INDEX('C-P-RollAdj'!$J$4:$J$76,MATCH(INT(Z217),'C-P-RollAdj'!$I$4:$I$76,FALSE),0)</f>
        <v>13</v>
      </c>
      <c r="AL217" s="219">
        <f>INDEX('C-P-RollAdj'!$J$4:$J$76,MATCH(INT(AC217),'C-P-RollAdj'!$I$4:$I$76,FALSE),0)</f>
        <v>-13</v>
      </c>
      <c r="AM217" s="14">
        <f>+AR217*LeagueRatings!$K$27</f>
        <v>112.22222222222223</v>
      </c>
      <c r="AN217" s="72">
        <f>F217*LeagueRatings!$K$27</f>
        <v>18.333333333333336</v>
      </c>
      <c r="AO217" s="72">
        <f>G217*LeagueRatings!$K$27</f>
        <v>18.333333333333336</v>
      </c>
      <c r="AP217" s="72">
        <f>T217*LeagueRatings!$K$27</f>
        <v>472.22222222222223</v>
      </c>
      <c r="AQ217" s="24"/>
      <c r="AR217" s="72">
        <f t="shared" si="51"/>
        <v>202</v>
      </c>
      <c r="AS217" s="113"/>
      <c r="AT217" s="113"/>
      <c r="AU217" s="113"/>
      <c r="AV217" s="24"/>
      <c r="AW217" s="97">
        <v>143.33000000000001</v>
      </c>
      <c r="AX217" s="24"/>
    </row>
    <row r="218" spans="1:50" x14ac:dyDescent="0.2">
      <c r="A218" s="41" t="s">
        <v>441</v>
      </c>
      <c r="B218" s="76" t="s">
        <v>144</v>
      </c>
      <c r="C218" s="76">
        <v>4</v>
      </c>
      <c r="D218" s="76">
        <v>3</v>
      </c>
      <c r="E218" s="97">
        <v>4.8099999999999996</v>
      </c>
      <c r="F218" s="76">
        <v>27</v>
      </c>
      <c r="G218" s="76">
        <v>0</v>
      </c>
      <c r="H218" s="76">
        <v>0</v>
      </c>
      <c r="I218" s="76">
        <v>0</v>
      </c>
      <c r="J218" s="76">
        <v>0</v>
      </c>
      <c r="K218" s="76">
        <v>3</v>
      </c>
      <c r="L218" s="258">
        <f>INDEX('C-P-RollAdj'!$P$4:$P$900,MATCH((U218),'C-P-RollAdj'!$O$4:$O$900,FALSE),0)</f>
        <v>24.33</v>
      </c>
      <c r="M218" s="76">
        <v>23</v>
      </c>
      <c r="N218" s="76">
        <v>13</v>
      </c>
      <c r="O218" s="76">
        <v>13</v>
      </c>
      <c r="P218" s="76">
        <v>3</v>
      </c>
      <c r="Q218" s="76">
        <v>19</v>
      </c>
      <c r="R218" s="76">
        <v>1</v>
      </c>
      <c r="S218" s="76">
        <v>22</v>
      </c>
      <c r="T218" s="76">
        <v>114</v>
      </c>
      <c r="U218" s="76">
        <v>24.1</v>
      </c>
      <c r="V218" s="100">
        <v>0.25</v>
      </c>
      <c r="W218" s="76">
        <v>1.73</v>
      </c>
      <c r="X218" s="50"/>
      <c r="Y218" s="50">
        <f t="shared" si="52"/>
        <v>15.929203539823009</v>
      </c>
      <c r="Z218" s="6">
        <f>IF(Y218&lt;LeagueRatings!$K$10,((LeagueRatings!$K$10-Y218)/LeagueRatings!$K$10)*36,(LeagueRatings!$K$10-Y218)*6.48)</f>
        <v>-47.055458443859436</v>
      </c>
      <c r="AA218" s="260">
        <v>5.44</v>
      </c>
      <c r="AB218" s="16">
        <f t="shared" si="53"/>
        <v>2.6548672566371683</v>
      </c>
      <c r="AC218" s="6">
        <f>IF(AB218&lt;LeagueRatings!$K$8,((LeagueRatings!$K$8-AB218)/LeagueRatings!$K$8)*36,(LeagueRatings!$K$8-AB218)/LeagueRatings!$K$11)</f>
        <v>6.1534285248927745</v>
      </c>
      <c r="AD218" s="16">
        <f>INDEX('C-P-RollAdj'!$F$4:$F$76,MATCH(INT(AC218),'C-P-RollAdj'!$E$4:$E$76,FALSE),0)</f>
        <v>-0.42000000000000004</v>
      </c>
      <c r="AE218" s="17">
        <f>+((LeagueRatings!$I$6-E218)*5)+9.5</f>
        <v>6.4580514552774053</v>
      </c>
      <c r="AF218" s="17">
        <f t="shared" si="54"/>
        <v>6.4580514552774053</v>
      </c>
      <c r="AG218" s="17">
        <f t="shared" si="55"/>
        <v>0.31265515824085471</v>
      </c>
      <c r="AH218" s="4">
        <f t="shared" si="56"/>
        <v>11.79070661351826</v>
      </c>
      <c r="AI218" s="41" t="s">
        <v>441</v>
      </c>
      <c r="AJ218" s="5" t="s">
        <v>59</v>
      </c>
      <c r="AK218" s="219">
        <v>-66</v>
      </c>
      <c r="AL218" s="219">
        <f>INDEX('C-P-RollAdj'!$J$4:$J$76,MATCH(INT(AC218),'C-P-RollAdj'!$I$4:$I$76,FALSE),0)</f>
        <v>16</v>
      </c>
      <c r="AM218" s="14">
        <f>+AR218*LeagueRatings!$K$27</f>
        <v>13.888888888888889</v>
      </c>
      <c r="AN218" s="72">
        <f>F218*LeagueRatings!$K$27</f>
        <v>15</v>
      </c>
      <c r="AO218" s="72">
        <f>G218*LeagueRatings!$K$27</f>
        <v>0</v>
      </c>
      <c r="AP218" s="72">
        <f>T218*LeagueRatings!$K$27</f>
        <v>63.333333333333336</v>
      </c>
      <c r="AR218" s="72">
        <f t="shared" si="51"/>
        <v>25</v>
      </c>
      <c r="AW218" s="97">
        <v>19.329999999999998</v>
      </c>
    </row>
    <row r="219" spans="1:50" x14ac:dyDescent="0.2">
      <c r="A219" s="41" t="s">
        <v>472</v>
      </c>
      <c r="B219" s="76" t="s">
        <v>144</v>
      </c>
      <c r="C219" s="76">
        <v>3</v>
      </c>
      <c r="D219" s="76">
        <v>4</v>
      </c>
      <c r="E219" s="97">
        <v>3.7</v>
      </c>
      <c r="F219" s="76">
        <v>54</v>
      </c>
      <c r="G219" s="76">
        <v>0</v>
      </c>
      <c r="H219" s="76">
        <v>0</v>
      </c>
      <c r="I219" s="76">
        <v>0</v>
      </c>
      <c r="J219" s="76">
        <v>0</v>
      </c>
      <c r="K219" s="76">
        <v>5</v>
      </c>
      <c r="L219" s="258">
        <f>INDEX('C-P-RollAdj'!$P$4:$P$900,MATCH((U219),'C-P-RollAdj'!$O$4:$O$900,FALSE),0)</f>
        <v>41.33</v>
      </c>
      <c r="M219" s="76">
        <v>36</v>
      </c>
      <c r="N219" s="76">
        <v>17</v>
      </c>
      <c r="O219" s="76">
        <v>17</v>
      </c>
      <c r="P219" s="76">
        <v>2</v>
      </c>
      <c r="Q219" s="76">
        <v>13</v>
      </c>
      <c r="R219" s="76">
        <v>1</v>
      </c>
      <c r="S219" s="76">
        <v>43</v>
      </c>
      <c r="T219" s="76">
        <v>174</v>
      </c>
      <c r="U219" s="76">
        <v>41.1</v>
      </c>
      <c r="V219" s="100">
        <v>0.22900000000000001</v>
      </c>
      <c r="W219" s="76">
        <v>1.19</v>
      </c>
      <c r="X219" s="50"/>
      <c r="Y219" s="50">
        <f t="shared" si="52"/>
        <v>6.9364161849710975</v>
      </c>
      <c r="Z219" s="6">
        <f>IF(Y219&lt;LeagueRatings!$K$10,((LeagueRatings!$K$10-Y219)/LeagueRatings!$K$10)*36,(LeagueRatings!$K$10-Y219)*6.48)</f>
        <v>7.1901596774331775</v>
      </c>
      <c r="AA219" s="16">
        <f>INDEX('C-P-RollAdj'!$B$4:$B$76,MATCH(INT(Z219),'C-P-RollAdj'!$A$4:$A$76,FALSE),0)</f>
        <v>-0.56000000000000005</v>
      </c>
      <c r="AB219" s="16">
        <f t="shared" si="53"/>
        <v>1.1560693641618496</v>
      </c>
      <c r="AC219" s="6">
        <f>IF(AB219&lt;LeagueRatings!$K$8,((LeagueRatings!$K$8-AB219)/LeagueRatings!$K$8)*36,(LeagueRatings!$K$8-AB219)/LeagueRatings!$K$11)</f>
        <v>23.003227064789534</v>
      </c>
      <c r="AD219" s="16">
        <f>INDEX('C-P-RollAdj'!$F$4:$F$76,MATCH(INT(AC219),'C-P-RollAdj'!$E$4:$E$76,FALSE),0)</f>
        <v>-1.88</v>
      </c>
      <c r="AE219" s="17">
        <f>+((LeagueRatings!$I$6-E219)*5)+9.5</f>
        <v>12.008051455277403</v>
      </c>
      <c r="AF219" s="17">
        <f t="shared" si="54"/>
        <v>12.008051455277403</v>
      </c>
      <c r="AG219" s="17">
        <f t="shared" si="55"/>
        <v>0.83273409145898825</v>
      </c>
      <c r="AH219" s="4">
        <f t="shared" si="56"/>
        <v>10.400785546736392</v>
      </c>
      <c r="AI219" s="41" t="s">
        <v>472</v>
      </c>
      <c r="AJ219" s="94" t="s">
        <v>68</v>
      </c>
      <c r="AK219" s="219">
        <f>INDEX('C-P-RollAdj'!$J$4:$J$76,MATCH(INT(Z219),'C-P-RollAdj'!$I$4:$I$76,FALSE),0)</f>
        <v>21</v>
      </c>
      <c r="AL219" s="219">
        <f>INDEX('C-P-RollAdj'!$J$4:$J$76,MATCH(INT(AC219),'C-P-RollAdj'!$I$4:$I$76,FALSE),0)</f>
        <v>45</v>
      </c>
      <c r="AM219" s="14">
        <f>+AR219*LeagueRatings!$K$27</f>
        <v>23.333333333333336</v>
      </c>
      <c r="AN219" s="72">
        <f>F219*LeagueRatings!$K$27</f>
        <v>30</v>
      </c>
      <c r="AO219" s="72">
        <f>G219*LeagueRatings!$K$27</f>
        <v>0</v>
      </c>
      <c r="AP219" s="72">
        <f>T219*LeagueRatings!$K$27</f>
        <v>96.666666666666671</v>
      </c>
      <c r="AQ219" s="76"/>
      <c r="AR219" s="72">
        <f t="shared" si="51"/>
        <v>42</v>
      </c>
      <c r="AV219" s="76"/>
      <c r="AW219" s="97">
        <v>174</v>
      </c>
      <c r="AX219" s="23"/>
    </row>
    <row r="220" spans="1:50" customFormat="1" ht="12.75" customHeight="1" x14ac:dyDescent="0.2">
      <c r="A220" s="41" t="s">
        <v>625</v>
      </c>
      <c r="B220" s="76" t="s">
        <v>144</v>
      </c>
      <c r="C220" s="76">
        <v>2</v>
      </c>
      <c r="D220" s="76">
        <v>4</v>
      </c>
      <c r="E220" s="97">
        <v>1.91</v>
      </c>
      <c r="F220" s="76">
        <v>57</v>
      </c>
      <c r="G220" s="76">
        <v>0</v>
      </c>
      <c r="H220" s="76">
        <v>0</v>
      </c>
      <c r="I220" s="76">
        <v>0</v>
      </c>
      <c r="J220" s="76">
        <v>37</v>
      </c>
      <c r="K220" s="76">
        <v>40</v>
      </c>
      <c r="L220" s="258">
        <f>INDEX('C-P-RollAdj'!$P$4:$P$900,MATCH((U220),'C-P-RollAdj'!$O$4:$O$900,FALSE),0)</f>
        <v>56.67</v>
      </c>
      <c r="M220" s="76">
        <v>43</v>
      </c>
      <c r="N220" s="76">
        <v>12</v>
      </c>
      <c r="O220" s="76">
        <v>12</v>
      </c>
      <c r="P220" s="76">
        <v>6</v>
      </c>
      <c r="Q220" s="76">
        <v>15</v>
      </c>
      <c r="R220" s="76">
        <v>1</v>
      </c>
      <c r="S220" s="76">
        <v>71</v>
      </c>
      <c r="T220" s="76">
        <v>226</v>
      </c>
      <c r="U220" s="76">
        <v>56.2</v>
      </c>
      <c r="V220" s="100">
        <v>0.20599999999999999</v>
      </c>
      <c r="W220" s="76">
        <v>1.02</v>
      </c>
      <c r="X220" s="50"/>
      <c r="Y220" s="50">
        <f t="shared" si="52"/>
        <v>6.2222222222222223</v>
      </c>
      <c r="Z220" s="6">
        <f>IF(Y220&lt;LeagueRatings!$K$10,((LeagueRatings!$K$10-Y220)/LeagueRatings!$K$10)*36,(LeagueRatings!$K$10-Y220)*6.48)</f>
        <v>10.156506199534498</v>
      </c>
      <c r="AA220" s="16">
        <f>INDEX('C-P-RollAdj'!$B$4:$B$76,MATCH(INT(Z220),'C-P-RollAdj'!$A$4:$A$76,FALSE),0)</f>
        <v>-0.83000000000000007</v>
      </c>
      <c r="AB220" s="16">
        <f t="shared" si="53"/>
        <v>2.666666666666667</v>
      </c>
      <c r="AC220" s="6">
        <f>IF(AB220&lt;LeagueRatings!$K$8,((LeagueRatings!$K$8-AB220)/LeagueRatings!$K$8)*36,(LeagueRatings!$K$8-AB220)/LeagueRatings!$K$11)</f>
        <v>6.0207770961145179</v>
      </c>
      <c r="AD220" s="16">
        <f>INDEX('C-P-RollAdj'!$F$4:$F$76,MATCH(INT(AC220),'C-P-RollAdj'!$E$4:$E$76,FALSE),0)</f>
        <v>-0.42000000000000004</v>
      </c>
      <c r="AE220" s="17">
        <f>+((LeagueRatings!$I$6-E220)*5)+9.5</f>
        <v>20.958051455277403</v>
      </c>
      <c r="AF220" s="17">
        <f t="shared" si="54"/>
        <v>20.958051455277403</v>
      </c>
      <c r="AG220" s="17">
        <f t="shared" si="55"/>
        <v>1.6185477324863247</v>
      </c>
      <c r="AH220" s="4">
        <f t="shared" si="56"/>
        <v>21.326599187763726</v>
      </c>
      <c r="AI220" s="41" t="s">
        <v>625</v>
      </c>
      <c r="AJ220" s="5" t="s">
        <v>28</v>
      </c>
      <c r="AK220" s="219">
        <f>INDEX('C-P-RollAdj'!$J$4:$J$76,MATCH(INT(Z220),'C-P-RollAdj'!$I$4:$I$76,FALSE),0)</f>
        <v>24</v>
      </c>
      <c r="AL220" s="219">
        <f>INDEX('C-P-RollAdj'!$J$4:$J$76,MATCH(INT(AC220),'C-P-RollAdj'!$I$4:$I$76,FALSE),0)</f>
        <v>16</v>
      </c>
      <c r="AM220" s="14">
        <f>+AR220*LeagueRatings!$K$27</f>
        <v>31.666666666666668</v>
      </c>
      <c r="AN220" s="72">
        <f>F220*LeagueRatings!$K$27</f>
        <v>31.666666666666668</v>
      </c>
      <c r="AO220" s="72">
        <f>G220*LeagueRatings!$K$27</f>
        <v>0</v>
      </c>
      <c r="AP220" s="72">
        <f>T220*LeagueRatings!$K$27</f>
        <v>125.55555555555556</v>
      </c>
      <c r="AQ220" s="24"/>
      <c r="AR220" s="72">
        <f t="shared" si="51"/>
        <v>57</v>
      </c>
      <c r="AS220" s="113"/>
      <c r="AT220" s="113"/>
      <c r="AU220" s="113"/>
      <c r="AV220" s="24"/>
      <c r="AW220" s="97">
        <v>151</v>
      </c>
      <c r="AX220" s="24"/>
    </row>
    <row r="221" spans="1:50" s="23" customFormat="1" ht="12.75" customHeight="1" x14ac:dyDescent="0.2">
      <c r="A221" s="41" t="s">
        <v>768</v>
      </c>
      <c r="B221" s="76" t="s">
        <v>144</v>
      </c>
      <c r="C221" s="76">
        <v>0</v>
      </c>
      <c r="D221" s="76">
        <v>1</v>
      </c>
      <c r="E221" s="97">
        <v>9</v>
      </c>
      <c r="F221" s="76">
        <v>33</v>
      </c>
      <c r="G221" s="76">
        <v>0</v>
      </c>
      <c r="H221" s="76">
        <v>0</v>
      </c>
      <c r="I221" s="76">
        <v>0</v>
      </c>
      <c r="J221" s="76">
        <v>0</v>
      </c>
      <c r="K221" s="76">
        <v>0</v>
      </c>
      <c r="L221" s="258">
        <f>INDEX('C-P-RollAdj'!$P$4:$P$900,MATCH((U221),'C-P-RollAdj'!$O$4:$O$900,FALSE),0)</f>
        <v>23</v>
      </c>
      <c r="M221" s="76">
        <v>32</v>
      </c>
      <c r="N221" s="76">
        <v>23</v>
      </c>
      <c r="O221" s="76">
        <v>23</v>
      </c>
      <c r="P221" s="76">
        <v>3</v>
      </c>
      <c r="Q221" s="76">
        <v>19</v>
      </c>
      <c r="R221" s="76">
        <v>3</v>
      </c>
      <c r="S221" s="76">
        <v>21</v>
      </c>
      <c r="T221" s="76">
        <v>119</v>
      </c>
      <c r="U221" s="76">
        <v>23</v>
      </c>
      <c r="V221" s="100">
        <v>0.33300000000000002</v>
      </c>
      <c r="W221" s="76">
        <v>2.2200000000000002</v>
      </c>
      <c r="X221" s="50"/>
      <c r="Y221" s="50">
        <f t="shared" si="52"/>
        <v>13.793103448275861</v>
      </c>
      <c r="Z221" s="6">
        <f>IF(Y221&lt;LeagueRatings!$K$10,((LeagueRatings!$K$10-Y221)/LeagueRatings!$K$10)*36,(LeagueRatings!$K$10-Y221)*6.48)</f>
        <v>-33.213529850633925</v>
      </c>
      <c r="AA221" s="16">
        <f>INDEX('C-P-RollAdj'!$B$4:$B$76,MATCH(INT(Z221),'C-P-RollAdj'!$A$4:$A$76,FALSE),0)</f>
        <v>5.0199999999999996</v>
      </c>
      <c r="AB221" s="16">
        <f t="shared" si="53"/>
        <v>2.5862068965517242</v>
      </c>
      <c r="AC221" s="6">
        <f>IF(AB221&lt;LeagueRatings!$K$8,((LeagueRatings!$K$8-AB221)/LeagueRatings!$K$8)*36,(LeagueRatings!$K$8-AB221)/LeagueRatings!$K$11)</f>
        <v>6.9253226147662375</v>
      </c>
      <c r="AD221" s="16">
        <f>INDEX('C-P-RollAdj'!$F$4:$F$76,MATCH(INT(AC221),'C-P-RollAdj'!$E$4:$E$76,FALSE),0)</f>
        <v>-0.42000000000000004</v>
      </c>
      <c r="AE221" s="17">
        <f>+((LeagueRatings!$I$6-E221)*5)+9.5</f>
        <v>-14.491948544722597</v>
      </c>
      <c r="AF221" s="17">
        <f t="shared" si="54"/>
        <v>4</v>
      </c>
      <c r="AG221" s="17">
        <f t="shared" si="55"/>
        <v>-1.9565217391304346</v>
      </c>
      <c r="AH221" s="4">
        <f t="shared" si="56"/>
        <v>6.6434782608695651</v>
      </c>
      <c r="AI221" s="41" t="s">
        <v>768</v>
      </c>
      <c r="AJ221" s="5" t="s">
        <v>66</v>
      </c>
      <c r="AK221" s="219">
        <f>INDEX('C-P-RollAdj'!$J$4:$J$76,MATCH(INT(Z221),'C-P-RollAdj'!$I$4:$I$76,FALSE),0)</f>
        <v>-64</v>
      </c>
      <c r="AL221" s="219">
        <f>INDEX('C-P-RollAdj'!$J$4:$J$76,MATCH(INT(AC221),'C-P-RollAdj'!$I$4:$I$76,FALSE),0)</f>
        <v>16</v>
      </c>
      <c r="AM221" s="14">
        <f>+AR221*LeagueRatings!$K$27</f>
        <v>12.777777777777779</v>
      </c>
      <c r="AN221" s="72">
        <f>F221*LeagueRatings!$K$27</f>
        <v>18.333333333333336</v>
      </c>
      <c r="AO221" s="72">
        <f>G221*LeagueRatings!$K$27</f>
        <v>0</v>
      </c>
      <c r="AP221" s="72">
        <f>T221*LeagueRatings!$K$27</f>
        <v>66.111111111111114</v>
      </c>
      <c r="AQ221" s="24"/>
      <c r="AR221" s="72">
        <f t="shared" si="51"/>
        <v>23</v>
      </c>
      <c r="AS221" s="113"/>
      <c r="AT221" s="113"/>
      <c r="AU221" s="113"/>
      <c r="AV221" s="24"/>
      <c r="AW221" s="97">
        <v>62.67</v>
      </c>
      <c r="AX221" s="24"/>
    </row>
    <row r="222" spans="1:50" customFormat="1" ht="12.75" customHeight="1" x14ac:dyDescent="0.2">
      <c r="A222" s="41" t="s">
        <v>611</v>
      </c>
      <c r="B222" s="76" t="s">
        <v>144</v>
      </c>
      <c r="C222" s="76">
        <v>1</v>
      </c>
      <c r="D222" s="76">
        <v>0</v>
      </c>
      <c r="E222" s="97">
        <v>3.06</v>
      </c>
      <c r="F222" s="76">
        <v>35</v>
      </c>
      <c r="G222" s="76">
        <v>0</v>
      </c>
      <c r="H222" s="76">
        <v>0</v>
      </c>
      <c r="I222" s="76">
        <v>0</v>
      </c>
      <c r="J222" s="76">
        <v>0</v>
      </c>
      <c r="K222" s="76">
        <v>1</v>
      </c>
      <c r="L222" s="258">
        <f>INDEX('C-P-RollAdj'!$P$4:$P$900,MATCH((U222),'C-P-RollAdj'!$O$4:$O$900,FALSE),0)</f>
        <v>35.33</v>
      </c>
      <c r="M222" s="76">
        <v>33</v>
      </c>
      <c r="N222" s="76">
        <v>14</v>
      </c>
      <c r="O222" s="76">
        <v>12</v>
      </c>
      <c r="P222" s="76">
        <v>8</v>
      </c>
      <c r="Q222" s="76">
        <v>15</v>
      </c>
      <c r="R222" s="76">
        <v>1</v>
      </c>
      <c r="S222" s="76">
        <v>46</v>
      </c>
      <c r="T222" s="76">
        <v>158</v>
      </c>
      <c r="U222" s="76">
        <v>35.1</v>
      </c>
      <c r="V222" s="100">
        <v>0.24099999999999999</v>
      </c>
      <c r="W222" s="76">
        <v>1.36</v>
      </c>
      <c r="X222" s="50"/>
      <c r="Y222" s="50">
        <f t="shared" si="52"/>
        <v>8.9171974522292992</v>
      </c>
      <c r="Z222" s="6">
        <f>IF(Y222&lt;LeagueRatings!$K$10,((LeagueRatings!$K$10-Y222)/LeagueRatings!$K$10)*36,(LeagueRatings!$K$10-Y222)*6.48)</f>
        <v>-1.6176589962521981</v>
      </c>
      <c r="AA222" s="16">
        <f>INDEX('C-P-RollAdj'!$B$4:$B$76,MATCH(INT(Z222),'C-P-RollAdj'!$A$4:$A$76,FALSE),0)</f>
        <v>0.18</v>
      </c>
      <c r="AB222" s="16">
        <f t="shared" si="53"/>
        <v>5.095541401273886</v>
      </c>
      <c r="AC222" s="6">
        <f>IF(AB222&lt;LeagueRatings!$K$8,((LeagueRatings!$K$8-AB222)/LeagueRatings!$K$8)*36,(LeagueRatings!$K$8-AB222)/LeagueRatings!$K$11)</f>
        <v>-15.03384658789472</v>
      </c>
      <c r="AD222" s="16">
        <f>INDEX('C-P-RollAdj'!$F$4:$F$76,MATCH(INT(AC222),'C-P-RollAdj'!$E$4:$E$76,FALSE),0)</f>
        <v>1.63</v>
      </c>
      <c r="AE222" s="17">
        <f>+((LeagueRatings!$I$6-E222)*5)+9.5</f>
        <v>15.208051455277403</v>
      </c>
      <c r="AF222" s="17">
        <f t="shared" si="54"/>
        <v>15.208051455277403</v>
      </c>
      <c r="AG222" s="17">
        <f t="shared" si="55"/>
        <v>0.3916473252193598</v>
      </c>
      <c r="AH222" s="4">
        <f t="shared" si="56"/>
        <v>17.409698780496761</v>
      </c>
      <c r="AI222" s="41" t="s">
        <v>611</v>
      </c>
      <c r="AJ222" s="94" t="s">
        <v>53</v>
      </c>
      <c r="AK222" s="219">
        <f>INDEX('C-P-RollAdj'!$J$4:$J$76,MATCH(INT(Z222),'C-P-RollAdj'!$I$4:$I$76,FALSE),0)</f>
        <v>-12</v>
      </c>
      <c r="AL222" s="219">
        <f>INDEX('C-P-RollAdj'!$J$4:$J$76,MATCH(INT(AC222),'C-P-RollAdj'!$I$4:$I$76,FALSE),0)</f>
        <v>-34</v>
      </c>
      <c r="AM222" s="14">
        <f>+AR222*LeagueRatings!$K$27</f>
        <v>20</v>
      </c>
      <c r="AN222" s="72">
        <f>F222*LeagueRatings!$K$27</f>
        <v>19.444444444444446</v>
      </c>
      <c r="AO222" s="72">
        <f>G222*LeagueRatings!$K$27</f>
        <v>0</v>
      </c>
      <c r="AP222" s="72">
        <f>T222*LeagueRatings!$K$27</f>
        <v>87.777777777777786</v>
      </c>
      <c r="AQ222" s="76"/>
      <c r="AR222" s="72">
        <f t="shared" si="51"/>
        <v>36</v>
      </c>
      <c r="AS222" s="113"/>
      <c r="AT222" s="113"/>
      <c r="AU222" s="113"/>
      <c r="AV222" s="76"/>
      <c r="AW222" s="97">
        <v>150.33000000000001</v>
      </c>
      <c r="AX222" s="23"/>
    </row>
    <row r="223" spans="1:50" x14ac:dyDescent="0.2">
      <c r="A223" s="41" t="s">
        <v>1386</v>
      </c>
      <c r="B223" s="76" t="s">
        <v>144</v>
      </c>
      <c r="C223" s="76">
        <v>1</v>
      </c>
      <c r="D223" s="76">
        <v>2</v>
      </c>
      <c r="E223" s="97">
        <v>4.3499999999999996</v>
      </c>
      <c r="F223" s="76">
        <v>37</v>
      </c>
      <c r="G223" s="76">
        <v>0</v>
      </c>
      <c r="H223" s="76">
        <v>0</v>
      </c>
      <c r="I223" s="76">
        <v>0</v>
      </c>
      <c r="J223" s="76">
        <v>1</v>
      </c>
      <c r="K223" s="76">
        <v>1</v>
      </c>
      <c r="L223" s="258">
        <f>INDEX('C-P-RollAdj'!$P$4:$P$900,MATCH((U223),'C-P-RollAdj'!$O$4:$O$900,FALSE),0)</f>
        <v>39.33</v>
      </c>
      <c r="M223" s="76">
        <v>44</v>
      </c>
      <c r="N223" s="76">
        <v>20</v>
      </c>
      <c r="O223" s="76">
        <v>19</v>
      </c>
      <c r="P223" s="76">
        <v>5</v>
      </c>
      <c r="Q223" s="76">
        <v>11</v>
      </c>
      <c r="R223" s="76">
        <v>2</v>
      </c>
      <c r="S223" s="76">
        <v>33</v>
      </c>
      <c r="T223" s="76">
        <v>171</v>
      </c>
      <c r="U223" s="76">
        <v>39.1</v>
      </c>
      <c r="V223" s="100">
        <v>0.27700000000000002</v>
      </c>
      <c r="W223" s="76">
        <v>1.4</v>
      </c>
      <c r="X223" s="50"/>
      <c r="Y223" s="50">
        <f t="shared" si="52"/>
        <v>5.3254437869822491</v>
      </c>
      <c r="Z223" s="6">
        <f>IF(Y223&lt;LeagueRatings!$K$10,((LeagueRatings!$K$10-Y223)/LeagueRatings!$K$10)*36,(LeagueRatings!$K$10-Y223)*6.48)</f>
        <v>13.881202474242333</v>
      </c>
      <c r="AA223" s="16">
        <f>INDEX('C-P-RollAdj'!$B$4:$B$76,MATCH(INT(Z223),'C-P-RollAdj'!$A$4:$A$76,FALSE),0)</f>
        <v>-1.1000000000000001</v>
      </c>
      <c r="AB223" s="16">
        <f t="shared" si="53"/>
        <v>2.9585798816568047</v>
      </c>
      <c r="AC223" s="6">
        <f>IF(AB223&lt;LeagueRatings!$K$8,((LeagueRatings!$K$8-AB223)/LeagueRatings!$K$8)*36,(LeagueRatings!$K$8-AB223)/LeagueRatings!$K$11)</f>
        <v>2.7390278433223232</v>
      </c>
      <c r="AD223" s="16">
        <f>INDEX('C-P-RollAdj'!$F$4:$F$76,MATCH(INT(AC223),'C-P-RollAdj'!$E$4:$E$76,FALSE),0)</f>
        <v>-0.14000000000000001</v>
      </c>
      <c r="AE223" s="17">
        <f>+((LeagueRatings!$I$6-E223)*5)+9.5</f>
        <v>8.7580514552774051</v>
      </c>
      <c r="AF223" s="17">
        <f t="shared" si="54"/>
        <v>8.7580514552774051</v>
      </c>
      <c r="AG223" s="17">
        <f t="shared" si="55"/>
        <v>-0.59369438087973569</v>
      </c>
      <c r="AH223" s="4">
        <f t="shared" si="56"/>
        <v>6.924357074397669</v>
      </c>
      <c r="AI223" s="41" t="s">
        <v>1386</v>
      </c>
      <c r="AJ223" s="94" t="s">
        <v>66</v>
      </c>
      <c r="AK223" s="219">
        <f>INDEX('C-P-RollAdj'!$J$4:$J$76,MATCH(INT(Z223),'C-P-RollAdj'!$I$4:$I$76,FALSE),0)</f>
        <v>31</v>
      </c>
      <c r="AL223" s="219">
        <f>INDEX('C-P-RollAdj'!$J$4:$J$76,MATCH(INT(AC223),'C-P-RollAdj'!$I$4:$I$76,FALSE),0)</f>
        <v>12</v>
      </c>
      <c r="AM223" s="14">
        <f>+AR223*LeagueRatings!$K$27</f>
        <v>22.222222222222221</v>
      </c>
      <c r="AN223" s="72">
        <f>F223*LeagueRatings!$K$27</f>
        <v>20.555555555555557</v>
      </c>
      <c r="AO223" s="72">
        <f>G223*LeagueRatings!$K$27</f>
        <v>0</v>
      </c>
      <c r="AP223" s="72">
        <f>T223*LeagueRatings!$K$27</f>
        <v>95</v>
      </c>
      <c r="AQ223" s="76"/>
      <c r="AR223" s="72">
        <f t="shared" si="51"/>
        <v>40</v>
      </c>
      <c r="AV223" s="76"/>
      <c r="AW223" s="97">
        <v>71.33</v>
      </c>
      <c r="AX223"/>
    </row>
    <row r="224" spans="1:50" x14ac:dyDescent="0.2">
      <c r="A224" s="41" t="s">
        <v>821</v>
      </c>
      <c r="B224" s="76" t="s">
        <v>144</v>
      </c>
      <c r="C224" s="76">
        <v>0</v>
      </c>
      <c r="D224" s="76">
        <v>2</v>
      </c>
      <c r="E224" s="97">
        <v>5.74</v>
      </c>
      <c r="F224" s="76">
        <v>27</v>
      </c>
      <c r="G224" s="76">
        <v>0</v>
      </c>
      <c r="H224" s="76">
        <v>0</v>
      </c>
      <c r="I224" s="76">
        <v>0</v>
      </c>
      <c r="J224" s="76">
        <v>0</v>
      </c>
      <c r="K224" s="76">
        <v>1</v>
      </c>
      <c r="L224" s="258">
        <f>INDEX('C-P-RollAdj'!$P$4:$P$900,MATCH((U224),'C-P-RollAdj'!$O$4:$O$900,FALSE),0)</f>
        <v>26.67</v>
      </c>
      <c r="M224" s="76">
        <v>24</v>
      </c>
      <c r="N224" s="76">
        <v>17</v>
      </c>
      <c r="O224" s="76">
        <v>17</v>
      </c>
      <c r="P224" s="76">
        <v>11</v>
      </c>
      <c r="Q224" s="76">
        <v>9</v>
      </c>
      <c r="R224" s="76">
        <v>0</v>
      </c>
      <c r="S224" s="76">
        <v>23</v>
      </c>
      <c r="T224" s="76">
        <v>112</v>
      </c>
      <c r="U224" s="76">
        <v>26.2</v>
      </c>
      <c r="V224" s="100">
        <v>0.23799999999999999</v>
      </c>
      <c r="W224" s="76">
        <v>1.24</v>
      </c>
      <c r="X224" s="50"/>
      <c r="Y224" s="50">
        <f t="shared" si="52"/>
        <v>8.0357142857142865</v>
      </c>
      <c r="Z224" s="6">
        <f>IF(Y224&lt;LeagueRatings!$K$10,((LeagueRatings!$K$10-Y224)/LeagueRatings!$K$10)*36,(LeagueRatings!$K$10-Y224)*6.48)</f>
        <v>2.624314447740661</v>
      </c>
      <c r="AA224" s="16">
        <f>INDEX('C-P-RollAdj'!$B$4:$B$76,MATCH(INT(Z224),'C-P-RollAdj'!$A$4:$A$76,FALSE),0)</f>
        <v>-0.16</v>
      </c>
      <c r="AB224" s="16">
        <f t="shared" si="53"/>
        <v>9.8214285714285712</v>
      </c>
      <c r="AC224" s="6">
        <f>IF(AB224&lt;LeagueRatings!$K$8,((LeagueRatings!$K$8-AB224)/LeagueRatings!$K$8)*36,(LeagueRatings!$K$8-AB224)/LeagueRatings!$K$11)</f>
        <v>-52.559529541233921</v>
      </c>
      <c r="AD224" s="260">
        <v>3.26</v>
      </c>
      <c r="AE224" s="17">
        <f>+((LeagueRatings!$I$6-E224)*5)+9.5</f>
        <v>1.8080514552774023</v>
      </c>
      <c r="AF224" s="17">
        <f t="shared" si="54"/>
        <v>4</v>
      </c>
      <c r="AG224" s="17">
        <f t="shared" si="55"/>
        <v>0.63078740157480384</v>
      </c>
      <c r="AH224" s="4">
        <f t="shared" si="56"/>
        <v>7.730787401574803</v>
      </c>
      <c r="AI224" s="41" t="s">
        <v>821</v>
      </c>
      <c r="AJ224" s="5" t="s">
        <v>55</v>
      </c>
      <c r="AK224" s="219">
        <f>INDEX('C-P-RollAdj'!$J$4:$J$76,MATCH(INT(Z224),'C-P-RollAdj'!$I$4:$I$76,FALSE),0)</f>
        <v>12</v>
      </c>
      <c r="AL224" s="219">
        <v>-66</v>
      </c>
      <c r="AM224" s="14">
        <f>+AR224*LeagueRatings!$K$27</f>
        <v>15</v>
      </c>
      <c r="AN224" s="72">
        <f>F224*LeagueRatings!$K$27</f>
        <v>15</v>
      </c>
      <c r="AO224" s="72">
        <f>G224*LeagueRatings!$K$27</f>
        <v>0</v>
      </c>
      <c r="AP224" s="72">
        <f>T224*LeagueRatings!$K$27</f>
        <v>62.222222222222229</v>
      </c>
      <c r="AR224" s="72">
        <f t="shared" si="51"/>
        <v>27</v>
      </c>
      <c r="AW224" s="97">
        <v>186.67</v>
      </c>
    </row>
    <row r="225" spans="1:50" customFormat="1" ht="12.75" customHeight="1" x14ac:dyDescent="0.2">
      <c r="A225" s="41" t="s">
        <v>567</v>
      </c>
      <c r="B225" s="76" t="s">
        <v>144</v>
      </c>
      <c r="C225" s="76">
        <v>0</v>
      </c>
      <c r="D225" s="76">
        <v>1</v>
      </c>
      <c r="E225" s="97">
        <v>5.68</v>
      </c>
      <c r="F225" s="76">
        <v>25</v>
      </c>
      <c r="G225" s="76">
        <v>0</v>
      </c>
      <c r="H225" s="76">
        <v>0</v>
      </c>
      <c r="I225" s="76">
        <v>0</v>
      </c>
      <c r="J225" s="76">
        <v>0</v>
      </c>
      <c r="K225" s="76">
        <v>0</v>
      </c>
      <c r="L225" s="258">
        <f>INDEX('C-P-RollAdj'!$P$4:$P$900,MATCH((U225),'C-P-RollAdj'!$O$4:$O$900,FALSE),0)</f>
        <v>19</v>
      </c>
      <c r="M225" s="76">
        <v>20</v>
      </c>
      <c r="N225" s="76">
        <v>13</v>
      </c>
      <c r="O225" s="76">
        <v>12</v>
      </c>
      <c r="P225" s="76">
        <v>5</v>
      </c>
      <c r="Q225" s="76">
        <v>9</v>
      </c>
      <c r="R225" s="76">
        <v>1</v>
      </c>
      <c r="S225" s="76">
        <v>13</v>
      </c>
      <c r="T225" s="76">
        <v>83</v>
      </c>
      <c r="U225" s="76">
        <v>19</v>
      </c>
      <c r="V225" s="100">
        <v>0.28199999999999997</v>
      </c>
      <c r="W225" s="76">
        <v>1.53</v>
      </c>
      <c r="X225" s="50"/>
      <c r="Y225" s="50">
        <f t="shared" si="52"/>
        <v>9.7560975609756095</v>
      </c>
      <c r="Z225" s="6">
        <f>IF(Y225&lt;LeagueRatings!$K$10,((LeagueRatings!$K$10-Y225)/LeagueRatings!$K$10)*36,(LeagueRatings!$K$10-Y225)*6.48)</f>
        <v>-7.0537317009282896</v>
      </c>
      <c r="AA225" s="16">
        <f>INDEX('C-P-RollAdj'!$B$4:$B$76,MATCH(INT(Z225),'C-P-RollAdj'!$A$4:$A$76,FALSE),0)</f>
        <v>0.76</v>
      </c>
      <c r="AB225" s="16">
        <f t="shared" si="53"/>
        <v>6.0975609756097562</v>
      </c>
      <c r="AC225" s="6">
        <f>IF(AB225&lt;LeagueRatings!$K$8,((LeagueRatings!$K$8-AB225)/LeagueRatings!$K$8)*36,(LeagueRatings!$K$8-AB225)/LeagueRatings!$K$11)</f>
        <v>-22.990335497962587</v>
      </c>
      <c r="AD225" s="16">
        <f>INDEX('C-P-RollAdj'!$F$4:$F$76,MATCH(INT(AC225),'C-P-RollAdj'!$E$4:$E$76,FALSE),0)</f>
        <v>2.61</v>
      </c>
      <c r="AE225" s="17">
        <f>+((LeagueRatings!$I$6-E225)*5)+9.5</f>
        <v>2.1080514552774048</v>
      </c>
      <c r="AF225" s="17">
        <f t="shared" si="54"/>
        <v>4</v>
      </c>
      <c r="AG225" s="17">
        <f t="shared" si="55"/>
        <v>-0.26315789473684181</v>
      </c>
      <c r="AH225" s="4">
        <f t="shared" si="56"/>
        <v>7.1068421052631585</v>
      </c>
      <c r="AI225" s="41" t="s">
        <v>567</v>
      </c>
      <c r="AJ225" s="5" t="s">
        <v>55</v>
      </c>
      <c r="AK225" s="219">
        <f>INDEX('C-P-RollAdj'!$J$4:$J$76,MATCH(INT(Z225),'C-P-RollAdj'!$I$4:$I$76,FALSE),0)</f>
        <v>-22</v>
      </c>
      <c r="AL225" s="219">
        <f>INDEX('C-P-RollAdj'!$J$4:$J$76,MATCH(INT(AC225),'C-P-RollAdj'!$I$4:$I$76,FALSE),0)</f>
        <v>-45</v>
      </c>
      <c r="AM225" s="14">
        <f>+AR225*LeagueRatings!$K$27</f>
        <v>10.555555555555555</v>
      </c>
      <c r="AN225" s="72">
        <f>F225*LeagueRatings!$K$27</f>
        <v>13.888888888888889</v>
      </c>
      <c r="AO225" s="72">
        <f>G225*LeagueRatings!$K$27</f>
        <v>0</v>
      </c>
      <c r="AP225" s="72">
        <f>T225*LeagueRatings!$K$27</f>
        <v>46.111111111111114</v>
      </c>
      <c r="AQ225" s="24"/>
      <c r="AR225" s="72">
        <f t="shared" si="51"/>
        <v>19</v>
      </c>
      <c r="AS225" s="113"/>
      <c r="AT225" s="113"/>
      <c r="AU225" s="113"/>
      <c r="AV225" s="24"/>
      <c r="AW225" s="97">
        <v>67.33</v>
      </c>
      <c r="AX225" s="24"/>
    </row>
    <row r="226" spans="1:50" customFormat="1" ht="12.75" customHeight="1" x14ac:dyDescent="0.2">
      <c r="A226" s="41" t="s">
        <v>631</v>
      </c>
      <c r="B226" s="76" t="s">
        <v>144</v>
      </c>
      <c r="C226" s="76">
        <v>10</v>
      </c>
      <c r="D226" s="76">
        <v>6</v>
      </c>
      <c r="E226" s="97">
        <v>3.69</v>
      </c>
      <c r="F226" s="76">
        <v>33</v>
      </c>
      <c r="G226" s="76">
        <v>33</v>
      </c>
      <c r="H226" s="76">
        <v>0</v>
      </c>
      <c r="I226" s="76">
        <v>0</v>
      </c>
      <c r="J226" s="76">
        <v>0</v>
      </c>
      <c r="K226" s="76">
        <v>0</v>
      </c>
      <c r="L226" s="258">
        <f>INDEX('C-P-RollAdj'!$P$4:$P$900,MATCH((U226),'C-P-RollAdj'!$O$4:$O$900,FALSE),0)</f>
        <v>187.67000000000002</v>
      </c>
      <c r="M226" s="76">
        <v>170</v>
      </c>
      <c r="N226" s="76">
        <v>80</v>
      </c>
      <c r="O226" s="76">
        <v>77</v>
      </c>
      <c r="P226" s="76">
        <v>29</v>
      </c>
      <c r="Q226" s="76">
        <v>54</v>
      </c>
      <c r="R226" s="76">
        <v>3</v>
      </c>
      <c r="S226" s="76">
        <v>166</v>
      </c>
      <c r="T226" s="76">
        <v>773</v>
      </c>
      <c r="U226" s="76">
        <v>187.2</v>
      </c>
      <c r="V226" s="100">
        <v>0.24099999999999999</v>
      </c>
      <c r="W226" s="76">
        <v>1.19</v>
      </c>
      <c r="X226" s="50"/>
      <c r="Y226" s="50">
        <f t="shared" si="52"/>
        <v>6.6233766233766227</v>
      </c>
      <c r="Z226" s="6">
        <f>IF(Y226&lt;LeagueRatings!$K$10,((LeagueRatings!$K$10-Y226)/LeagueRatings!$K$10)*36,(LeagueRatings!$K$10-Y226)*6.48)</f>
        <v>8.4903440296529133</v>
      </c>
      <c r="AA226" s="16">
        <f>INDEX('C-P-RollAdj'!$B$4:$B$76,MATCH(INT(Z226),'C-P-RollAdj'!$A$4:$A$76,FALSE),0)</f>
        <v>-0.65</v>
      </c>
      <c r="AB226" s="16">
        <f t="shared" si="53"/>
        <v>3.7662337662337659</v>
      </c>
      <c r="AC226" s="6">
        <f>IF(AB226&lt;LeagueRatings!$K$8,((LeagueRatings!$K$8-AB226)/LeagueRatings!$K$8)*36,(LeagueRatings!$K$8-AB226)/LeagueRatings!$K$11)</f>
        <v>-4.4785423531692157</v>
      </c>
      <c r="AD226" s="16">
        <f>INDEX('C-P-RollAdj'!$F$4:$F$76,MATCH(INT(AC226),'C-P-RollAdj'!$E$4:$E$76,FALSE),0)</f>
        <v>0.42</v>
      </c>
      <c r="AE226" s="17">
        <f>+((LeagueRatings!$I$6-E226)*5)+9.5</f>
        <v>12.058051455277404</v>
      </c>
      <c r="AF226" s="17">
        <f t="shared" si="54"/>
        <v>12.058051455277404</v>
      </c>
      <c r="AG226" s="17">
        <f t="shared" si="55"/>
        <v>0.58908243192838561</v>
      </c>
      <c r="AH226" s="4">
        <f t="shared" si="56"/>
        <v>12.417133887205789</v>
      </c>
      <c r="AI226" s="41" t="s">
        <v>631</v>
      </c>
      <c r="AJ226" s="5" t="s">
        <v>16</v>
      </c>
      <c r="AK226" s="219">
        <f>INDEX('C-P-RollAdj'!$J$4:$J$76,MATCH(INT(Z226),'C-P-RollAdj'!$I$4:$I$76,FALSE),0)</f>
        <v>22</v>
      </c>
      <c r="AL226" s="219">
        <f>INDEX('C-P-RollAdj'!$J$4:$J$76,MATCH(INT(AC226),'C-P-RollAdj'!$I$4:$I$76,FALSE),0)</f>
        <v>-15</v>
      </c>
      <c r="AM226" s="14">
        <f>+AR226*LeagueRatings!$K$27</f>
        <v>104.44444444444444</v>
      </c>
      <c r="AN226" s="72">
        <f>F226*LeagueRatings!$K$27</f>
        <v>18.333333333333336</v>
      </c>
      <c r="AO226" s="72">
        <f>G226*LeagueRatings!$K$27</f>
        <v>18.333333333333336</v>
      </c>
      <c r="AP226" s="72">
        <f>T226*LeagueRatings!$K$27</f>
        <v>429.44444444444446</v>
      </c>
      <c r="AQ226" s="24"/>
      <c r="AR226" s="72">
        <f t="shared" si="51"/>
        <v>188</v>
      </c>
      <c r="AS226" s="113"/>
      <c r="AT226" s="113"/>
      <c r="AU226" s="113"/>
      <c r="AV226" s="24"/>
      <c r="AW226" s="97">
        <v>66.67</v>
      </c>
      <c r="AX226" s="24"/>
    </row>
    <row r="227" spans="1:50" x14ac:dyDescent="0.2">
      <c r="A227" s="41" t="s">
        <v>612</v>
      </c>
      <c r="B227" s="76" t="s">
        <v>144</v>
      </c>
      <c r="C227" s="76">
        <v>7</v>
      </c>
      <c r="D227" s="76">
        <v>11</v>
      </c>
      <c r="E227" s="97">
        <v>3.77</v>
      </c>
      <c r="F227" s="76">
        <v>64</v>
      </c>
      <c r="G227" s="76">
        <v>1</v>
      </c>
      <c r="H227" s="76">
        <v>0</v>
      </c>
      <c r="I227" s="76">
        <v>0</v>
      </c>
      <c r="J227" s="76">
        <v>2</v>
      </c>
      <c r="K227" s="76">
        <v>6</v>
      </c>
      <c r="L227" s="258">
        <f>INDEX('C-P-RollAdj'!$P$4:$P$900,MATCH((U227),'C-P-RollAdj'!$O$4:$O$900,FALSE),0)</f>
        <v>90.67</v>
      </c>
      <c r="M227" s="76">
        <v>90</v>
      </c>
      <c r="N227" s="76">
        <v>39</v>
      </c>
      <c r="O227" s="76">
        <v>38</v>
      </c>
      <c r="P227" s="76">
        <v>14</v>
      </c>
      <c r="Q227" s="76">
        <v>26</v>
      </c>
      <c r="R227" s="76">
        <v>5</v>
      </c>
      <c r="S227" s="76">
        <v>63</v>
      </c>
      <c r="T227" s="76">
        <v>378</v>
      </c>
      <c r="U227" s="76">
        <v>90.2</v>
      </c>
      <c r="V227" s="100">
        <v>0.26500000000000001</v>
      </c>
      <c r="W227" s="76">
        <v>1.28</v>
      </c>
      <c r="X227" s="50"/>
      <c r="Y227" s="50">
        <f t="shared" si="52"/>
        <v>5.6300268096514747</v>
      </c>
      <c r="Z227" s="6">
        <f>IF(Y227&lt;LeagueRatings!$K$10,((LeagueRatings!$K$10-Y227)/LeagueRatings!$K$10)*36,(LeagueRatings!$K$10-Y227)*6.48)</f>
        <v>12.616141668479607</v>
      </c>
      <c r="AA227" s="16">
        <f>INDEX('C-P-RollAdj'!$B$4:$B$76,MATCH(INT(Z227),'C-P-RollAdj'!$A$4:$A$76,FALSE),0)</f>
        <v>-1.01</v>
      </c>
      <c r="AB227" s="16">
        <f t="shared" si="53"/>
        <v>3.7533512064343162</v>
      </c>
      <c r="AC227" s="6">
        <f>IF(AB227&lt;LeagueRatings!$K$8,((LeagueRatings!$K$8-AB227)/LeagueRatings!$K$8)*36,(LeagueRatings!$K$8-AB227)/LeagueRatings!$K$11)</f>
        <v>-4.3762489980263837</v>
      </c>
      <c r="AD227" s="16">
        <f>INDEX('C-P-RollAdj'!$F$4:$F$76,MATCH(INT(AC227),'C-P-RollAdj'!$E$4:$E$76,FALSE),0)</f>
        <v>0.42</v>
      </c>
      <c r="AE227" s="17">
        <f>+((LeagueRatings!$I$6-E227)*5)+9.5</f>
        <v>11.658051455277404</v>
      </c>
      <c r="AF227" s="17">
        <f t="shared" si="54"/>
        <v>11.658051455277404</v>
      </c>
      <c r="AG227" s="17">
        <f t="shared" si="55"/>
        <v>-1.8273960516156984E-2</v>
      </c>
      <c r="AH227" s="4">
        <f t="shared" si="56"/>
        <v>11.049777494761248</v>
      </c>
      <c r="AI227" s="41" t="s">
        <v>612</v>
      </c>
      <c r="AJ227" s="5" t="s">
        <v>68</v>
      </c>
      <c r="AK227" s="219">
        <f>INDEX('C-P-RollAdj'!$J$4:$J$76,MATCH(INT(Z227),'C-P-RollAdj'!$I$4:$I$76,FALSE),0)</f>
        <v>26</v>
      </c>
      <c r="AL227" s="219">
        <f>INDEX('C-P-RollAdj'!$J$4:$J$76,MATCH(INT(AC227),'C-P-RollAdj'!$I$4:$I$76,FALSE),0)</f>
        <v>-15</v>
      </c>
      <c r="AM227" s="14">
        <f>+AR227*LeagueRatings!$K$27</f>
        <v>50.555555555555557</v>
      </c>
      <c r="AN227" s="72">
        <f>F227*LeagueRatings!$K$27</f>
        <v>35.555555555555557</v>
      </c>
      <c r="AO227" s="72">
        <f>G227*LeagueRatings!$K$27</f>
        <v>0.55555555555555558</v>
      </c>
      <c r="AP227" s="72">
        <f>T227*LeagueRatings!$K$27</f>
        <v>210</v>
      </c>
      <c r="AR227" s="72">
        <f t="shared" si="51"/>
        <v>91</v>
      </c>
      <c r="AW227" s="97">
        <v>58</v>
      </c>
    </row>
    <row r="228" spans="1:50" x14ac:dyDescent="0.2">
      <c r="A228" s="41" t="s">
        <v>1212</v>
      </c>
      <c r="B228" s="76" t="s">
        <v>144</v>
      </c>
      <c r="C228" s="76">
        <v>2</v>
      </c>
      <c r="D228" s="76">
        <v>0</v>
      </c>
      <c r="E228" s="97">
        <v>5.91</v>
      </c>
      <c r="F228" s="76">
        <v>52</v>
      </c>
      <c r="G228" s="76">
        <v>0</v>
      </c>
      <c r="H228" s="76">
        <v>0</v>
      </c>
      <c r="I228" s="76">
        <v>0</v>
      </c>
      <c r="J228" s="76">
        <v>1</v>
      </c>
      <c r="K228" s="76">
        <v>2</v>
      </c>
      <c r="L228" s="258">
        <f>INDEX('C-P-RollAdj'!$P$4:$P$900,MATCH((U228),'C-P-RollAdj'!$O$4:$O$900,FALSE),0)</f>
        <v>45.67</v>
      </c>
      <c r="M228" s="76">
        <v>42</v>
      </c>
      <c r="N228" s="76">
        <v>31</v>
      </c>
      <c r="O228" s="76">
        <v>30</v>
      </c>
      <c r="P228" s="76">
        <v>7</v>
      </c>
      <c r="Q228" s="76">
        <v>28</v>
      </c>
      <c r="R228" s="76">
        <v>1</v>
      </c>
      <c r="S228" s="76">
        <v>50</v>
      </c>
      <c r="T228" s="76">
        <v>204</v>
      </c>
      <c r="U228" s="76">
        <v>45.2</v>
      </c>
      <c r="V228" s="100">
        <v>0.24399999999999999</v>
      </c>
      <c r="W228" s="76">
        <v>1.53</v>
      </c>
      <c r="X228" s="50"/>
      <c r="Y228" s="50">
        <f t="shared" si="52"/>
        <v>13.300492610837439</v>
      </c>
      <c r="Z228" s="6">
        <f>IF(Y228&lt;LeagueRatings!$K$10,((LeagueRatings!$K$10-Y228)/LeagueRatings!$K$10)*36,(LeagueRatings!$K$10-Y228)*6.48)</f>
        <v>-30.02141162403295</v>
      </c>
      <c r="AA228" s="16">
        <f>INDEX('C-P-RollAdj'!$B$4:$B$76,MATCH(INT(Z228),'C-P-RollAdj'!$A$4:$A$76,FALSE),0)</f>
        <v>4.3899999999999997</v>
      </c>
      <c r="AB228" s="16">
        <f t="shared" si="53"/>
        <v>3.4482758620689653</v>
      </c>
      <c r="AC228" s="6">
        <f>IF(AB228&lt;LeagueRatings!$K$8,((LeagueRatings!$K$8-AB228)/LeagueRatings!$K$8)*36,(LeagueRatings!$K$8-AB228)/LeagueRatings!$K$11)</f>
        <v>-1.9538126940381488</v>
      </c>
      <c r="AD228" s="16">
        <f>INDEX('C-P-RollAdj'!$F$4:$F$76,MATCH(INT(AC228),'C-P-RollAdj'!$E$4:$E$76,FALSE),0)</f>
        <v>0.16</v>
      </c>
      <c r="AE228" s="17">
        <f>+((LeagueRatings!$I$6-E228)*5)+9.5</f>
        <v>0.95805145527740265</v>
      </c>
      <c r="AF228" s="17">
        <f t="shared" si="54"/>
        <v>4</v>
      </c>
      <c r="AG228" s="17">
        <f t="shared" si="55"/>
        <v>0.49251368513247201</v>
      </c>
      <c r="AH228" s="4">
        <f t="shared" si="56"/>
        <v>9.042513685132473</v>
      </c>
      <c r="AI228" s="41" t="s">
        <v>1212</v>
      </c>
      <c r="AJ228" s="94" t="s">
        <v>34</v>
      </c>
      <c r="AK228" s="219">
        <f>INDEX('C-P-RollAdj'!$J$4:$J$76,MATCH(INT(Z228),'C-P-RollAdj'!$I$4:$I$76,FALSE),0)</f>
        <v>-61</v>
      </c>
      <c r="AL228" s="219">
        <f>INDEX('C-P-RollAdj'!$J$4:$J$76,MATCH(INT(AC228),'C-P-RollAdj'!$I$4:$I$76,FALSE),0)</f>
        <v>-12</v>
      </c>
      <c r="AM228" s="14">
        <f>+AR228*LeagueRatings!$K$27</f>
        <v>25.555555555555557</v>
      </c>
      <c r="AN228" s="72">
        <f>F228*LeagueRatings!$K$27</f>
        <v>28.888888888888889</v>
      </c>
      <c r="AO228" s="72">
        <f>G228*LeagueRatings!$K$27</f>
        <v>0</v>
      </c>
      <c r="AP228" s="72">
        <f>T228*LeagueRatings!$K$27</f>
        <v>113.33333333333334</v>
      </c>
      <c r="AQ228" s="76"/>
      <c r="AR228" s="72">
        <f t="shared" si="51"/>
        <v>46</v>
      </c>
      <c r="AV228" s="76"/>
      <c r="AW228" s="97">
        <v>70</v>
      </c>
      <c r="AX228" s="23"/>
    </row>
    <row r="229" spans="1:50" x14ac:dyDescent="0.2">
      <c r="A229" s="41" t="s">
        <v>536</v>
      </c>
      <c r="B229" s="76" t="s">
        <v>144</v>
      </c>
      <c r="C229" s="76">
        <v>7</v>
      </c>
      <c r="D229" s="76">
        <v>12</v>
      </c>
      <c r="E229" s="97">
        <v>4.88</v>
      </c>
      <c r="F229" s="76">
        <v>30</v>
      </c>
      <c r="G229" s="76">
        <v>30</v>
      </c>
      <c r="H229" s="76">
        <v>0</v>
      </c>
      <c r="I229" s="76">
        <v>0</v>
      </c>
      <c r="J229" s="76">
        <v>0</v>
      </c>
      <c r="K229" s="76">
        <v>0</v>
      </c>
      <c r="L229" s="258">
        <f>INDEX('C-P-RollAdj'!$P$4:$P$900,MATCH((U229),'C-P-RollAdj'!$O$4:$O$900,FALSE),0)</f>
        <v>175.32999999999998</v>
      </c>
      <c r="M229" s="76">
        <v>174</v>
      </c>
      <c r="N229" s="76">
        <v>103</v>
      </c>
      <c r="O229" s="76">
        <v>95</v>
      </c>
      <c r="P229" s="76">
        <v>32</v>
      </c>
      <c r="Q229" s="76">
        <v>49</v>
      </c>
      <c r="R229" s="76">
        <v>2</v>
      </c>
      <c r="S229" s="76">
        <v>167</v>
      </c>
      <c r="T229" s="76">
        <v>738</v>
      </c>
      <c r="U229" s="76">
        <v>175.1</v>
      </c>
      <c r="V229" s="100">
        <v>0.25900000000000001</v>
      </c>
      <c r="W229" s="76">
        <v>1.27</v>
      </c>
      <c r="X229" s="50"/>
      <c r="Y229" s="50">
        <f t="shared" si="52"/>
        <v>6.3858695652173916</v>
      </c>
      <c r="Z229" s="6">
        <f>IF(Y229&lt;LeagueRatings!$K$10,((LeagueRatings!$K$10-Y229)/LeagueRatings!$K$10)*36,(LeagueRatings!$K$10-Y229)*6.48)</f>
        <v>9.4768102736876294</v>
      </c>
      <c r="AA229" s="16">
        <f>INDEX('C-P-RollAdj'!$B$4:$B$76,MATCH(INT(Z229),'C-P-RollAdj'!$A$4:$A$76,FALSE),0)</f>
        <v>-0.74</v>
      </c>
      <c r="AB229" s="16">
        <f>(P229/(T229-R229))*100</f>
        <v>4.3478260869565215</v>
      </c>
      <c r="AC229" s="6">
        <f>IF(AB229&lt;LeagueRatings!$K$8,((LeagueRatings!$K$8-AB229)/LeagueRatings!$K$8)*36,(LeagueRatings!$K$8-AB229)/LeagueRatings!$K$11)</f>
        <v>-9.0966485943354716</v>
      </c>
      <c r="AD229" s="16">
        <f>INDEX('C-P-RollAdj'!$F$4:$F$76,MATCH(INT(AC229),'C-P-RollAdj'!$E$4:$E$76,FALSE),0)</f>
        <v>0.92</v>
      </c>
      <c r="AE229" s="17">
        <f>+((LeagueRatings!$I$6-E229)*5)+9.5</f>
        <v>6.1080514552774039</v>
      </c>
      <c r="AF229" s="17">
        <f>IF(AE229&lt;4,4,AE229)</f>
        <v>6.1080514552774039</v>
      </c>
      <c r="AG229" s="17">
        <f>IF(M229&lt;L229,((1-(M229/L229))*7)-0.07,(1-(M229/L229))*5)</f>
        <v>-1.6900131181202094E-2</v>
      </c>
      <c r="AH229" s="4">
        <f>+AA229+AD229+AF229+AG229</f>
        <v>6.2711513240962011</v>
      </c>
      <c r="AI229" s="41" t="s">
        <v>536</v>
      </c>
      <c r="AJ229" s="94" t="s">
        <v>66</v>
      </c>
      <c r="AK229" s="219">
        <f>INDEX('C-P-RollAdj'!$J$4:$J$76,MATCH(INT(Z229),'C-P-RollAdj'!$I$4:$I$76,FALSE),0)</f>
        <v>23</v>
      </c>
      <c r="AL229" s="219">
        <f>INDEX('C-P-RollAdj'!$J$4:$J$76,MATCH(INT(AC229),'C-P-RollAdj'!$I$4:$I$76,FALSE),0)</f>
        <v>-24</v>
      </c>
      <c r="AM229" s="14">
        <f>+AR229*LeagueRatings!$K$27</f>
        <v>97.777777777777786</v>
      </c>
      <c r="AN229" s="72">
        <f>F229*LeagueRatings!$K$27</f>
        <v>16.666666666666668</v>
      </c>
      <c r="AO229" s="72">
        <f>G229*LeagueRatings!$K$27</f>
        <v>16.666666666666668</v>
      </c>
      <c r="AP229" s="72">
        <f>T229*LeagueRatings!$K$27</f>
        <v>410</v>
      </c>
      <c r="AQ229" s="76"/>
      <c r="AR229" s="72">
        <f>ROUNDUP(L229,0)</f>
        <v>176</v>
      </c>
      <c r="AV229" s="76"/>
      <c r="AW229" s="97">
        <v>12.33</v>
      </c>
      <c r="AX229"/>
    </row>
    <row r="230" spans="1:50" x14ac:dyDescent="0.2">
      <c r="A230" s="41" t="s">
        <v>1383</v>
      </c>
      <c r="B230" s="76" t="s">
        <v>144</v>
      </c>
      <c r="C230" s="76">
        <v>6</v>
      </c>
      <c r="D230" s="76">
        <v>8</v>
      </c>
      <c r="E230" s="97">
        <v>3.54</v>
      </c>
      <c r="F230" s="76">
        <v>19</v>
      </c>
      <c r="G230" s="76">
        <v>19</v>
      </c>
      <c r="H230" s="76">
        <v>0</v>
      </c>
      <c r="I230" s="76">
        <v>0</v>
      </c>
      <c r="J230" s="76">
        <v>0</v>
      </c>
      <c r="K230" s="76">
        <v>0</v>
      </c>
      <c r="L230" s="258">
        <f>INDEX('C-P-RollAdj'!$P$4:$P$900,MATCH((U230),'C-P-RollAdj'!$O$4:$O$900,FALSE),0)</f>
        <v>89</v>
      </c>
      <c r="M230" s="76">
        <v>93</v>
      </c>
      <c r="N230" s="76">
        <v>44</v>
      </c>
      <c r="O230" s="76">
        <v>35</v>
      </c>
      <c r="P230" s="76">
        <v>5</v>
      </c>
      <c r="Q230" s="76">
        <v>51</v>
      </c>
      <c r="R230" s="76">
        <v>0</v>
      </c>
      <c r="S230" s="76">
        <v>98</v>
      </c>
      <c r="T230" s="76">
        <v>401</v>
      </c>
      <c r="U230" s="76">
        <v>89</v>
      </c>
      <c r="V230" s="100">
        <v>0.26900000000000002</v>
      </c>
      <c r="W230" s="76">
        <v>1.62</v>
      </c>
      <c r="X230" s="50"/>
      <c r="Y230" s="50">
        <f t="shared" si="52"/>
        <v>12.718204488778055</v>
      </c>
      <c r="Z230" s="6">
        <f>IF(Y230&lt;LeagueRatings!$K$10,((LeagueRatings!$K$10-Y230)/LeagueRatings!$K$10)*36,(LeagueRatings!$K$10-Y230)*6.48)</f>
        <v>-26.248184593088133</v>
      </c>
      <c r="AA230" s="16">
        <f>INDEX('C-P-RollAdj'!$B$4:$B$76,MATCH(INT(Z230),'C-P-RollAdj'!$A$4:$A$76,FALSE),0)</f>
        <v>3.61</v>
      </c>
      <c r="AB230" s="16">
        <f>(P230/(T230-R230))*100</f>
        <v>1.2468827930174564</v>
      </c>
      <c r="AC230" s="6">
        <f>IF(AB230&lt;LeagueRatings!$K$8,((LeagueRatings!$K$8-AB230)/LeagueRatings!$K$8)*36,(LeagueRatings!$K$8-AB230)/LeagueRatings!$K$11)</f>
        <v>21.982283554916393</v>
      </c>
      <c r="AD230" s="16">
        <f>INDEX('C-P-RollAdj'!$F$4:$F$76,MATCH(INT(AC230),'C-P-RollAdj'!$E$4:$E$76,FALSE),0)</f>
        <v>-1.6800000000000002</v>
      </c>
      <c r="AE230" s="17">
        <f>+((LeagueRatings!$I$6-E230)*5)+9.5</f>
        <v>12.808051455277404</v>
      </c>
      <c r="AF230" s="17">
        <f>IF(AE230&lt;4,4,AE230)</f>
        <v>12.808051455277404</v>
      </c>
      <c r="AG230" s="17">
        <f>IF(M230&lt;L230,((1-(M230/L230))*7)-0.07,(1-(M230/L230))*5)</f>
        <v>-0.22471910112359605</v>
      </c>
      <c r="AH230" s="4">
        <f>+AA230+AD230+AF230+AG230</f>
        <v>14.513332354153807</v>
      </c>
      <c r="AI230" s="41" t="s">
        <v>1383</v>
      </c>
      <c r="AJ230" s="94" t="s">
        <v>14</v>
      </c>
      <c r="AK230" s="219">
        <f>INDEX('C-P-RollAdj'!$J$4:$J$76,MATCH(INT(Z230),'C-P-RollAdj'!$I$4:$I$76,FALSE),0)</f>
        <v>-53</v>
      </c>
      <c r="AL230" s="219">
        <f>INDEX('C-P-RollAdj'!$J$4:$J$76,MATCH(INT(AC230),'C-P-RollAdj'!$I$4:$I$76,FALSE),0)</f>
        <v>43</v>
      </c>
      <c r="AM230" s="14">
        <f>+AR230*LeagueRatings!$K$27</f>
        <v>49.44444444444445</v>
      </c>
      <c r="AN230" s="72">
        <f>F230*LeagueRatings!$K$27</f>
        <v>10.555555555555555</v>
      </c>
      <c r="AO230" s="72">
        <f>G230*LeagueRatings!$K$27</f>
        <v>10.555555555555555</v>
      </c>
      <c r="AP230" s="72">
        <f>T230*LeagueRatings!$K$27</f>
        <v>222.7777777777778</v>
      </c>
      <c r="AQ230" s="76"/>
      <c r="AR230" s="72">
        <f>ROUNDUP(L230,0)</f>
        <v>89</v>
      </c>
      <c r="AV230" s="76"/>
      <c r="AW230" s="97">
        <v>12.33</v>
      </c>
      <c r="AX230"/>
    </row>
    <row r="231" spans="1:50" x14ac:dyDescent="0.2">
      <c r="A231" s="107"/>
      <c r="C231"/>
      <c r="D231" s="3"/>
      <c r="G231" s="62"/>
      <c r="I231" s="176"/>
      <c r="J231" s="62"/>
      <c r="K231" s="3"/>
      <c r="N231"/>
      <c r="R231" s="62"/>
      <c r="S231" s="2"/>
      <c r="T231"/>
      <c r="U231"/>
      <c r="X231" s="50"/>
      <c r="Y231" s="50"/>
      <c r="Z231" s="6"/>
      <c r="AB231" s="16"/>
      <c r="AC231" s="6"/>
      <c r="AE231" s="17"/>
      <c r="AF231" s="17"/>
      <c r="AG231" s="17"/>
      <c r="AH231" s="4"/>
      <c r="AI231" s="107"/>
      <c r="AM231" s="14"/>
      <c r="AN231" s="72"/>
      <c r="AO231" s="72"/>
      <c r="AP231" s="72"/>
      <c r="AR231" s="72"/>
      <c r="AW231" s="111"/>
    </row>
    <row r="232" spans="1:50" customFormat="1" ht="12.75" customHeight="1" x14ac:dyDescent="0.2">
      <c r="A232" s="69" t="s">
        <v>106</v>
      </c>
      <c r="B232" s="70" t="s">
        <v>157</v>
      </c>
      <c r="C232" s="71" t="s">
        <v>85</v>
      </c>
      <c r="D232" s="70" t="s">
        <v>86</v>
      </c>
      <c r="E232" s="71" t="s">
        <v>87</v>
      </c>
      <c r="F232" s="70" t="s">
        <v>108</v>
      </c>
      <c r="G232" s="70" t="s">
        <v>88</v>
      </c>
      <c r="H232" s="182" t="s">
        <v>89</v>
      </c>
      <c r="I232" s="178" t="s">
        <v>317</v>
      </c>
      <c r="J232" s="72" t="s">
        <v>90</v>
      </c>
      <c r="K232" s="72" t="s">
        <v>158</v>
      </c>
      <c r="L232" s="71" t="s">
        <v>91</v>
      </c>
      <c r="M232" s="70" t="s">
        <v>92</v>
      </c>
      <c r="N232" s="70" t="s">
        <v>93</v>
      </c>
      <c r="O232" s="70" t="s">
        <v>94</v>
      </c>
      <c r="P232" s="70" t="s">
        <v>95</v>
      </c>
      <c r="Q232" s="70" t="s">
        <v>96</v>
      </c>
      <c r="R232" s="70" t="s">
        <v>98</v>
      </c>
      <c r="S232" s="70" t="s">
        <v>97</v>
      </c>
      <c r="T232" s="70" t="s">
        <v>109</v>
      </c>
      <c r="U232" s="155" t="s">
        <v>91</v>
      </c>
      <c r="V232" s="250" t="s">
        <v>1517</v>
      </c>
      <c r="W232" s="155" t="s">
        <v>1072</v>
      </c>
      <c r="X232" s="117"/>
      <c r="Y232" s="117" t="s">
        <v>2</v>
      </c>
      <c r="Z232" s="116" t="s">
        <v>3</v>
      </c>
      <c r="AA232" s="117" t="s">
        <v>4</v>
      </c>
      <c r="AB232" s="118" t="s">
        <v>5</v>
      </c>
      <c r="AC232" s="116" t="s">
        <v>6</v>
      </c>
      <c r="AD232" s="117" t="s">
        <v>7</v>
      </c>
      <c r="AE232" s="119" t="s">
        <v>8</v>
      </c>
      <c r="AF232" s="119" t="s">
        <v>81</v>
      </c>
      <c r="AG232" s="119" t="s">
        <v>9</v>
      </c>
      <c r="AH232" s="128" t="s">
        <v>10</v>
      </c>
      <c r="AI232" s="69" t="s">
        <v>106</v>
      </c>
      <c r="AJ232" s="7" t="s">
        <v>11</v>
      </c>
      <c r="AK232" s="7" t="s">
        <v>12</v>
      </c>
      <c r="AL232" s="7" t="s">
        <v>13</v>
      </c>
      <c r="AM232" s="14"/>
      <c r="AN232" s="72"/>
      <c r="AO232" s="72"/>
      <c r="AP232" s="72"/>
      <c r="AQ232" s="122"/>
      <c r="AR232" s="72"/>
      <c r="AS232" s="114"/>
      <c r="AT232" s="114"/>
      <c r="AU232" s="114"/>
      <c r="AV232" s="122"/>
      <c r="AW232" s="71" t="s">
        <v>91</v>
      </c>
      <c r="AX232" s="122"/>
    </row>
    <row r="233" spans="1:50" x14ac:dyDescent="0.2">
      <c r="A233" s="69"/>
      <c r="B233" s="18"/>
      <c r="C233" s="103"/>
      <c r="D233" s="18"/>
      <c r="E233" s="103"/>
      <c r="F233" s="18"/>
      <c r="G233" s="18"/>
      <c r="H233" s="143"/>
      <c r="I233" s="175"/>
      <c r="J233" s="14"/>
      <c r="K233" s="14"/>
      <c r="L233" s="103"/>
      <c r="M233" s="18"/>
      <c r="N233" s="18"/>
      <c r="O233" s="18"/>
      <c r="P233" s="18"/>
      <c r="Q233" s="30"/>
      <c r="R233" s="18"/>
      <c r="S233" s="18"/>
      <c r="T233" s="18"/>
      <c r="U233" s="18"/>
      <c r="X233" s="50"/>
      <c r="Y233" s="50"/>
      <c r="Z233" s="6"/>
      <c r="AB233" s="16"/>
      <c r="AC233" s="6"/>
      <c r="AE233" s="17"/>
      <c r="AF233" s="17"/>
      <c r="AG233" s="17"/>
      <c r="AH233" s="4"/>
      <c r="AI233" s="69"/>
      <c r="AJ233" s="7"/>
      <c r="AK233" s="7"/>
      <c r="AL233" s="7"/>
      <c r="AM233" s="14"/>
      <c r="AN233" s="72"/>
      <c r="AO233" s="72"/>
      <c r="AP233" s="72"/>
      <c r="AQ233" s="30"/>
      <c r="AR233" s="72"/>
      <c r="AV233" s="30"/>
      <c r="AW233" s="103"/>
      <c r="AX233" s="30"/>
    </row>
    <row r="234" spans="1:50" x14ac:dyDescent="0.2">
      <c r="A234" s="41" t="s">
        <v>772</v>
      </c>
      <c r="B234" s="76" t="s">
        <v>155</v>
      </c>
      <c r="C234" s="76">
        <v>0</v>
      </c>
      <c r="D234" s="76">
        <v>0</v>
      </c>
      <c r="E234" s="97">
        <v>7.71</v>
      </c>
      <c r="F234" s="76">
        <v>10</v>
      </c>
      <c r="G234" s="76">
        <v>0</v>
      </c>
      <c r="H234" s="76">
        <v>0</v>
      </c>
      <c r="I234" s="76">
        <v>0</v>
      </c>
      <c r="J234" s="76">
        <v>0</v>
      </c>
      <c r="K234" s="76">
        <v>0</v>
      </c>
      <c r="L234" s="258">
        <f>INDEX('C-P-RollAdj'!$P$4:$P$900,MATCH((U234),'C-P-RollAdj'!$O$4:$O$900,FALSE),0)</f>
        <v>11.67</v>
      </c>
      <c r="M234" s="76">
        <v>17</v>
      </c>
      <c r="N234" s="76">
        <v>11</v>
      </c>
      <c r="O234" s="76">
        <v>10</v>
      </c>
      <c r="P234" s="76">
        <v>3</v>
      </c>
      <c r="Q234" s="76">
        <v>2</v>
      </c>
      <c r="R234" s="76">
        <v>0</v>
      </c>
      <c r="S234" s="76">
        <v>13</v>
      </c>
      <c r="T234" s="76">
        <v>52</v>
      </c>
      <c r="U234" s="76">
        <v>11.2</v>
      </c>
      <c r="V234" s="100">
        <v>0.36199999999999999</v>
      </c>
      <c r="W234" s="76">
        <v>1.63</v>
      </c>
      <c r="X234" s="50"/>
      <c r="Y234" s="50">
        <f t="shared" ref="Y234:Y248" si="57">+(Q234-R234)/(T234-R234)*100</f>
        <v>3.8461538461538463</v>
      </c>
      <c r="Z234" s="6">
        <f>IF(Y234&lt;LeagueRatings!$K$10,((LeagueRatings!$K$10-Y234)/LeagueRatings!$K$10)*36,(LeagueRatings!$K$10-Y234)*6.48)</f>
        <v>20.025312898063902</v>
      </c>
      <c r="AA234" s="16">
        <f>INDEX('C-P-RollAdj'!$B$4:$B$76,MATCH(INT(Z234),'C-P-RollAdj'!$A$4:$A$76,FALSE),0)</f>
        <v>-1.79</v>
      </c>
      <c r="AB234" s="16">
        <f t="shared" ref="AB234:AB248" si="58">(P234/(T234-R234))*100</f>
        <v>5.7692307692307692</v>
      </c>
      <c r="AC234" s="6">
        <f>IF(AB234&lt;LeagueRatings!$K$8,((LeagueRatings!$K$8-AB234)/LeagueRatings!$K$8)*36,(LeagueRatings!$K$8-AB234)/LeagueRatings!$K$11)</f>
        <v>-20.383245064997592</v>
      </c>
      <c r="AD234" s="16">
        <f>INDEX('C-P-RollAdj'!$F$4:$F$76,MATCH(INT(AC234),'C-P-RollAdj'!$E$4:$E$76,FALSE),0)</f>
        <v>2.31</v>
      </c>
      <c r="AE234" s="17">
        <f>+((LeagueRatings!$I$6-E234)*5)+9.5</f>
        <v>-8.0419485447225973</v>
      </c>
      <c r="AF234" s="17">
        <f t="shared" ref="AF234:AF248" si="59">IF(AE234&lt;4,4,AE234)</f>
        <v>4</v>
      </c>
      <c r="AG234" s="17">
        <f t="shared" ref="AG234:AG248" si="60">IF(M234&lt;L234,((1-(M234/L234))*7)-0.07,(1-(M234/L234))*5)</f>
        <v>-2.2836332476435306</v>
      </c>
      <c r="AH234" s="4">
        <f t="shared" ref="AH234:AH248" si="61">+AA234+AD234+AF234+AG234</f>
        <v>2.236366752356469</v>
      </c>
      <c r="AI234" s="41" t="s">
        <v>772</v>
      </c>
      <c r="AJ234" s="5" t="s">
        <v>78</v>
      </c>
      <c r="AK234" s="219">
        <f>INDEX('C-P-RollAdj'!$J$4:$J$76,MATCH(INT(Z234),'C-P-RollAdj'!$I$4:$I$76,FALSE),0)</f>
        <v>42</v>
      </c>
      <c r="AL234" s="219">
        <f>INDEX('C-P-RollAdj'!$J$4:$J$76,MATCH(INT(AC234),'C-P-RollAdj'!$I$4:$I$76,FALSE),0)</f>
        <v>-43</v>
      </c>
      <c r="AM234" s="14">
        <f>+AR234*LeagueRatings!$K$27</f>
        <v>6.666666666666667</v>
      </c>
      <c r="AN234" s="72">
        <f>F234*LeagueRatings!$K$27</f>
        <v>5.5555555555555554</v>
      </c>
      <c r="AO234" s="72">
        <f>G234*LeagueRatings!$K$27</f>
        <v>0</v>
      </c>
      <c r="AP234" s="72">
        <f>T234*LeagueRatings!$K$27</f>
        <v>28.888888888888889</v>
      </c>
      <c r="AR234" s="72">
        <f t="shared" si="51"/>
        <v>12</v>
      </c>
      <c r="AW234" s="144">
        <v>15.33</v>
      </c>
    </row>
    <row r="235" spans="1:50" x14ac:dyDescent="0.2">
      <c r="A235" s="41" t="s">
        <v>1390</v>
      </c>
      <c r="B235" s="76" t="s">
        <v>155</v>
      </c>
      <c r="C235" s="76">
        <v>7</v>
      </c>
      <c r="D235" s="76">
        <v>3</v>
      </c>
      <c r="E235" s="97">
        <v>2.09</v>
      </c>
      <c r="F235" s="76">
        <v>53</v>
      </c>
      <c r="G235" s="76">
        <v>0</v>
      </c>
      <c r="H235" s="76">
        <v>0</v>
      </c>
      <c r="I235" s="76">
        <v>0</v>
      </c>
      <c r="J235" s="76">
        <v>0</v>
      </c>
      <c r="K235" s="76">
        <v>1</v>
      </c>
      <c r="L235" s="258">
        <f>INDEX('C-P-RollAdj'!$P$4:$P$900,MATCH((U235),'C-P-RollAdj'!$O$4:$O$900,FALSE),0)</f>
        <v>60.33</v>
      </c>
      <c r="M235" s="76">
        <v>54</v>
      </c>
      <c r="N235" s="76">
        <v>16</v>
      </c>
      <c r="O235" s="76">
        <v>14</v>
      </c>
      <c r="P235" s="76">
        <v>4</v>
      </c>
      <c r="Q235" s="76">
        <v>16</v>
      </c>
      <c r="R235" s="76">
        <v>1</v>
      </c>
      <c r="S235" s="76">
        <v>49</v>
      </c>
      <c r="T235" s="76">
        <v>246</v>
      </c>
      <c r="U235" s="76">
        <v>60.1</v>
      </c>
      <c r="V235" s="100">
        <v>0.24199999999999999</v>
      </c>
      <c r="W235" s="76">
        <v>1.1599999999999999</v>
      </c>
      <c r="X235" s="50"/>
      <c r="Y235" s="50">
        <f t="shared" si="57"/>
        <v>6.1224489795918364</v>
      </c>
      <c r="Z235" s="6">
        <f>IF(Y235&lt;LeagueRatings!$K$10,((LeagueRatings!$K$10-Y235)/LeagueRatings!$K$10)*36,(LeagueRatings!$K$10-Y235)*6.48)</f>
        <v>10.57090624589765</v>
      </c>
      <c r="AA235" s="16">
        <f>INDEX('C-P-RollAdj'!$B$4:$B$76,MATCH(INT(Z235),'C-P-RollAdj'!$A$4:$A$76,FALSE),0)</f>
        <v>-0.83000000000000007</v>
      </c>
      <c r="AB235" s="16">
        <f t="shared" si="58"/>
        <v>1.6326530612244898</v>
      </c>
      <c r="AC235" s="6">
        <f>IF(AB235&lt;LeagueRatings!$K$8,((LeagueRatings!$K$8-AB235)/LeagueRatings!$K$8)*36,(LeagueRatings!$K$8-AB235)/LeagueRatings!$K$11)</f>
        <v>17.645373732315011</v>
      </c>
      <c r="AD235" s="16">
        <f>INDEX('C-P-RollAdj'!$F$4:$F$76,MATCH(INT(AC235),'C-P-RollAdj'!$E$4:$E$76,FALSE),0)</f>
        <v>-1.32</v>
      </c>
      <c r="AE235" s="17">
        <f>+((LeagueRatings!$I$6-E235)*5)+9.5</f>
        <v>20.058051455277404</v>
      </c>
      <c r="AF235" s="17">
        <f t="shared" si="59"/>
        <v>20.058051455277404</v>
      </c>
      <c r="AG235" s="17">
        <f t="shared" si="60"/>
        <v>0.66446046742913945</v>
      </c>
      <c r="AH235" s="4">
        <f t="shared" si="61"/>
        <v>18.572511922706543</v>
      </c>
      <c r="AI235" s="41" t="s">
        <v>1390</v>
      </c>
      <c r="AJ235" s="5" t="s">
        <v>67</v>
      </c>
      <c r="AK235" s="219">
        <f>INDEX('C-P-RollAdj'!$J$4:$J$76,MATCH(INT(Z235),'C-P-RollAdj'!$I$4:$I$76,FALSE),0)</f>
        <v>24</v>
      </c>
      <c r="AL235" s="219">
        <f>INDEX('C-P-RollAdj'!$J$4:$J$76,MATCH(INT(AC235),'C-P-RollAdj'!$I$4:$I$76,FALSE),0)</f>
        <v>35</v>
      </c>
      <c r="AM235" s="14">
        <f>+AR235*LeagueRatings!$K$27</f>
        <v>33.888888888888893</v>
      </c>
      <c r="AN235" s="72">
        <f>F235*LeagueRatings!$K$27</f>
        <v>29.444444444444446</v>
      </c>
      <c r="AO235" s="72">
        <f>G235*LeagueRatings!$K$27</f>
        <v>0</v>
      </c>
      <c r="AP235" s="72">
        <f>T235*LeagueRatings!$K$27</f>
        <v>136.66666666666669</v>
      </c>
      <c r="AR235" s="72">
        <f t="shared" si="51"/>
        <v>61</v>
      </c>
      <c r="AW235" s="144">
        <v>57</v>
      </c>
    </row>
    <row r="236" spans="1:50" s="122" customFormat="1" x14ac:dyDescent="0.2">
      <c r="A236" s="41" t="s">
        <v>1391</v>
      </c>
      <c r="B236" s="76" t="s">
        <v>155</v>
      </c>
      <c r="C236" s="76">
        <v>7</v>
      </c>
      <c r="D236" s="76">
        <v>2</v>
      </c>
      <c r="E236" s="97">
        <v>2.48</v>
      </c>
      <c r="F236" s="76">
        <v>58</v>
      </c>
      <c r="G236" s="76">
        <v>0</v>
      </c>
      <c r="H236" s="76">
        <v>0</v>
      </c>
      <c r="I236" s="76">
        <v>0</v>
      </c>
      <c r="J236" s="76">
        <v>1</v>
      </c>
      <c r="K236" s="76">
        <v>4</v>
      </c>
      <c r="L236" s="258">
        <f>INDEX('C-P-RollAdj'!$P$4:$P$900,MATCH((U236),'C-P-RollAdj'!$O$4:$O$900,FALSE),0)</f>
        <v>61.67</v>
      </c>
      <c r="M236" s="76">
        <v>44</v>
      </c>
      <c r="N236" s="76">
        <v>18</v>
      </c>
      <c r="O236" s="76">
        <v>17</v>
      </c>
      <c r="P236" s="76">
        <v>4</v>
      </c>
      <c r="Q236" s="76">
        <v>14</v>
      </c>
      <c r="R236" s="76">
        <v>0</v>
      </c>
      <c r="S236" s="76">
        <v>61</v>
      </c>
      <c r="T236" s="76">
        <v>243</v>
      </c>
      <c r="U236" s="76">
        <v>61.2</v>
      </c>
      <c r="V236" s="100">
        <v>0.19600000000000001</v>
      </c>
      <c r="W236" s="76">
        <v>0.94</v>
      </c>
      <c r="X236" s="50"/>
      <c r="Y236" s="50">
        <f t="shared" si="57"/>
        <v>5.761316872427984</v>
      </c>
      <c r="Z236" s="6">
        <f>IF(Y236&lt;LeagueRatings!$K$10,((LeagueRatings!$K$10-Y236)/LeagueRatings!$K$10)*36,(LeagueRatings!$K$10-Y236)*6.48)</f>
        <v>12.070839073643052</v>
      </c>
      <c r="AA236" s="16">
        <f>INDEX('C-P-RollAdj'!$B$4:$B$76,MATCH(INT(Z236),'C-P-RollAdj'!$A$4:$A$76,FALSE),0)</f>
        <v>-1.01</v>
      </c>
      <c r="AB236" s="16">
        <f t="shared" si="58"/>
        <v>1.6460905349794239</v>
      </c>
      <c r="AC236" s="6">
        <f>IF(AB236&lt;LeagueRatings!$K$8,((LeagueRatings!$K$8-AB236)/LeagueRatings!$K$8)*36,(LeagueRatings!$K$8-AB236)/LeagueRatings!$K$11)</f>
        <v>17.494306849453405</v>
      </c>
      <c r="AD236" s="16">
        <f>INDEX('C-P-RollAdj'!$F$4:$F$76,MATCH(INT(AC236),'C-P-RollAdj'!$E$4:$E$76,FALSE),0)</f>
        <v>-1.32</v>
      </c>
      <c r="AE236" s="17">
        <f>+((LeagueRatings!$I$6-E236)*5)+9.5</f>
        <v>18.108051455277405</v>
      </c>
      <c r="AF236" s="17">
        <f t="shared" si="59"/>
        <v>18.108051455277405</v>
      </c>
      <c r="AG236" s="17">
        <f t="shared" si="60"/>
        <v>1.9356753688989785</v>
      </c>
      <c r="AH236" s="4">
        <f t="shared" si="61"/>
        <v>17.713726824176383</v>
      </c>
      <c r="AI236" s="41" t="s">
        <v>1391</v>
      </c>
      <c r="AJ236" s="94" t="s">
        <v>63</v>
      </c>
      <c r="AK236" s="219">
        <f>INDEX('C-P-RollAdj'!$J$4:$J$76,MATCH(INT(Z236),'C-P-RollAdj'!$I$4:$I$76,FALSE),0)</f>
        <v>26</v>
      </c>
      <c r="AL236" s="219">
        <f>INDEX('C-P-RollAdj'!$J$4:$J$76,MATCH(INT(AC236),'C-P-RollAdj'!$I$4:$I$76,FALSE),0)</f>
        <v>35</v>
      </c>
      <c r="AM236" s="14">
        <f>+AR236*LeagueRatings!$K$27</f>
        <v>34.444444444444443</v>
      </c>
      <c r="AN236" s="72">
        <f>F236*LeagueRatings!$K$27</f>
        <v>32.222222222222221</v>
      </c>
      <c r="AO236" s="72">
        <f>G236*LeagueRatings!$K$27</f>
        <v>0</v>
      </c>
      <c r="AP236" s="72">
        <f>T236*LeagueRatings!$K$27</f>
        <v>135</v>
      </c>
      <c r="AQ236" s="76"/>
      <c r="AR236" s="72">
        <f t="shared" si="51"/>
        <v>62</v>
      </c>
      <c r="AS236" s="113"/>
      <c r="AT236" s="113"/>
      <c r="AU236" s="113"/>
      <c r="AV236" s="76"/>
      <c r="AW236" s="144">
        <v>209.67</v>
      </c>
      <c r="AX236"/>
    </row>
    <row r="237" spans="1:50" s="30" customFormat="1" x14ac:dyDescent="0.2">
      <c r="A237" s="41" t="s">
        <v>825</v>
      </c>
      <c r="B237" s="76" t="s">
        <v>155</v>
      </c>
      <c r="C237" s="76">
        <v>4</v>
      </c>
      <c r="D237" s="76">
        <v>1</v>
      </c>
      <c r="E237" s="97">
        <v>2.79</v>
      </c>
      <c r="F237" s="76">
        <v>39</v>
      </c>
      <c r="G237" s="76">
        <v>0</v>
      </c>
      <c r="H237" s="76">
        <v>0</v>
      </c>
      <c r="I237" s="76">
        <v>0</v>
      </c>
      <c r="J237" s="76">
        <v>0</v>
      </c>
      <c r="K237" s="76">
        <v>0</v>
      </c>
      <c r="L237" s="258">
        <f>INDEX('C-P-RollAdj'!$P$4:$P$900,MATCH((U237),'C-P-RollAdj'!$O$4:$O$900,FALSE),0)</f>
        <v>51.67</v>
      </c>
      <c r="M237" s="76">
        <v>55</v>
      </c>
      <c r="N237" s="76">
        <v>19</v>
      </c>
      <c r="O237" s="76">
        <v>16</v>
      </c>
      <c r="P237" s="76">
        <v>2</v>
      </c>
      <c r="Q237" s="76">
        <v>10</v>
      </c>
      <c r="R237" s="76">
        <v>0</v>
      </c>
      <c r="S237" s="76">
        <v>34</v>
      </c>
      <c r="T237" s="76">
        <v>217</v>
      </c>
      <c r="U237" s="76">
        <v>51.2</v>
      </c>
      <c r="V237" s="100">
        <v>0.27</v>
      </c>
      <c r="W237" s="76">
        <v>1.26</v>
      </c>
      <c r="X237" s="50"/>
      <c r="Y237" s="50">
        <f t="shared" si="57"/>
        <v>4.6082949308755765</v>
      </c>
      <c r="Z237" s="6">
        <f>IF(Y237&lt;LeagueRatings!$K$10,((LeagueRatings!$K$10-Y237)/LeagueRatings!$K$10)*36,(LeagueRatings!$K$10-Y237)*6.48)</f>
        <v>16.859821905514355</v>
      </c>
      <c r="AA237" s="16">
        <f>INDEX('C-P-RollAdj'!$B$4:$B$76,MATCH(INT(Z237),'C-P-RollAdj'!$A$4:$A$76,FALSE),0)</f>
        <v>-1.39</v>
      </c>
      <c r="AB237" s="16">
        <f t="shared" si="58"/>
        <v>0.92165898617511521</v>
      </c>
      <c r="AC237" s="6">
        <f>IF(AB237&lt;LeagueRatings!$K$8,((LeagueRatings!$K$8-AB237)/LeagueRatings!$K$8)*36,(LeagueRatings!$K$8-AB237)/LeagueRatings!$K$11)</f>
        <v>25.638517429532666</v>
      </c>
      <c r="AD237" s="16">
        <f>INDEX('C-P-RollAdj'!$F$4:$F$76,MATCH(INT(AC237),'C-P-RollAdj'!$E$4:$E$76,FALSE),0)</f>
        <v>-2.08</v>
      </c>
      <c r="AE237" s="17">
        <f>+((LeagueRatings!$I$6-E237)*5)+9.5</f>
        <v>16.558051455277404</v>
      </c>
      <c r="AF237" s="17">
        <f t="shared" si="59"/>
        <v>16.558051455277404</v>
      </c>
      <c r="AG237" s="17">
        <f t="shared" si="60"/>
        <v>-0.32223727501451527</v>
      </c>
      <c r="AH237" s="4">
        <f t="shared" si="61"/>
        <v>12.76581418026289</v>
      </c>
      <c r="AI237" s="41" t="s">
        <v>825</v>
      </c>
      <c r="AJ237" s="94" t="s">
        <v>16</v>
      </c>
      <c r="AK237" s="219">
        <f>INDEX('C-P-RollAdj'!$J$4:$J$76,MATCH(INT(Z237),'C-P-RollAdj'!$I$4:$I$76,FALSE),0)</f>
        <v>34</v>
      </c>
      <c r="AL237" s="219">
        <f>INDEX('C-P-RollAdj'!$J$4:$J$76,MATCH(INT(AC237),'C-P-RollAdj'!$I$4:$I$76,FALSE),0)</f>
        <v>51</v>
      </c>
      <c r="AM237" s="14">
        <f>+AR237*LeagueRatings!$K$27</f>
        <v>28.888888888888889</v>
      </c>
      <c r="AN237" s="72">
        <f>F237*LeagueRatings!$K$27</f>
        <v>21.666666666666668</v>
      </c>
      <c r="AO237" s="72">
        <f>G237*LeagueRatings!$K$27</f>
        <v>0</v>
      </c>
      <c r="AP237" s="72">
        <f>T237*LeagueRatings!$K$27</f>
        <v>120.55555555555556</v>
      </c>
      <c r="AQ237" s="76"/>
      <c r="AR237" s="72">
        <f t="shared" si="51"/>
        <v>52</v>
      </c>
      <c r="AS237" s="113"/>
      <c r="AT237" s="113"/>
      <c r="AU237" s="113"/>
      <c r="AV237" s="76"/>
      <c r="AW237" s="144">
        <v>49</v>
      </c>
      <c r="AX237" s="23"/>
    </row>
    <row r="238" spans="1:50" s="23" customFormat="1" ht="12.75" customHeight="1" x14ac:dyDescent="0.2">
      <c r="A238" s="41" t="s">
        <v>1392</v>
      </c>
      <c r="B238" s="76" t="s">
        <v>155</v>
      </c>
      <c r="C238" s="76">
        <v>7</v>
      </c>
      <c r="D238" s="76">
        <v>5</v>
      </c>
      <c r="E238" s="97">
        <v>3.41</v>
      </c>
      <c r="F238" s="76">
        <v>17</v>
      </c>
      <c r="G238" s="76">
        <v>17</v>
      </c>
      <c r="H238" s="76">
        <v>0</v>
      </c>
      <c r="I238" s="76">
        <v>0</v>
      </c>
      <c r="J238" s="76">
        <v>0</v>
      </c>
      <c r="K238" s="76">
        <v>0</v>
      </c>
      <c r="L238" s="258">
        <f>INDEX('C-P-RollAdj'!$P$4:$P$900,MATCH((U238),'C-P-RollAdj'!$O$4:$O$900,FALSE),0)</f>
        <v>100.33</v>
      </c>
      <c r="M238" s="76">
        <v>81</v>
      </c>
      <c r="N238" s="76">
        <v>43</v>
      </c>
      <c r="O238" s="76">
        <v>38</v>
      </c>
      <c r="P238" s="76">
        <v>12</v>
      </c>
      <c r="Q238" s="76">
        <v>31</v>
      </c>
      <c r="R238" s="76">
        <v>1</v>
      </c>
      <c r="S238" s="76">
        <v>132</v>
      </c>
      <c r="T238" s="76">
        <v>416</v>
      </c>
      <c r="U238" s="76">
        <v>100.1</v>
      </c>
      <c r="V238" s="100">
        <v>0.214</v>
      </c>
      <c r="W238" s="76">
        <v>1.1200000000000001</v>
      </c>
      <c r="X238" s="50"/>
      <c r="Y238" s="50">
        <f t="shared" si="57"/>
        <v>7.2289156626506017</v>
      </c>
      <c r="Z238" s="6">
        <f>IF(Y238&lt;LeagueRatings!$K$10,((LeagueRatings!$K$10-Y238)/LeagueRatings!$K$10)*36,(LeagueRatings!$K$10-Y238)*6.48)</f>
        <v>5.9752868927466247</v>
      </c>
      <c r="AA238" s="16">
        <f>INDEX('C-P-RollAdj'!$B$4:$B$76,MATCH(INT(Z238),'C-P-RollAdj'!$A$4:$A$76,FALSE),0)</f>
        <v>-0.4</v>
      </c>
      <c r="AB238" s="16">
        <f t="shared" si="58"/>
        <v>2.8915662650602409</v>
      </c>
      <c r="AC238" s="6">
        <f>IF(AB238&lt;LeagueRatings!$K$8,((LeagueRatings!$K$8-AB238)/LeagueRatings!$K$8)*36,(LeagueRatings!$K$8-AB238)/LeagueRatings!$K$11)</f>
        <v>3.4924088994012883</v>
      </c>
      <c r="AD238" s="16">
        <f>INDEX('C-P-RollAdj'!$F$4:$F$76,MATCH(INT(AC238),'C-P-RollAdj'!$E$4:$E$76,FALSE),0)</f>
        <v>-0.21000000000000002</v>
      </c>
      <c r="AE238" s="17">
        <f>+((LeagueRatings!$I$6-E238)*5)+9.5</f>
        <v>13.458051455277403</v>
      </c>
      <c r="AF238" s="17">
        <f t="shared" si="59"/>
        <v>13.458051455277403</v>
      </c>
      <c r="AG238" s="17">
        <f t="shared" si="60"/>
        <v>1.2786494567925846</v>
      </c>
      <c r="AH238" s="4">
        <f t="shared" si="61"/>
        <v>14.126700912069987</v>
      </c>
      <c r="AI238" s="41" t="s">
        <v>1392</v>
      </c>
      <c r="AJ238" s="94" t="s">
        <v>21</v>
      </c>
      <c r="AK238" s="219">
        <f>INDEX('C-P-RollAdj'!$J$4:$J$76,MATCH(INT(Z238),'C-P-RollAdj'!$I$4:$I$76,FALSE),0)</f>
        <v>15</v>
      </c>
      <c r="AL238" s="219">
        <f>INDEX('C-P-RollAdj'!$J$4:$J$76,MATCH(INT(AC238),'C-P-RollAdj'!$I$4:$I$76,FALSE),0)</f>
        <v>13</v>
      </c>
      <c r="AM238" s="14">
        <f>+AR238*LeagueRatings!$K$27</f>
        <v>56.111111111111114</v>
      </c>
      <c r="AN238" s="72">
        <f>F238*LeagueRatings!$K$27</f>
        <v>9.4444444444444446</v>
      </c>
      <c r="AO238" s="72">
        <f>G238*LeagueRatings!$K$27</f>
        <v>9.4444444444444446</v>
      </c>
      <c r="AP238" s="72">
        <f>T238*LeagueRatings!$K$27</f>
        <v>231.11111111111111</v>
      </c>
      <c r="AQ238" s="76"/>
      <c r="AR238" s="72">
        <f t="shared" si="51"/>
        <v>101</v>
      </c>
      <c r="AS238" s="113"/>
      <c r="AT238" s="113"/>
      <c r="AU238" s="113"/>
      <c r="AV238" s="76"/>
      <c r="AW238" s="144">
        <v>84.33</v>
      </c>
      <c r="AX238"/>
    </row>
    <row r="239" spans="1:50" x14ac:dyDescent="0.2">
      <c r="A239" s="41" t="s">
        <v>419</v>
      </c>
      <c r="B239" s="76" t="s">
        <v>155</v>
      </c>
      <c r="C239" s="76">
        <v>4</v>
      </c>
      <c r="D239" s="76">
        <v>2</v>
      </c>
      <c r="E239" s="97">
        <v>3.4</v>
      </c>
      <c r="F239" s="76">
        <v>66</v>
      </c>
      <c r="G239" s="76">
        <v>0</v>
      </c>
      <c r="H239" s="76">
        <v>0</v>
      </c>
      <c r="I239" s="76">
        <v>0</v>
      </c>
      <c r="J239" s="76">
        <v>4</v>
      </c>
      <c r="K239" s="76">
        <v>5</v>
      </c>
      <c r="L239" s="258">
        <f>INDEX('C-P-RollAdj'!$P$4:$P$900,MATCH((U239),'C-P-RollAdj'!$O$4:$O$900,FALSE),0)</f>
        <v>53</v>
      </c>
      <c r="M239" s="76">
        <v>36</v>
      </c>
      <c r="N239" s="76">
        <v>22</v>
      </c>
      <c r="O239" s="76">
        <v>20</v>
      </c>
      <c r="P239" s="76">
        <v>4</v>
      </c>
      <c r="Q239" s="76">
        <v>26</v>
      </c>
      <c r="R239" s="76">
        <v>1</v>
      </c>
      <c r="S239" s="76">
        <v>59</v>
      </c>
      <c r="T239" s="76">
        <v>221</v>
      </c>
      <c r="U239" s="76">
        <v>53</v>
      </c>
      <c r="V239" s="100">
        <v>0.189</v>
      </c>
      <c r="W239" s="76">
        <v>1.17</v>
      </c>
      <c r="X239" s="50"/>
      <c r="Y239" s="50">
        <f t="shared" si="57"/>
        <v>11.363636363636363</v>
      </c>
      <c r="Z239" s="6">
        <f>IF(Y239&lt;LeagueRatings!$K$10,((LeagueRatings!$K$10-Y239)/LeagueRatings!$K$10)*36,(LeagueRatings!$K$10-Y239)*6.48)</f>
        <v>-17.470583142169975</v>
      </c>
      <c r="AA239" s="16">
        <f>INDEX('C-P-RollAdj'!$B$4:$B$76,MATCH(INT(Z239),'C-P-RollAdj'!$A$4:$A$76,FALSE),0)</f>
        <v>2.08</v>
      </c>
      <c r="AB239" s="16">
        <f t="shared" si="58"/>
        <v>1.8181818181818181</v>
      </c>
      <c r="AC239" s="6">
        <f>IF(AB239&lt;LeagueRatings!$K$8,((LeagueRatings!$K$8-AB239)/LeagueRatings!$K$8)*36,(LeagueRatings!$K$8-AB239)/LeagueRatings!$K$11)</f>
        <v>15.559620747350811</v>
      </c>
      <c r="AD239" s="16">
        <f>INDEX('C-P-RollAdj'!$F$4:$F$76,MATCH(INT(AC239),'C-P-RollAdj'!$E$4:$E$76,FALSE),0)</f>
        <v>-1.1400000000000001</v>
      </c>
      <c r="AE239" s="17">
        <f>+((LeagueRatings!$I$6-E239)*5)+9.5</f>
        <v>13.508051455277403</v>
      </c>
      <c r="AF239" s="17">
        <f t="shared" si="59"/>
        <v>13.508051455277403</v>
      </c>
      <c r="AG239" s="17">
        <f t="shared" si="60"/>
        <v>2.1752830188679249</v>
      </c>
      <c r="AH239" s="4">
        <f t="shared" si="61"/>
        <v>16.623334474145327</v>
      </c>
      <c r="AI239" s="41" t="s">
        <v>419</v>
      </c>
      <c r="AJ239" s="5" t="s">
        <v>53</v>
      </c>
      <c r="AK239" s="219">
        <f>INDEX('C-P-RollAdj'!$J$4:$J$76,MATCH(INT(Z239),'C-P-RollAdj'!$I$4:$I$76,FALSE),0)</f>
        <v>-36</v>
      </c>
      <c r="AL239" s="219">
        <f>INDEX('C-P-RollAdj'!$J$4:$J$76,MATCH(INT(AC239),'C-P-RollAdj'!$I$4:$I$76,FALSE),0)</f>
        <v>33</v>
      </c>
      <c r="AM239" s="14">
        <f>+AR239*LeagueRatings!$K$27</f>
        <v>29.444444444444446</v>
      </c>
      <c r="AN239" s="72">
        <f>F239*LeagueRatings!$K$27</f>
        <v>36.666666666666671</v>
      </c>
      <c r="AO239" s="72">
        <f>G239*LeagueRatings!$K$27</f>
        <v>0</v>
      </c>
      <c r="AP239" s="72">
        <f>T239*LeagueRatings!$K$27</f>
        <v>122.77777777777779</v>
      </c>
      <c r="AR239" s="72">
        <f t="shared" si="51"/>
        <v>53</v>
      </c>
      <c r="AW239" s="144">
        <v>213</v>
      </c>
    </row>
    <row r="240" spans="1:50" x14ac:dyDescent="0.2">
      <c r="A240" s="41" t="s">
        <v>397</v>
      </c>
      <c r="B240" s="76" t="s">
        <v>155</v>
      </c>
      <c r="C240" s="76">
        <v>3</v>
      </c>
      <c r="D240" s="76">
        <v>2</v>
      </c>
      <c r="E240" s="97">
        <v>2.4300000000000002</v>
      </c>
      <c r="F240" s="76">
        <v>73</v>
      </c>
      <c r="G240" s="76">
        <v>0</v>
      </c>
      <c r="H240" s="76">
        <v>0</v>
      </c>
      <c r="I240" s="76">
        <v>0</v>
      </c>
      <c r="J240" s="76">
        <v>38</v>
      </c>
      <c r="K240" s="76">
        <v>43</v>
      </c>
      <c r="L240" s="258">
        <f>INDEX('C-P-RollAdj'!$P$4:$P$900,MATCH((U240),'C-P-RollAdj'!$O$4:$O$900,FALSE),0)</f>
        <v>70.33</v>
      </c>
      <c r="M240" s="76">
        <v>63</v>
      </c>
      <c r="N240" s="76">
        <v>19</v>
      </c>
      <c r="O240" s="76">
        <v>19</v>
      </c>
      <c r="P240" s="76">
        <v>5</v>
      </c>
      <c r="Q240" s="76">
        <v>23</v>
      </c>
      <c r="R240" s="76">
        <v>0</v>
      </c>
      <c r="S240" s="76">
        <v>55</v>
      </c>
      <c r="T240" s="76">
        <v>285</v>
      </c>
      <c r="U240" s="76">
        <v>70.099999999999994</v>
      </c>
      <c r="V240" s="100">
        <v>0.24399999999999999</v>
      </c>
      <c r="W240" s="76">
        <v>1.22</v>
      </c>
      <c r="X240" s="50"/>
      <c r="Y240" s="50">
        <f t="shared" si="57"/>
        <v>8.0701754385964914</v>
      </c>
      <c r="Z240" s="6">
        <f>IF(Y240&lt;LeagueRatings!$K$10,((LeagueRatings!$K$10-Y240)/LeagueRatings!$K$10)*36,(LeagueRatings!$K$10-Y240)*6.48)</f>
        <v>2.4811828527797073</v>
      </c>
      <c r="AA240" s="16">
        <f>INDEX('C-P-RollAdj'!$B$4:$B$76,MATCH(INT(Z240),'C-P-RollAdj'!$A$4:$A$76,FALSE),0)</f>
        <v>-0.16</v>
      </c>
      <c r="AB240" s="16">
        <f t="shared" si="58"/>
        <v>1.7543859649122806</v>
      </c>
      <c r="AC240" s="6">
        <f>IF(AB240&lt;LeagueRatings!$K$8,((LeagueRatings!$K$8-AB240)/LeagueRatings!$K$8)*36,(LeagueRatings!$K$8-AB240)/LeagueRatings!$K$11)</f>
        <v>16.276827036917449</v>
      </c>
      <c r="AD240" s="16">
        <f>INDEX('C-P-RollAdj'!$F$4:$F$76,MATCH(INT(AC240),'C-P-RollAdj'!$E$4:$E$76,FALSE),0)</f>
        <v>-1.23</v>
      </c>
      <c r="AE240" s="17">
        <f>+((LeagueRatings!$I$6-E240)*5)+9.5</f>
        <v>18.358051455277405</v>
      </c>
      <c r="AF240" s="17">
        <f t="shared" si="59"/>
        <v>18.358051455277405</v>
      </c>
      <c r="AG240" s="17">
        <f t="shared" si="60"/>
        <v>0.65956064268448755</v>
      </c>
      <c r="AH240" s="4">
        <f t="shared" si="61"/>
        <v>17.62761209796189</v>
      </c>
      <c r="AI240" s="41" t="s">
        <v>397</v>
      </c>
      <c r="AJ240" s="5" t="s">
        <v>63</v>
      </c>
      <c r="AK240" s="219">
        <f>INDEX('C-P-RollAdj'!$J$4:$J$76,MATCH(INT(Z240),'C-P-RollAdj'!$I$4:$I$76,FALSE),0)</f>
        <v>12</v>
      </c>
      <c r="AL240" s="219">
        <f>INDEX('C-P-RollAdj'!$J$4:$J$76,MATCH(INT(AC240),'C-P-RollAdj'!$I$4:$I$76,FALSE),0)</f>
        <v>34</v>
      </c>
      <c r="AM240" s="14">
        <f>+AR240*LeagueRatings!$K$27</f>
        <v>39.444444444444443</v>
      </c>
      <c r="AN240" s="72">
        <f>F240*LeagueRatings!$K$27</f>
        <v>40.555555555555557</v>
      </c>
      <c r="AO240" s="72">
        <f>G240*LeagueRatings!$K$27</f>
        <v>0</v>
      </c>
      <c r="AP240" s="72">
        <f>T240*LeagueRatings!$K$27</f>
        <v>158.33333333333334</v>
      </c>
      <c r="AR240" s="72">
        <f t="shared" si="51"/>
        <v>71</v>
      </c>
      <c r="AW240" s="144">
        <v>22</v>
      </c>
    </row>
    <row r="241" spans="1:50" x14ac:dyDescent="0.2">
      <c r="A241" s="41" t="s">
        <v>1393</v>
      </c>
      <c r="B241" s="76" t="s">
        <v>155</v>
      </c>
      <c r="C241" s="76">
        <v>7</v>
      </c>
      <c r="D241" s="76">
        <v>4</v>
      </c>
      <c r="E241" s="97">
        <v>5.07</v>
      </c>
      <c r="F241" s="76">
        <v>23</v>
      </c>
      <c r="G241" s="76">
        <v>23</v>
      </c>
      <c r="H241" s="76">
        <v>0</v>
      </c>
      <c r="I241" s="76">
        <v>0</v>
      </c>
      <c r="J241" s="76">
        <v>0</v>
      </c>
      <c r="K241" s="76">
        <v>0</v>
      </c>
      <c r="L241" s="258">
        <f>INDEX('C-P-RollAdj'!$P$4:$P$900,MATCH((U241),'C-P-RollAdj'!$O$4:$O$900,FALSE),0)</f>
        <v>119</v>
      </c>
      <c r="M241" s="76">
        <v>116</v>
      </c>
      <c r="N241" s="76">
        <v>68</v>
      </c>
      <c r="O241" s="76">
        <v>67</v>
      </c>
      <c r="P241" s="76">
        <v>28</v>
      </c>
      <c r="Q241" s="76">
        <v>46</v>
      </c>
      <c r="R241" s="76">
        <v>1</v>
      </c>
      <c r="S241" s="76">
        <v>107</v>
      </c>
      <c r="T241" s="76">
        <v>509</v>
      </c>
      <c r="U241" s="76">
        <v>119</v>
      </c>
      <c r="V241" s="100">
        <v>0.25600000000000001</v>
      </c>
      <c r="W241" s="76">
        <v>1.36</v>
      </c>
      <c r="X241" s="50"/>
      <c r="Y241" s="50">
        <f t="shared" si="57"/>
        <v>8.8582677165354333</v>
      </c>
      <c r="Z241" s="6">
        <f>IF(Y241&lt;LeagueRatings!$K$10,((LeagueRatings!$K$10-Y241)/LeagueRatings!$K$10)*36,(LeagueRatings!$K$10-Y241)*6.48)</f>
        <v>-1.2357943089559476</v>
      </c>
      <c r="AA241" s="16">
        <f>INDEX('C-P-RollAdj'!$B$4:$B$76,MATCH(INT(Z241),'C-P-RollAdj'!$A$4:$A$76,FALSE),0)</f>
        <v>0.18</v>
      </c>
      <c r="AB241" s="16">
        <f t="shared" si="58"/>
        <v>5.5118110236220472</v>
      </c>
      <c r="AC241" s="6">
        <f>IF(AB241&lt;LeagueRatings!$K$8,((LeagueRatings!$K$8-AB241)/LeagueRatings!$K$8)*36,(LeagueRatings!$K$8-AB241)/LeagueRatings!$K$11)</f>
        <v>-18.339215782909175</v>
      </c>
      <c r="AD241" s="16">
        <f>INDEX('C-P-RollAdj'!$F$4:$F$76,MATCH(INT(AC241),'C-P-RollAdj'!$E$4:$E$76,FALSE),0)</f>
        <v>2.0299999999999998</v>
      </c>
      <c r="AE241" s="17">
        <f>+((LeagueRatings!$I$6-E241)*5)+9.5</f>
        <v>5.1580514552774019</v>
      </c>
      <c r="AF241" s="17">
        <f t="shared" si="59"/>
        <v>5.1580514552774019</v>
      </c>
      <c r="AG241" s="17">
        <f t="shared" si="60"/>
        <v>0.10647058823529426</v>
      </c>
      <c r="AH241" s="4">
        <f t="shared" si="61"/>
        <v>7.474522043512696</v>
      </c>
      <c r="AI241" s="41" t="s">
        <v>1393</v>
      </c>
      <c r="AJ241" s="94" t="s">
        <v>55</v>
      </c>
      <c r="AK241" s="219">
        <f>INDEX('C-P-RollAdj'!$J$4:$J$76,MATCH(INT(Z241),'C-P-RollAdj'!$I$4:$I$76,FALSE),0)</f>
        <v>-12</v>
      </c>
      <c r="AL241" s="219">
        <f>INDEX('C-P-RollAdj'!$J$4:$J$76,MATCH(INT(AC241),'C-P-RollAdj'!$I$4:$I$76,FALSE),0)</f>
        <v>-41</v>
      </c>
      <c r="AM241" s="14">
        <f>+AR241*LeagueRatings!$K$27</f>
        <v>66.111111111111114</v>
      </c>
      <c r="AN241" s="72">
        <f>F241*LeagueRatings!$K$27</f>
        <v>12.777777777777779</v>
      </c>
      <c r="AO241" s="72">
        <f>G241*LeagueRatings!$K$27</f>
        <v>12.777777777777779</v>
      </c>
      <c r="AP241" s="72">
        <f>T241*LeagueRatings!$K$27</f>
        <v>282.77777777777777</v>
      </c>
      <c r="AQ241" s="76"/>
      <c r="AR241" s="72">
        <f t="shared" si="51"/>
        <v>119</v>
      </c>
      <c r="AV241" s="76"/>
      <c r="AW241" s="144">
        <v>64.67</v>
      </c>
      <c r="AX241"/>
    </row>
    <row r="242" spans="1:50" x14ac:dyDescent="0.2">
      <c r="A242" s="41" t="s">
        <v>421</v>
      </c>
      <c r="B242" s="76" t="s">
        <v>155</v>
      </c>
      <c r="C242" s="76">
        <v>15</v>
      </c>
      <c r="D242" s="76">
        <v>5</v>
      </c>
      <c r="E242" s="97">
        <v>3.32</v>
      </c>
      <c r="F242" s="76">
        <v>32</v>
      </c>
      <c r="G242" s="76">
        <v>32</v>
      </c>
      <c r="H242" s="76">
        <v>0</v>
      </c>
      <c r="I242" s="76">
        <v>0</v>
      </c>
      <c r="J242" s="76">
        <v>0</v>
      </c>
      <c r="K242" s="76">
        <v>0</v>
      </c>
      <c r="L242" s="258">
        <f>INDEX('C-P-RollAdj'!$P$4:$P$900,MATCH((U242),'C-P-RollAdj'!$O$4:$O$900,FALSE),0)</f>
        <v>200.67000000000002</v>
      </c>
      <c r="M242" s="76">
        <v>185</v>
      </c>
      <c r="N242" s="76">
        <v>83</v>
      </c>
      <c r="O242" s="76">
        <v>74</v>
      </c>
      <c r="P242" s="76">
        <v>24</v>
      </c>
      <c r="Q242" s="76">
        <v>77</v>
      </c>
      <c r="R242" s="76">
        <v>1</v>
      </c>
      <c r="S242" s="76">
        <v>200</v>
      </c>
      <c r="T242" s="76">
        <v>848</v>
      </c>
      <c r="U242" s="76">
        <v>200.2</v>
      </c>
      <c r="V242" s="100">
        <v>0.24299999999999999</v>
      </c>
      <c r="W242" s="76">
        <v>1.31</v>
      </c>
      <c r="X242" s="50"/>
      <c r="Y242" s="50">
        <f t="shared" si="57"/>
        <v>8.9728453364816989</v>
      </c>
      <c r="Z242" s="6">
        <f>IF(Y242&lt;LeagueRatings!$K$10,((LeagueRatings!$K$10-Y242)/LeagueRatings!$K$10)*36,(LeagueRatings!$K$10-Y242)*6.48)</f>
        <v>-1.9782572862077485</v>
      </c>
      <c r="AA242" s="16">
        <f>INDEX('C-P-RollAdj'!$B$4:$B$76,MATCH(INT(Z242),'C-P-RollAdj'!$A$4:$A$76,FALSE),0)</f>
        <v>0.18</v>
      </c>
      <c r="AB242" s="16">
        <f t="shared" si="58"/>
        <v>2.833530106257379</v>
      </c>
      <c r="AC242" s="6">
        <f>IF(AB242&lt;LeagueRatings!$K$8,((LeagueRatings!$K$8-AB242)/LeagueRatings!$K$8)*36,(LeagueRatings!$K$8-AB242)/LeagueRatings!$K$11)</f>
        <v>4.1448635023648981</v>
      </c>
      <c r="AD242" s="16">
        <f>INDEX('C-P-RollAdj'!$F$4:$F$76,MATCH(INT(AC242),'C-P-RollAdj'!$E$4:$E$76,FALSE),0)</f>
        <v>-0.28000000000000003</v>
      </c>
      <c r="AE242" s="17">
        <f>+((LeagueRatings!$I$6-E242)*5)+9.5</f>
        <v>13.908051455277404</v>
      </c>
      <c r="AF242" s="17">
        <f t="shared" si="59"/>
        <v>13.908051455277404</v>
      </c>
      <c r="AG242" s="17">
        <f t="shared" si="60"/>
        <v>0.47661882692978569</v>
      </c>
      <c r="AH242" s="4">
        <f t="shared" si="61"/>
        <v>14.284670282207189</v>
      </c>
      <c r="AI242" s="41" t="s">
        <v>421</v>
      </c>
      <c r="AJ242" s="94" t="s">
        <v>21</v>
      </c>
      <c r="AK242" s="219">
        <f>INDEX('C-P-RollAdj'!$J$4:$J$76,MATCH(INT(Z242),'C-P-RollAdj'!$I$4:$I$76,FALSE),0)</f>
        <v>-12</v>
      </c>
      <c r="AL242" s="219">
        <f>INDEX('C-P-RollAdj'!$J$4:$J$76,MATCH(INT(AC242),'C-P-RollAdj'!$I$4:$I$76,FALSE),0)</f>
        <v>14</v>
      </c>
      <c r="AM242" s="14">
        <f>+AR242*LeagueRatings!$K$27</f>
        <v>111.66666666666667</v>
      </c>
      <c r="AN242" s="72">
        <f>F242*LeagueRatings!$K$27</f>
        <v>17.777777777777779</v>
      </c>
      <c r="AO242" s="72">
        <f>G242*LeagueRatings!$K$27</f>
        <v>17.777777777777779</v>
      </c>
      <c r="AP242" s="72">
        <f>T242*LeagueRatings!$K$27</f>
        <v>471.11111111111114</v>
      </c>
      <c r="AQ242" s="76"/>
      <c r="AR242" s="72">
        <f t="shared" si="51"/>
        <v>201</v>
      </c>
      <c r="AV242" s="76"/>
      <c r="AW242" s="144">
        <v>104.33</v>
      </c>
      <c r="AX242"/>
    </row>
    <row r="243" spans="1:50" x14ac:dyDescent="0.2">
      <c r="A243" s="41" t="s">
        <v>642</v>
      </c>
      <c r="B243" s="76" t="s">
        <v>155</v>
      </c>
      <c r="C243" s="76">
        <v>7</v>
      </c>
      <c r="D243" s="76">
        <v>9</v>
      </c>
      <c r="E243" s="97">
        <v>4.95</v>
      </c>
      <c r="F243" s="76">
        <v>22</v>
      </c>
      <c r="G243" s="76">
        <v>20</v>
      </c>
      <c r="H243" s="76">
        <v>0</v>
      </c>
      <c r="I243" s="76">
        <v>0</v>
      </c>
      <c r="J243" s="76">
        <v>0</v>
      </c>
      <c r="K243" s="76">
        <v>0</v>
      </c>
      <c r="L243" s="258">
        <f>INDEX('C-P-RollAdj'!$P$4:$P$900,MATCH((U243),'C-P-RollAdj'!$O$4:$O$900,FALSE),0)</f>
        <v>107.33</v>
      </c>
      <c r="M243" s="76">
        <v>116</v>
      </c>
      <c r="N243" s="76">
        <v>62</v>
      </c>
      <c r="O243" s="76">
        <v>59</v>
      </c>
      <c r="P243" s="76">
        <v>15</v>
      </c>
      <c r="Q243" s="76">
        <v>35</v>
      </c>
      <c r="R243" s="76">
        <v>2</v>
      </c>
      <c r="S243" s="76">
        <v>67</v>
      </c>
      <c r="T243" s="76">
        <v>461</v>
      </c>
      <c r="U243" s="76">
        <v>107.1</v>
      </c>
      <c r="V243" s="100">
        <v>0.27600000000000002</v>
      </c>
      <c r="W243" s="76">
        <v>1.41</v>
      </c>
      <c r="X243" s="50"/>
      <c r="Y243" s="50">
        <f t="shared" si="57"/>
        <v>7.18954248366013</v>
      </c>
      <c r="Z243" s="6">
        <f>IF(Y243&lt;LeagueRatings!$K$10,((LeagueRatings!$K$10-Y243)/LeagueRatings!$K$10)*36,(LeagueRatings!$K$10-Y243)*6.48)</f>
        <v>6.1388201885377649</v>
      </c>
      <c r="AA243" s="16">
        <f>INDEX('C-P-RollAdj'!$B$4:$B$76,MATCH(INT(Z243),'C-P-RollAdj'!$A$4:$A$76,FALSE),0)</f>
        <v>-0.48</v>
      </c>
      <c r="AB243" s="16">
        <f t="shared" si="58"/>
        <v>3.2679738562091507</v>
      </c>
      <c r="AC243" s="6">
        <f>IF(AB243&lt;LeagueRatings!$K$8,((LeagueRatings!$K$8-AB243)/LeagueRatings!$K$8)*36,(LeagueRatings!$K$8-AB243)/LeagueRatings!$K$11)</f>
        <v>-0.52213316718117375</v>
      </c>
      <c r="AD243" s="16">
        <f>INDEX('C-P-RollAdj'!$F$4:$F$76,MATCH(INT(AC243),'C-P-RollAdj'!$E$4:$E$76,FALSE),0)</f>
        <v>0.08</v>
      </c>
      <c r="AE243" s="17">
        <f>+((LeagueRatings!$I$6-E243)*5)+9.5</f>
        <v>5.7580514552774025</v>
      </c>
      <c r="AF243" s="17">
        <f t="shared" si="59"/>
        <v>5.7580514552774025</v>
      </c>
      <c r="AG243" s="17">
        <f t="shared" si="60"/>
        <v>-0.40389453088605198</v>
      </c>
      <c r="AH243" s="4">
        <f t="shared" si="61"/>
        <v>4.9541569243913504</v>
      </c>
      <c r="AI243" s="41" t="s">
        <v>642</v>
      </c>
      <c r="AJ243" s="5" t="s">
        <v>19</v>
      </c>
      <c r="AK243" s="219">
        <f>INDEX('C-P-RollAdj'!$J$4:$J$76,MATCH(INT(Z243),'C-P-RollAdj'!$I$4:$I$76,FALSE),0)</f>
        <v>16</v>
      </c>
      <c r="AL243" s="219">
        <f>INDEX('C-P-RollAdj'!$J$4:$J$76,MATCH(INT(AC243),'C-P-RollAdj'!$I$4:$I$76,FALSE),0)</f>
        <v>-11</v>
      </c>
      <c r="AM243" s="14">
        <f>+AR243*LeagueRatings!$K$27</f>
        <v>60</v>
      </c>
      <c r="AN243" s="72">
        <f>F243*LeagueRatings!$K$27</f>
        <v>12.222222222222223</v>
      </c>
      <c r="AO243" s="72">
        <f>G243*LeagueRatings!$K$27</f>
        <v>11.111111111111111</v>
      </c>
      <c r="AP243" s="72">
        <f>T243*LeagueRatings!$K$27</f>
        <v>256.11111111111114</v>
      </c>
      <c r="AR243" s="72">
        <f t="shared" si="51"/>
        <v>108</v>
      </c>
      <c r="AW243" s="144">
        <v>44.67</v>
      </c>
    </row>
    <row r="244" spans="1:50" x14ac:dyDescent="0.2">
      <c r="A244" s="41" t="s">
        <v>615</v>
      </c>
      <c r="B244" s="76" t="s">
        <v>155</v>
      </c>
      <c r="C244" s="76">
        <v>1</v>
      </c>
      <c r="D244" s="76">
        <v>0</v>
      </c>
      <c r="E244" s="97">
        <v>2.7</v>
      </c>
      <c r="F244" s="76">
        <v>12</v>
      </c>
      <c r="G244" s="76">
        <v>0</v>
      </c>
      <c r="H244" s="76">
        <v>0</v>
      </c>
      <c r="I244" s="76">
        <v>0</v>
      </c>
      <c r="J244" s="76">
        <v>0</v>
      </c>
      <c r="K244" s="76">
        <v>0</v>
      </c>
      <c r="L244" s="258">
        <f>INDEX('C-P-RollAdj'!$P$4:$P$900,MATCH((U244),'C-P-RollAdj'!$O$4:$O$900,FALSE),0)</f>
        <v>13.33</v>
      </c>
      <c r="M244" s="76">
        <v>10</v>
      </c>
      <c r="N244" s="76">
        <v>4</v>
      </c>
      <c r="O244" s="76">
        <v>4</v>
      </c>
      <c r="P244" s="76">
        <v>0</v>
      </c>
      <c r="Q244" s="76">
        <v>7</v>
      </c>
      <c r="R244" s="76">
        <v>0</v>
      </c>
      <c r="S244" s="76">
        <v>7</v>
      </c>
      <c r="T244" s="76">
        <v>51</v>
      </c>
      <c r="U244" s="76">
        <v>13.1</v>
      </c>
      <c r="V244" s="100">
        <v>0.22700000000000001</v>
      </c>
      <c r="W244" s="76">
        <v>1.28</v>
      </c>
      <c r="X244" s="50"/>
      <c r="Y244" s="50">
        <f t="shared" si="57"/>
        <v>13.725490196078432</v>
      </c>
      <c r="Z244" s="6">
        <f>IF(Y244&lt;LeagueRatings!$K$10,((LeagueRatings!$K$10-Y244)/LeagueRatings!$K$10)*36,(LeagueRatings!$K$10-Y244)*6.48)</f>
        <v>-32.775395976394584</v>
      </c>
      <c r="AA244" s="16">
        <f>INDEX('C-P-RollAdj'!$B$4:$B$76,MATCH(INT(Z244),'C-P-RollAdj'!$A$4:$A$76,FALSE),0)</f>
        <v>4.8099999999999996</v>
      </c>
      <c r="AB244" s="16">
        <f t="shared" si="58"/>
        <v>0</v>
      </c>
      <c r="AC244" s="6">
        <f>IF(AB244&lt;LeagueRatings!$K$8,((LeagueRatings!$K$8-AB244)/LeagueRatings!$K$8)*36,(LeagueRatings!$K$8-AB244)/LeagueRatings!$K$11)</f>
        <v>36</v>
      </c>
      <c r="AD244" s="16">
        <f>INDEX('C-P-RollAdj'!$F$4:$F$76,MATCH(INT(AC244),'C-P-RollAdj'!$E$4:$E$76,FALSE),0)</f>
        <v>-3.26</v>
      </c>
      <c r="AE244" s="17">
        <f>+((LeagueRatings!$I$6-E244)*5)+9.5</f>
        <v>17.008051455277403</v>
      </c>
      <c r="AF244" s="17">
        <f t="shared" si="59"/>
        <v>17.008051455277403</v>
      </c>
      <c r="AG244" s="17">
        <f t="shared" si="60"/>
        <v>1.6786871717929486</v>
      </c>
      <c r="AH244" s="4">
        <f t="shared" si="61"/>
        <v>20.236738627070352</v>
      </c>
      <c r="AI244" s="41" t="s">
        <v>615</v>
      </c>
      <c r="AJ244" s="5" t="s">
        <v>72</v>
      </c>
      <c r="AK244" s="219">
        <f>INDEX('C-P-RollAdj'!$J$4:$J$76,MATCH(INT(Z244),'C-P-RollAdj'!$I$4:$I$76,FALSE),0)</f>
        <v>-63</v>
      </c>
      <c r="AL244" s="219">
        <f>INDEX('C-P-RollAdj'!$J$4:$J$76,MATCH(INT(AC244),'C-P-RollAdj'!$I$4:$I$76,FALSE),0)</f>
        <v>66</v>
      </c>
      <c r="AM244" s="14">
        <f>+AR244*LeagueRatings!$K$27</f>
        <v>7.7777777777777786</v>
      </c>
      <c r="AN244" s="72">
        <f>F244*LeagueRatings!$K$27</f>
        <v>6.666666666666667</v>
      </c>
      <c r="AO244" s="72">
        <f>G244*LeagueRatings!$K$27</f>
        <v>0</v>
      </c>
      <c r="AP244" s="72">
        <f>T244*LeagueRatings!$K$27</f>
        <v>28.333333333333336</v>
      </c>
      <c r="AR244" s="72">
        <f t="shared" si="51"/>
        <v>14</v>
      </c>
      <c r="AW244" s="144">
        <v>124.33</v>
      </c>
    </row>
    <row r="245" spans="1:50" x14ac:dyDescent="0.2">
      <c r="A245" s="41" t="s">
        <v>1213</v>
      </c>
      <c r="B245" s="76" t="s">
        <v>155</v>
      </c>
      <c r="C245" s="76">
        <v>5</v>
      </c>
      <c r="D245" s="76">
        <v>1</v>
      </c>
      <c r="E245" s="97">
        <v>6.09</v>
      </c>
      <c r="F245" s="76">
        <v>35</v>
      </c>
      <c r="G245" s="76">
        <v>0</v>
      </c>
      <c r="H245" s="76">
        <v>0</v>
      </c>
      <c r="I245" s="76">
        <v>0</v>
      </c>
      <c r="J245" s="76">
        <v>0</v>
      </c>
      <c r="K245" s="76">
        <v>1</v>
      </c>
      <c r="L245" s="258">
        <f>INDEX('C-P-RollAdj'!$P$4:$P$900,MATCH((U245),'C-P-RollAdj'!$O$4:$O$900,FALSE),0)</f>
        <v>34</v>
      </c>
      <c r="M245" s="76">
        <v>30</v>
      </c>
      <c r="N245" s="76">
        <v>23</v>
      </c>
      <c r="O245" s="76">
        <v>23</v>
      </c>
      <c r="P245" s="76">
        <v>6</v>
      </c>
      <c r="Q245" s="76">
        <v>17</v>
      </c>
      <c r="R245" s="76">
        <v>0</v>
      </c>
      <c r="S245" s="76">
        <v>45</v>
      </c>
      <c r="T245" s="76">
        <v>150</v>
      </c>
      <c r="U245" s="76">
        <v>34</v>
      </c>
      <c r="V245" s="100">
        <v>0.23599999999999999</v>
      </c>
      <c r="W245" s="76">
        <v>1.38</v>
      </c>
      <c r="X245" s="50"/>
      <c r="Y245" s="50">
        <f t="shared" si="57"/>
        <v>11.333333333333332</v>
      </c>
      <c r="Z245" s="6">
        <f>IF(Y245&lt;LeagueRatings!$K$10,((LeagueRatings!$K$10-Y245)/LeagueRatings!$K$10)*36,(LeagueRatings!$K$10-Y245)*6.48)</f>
        <v>-17.274219505806332</v>
      </c>
      <c r="AA245" s="16">
        <f>INDEX('C-P-RollAdj'!$B$4:$B$76,MATCH(INT(Z245),'C-P-RollAdj'!$A$4:$A$76,FALSE),0)</f>
        <v>2.08</v>
      </c>
      <c r="AB245" s="16">
        <f t="shared" si="58"/>
        <v>4</v>
      </c>
      <c r="AC245" s="6">
        <f>IF(AB245&lt;LeagueRatings!$K$8,((LeagueRatings!$K$8-AB245)/LeagueRatings!$K$8)*36,(LeagueRatings!$K$8-AB245)/LeagueRatings!$K$11)</f>
        <v>-6.3347520462205091</v>
      </c>
      <c r="AD245" s="16">
        <f>INDEX('C-P-RollAdj'!$F$4:$F$76,MATCH(INT(AC245),'C-P-RollAdj'!$E$4:$E$76,FALSE),0)</f>
        <v>0.61</v>
      </c>
      <c r="AE245" s="17">
        <f>+((LeagueRatings!$I$6-E245)*5)+9.5</f>
        <v>5.8051455277404074E-2</v>
      </c>
      <c r="AF245" s="17">
        <f t="shared" si="59"/>
        <v>4</v>
      </c>
      <c r="AG245" s="17">
        <f t="shared" si="60"/>
        <v>0.753529411764706</v>
      </c>
      <c r="AH245" s="4">
        <f t="shared" si="61"/>
        <v>7.4435294117647057</v>
      </c>
      <c r="AI245" s="41" t="s">
        <v>1213</v>
      </c>
      <c r="AJ245" s="5" t="s">
        <v>55</v>
      </c>
      <c r="AK245" s="219">
        <f>INDEX('C-P-RollAdj'!$J$4:$J$76,MATCH(INT(Z245),'C-P-RollAdj'!$I$4:$I$76,FALSE),0)</f>
        <v>-36</v>
      </c>
      <c r="AL245" s="219">
        <f>INDEX('C-P-RollAdj'!$J$4:$J$76,MATCH(INT(AC245),'C-P-RollAdj'!$I$4:$I$76,FALSE),0)</f>
        <v>-21</v>
      </c>
      <c r="AM245" s="14">
        <f>+AR245*LeagueRatings!$K$27</f>
        <v>18.888888888888889</v>
      </c>
      <c r="AN245" s="72">
        <f>F245*LeagueRatings!$K$27</f>
        <v>19.444444444444446</v>
      </c>
      <c r="AO245" s="72">
        <f>G245*LeagueRatings!$K$27</f>
        <v>0</v>
      </c>
      <c r="AP245" s="72">
        <f>T245*LeagueRatings!$K$27</f>
        <v>83.333333333333343</v>
      </c>
      <c r="AR245" s="72">
        <f t="shared" si="51"/>
        <v>34</v>
      </c>
      <c r="AW245" s="144">
        <v>62.33</v>
      </c>
    </row>
    <row r="246" spans="1:50" x14ac:dyDescent="0.2">
      <c r="A246" s="41" t="s">
        <v>827</v>
      </c>
      <c r="B246" s="76" t="s">
        <v>155</v>
      </c>
      <c r="C246" s="76">
        <v>6</v>
      </c>
      <c r="D246" s="76">
        <v>5</v>
      </c>
      <c r="E246" s="97">
        <v>3.71</v>
      </c>
      <c r="F246" s="76">
        <v>19</v>
      </c>
      <c r="G246" s="76">
        <v>19</v>
      </c>
      <c r="H246" s="76">
        <v>1</v>
      </c>
      <c r="I246" s="76">
        <v>0</v>
      </c>
      <c r="J246" s="76">
        <v>0</v>
      </c>
      <c r="K246" s="76">
        <v>0</v>
      </c>
      <c r="L246" s="258">
        <f>INDEX('C-P-RollAdj'!$P$4:$P$900,MATCH((U246),'C-P-RollAdj'!$O$4:$O$900,FALSE),0)</f>
        <v>116.33</v>
      </c>
      <c r="M246" s="76">
        <v>103</v>
      </c>
      <c r="N246" s="76">
        <v>53</v>
      </c>
      <c r="O246" s="76">
        <v>48</v>
      </c>
      <c r="P246" s="76">
        <v>19</v>
      </c>
      <c r="Q246" s="76">
        <v>28</v>
      </c>
      <c r="R246" s="76">
        <v>0</v>
      </c>
      <c r="S246" s="76">
        <v>73</v>
      </c>
      <c r="T246" s="76">
        <v>472</v>
      </c>
      <c r="U246" s="76">
        <v>116.1</v>
      </c>
      <c r="V246" s="100">
        <v>0.23599999999999999</v>
      </c>
      <c r="W246" s="76">
        <v>1.1299999999999999</v>
      </c>
      <c r="X246" s="50"/>
      <c r="Y246" s="50">
        <f t="shared" si="57"/>
        <v>5.9322033898305087</v>
      </c>
      <c r="Z246" s="6">
        <f>IF(Y246&lt;LeagueRatings!$K$10,((LeagueRatings!$K$10-Y246)/LeagueRatings!$K$10)*36,(LeagueRatings!$K$10-Y246)*6.48)</f>
        <v>11.361075825827383</v>
      </c>
      <c r="AA246" s="16">
        <f>INDEX('C-P-RollAdj'!$B$4:$B$76,MATCH(INT(Z246),'C-P-RollAdj'!$A$4:$A$76,FALSE),0)</f>
        <v>-0.92</v>
      </c>
      <c r="AB246" s="16">
        <f t="shared" si="58"/>
        <v>4.0254237288135588</v>
      </c>
      <c r="AC246" s="6">
        <f>IF(AB246&lt;LeagueRatings!$K$8,((LeagueRatings!$K$8-AB246)/LeagueRatings!$K$8)*36,(LeagueRatings!$K$8-AB246)/LeagueRatings!$K$11)</f>
        <v>-6.5366279591653491</v>
      </c>
      <c r="AD246" s="16">
        <f>INDEX('C-P-RollAdj'!$F$4:$F$76,MATCH(INT(AC246),'C-P-RollAdj'!$E$4:$E$76,FALSE),0)</f>
        <v>0.61</v>
      </c>
      <c r="AE246" s="17">
        <f>+((LeagueRatings!$I$6-E246)*5)+9.5</f>
        <v>11.958051455277403</v>
      </c>
      <c r="AF246" s="17">
        <f t="shared" si="59"/>
        <v>11.958051455277403</v>
      </c>
      <c r="AG246" s="17">
        <f t="shared" si="60"/>
        <v>0.73211467377288741</v>
      </c>
      <c r="AH246" s="4">
        <f t="shared" si="61"/>
        <v>12.38016612905029</v>
      </c>
      <c r="AI246" s="41" t="s">
        <v>827</v>
      </c>
      <c r="AJ246" s="5" t="s">
        <v>16</v>
      </c>
      <c r="AK246" s="219">
        <f>INDEX('C-P-RollAdj'!$J$4:$J$76,MATCH(INT(Z246),'C-P-RollAdj'!$I$4:$I$76,FALSE),0)</f>
        <v>25</v>
      </c>
      <c r="AL246" s="219">
        <f>INDEX('C-P-RollAdj'!$J$4:$J$76,MATCH(INT(AC246),'C-P-RollAdj'!$I$4:$I$76,FALSE),0)</f>
        <v>-21</v>
      </c>
      <c r="AM246" s="14">
        <f>+AR246*LeagueRatings!$K$27</f>
        <v>65</v>
      </c>
      <c r="AN246" s="72">
        <f>F246*LeagueRatings!$K$27</f>
        <v>10.555555555555555</v>
      </c>
      <c r="AO246" s="72">
        <f>G246*LeagueRatings!$K$27</f>
        <v>10.555555555555555</v>
      </c>
      <c r="AP246" s="72">
        <f>T246*LeagueRatings!$K$27</f>
        <v>262.22222222222223</v>
      </c>
      <c r="AR246" s="72">
        <f t="shared" si="51"/>
        <v>117</v>
      </c>
      <c r="AW246" s="144">
        <v>76.67</v>
      </c>
    </row>
    <row r="247" spans="1:50" customFormat="1" ht="12.75" customHeight="1" x14ac:dyDescent="0.2">
      <c r="A247" s="41" t="s">
        <v>643</v>
      </c>
      <c r="B247" s="76" t="s">
        <v>155</v>
      </c>
      <c r="C247" s="76">
        <v>10</v>
      </c>
      <c r="D247" s="76">
        <v>11</v>
      </c>
      <c r="E247" s="97">
        <v>4.3899999999999997</v>
      </c>
      <c r="F247" s="76">
        <v>33</v>
      </c>
      <c r="G247" s="76">
        <v>33</v>
      </c>
      <c r="H247" s="76">
        <v>0</v>
      </c>
      <c r="I247" s="76">
        <v>0</v>
      </c>
      <c r="J247" s="76">
        <v>0</v>
      </c>
      <c r="K247" s="76">
        <v>0</v>
      </c>
      <c r="L247" s="258">
        <f>INDEX('C-P-RollAdj'!$P$4:$P$900,MATCH((U247),'C-P-RollAdj'!$O$4:$O$900,FALSE),0)</f>
        <v>198.67000000000002</v>
      </c>
      <c r="M247" s="76">
        <v>205</v>
      </c>
      <c r="N247" s="76">
        <v>110</v>
      </c>
      <c r="O247" s="76">
        <v>97</v>
      </c>
      <c r="P247" s="76">
        <v>18</v>
      </c>
      <c r="Q247" s="76">
        <v>76</v>
      </c>
      <c r="R247" s="76">
        <v>0</v>
      </c>
      <c r="S247" s="76">
        <v>103</v>
      </c>
      <c r="T247" s="76">
        <v>855</v>
      </c>
      <c r="U247" s="76">
        <v>198.2</v>
      </c>
      <c r="V247" s="100">
        <v>0.27</v>
      </c>
      <c r="W247" s="76">
        <v>1.41</v>
      </c>
      <c r="X247" s="50"/>
      <c r="Y247" s="50">
        <f t="shared" si="57"/>
        <v>8.8888888888888893</v>
      </c>
      <c r="Z247" s="6">
        <f>IF(Y247&lt;LeagueRatings!$K$10,((LeagueRatings!$K$10-Y247)/LeagueRatings!$K$10)*36,(LeagueRatings!$K$10-Y247)*6.48)</f>
        <v>-1.4342195058063421</v>
      </c>
      <c r="AA247" s="16">
        <f>INDEX('C-P-RollAdj'!$B$4:$B$76,MATCH(INT(Z247),'C-P-RollAdj'!$A$4:$A$76,FALSE),0)</f>
        <v>0.18</v>
      </c>
      <c r="AB247" s="16">
        <f>(P247/(T247-R247))*100</f>
        <v>2.1052631578947367</v>
      </c>
      <c r="AC247" s="6">
        <f>IF(AB247&lt;LeagueRatings!$K$8,((LeagueRatings!$K$8-AB247)/LeagueRatings!$K$8)*36,(LeagueRatings!$K$8-AB247)/LeagueRatings!$K$11)</f>
        <v>12.332192444300938</v>
      </c>
      <c r="AD247" s="16">
        <f>INDEX('C-P-RollAdj'!$F$4:$F$76,MATCH(INT(AC247),'C-P-RollAdj'!$E$4:$E$76,FALSE),0)</f>
        <v>-0.89</v>
      </c>
      <c r="AE247" s="17">
        <f>+((LeagueRatings!$I$6-E247)*5)+9.5</f>
        <v>8.5580514552774041</v>
      </c>
      <c r="AF247" s="17">
        <f>IF(AE247&lt;4,4,AE247)</f>
        <v>8.5580514552774041</v>
      </c>
      <c r="AG247" s="17">
        <f>IF(M247&lt;L247,((1-(M247/L247))*7)-0.07,(1-(M247/L247))*5)</f>
        <v>-0.15930940756027523</v>
      </c>
      <c r="AH247" s="4">
        <f>+AA247+AD247+AF247+AG247</f>
        <v>7.6887420477171293</v>
      </c>
      <c r="AI247" s="41" t="s">
        <v>643</v>
      </c>
      <c r="AJ247" s="94" t="s">
        <v>55</v>
      </c>
      <c r="AK247" s="219">
        <f>INDEX('C-P-RollAdj'!$J$4:$J$76,MATCH(INT(Z247),'C-P-RollAdj'!$I$4:$I$76,FALSE),0)</f>
        <v>-12</v>
      </c>
      <c r="AL247" s="219">
        <f>INDEX('C-P-RollAdj'!$J$4:$J$76,MATCH(INT(AC247),'C-P-RollAdj'!$I$4:$I$76,FALSE),0)</f>
        <v>26</v>
      </c>
      <c r="AM247" s="14">
        <f>+AR247*LeagueRatings!$K$27</f>
        <v>110.55555555555556</v>
      </c>
      <c r="AN247" s="72">
        <f>F247*LeagueRatings!$K$27</f>
        <v>18.333333333333336</v>
      </c>
      <c r="AO247" s="72">
        <f>G247*LeagueRatings!$K$27</f>
        <v>18.333333333333336</v>
      </c>
      <c r="AP247" s="72">
        <f>T247*LeagueRatings!$K$27</f>
        <v>475</v>
      </c>
      <c r="AQ247" s="76"/>
      <c r="AR247" s="72">
        <f>ROUNDUP(L247,0)</f>
        <v>199</v>
      </c>
      <c r="AS247" s="113"/>
      <c r="AT247" s="113"/>
      <c r="AU247" s="113"/>
      <c r="AV247" s="76"/>
      <c r="AW247" s="144">
        <v>23.67</v>
      </c>
    </row>
    <row r="248" spans="1:50" customFormat="1" ht="12.75" customHeight="1" x14ac:dyDescent="0.2">
      <c r="A248" s="41" t="s">
        <v>384</v>
      </c>
      <c r="B248" s="76" t="s">
        <v>155</v>
      </c>
      <c r="C248" s="76">
        <v>2</v>
      </c>
      <c r="D248" s="76">
        <v>2</v>
      </c>
      <c r="E248" s="97">
        <v>7.68</v>
      </c>
      <c r="F248" s="76">
        <v>37</v>
      </c>
      <c r="G248" s="76">
        <v>0</v>
      </c>
      <c r="H248" s="76">
        <v>0</v>
      </c>
      <c r="I248" s="76">
        <v>0</v>
      </c>
      <c r="J248" s="76">
        <v>11</v>
      </c>
      <c r="K248" s="76">
        <v>15</v>
      </c>
      <c r="L248" s="258">
        <f>INDEX('C-P-RollAdj'!$P$4:$P$900,MATCH((U248),'C-P-RollAdj'!$O$4:$O$900,FALSE),0)</f>
        <v>36.33</v>
      </c>
      <c r="M248" s="76">
        <v>53</v>
      </c>
      <c r="N248" s="76">
        <v>32</v>
      </c>
      <c r="O248" s="76">
        <v>31</v>
      </c>
      <c r="P248" s="76">
        <v>8</v>
      </c>
      <c r="Q248" s="76">
        <v>10</v>
      </c>
      <c r="R248" s="76">
        <v>2</v>
      </c>
      <c r="S248" s="76">
        <v>29</v>
      </c>
      <c r="T248" s="76">
        <v>168</v>
      </c>
      <c r="U248" s="76">
        <v>36.1</v>
      </c>
      <c r="V248" s="100">
        <v>0.33800000000000002</v>
      </c>
      <c r="W248" s="76">
        <v>1.73</v>
      </c>
      <c r="X248" s="50"/>
      <c r="Y248" s="50">
        <f t="shared" si="57"/>
        <v>4.8192771084337354</v>
      </c>
      <c r="Z248" s="6">
        <f>IF(Y248&lt;LeagueRatings!$K$10,((LeagueRatings!$K$10-Y248)/LeagueRatings!$K$10)*36,(LeagueRatings!$K$10-Y248)*6.48)</f>
        <v>15.983524595164411</v>
      </c>
      <c r="AA248" s="16">
        <f>INDEX('C-P-RollAdj'!$B$4:$B$76,MATCH(INT(Z248),'C-P-RollAdj'!$A$4:$A$76,FALSE),0)</f>
        <v>-1.29</v>
      </c>
      <c r="AB248" s="16">
        <f t="shared" si="58"/>
        <v>4.8192771084337354</v>
      </c>
      <c r="AC248" s="6">
        <f>IF(AB248&lt;LeagueRatings!$K$8,((LeagueRatings!$K$8-AB248)/LeagueRatings!$K$8)*36,(LeagueRatings!$K$8-AB248)/LeagueRatings!$K$11)</f>
        <v>-12.840183072202148</v>
      </c>
      <c r="AD248" s="16">
        <f>INDEX('C-P-RollAdj'!$F$4:$F$76,MATCH(INT(AC248),'C-P-RollAdj'!$E$4:$E$76,FALSE),0)</f>
        <v>1.2599999999999998</v>
      </c>
      <c r="AE248" s="17">
        <f>+((LeagueRatings!$I$6-E248)*5)+9.5</f>
        <v>-7.8919485447225952</v>
      </c>
      <c r="AF248" s="17">
        <f t="shared" si="59"/>
        <v>4</v>
      </c>
      <c r="AG248" s="17">
        <f t="shared" si="60"/>
        <v>-2.294247178640243</v>
      </c>
      <c r="AH248" s="4">
        <f t="shared" si="61"/>
        <v>1.6757528213597568</v>
      </c>
      <c r="AI248" s="41" t="s">
        <v>384</v>
      </c>
      <c r="AJ248" s="94" t="s">
        <v>50</v>
      </c>
      <c r="AK248" s="219">
        <f>INDEX('C-P-RollAdj'!$J$4:$J$76,MATCH(INT(Z248),'C-P-RollAdj'!$I$4:$I$76,FALSE),0)</f>
        <v>33</v>
      </c>
      <c r="AL248" s="219">
        <f>INDEX('C-P-RollAdj'!$J$4:$J$76,MATCH(INT(AC248),'C-P-RollAdj'!$I$4:$I$76,FALSE),0)</f>
        <v>-31</v>
      </c>
      <c r="AM248" s="14">
        <f>+AR248*LeagueRatings!$K$27</f>
        <v>20.555555555555557</v>
      </c>
      <c r="AN248" s="72">
        <f>F248*LeagueRatings!$K$27</f>
        <v>20.555555555555557</v>
      </c>
      <c r="AO248" s="72">
        <f>G248*LeagueRatings!$K$27</f>
        <v>0</v>
      </c>
      <c r="AP248" s="72">
        <f>T248*LeagueRatings!$K$27</f>
        <v>93.333333333333343</v>
      </c>
      <c r="AQ248" s="76"/>
      <c r="AR248" s="72">
        <f t="shared" si="51"/>
        <v>37</v>
      </c>
      <c r="AS248" s="113"/>
      <c r="AT248" s="113"/>
      <c r="AU248" s="113"/>
      <c r="AV248" s="76"/>
      <c r="AW248" s="144">
        <v>23.67</v>
      </c>
    </row>
    <row r="249" spans="1:50" customFormat="1" ht="12.75" customHeight="1" x14ac:dyDescent="0.2">
      <c r="A249" s="107"/>
      <c r="D249" s="3"/>
      <c r="E249" s="3"/>
      <c r="G249" s="62"/>
      <c r="H249" s="176"/>
      <c r="I249" s="176"/>
      <c r="J249" s="62"/>
      <c r="K249" s="3"/>
      <c r="L249" s="111"/>
      <c r="R249" s="62"/>
      <c r="S249" s="2"/>
      <c r="V249" s="2"/>
      <c r="X249" s="50"/>
      <c r="Y249" s="50"/>
      <c r="Z249" s="6"/>
      <c r="AA249" s="16"/>
      <c r="AB249" s="16"/>
      <c r="AC249" s="6"/>
      <c r="AD249" s="16"/>
      <c r="AE249" s="17"/>
      <c r="AF249" s="17"/>
      <c r="AG249" s="17"/>
      <c r="AH249" s="4"/>
      <c r="AI249" s="107"/>
      <c r="AJ249" s="5"/>
      <c r="AK249" s="5"/>
      <c r="AL249" s="5"/>
      <c r="AM249" s="14"/>
      <c r="AN249" s="72"/>
      <c r="AO249" s="72"/>
      <c r="AP249" s="72"/>
      <c r="AQ249" s="24"/>
      <c r="AR249" s="72"/>
      <c r="AS249" s="113"/>
      <c r="AT249" s="113"/>
      <c r="AU249" s="113"/>
      <c r="AV249" s="24"/>
      <c r="AW249" s="111"/>
      <c r="AX249" s="24"/>
    </row>
    <row r="250" spans="1:50" x14ac:dyDescent="0.2">
      <c r="A250" s="69" t="s">
        <v>106</v>
      </c>
      <c r="B250" s="70" t="s">
        <v>157</v>
      </c>
      <c r="C250" s="71" t="s">
        <v>85</v>
      </c>
      <c r="D250" s="70" t="s">
        <v>86</v>
      </c>
      <c r="E250" s="71" t="s">
        <v>87</v>
      </c>
      <c r="F250" s="70" t="s">
        <v>108</v>
      </c>
      <c r="G250" s="70" t="s">
        <v>88</v>
      </c>
      <c r="H250" s="182" t="s">
        <v>89</v>
      </c>
      <c r="I250" s="178" t="s">
        <v>317</v>
      </c>
      <c r="J250" s="72" t="s">
        <v>90</v>
      </c>
      <c r="K250" s="72" t="s">
        <v>158</v>
      </c>
      <c r="L250" s="71" t="s">
        <v>91</v>
      </c>
      <c r="M250" s="70" t="s">
        <v>92</v>
      </c>
      <c r="N250" s="70" t="s">
        <v>93</v>
      </c>
      <c r="O250" s="70" t="s">
        <v>94</v>
      </c>
      <c r="P250" s="70" t="s">
        <v>95</v>
      </c>
      <c r="Q250" s="70" t="s">
        <v>96</v>
      </c>
      <c r="R250" s="70" t="s">
        <v>98</v>
      </c>
      <c r="S250" s="70" t="s">
        <v>97</v>
      </c>
      <c r="T250" s="70" t="s">
        <v>109</v>
      </c>
      <c r="U250" s="155" t="s">
        <v>91</v>
      </c>
      <c r="V250" s="250" t="s">
        <v>1517</v>
      </c>
      <c r="W250" s="155" t="s">
        <v>1072</v>
      </c>
      <c r="X250" s="117"/>
      <c r="Y250" s="117" t="s">
        <v>2</v>
      </c>
      <c r="Z250" s="116" t="s">
        <v>3</v>
      </c>
      <c r="AA250" s="117" t="s">
        <v>4</v>
      </c>
      <c r="AB250" s="118" t="s">
        <v>5</v>
      </c>
      <c r="AC250" s="116" t="s">
        <v>6</v>
      </c>
      <c r="AD250" s="117" t="s">
        <v>7</v>
      </c>
      <c r="AE250" s="119" t="s">
        <v>8</v>
      </c>
      <c r="AF250" s="119" t="s">
        <v>81</v>
      </c>
      <c r="AG250" s="119" t="s">
        <v>9</v>
      </c>
      <c r="AH250" s="128" t="s">
        <v>10</v>
      </c>
      <c r="AI250" s="69" t="s">
        <v>106</v>
      </c>
      <c r="AJ250" s="7" t="s">
        <v>11</v>
      </c>
      <c r="AK250" s="7" t="s">
        <v>12</v>
      </c>
      <c r="AL250" s="7" t="s">
        <v>13</v>
      </c>
      <c r="AM250" s="14"/>
      <c r="AN250" s="72"/>
      <c r="AO250" s="72"/>
      <c r="AP250" s="72"/>
      <c r="AQ250" s="122"/>
      <c r="AR250" s="72"/>
      <c r="AS250" s="114"/>
      <c r="AT250" s="114"/>
      <c r="AU250" s="114"/>
      <c r="AV250" s="122"/>
      <c r="AW250" s="71" t="s">
        <v>91</v>
      </c>
      <c r="AX250" s="122"/>
    </row>
    <row r="251" spans="1:50" x14ac:dyDescent="0.2">
      <c r="A251" s="69"/>
      <c r="B251" s="18"/>
      <c r="C251" s="103"/>
      <c r="D251" s="18"/>
      <c r="E251" s="103"/>
      <c r="F251" s="18"/>
      <c r="G251" s="18"/>
      <c r="H251" s="143"/>
      <c r="I251" s="175"/>
      <c r="J251" s="14"/>
      <c r="K251" s="14"/>
      <c r="L251" s="103"/>
      <c r="M251" s="18"/>
      <c r="N251" s="18"/>
      <c r="O251" s="18"/>
      <c r="P251" s="18"/>
      <c r="Q251" s="30"/>
      <c r="R251" s="18"/>
      <c r="S251" s="18"/>
      <c r="T251" s="18"/>
      <c r="U251" s="18"/>
      <c r="X251" s="50"/>
      <c r="Y251" s="50"/>
      <c r="Z251" s="6"/>
      <c r="AB251" s="16"/>
      <c r="AC251" s="6"/>
      <c r="AE251" s="17"/>
      <c r="AF251" s="17"/>
      <c r="AG251" s="17"/>
      <c r="AH251" s="4"/>
      <c r="AI251" s="69"/>
      <c r="AJ251" s="7"/>
      <c r="AK251" s="7"/>
      <c r="AL251" s="7"/>
      <c r="AM251" s="14"/>
      <c r="AN251" s="72"/>
      <c r="AO251" s="72"/>
      <c r="AP251" s="72"/>
      <c r="AQ251" s="30"/>
      <c r="AR251" s="72"/>
      <c r="AV251" s="30"/>
      <c r="AW251" s="103"/>
      <c r="AX251" s="30"/>
    </row>
    <row r="252" spans="1:50" x14ac:dyDescent="0.2">
      <c r="A252" s="41" t="s">
        <v>535</v>
      </c>
      <c r="B252" s="76" t="s">
        <v>156</v>
      </c>
      <c r="C252" s="76">
        <v>2</v>
      </c>
      <c r="D252" s="76">
        <v>0</v>
      </c>
      <c r="E252" s="97">
        <v>0.38</v>
      </c>
      <c r="F252" s="76">
        <v>25</v>
      </c>
      <c r="G252" s="76">
        <v>0</v>
      </c>
      <c r="H252" s="76">
        <v>0</v>
      </c>
      <c r="I252" s="76">
        <v>0</v>
      </c>
      <c r="J252" s="76">
        <v>1</v>
      </c>
      <c r="K252" s="76">
        <v>3</v>
      </c>
      <c r="L252" s="258">
        <f>INDEX('C-P-RollAdj'!$P$4:$P$900,MATCH((U252),'C-P-RollAdj'!$O$4:$O$900,FALSE),0)</f>
        <v>23.67</v>
      </c>
      <c r="M252" s="76">
        <v>17</v>
      </c>
      <c r="N252" s="76">
        <v>1</v>
      </c>
      <c r="O252" s="76">
        <v>1</v>
      </c>
      <c r="P252" s="76">
        <v>1</v>
      </c>
      <c r="Q252" s="76">
        <v>9</v>
      </c>
      <c r="R252" s="76">
        <v>0</v>
      </c>
      <c r="S252" s="76">
        <v>24</v>
      </c>
      <c r="T252" s="76">
        <v>93</v>
      </c>
      <c r="U252" s="76">
        <v>23.2</v>
      </c>
      <c r="V252" s="100">
        <v>0.20499999999999999</v>
      </c>
      <c r="W252" s="76">
        <v>1.1000000000000001</v>
      </c>
      <c r="X252" s="50"/>
      <c r="Y252" s="50">
        <f t="shared" ref="Y252:Y266" si="62">+(Q252-R252)/(T252-R252)*100</f>
        <v>9.67741935483871</v>
      </c>
      <c r="Z252" s="6">
        <f>IF(Y252&lt;LeagueRatings!$K$10,((LeagueRatings!$K$10-Y252)/LeagueRatings!$K$10)*36,(LeagueRatings!$K$10-Y252)*6.48)</f>
        <v>-6.5438969251611807</v>
      </c>
      <c r="AA252" s="16">
        <f>INDEX('C-P-RollAdj'!$B$4:$B$76,MATCH(INT(Z252),'C-P-RollAdj'!$A$4:$A$76,FALSE),0)</f>
        <v>0.65</v>
      </c>
      <c r="AB252" s="16">
        <f t="shared" ref="AB252:AB266" si="63">(P252/(T252-R252))*100</f>
        <v>1.0752688172043012</v>
      </c>
      <c r="AC252" s="6">
        <f>IF(AB252&lt;LeagueRatings!$K$8,((LeagueRatings!$K$8-AB252)/LeagueRatings!$K$8)*36,(LeagueRatings!$K$8-AB252)/LeagueRatings!$K$11)</f>
        <v>23.911603667788114</v>
      </c>
      <c r="AD252" s="16">
        <f>INDEX('C-P-RollAdj'!$F$4:$F$76,MATCH(INT(AC252),'C-P-RollAdj'!$E$4:$E$76,FALSE),0)</f>
        <v>-1.88</v>
      </c>
      <c r="AE252" s="17">
        <f>+((LeagueRatings!$I$6-E252)*5)+9.5</f>
        <v>28.608051455277405</v>
      </c>
      <c r="AF252" s="17">
        <f t="shared" ref="AF252:AF266" si="64">IF(AE252&lt;4,4,AE252)</f>
        <v>28.608051455277405</v>
      </c>
      <c r="AG252" s="17">
        <f t="shared" ref="AG252:AG266" si="65">IF(M252&lt;L252,((1-(M252/L252))*7)-0.07,(1-(M252/L252))*5)</f>
        <v>1.9025390790029573</v>
      </c>
      <c r="AH252" s="4">
        <f t="shared" ref="AH252:AH266" si="66">+AA252+AD252+AF252+AG252</f>
        <v>29.280590534280361</v>
      </c>
      <c r="AI252" s="41" t="s">
        <v>535</v>
      </c>
      <c r="AJ252" s="94" t="s">
        <v>1519</v>
      </c>
      <c r="AK252" s="219">
        <f>INDEX('C-P-RollAdj'!$J$4:$J$76,MATCH(INT(Z252),'C-P-RollAdj'!$I$4:$I$76,FALSE),0)</f>
        <v>-21</v>
      </c>
      <c r="AL252" s="219">
        <f>INDEX('C-P-RollAdj'!$J$4:$J$76,MATCH(INT(AC252),'C-P-RollAdj'!$I$4:$I$76,FALSE),0)</f>
        <v>45</v>
      </c>
      <c r="AM252" s="14">
        <f>+AR252*LeagueRatings!$K$27</f>
        <v>13.333333333333334</v>
      </c>
      <c r="AN252" s="72">
        <f>F252*LeagueRatings!$K$27</f>
        <v>13.888888888888889</v>
      </c>
      <c r="AO252" s="72">
        <f>G252*LeagueRatings!$K$27</f>
        <v>0</v>
      </c>
      <c r="AP252" s="72">
        <f>T252*LeagueRatings!$K$27</f>
        <v>51.666666666666671</v>
      </c>
      <c r="AQ252" s="76"/>
      <c r="AR252" s="72">
        <f t="shared" si="51"/>
        <v>24</v>
      </c>
      <c r="AV252" s="76"/>
      <c r="AW252" s="144">
        <v>203.67</v>
      </c>
      <c r="AX252" s="23"/>
    </row>
    <row r="253" spans="1:50" s="28" customFormat="1" x14ac:dyDescent="0.2">
      <c r="A253" s="41" t="s">
        <v>1399</v>
      </c>
      <c r="B253" s="76" t="s">
        <v>156</v>
      </c>
      <c r="C253" s="76">
        <v>4</v>
      </c>
      <c r="D253" s="76">
        <v>3</v>
      </c>
      <c r="E253" s="97">
        <v>3.06</v>
      </c>
      <c r="F253" s="76">
        <v>60</v>
      </c>
      <c r="G253" s="76">
        <v>0</v>
      </c>
      <c r="H253" s="76">
        <v>0</v>
      </c>
      <c r="I253" s="76">
        <v>0</v>
      </c>
      <c r="J253" s="76">
        <v>1</v>
      </c>
      <c r="K253" s="76">
        <v>3</v>
      </c>
      <c r="L253" s="258">
        <f>INDEX('C-P-RollAdj'!$P$4:$P$900,MATCH((U253),'C-P-RollAdj'!$O$4:$O$900,FALSE),0)</f>
        <v>67.67</v>
      </c>
      <c r="M253" s="76">
        <v>69</v>
      </c>
      <c r="N253" s="76">
        <v>28</v>
      </c>
      <c r="O253" s="76">
        <v>23</v>
      </c>
      <c r="P253" s="76">
        <v>3</v>
      </c>
      <c r="Q253" s="76">
        <v>19</v>
      </c>
      <c r="R253" s="76">
        <v>1</v>
      </c>
      <c r="S253" s="76">
        <v>62</v>
      </c>
      <c r="T253" s="76">
        <v>295</v>
      </c>
      <c r="U253" s="76">
        <v>67.2</v>
      </c>
      <c r="V253" s="100">
        <v>0.25900000000000001</v>
      </c>
      <c r="W253" s="76">
        <v>1.3</v>
      </c>
      <c r="X253" s="50"/>
      <c r="Y253" s="50">
        <f t="shared" si="62"/>
        <v>6.1224489795918364</v>
      </c>
      <c r="Z253" s="6">
        <f>IF(Y253&lt;LeagueRatings!$K$10,((LeagueRatings!$K$10-Y253)/LeagueRatings!$K$10)*36,(LeagueRatings!$K$10-Y253)*6.48)</f>
        <v>10.57090624589765</v>
      </c>
      <c r="AA253" s="16">
        <f>INDEX('C-P-RollAdj'!$B$4:$B$76,MATCH(INT(Z253),'C-P-RollAdj'!$A$4:$A$76,FALSE),0)</f>
        <v>-0.83000000000000007</v>
      </c>
      <c r="AB253" s="16">
        <f t="shared" si="63"/>
        <v>1.0204081632653061</v>
      </c>
      <c r="AC253" s="6">
        <f>IF(AB253&lt;LeagueRatings!$K$8,((LeagueRatings!$K$8-AB253)/LeagueRatings!$K$8)*36,(LeagueRatings!$K$8-AB253)/LeagueRatings!$K$11)</f>
        <v>24.528358582696885</v>
      </c>
      <c r="AD253" s="16">
        <f>INDEX('C-P-RollAdj'!$F$4:$F$76,MATCH(INT(AC253),'C-P-RollAdj'!$E$4:$E$76,FALSE),0)</f>
        <v>-1.98</v>
      </c>
      <c r="AE253" s="17">
        <f>+((LeagueRatings!$I$6-E253)*5)+9.5</f>
        <v>15.208051455277403</v>
      </c>
      <c r="AF253" s="17">
        <f t="shared" si="64"/>
        <v>15.208051455277403</v>
      </c>
      <c r="AG253" s="17">
        <f t="shared" si="65"/>
        <v>-9.8271021131963732E-2</v>
      </c>
      <c r="AH253" s="4">
        <f t="shared" si="66"/>
        <v>12.299780434145438</v>
      </c>
      <c r="AI253" s="41" t="s">
        <v>1399</v>
      </c>
      <c r="AJ253" s="5" t="s">
        <v>16</v>
      </c>
      <c r="AK253" s="219">
        <f>INDEX('C-P-RollAdj'!$J$4:$J$76,MATCH(INT(Z253),'C-P-RollAdj'!$I$4:$I$76,FALSE),0)</f>
        <v>24</v>
      </c>
      <c r="AL253" s="219">
        <f>INDEX('C-P-RollAdj'!$J$4:$J$76,MATCH(INT(AC253),'C-P-RollAdj'!$I$4:$I$76,FALSE),0)</f>
        <v>46</v>
      </c>
      <c r="AM253" s="14">
        <f>+AR253*LeagueRatings!$K$27</f>
        <v>37.777777777777779</v>
      </c>
      <c r="AN253" s="72">
        <f>F253*LeagueRatings!$K$27</f>
        <v>33.333333333333336</v>
      </c>
      <c r="AO253" s="72">
        <f>G253*LeagueRatings!$K$27</f>
        <v>0</v>
      </c>
      <c r="AP253" s="72">
        <f>T253*LeagueRatings!$K$27</f>
        <v>163.88888888888889</v>
      </c>
      <c r="AQ253" s="24"/>
      <c r="AR253" s="72">
        <f t="shared" si="51"/>
        <v>68</v>
      </c>
      <c r="AS253" s="113"/>
      <c r="AT253" s="113"/>
      <c r="AU253" s="113"/>
      <c r="AV253" s="24"/>
      <c r="AW253" s="144">
        <v>60.67</v>
      </c>
      <c r="AX253" s="24"/>
    </row>
    <row r="254" spans="1:50" x14ac:dyDescent="0.2">
      <c r="A254" s="41" t="s">
        <v>618</v>
      </c>
      <c r="B254" s="76" t="s">
        <v>156</v>
      </c>
      <c r="C254" s="76">
        <v>1</v>
      </c>
      <c r="D254" s="76">
        <v>7</v>
      </c>
      <c r="E254" s="97">
        <v>3.93</v>
      </c>
      <c r="F254" s="76">
        <v>54</v>
      </c>
      <c r="G254" s="76">
        <v>0</v>
      </c>
      <c r="H254" s="76">
        <v>0</v>
      </c>
      <c r="I254" s="76">
        <v>0</v>
      </c>
      <c r="J254" s="76">
        <v>0</v>
      </c>
      <c r="K254" s="76">
        <v>4</v>
      </c>
      <c r="L254" s="258">
        <f>INDEX('C-P-RollAdj'!$P$4:$P$900,MATCH((U254),'C-P-RollAdj'!$O$4:$O$900,FALSE),0)</f>
        <v>36.67</v>
      </c>
      <c r="M254" s="76">
        <v>39</v>
      </c>
      <c r="N254" s="76">
        <v>17</v>
      </c>
      <c r="O254" s="76">
        <v>16</v>
      </c>
      <c r="P254" s="76">
        <v>6</v>
      </c>
      <c r="Q254" s="76">
        <v>8</v>
      </c>
      <c r="R254" s="76">
        <v>0</v>
      </c>
      <c r="S254" s="76">
        <v>45</v>
      </c>
      <c r="T254" s="76">
        <v>157</v>
      </c>
      <c r="U254" s="76">
        <v>36.200000000000003</v>
      </c>
      <c r="V254" s="100">
        <v>0.26900000000000002</v>
      </c>
      <c r="W254" s="76">
        <v>1.28</v>
      </c>
      <c r="X254" s="50"/>
      <c r="Y254" s="50">
        <f t="shared" si="62"/>
        <v>5.095541401273886</v>
      </c>
      <c r="Z254" s="6">
        <f>IF(Y254&lt;LeagueRatings!$K$10,((LeagueRatings!$K$10-Y254)/LeagueRatings!$K$10)*36,(LeagueRatings!$K$10-Y254)*6.48)</f>
        <v>14.83608332991906</v>
      </c>
      <c r="AA254" s="16">
        <f>INDEX('C-P-RollAdj'!$B$4:$B$76,MATCH(INT(Z254),'C-P-RollAdj'!$A$4:$A$76,FALSE),0)</f>
        <v>-1.19</v>
      </c>
      <c r="AB254" s="16">
        <f t="shared" si="63"/>
        <v>3.8216560509554141</v>
      </c>
      <c r="AC254" s="6">
        <f>IF(AB254&lt;LeagueRatings!$K$8,((LeagueRatings!$K$8-AB254)/LeagueRatings!$K$8)*36,(LeagueRatings!$K$8-AB254)/LeagueRatings!$K$11)</f>
        <v>-4.9186203766456389</v>
      </c>
      <c r="AD254" s="16">
        <f>INDEX('C-P-RollAdj'!$F$4:$F$76,MATCH(INT(AC254),'C-P-RollAdj'!$E$4:$E$76,FALSE),0)</f>
        <v>0.42</v>
      </c>
      <c r="AE254" s="17">
        <f>+((LeagueRatings!$I$6-E254)*5)+9.5</f>
        <v>10.858051455277403</v>
      </c>
      <c r="AF254" s="17">
        <f t="shared" si="64"/>
        <v>10.858051455277403</v>
      </c>
      <c r="AG254" s="17">
        <f t="shared" si="65"/>
        <v>-0.3176983910553588</v>
      </c>
      <c r="AH254" s="4">
        <f t="shared" si="66"/>
        <v>9.7703530642220446</v>
      </c>
      <c r="AI254" s="41" t="s">
        <v>618</v>
      </c>
      <c r="AJ254" s="5" t="s">
        <v>39</v>
      </c>
      <c r="AK254" s="219">
        <f>INDEX('C-P-RollAdj'!$J$4:$J$76,MATCH(INT(Z254),'C-P-RollAdj'!$I$4:$I$76,FALSE),0)</f>
        <v>32</v>
      </c>
      <c r="AL254" s="219">
        <f>INDEX('C-P-RollAdj'!$J$4:$J$76,MATCH(INT(AC254),'C-P-RollAdj'!$I$4:$I$76,FALSE),0)</f>
        <v>-15</v>
      </c>
      <c r="AM254" s="14">
        <f>+AR254*LeagueRatings!$K$27</f>
        <v>20.555555555555557</v>
      </c>
      <c r="AN254" s="72">
        <f>F254*LeagueRatings!$K$27</f>
        <v>30</v>
      </c>
      <c r="AO254" s="72">
        <f>G254*LeagueRatings!$K$27</f>
        <v>0</v>
      </c>
      <c r="AP254" s="72">
        <f>T254*LeagueRatings!$K$27</f>
        <v>87.222222222222229</v>
      </c>
      <c r="AR254" s="72">
        <f t="shared" si="51"/>
        <v>37</v>
      </c>
      <c r="AW254" s="144">
        <v>58.67</v>
      </c>
    </row>
    <row r="255" spans="1:50" customFormat="1" x14ac:dyDescent="0.2">
      <c r="A255" s="41" t="s">
        <v>620</v>
      </c>
      <c r="B255" s="76" t="s">
        <v>156</v>
      </c>
      <c r="C255" s="76">
        <v>10</v>
      </c>
      <c r="D255" s="76">
        <v>15</v>
      </c>
      <c r="E255" s="97">
        <v>4.46</v>
      </c>
      <c r="F255" s="76">
        <v>30</v>
      </c>
      <c r="G255" s="76">
        <v>29</v>
      </c>
      <c r="H255" s="76">
        <v>0</v>
      </c>
      <c r="I255" s="76">
        <v>0</v>
      </c>
      <c r="J255" s="76">
        <v>0</v>
      </c>
      <c r="K255" s="76">
        <v>0</v>
      </c>
      <c r="L255" s="258">
        <f>INDEX('C-P-RollAdj'!$P$4:$P$900,MATCH((U255),'C-P-RollAdj'!$O$4:$O$900,FALSE),0)</f>
        <v>169.67000000000002</v>
      </c>
      <c r="M255" s="76">
        <v>169</v>
      </c>
      <c r="N255" s="76">
        <v>97</v>
      </c>
      <c r="O255" s="76">
        <v>84</v>
      </c>
      <c r="P255" s="76">
        <v>28</v>
      </c>
      <c r="Q255" s="76">
        <v>63</v>
      </c>
      <c r="R255" s="76">
        <v>0</v>
      </c>
      <c r="S255" s="76">
        <v>126</v>
      </c>
      <c r="T255" s="76">
        <v>728</v>
      </c>
      <c r="U255" s="76">
        <v>169.2</v>
      </c>
      <c r="V255" s="100">
        <v>0.25800000000000001</v>
      </c>
      <c r="W255" s="76">
        <v>1.37</v>
      </c>
      <c r="X255" s="50"/>
      <c r="Y255" s="50">
        <f t="shared" si="62"/>
        <v>8.6538461538461533</v>
      </c>
      <c r="Z255" s="6">
        <f>IF(Y255&lt;LeagueRatings!$K$10,((LeagueRatings!$K$10-Y255)/LeagueRatings!$K$10)*36,(LeagueRatings!$K$10-Y255)*6.48)</f>
        <v>5.6954020643794526E-2</v>
      </c>
      <c r="AA255" s="16">
        <f>INDEX('C-P-RollAdj'!$B$4:$B$76,MATCH(INT(Z255),'C-P-RollAdj'!$A$4:$A$76,FALSE),0)</f>
        <v>0</v>
      </c>
      <c r="AB255" s="16">
        <f t="shared" si="63"/>
        <v>3.8461538461538463</v>
      </c>
      <c r="AC255" s="6">
        <f>IF(AB255&lt;LeagueRatings!$K$8,((LeagueRatings!$K$8-AB255)/LeagueRatings!$K$8)*36,(LeagueRatings!$K$8-AB255)/LeagueRatings!$K$11)</f>
        <v>-5.1131439576311983</v>
      </c>
      <c r="AD255" s="16">
        <f>INDEX('C-P-RollAdj'!$F$4:$F$76,MATCH(INT(AC255),'C-P-RollAdj'!$E$4:$E$76,FALSE),0)</f>
        <v>0.51</v>
      </c>
      <c r="AE255" s="17">
        <f>+((LeagueRatings!$I$6-E255)*5)+9.5</f>
        <v>8.2080514552774027</v>
      </c>
      <c r="AF255" s="17">
        <f t="shared" si="64"/>
        <v>8.2080514552774027</v>
      </c>
      <c r="AG255" s="17">
        <f t="shared" si="65"/>
        <v>-4.2358106913419513E-2</v>
      </c>
      <c r="AH255" s="4">
        <f t="shared" si="66"/>
        <v>8.6756933483639838</v>
      </c>
      <c r="AI255" s="41" t="s">
        <v>620</v>
      </c>
      <c r="AJ255" s="5" t="s">
        <v>34</v>
      </c>
      <c r="AK255" s="219">
        <f>INDEX('C-P-RollAdj'!$J$4:$J$76,MATCH(INT(Z255),'C-P-RollAdj'!$I$4:$I$76,FALSE),0)</f>
        <v>0</v>
      </c>
      <c r="AL255" s="219">
        <f>INDEX('C-P-RollAdj'!$J$4:$J$76,MATCH(INT(AC255),'C-P-RollAdj'!$I$4:$I$76,FALSE),0)</f>
        <v>-16</v>
      </c>
      <c r="AM255" s="14">
        <f>+AR255*LeagueRatings!$K$27</f>
        <v>94.444444444444443</v>
      </c>
      <c r="AN255" s="72">
        <f>F255*LeagueRatings!$K$27</f>
        <v>16.666666666666668</v>
      </c>
      <c r="AO255" s="72">
        <f>G255*LeagueRatings!$K$27</f>
        <v>16.111111111111111</v>
      </c>
      <c r="AP255" s="72">
        <f>T255*LeagueRatings!$K$27</f>
        <v>404.44444444444446</v>
      </c>
      <c r="AQ255" s="24"/>
      <c r="AR255" s="72">
        <f t="shared" si="51"/>
        <v>170</v>
      </c>
      <c r="AS255" s="113"/>
      <c r="AT255" s="113"/>
      <c r="AU255" s="113"/>
      <c r="AV255" s="24"/>
      <c r="AW255" s="144">
        <v>224.67</v>
      </c>
      <c r="AX255" s="24"/>
    </row>
    <row r="256" spans="1:50" x14ac:dyDescent="0.2">
      <c r="A256" s="41" t="s">
        <v>404</v>
      </c>
      <c r="B256" s="76" t="s">
        <v>156</v>
      </c>
      <c r="C256" s="76">
        <v>9</v>
      </c>
      <c r="D256" s="76">
        <v>9</v>
      </c>
      <c r="E256" s="97">
        <v>3.48</v>
      </c>
      <c r="F256" s="76">
        <v>29</v>
      </c>
      <c r="G256" s="76">
        <v>29</v>
      </c>
      <c r="H256" s="76">
        <v>0</v>
      </c>
      <c r="I256" s="76">
        <v>0</v>
      </c>
      <c r="J256" s="76">
        <v>0</v>
      </c>
      <c r="K256" s="76">
        <v>0</v>
      </c>
      <c r="L256" s="258">
        <f>INDEX('C-P-RollAdj'!$P$4:$P$900,MATCH((U256),'C-P-RollAdj'!$O$4:$O$900,FALSE),0)</f>
        <v>176</v>
      </c>
      <c r="M256" s="76">
        <v>132</v>
      </c>
      <c r="N256" s="76">
        <v>73</v>
      </c>
      <c r="O256" s="76">
        <v>68</v>
      </c>
      <c r="P256" s="76">
        <v>23</v>
      </c>
      <c r="Q256" s="76">
        <v>65</v>
      </c>
      <c r="R256" s="76">
        <v>1</v>
      </c>
      <c r="S256" s="76">
        <v>165</v>
      </c>
      <c r="T256" s="76">
        <v>723</v>
      </c>
      <c r="U256" s="76">
        <v>176</v>
      </c>
      <c r="V256" s="100">
        <v>0.20300000000000001</v>
      </c>
      <c r="W256" s="76">
        <v>1.1200000000000001</v>
      </c>
      <c r="X256" s="50"/>
      <c r="Y256" s="50">
        <f t="shared" si="62"/>
        <v>8.86426592797784</v>
      </c>
      <c r="Z256" s="6">
        <f>IF(Y256&lt;LeagueRatings!$K$10,((LeagueRatings!$K$10-Y256)/LeagueRatings!$K$10)*36,(LeagueRatings!$K$10-Y256)*6.48)</f>
        <v>-1.2746627191027424</v>
      </c>
      <c r="AA256" s="16">
        <f>INDEX('C-P-RollAdj'!$B$4:$B$76,MATCH(INT(Z256),'C-P-RollAdj'!$A$4:$A$76,FALSE),0)</f>
        <v>0.18</v>
      </c>
      <c r="AB256" s="16">
        <f t="shared" si="63"/>
        <v>3.1855955678670362</v>
      </c>
      <c r="AC256" s="6">
        <f>IF(AB256&lt;LeagueRatings!$K$8,((LeagueRatings!$K$8-AB256)/LeagueRatings!$K$8)*36,(LeagueRatings!$K$8-AB256)/LeagueRatings!$K$11)</f>
        <v>0.18687014598167925</v>
      </c>
      <c r="AD256" s="16">
        <f>INDEX('C-P-RollAdj'!$F$4:$F$76,MATCH(INT(AC256),'C-P-RollAdj'!$E$4:$E$76,FALSE),0)</f>
        <v>0</v>
      </c>
      <c r="AE256" s="17">
        <f>+((LeagueRatings!$I$6-E256)*5)+9.5</f>
        <v>13.108051455277403</v>
      </c>
      <c r="AF256" s="17">
        <f t="shared" si="64"/>
        <v>13.108051455277403</v>
      </c>
      <c r="AG256" s="17">
        <f t="shared" si="65"/>
        <v>1.68</v>
      </c>
      <c r="AH256" s="4">
        <f t="shared" si="66"/>
        <v>14.968051455277402</v>
      </c>
      <c r="AI256" s="41" t="s">
        <v>404</v>
      </c>
      <c r="AJ256" s="5" t="s">
        <v>14</v>
      </c>
      <c r="AK256" s="219">
        <f>INDEX('C-P-RollAdj'!$J$4:$J$76,MATCH(INT(Z256),'C-P-RollAdj'!$I$4:$I$76,FALSE),0)</f>
        <v>-12</v>
      </c>
      <c r="AL256" s="219">
        <f>INDEX('C-P-RollAdj'!$J$4:$J$76,MATCH(INT(AC256),'C-P-RollAdj'!$I$4:$I$76,FALSE),0)</f>
        <v>0</v>
      </c>
      <c r="AM256" s="14">
        <f>+AR256*LeagueRatings!$K$27</f>
        <v>97.777777777777786</v>
      </c>
      <c r="AN256" s="72">
        <f>F256*LeagueRatings!$K$27</f>
        <v>16.111111111111111</v>
      </c>
      <c r="AO256" s="72">
        <f>G256*LeagueRatings!$K$27</f>
        <v>16.111111111111111</v>
      </c>
      <c r="AP256" s="72">
        <f>T256*LeagueRatings!$K$27</f>
        <v>401.66666666666669</v>
      </c>
      <c r="AR256" s="72">
        <f t="shared" si="51"/>
        <v>176</v>
      </c>
      <c r="AW256" s="144">
        <v>92.67</v>
      </c>
    </row>
    <row r="257" spans="1:50" x14ac:dyDescent="0.2">
      <c r="A257" s="41" t="s">
        <v>345</v>
      </c>
      <c r="B257" s="76" t="s">
        <v>156</v>
      </c>
      <c r="C257" s="76">
        <v>2</v>
      </c>
      <c r="D257" s="76">
        <v>1</v>
      </c>
      <c r="E257" s="97">
        <v>8.4</v>
      </c>
      <c r="F257" s="76">
        <v>14</v>
      </c>
      <c r="G257" s="76">
        <v>0</v>
      </c>
      <c r="H257" s="76">
        <v>0</v>
      </c>
      <c r="I257" s="76">
        <v>0</v>
      </c>
      <c r="J257" s="76">
        <v>0</v>
      </c>
      <c r="K257" s="76">
        <v>0</v>
      </c>
      <c r="L257" s="258">
        <f>INDEX('C-P-RollAdj'!$P$4:$P$900,MATCH((U257),'C-P-RollAdj'!$O$4:$O$900,FALSE),0)</f>
        <v>15</v>
      </c>
      <c r="M257" s="76">
        <v>23</v>
      </c>
      <c r="N257" s="76">
        <v>15</v>
      </c>
      <c r="O257" s="76">
        <v>14</v>
      </c>
      <c r="P257" s="76">
        <v>2</v>
      </c>
      <c r="Q257" s="76">
        <v>6</v>
      </c>
      <c r="R257" s="76">
        <v>0</v>
      </c>
      <c r="S257" s="76">
        <v>14</v>
      </c>
      <c r="T257" s="76">
        <v>73</v>
      </c>
      <c r="U257" s="76">
        <v>15</v>
      </c>
      <c r="V257" s="100">
        <v>0.34799999999999998</v>
      </c>
      <c r="W257" s="76">
        <v>1.93</v>
      </c>
      <c r="X257" s="50"/>
      <c r="Y257" s="50">
        <f t="shared" si="62"/>
        <v>8.2191780821917799</v>
      </c>
      <c r="Z257" s="6">
        <f>IF(Y257&lt;LeagueRatings!$K$10,((LeagueRatings!$K$10-Y257)/LeagueRatings!$K$10)*36,(LeagueRatings!$K$10-Y257)*6.48)</f>
        <v>1.8623124944927381</v>
      </c>
      <c r="AA257" s="16">
        <f>INDEX('C-P-RollAdj'!$B$4:$B$76,MATCH(INT(Z257),'C-P-RollAdj'!$A$4:$A$76,FALSE),0)</f>
        <v>-0.08</v>
      </c>
      <c r="AB257" s="16">
        <f t="shared" si="63"/>
        <v>2.7397260273972601</v>
      </c>
      <c r="AC257" s="6">
        <f>IF(AB257&lt;LeagueRatings!$K$8,((LeagueRatings!$K$8-AB257)/LeagueRatings!$K$8)*36,(LeagueRatings!$K$8-AB257)/LeagueRatings!$K$11)</f>
        <v>5.1994285234053308</v>
      </c>
      <c r="AD257" s="16">
        <f>INDEX('C-P-RollAdj'!$F$4:$F$76,MATCH(INT(AC257),'C-P-RollAdj'!$E$4:$E$76,FALSE),0)</f>
        <v>-0.35000000000000003</v>
      </c>
      <c r="AE257" s="17">
        <f>+((LeagueRatings!$I$6-E257)*5)+9.5</f>
        <v>-11.491948544722597</v>
      </c>
      <c r="AF257" s="17">
        <f t="shared" si="64"/>
        <v>4</v>
      </c>
      <c r="AG257" s="17">
        <f t="shared" si="65"/>
        <v>-2.666666666666667</v>
      </c>
      <c r="AH257" s="4">
        <f t="shared" si="66"/>
        <v>0.90333333333333288</v>
      </c>
      <c r="AI257" s="41" t="s">
        <v>345</v>
      </c>
      <c r="AJ257" s="5" t="s">
        <v>26</v>
      </c>
      <c r="AK257" s="219">
        <f>INDEX('C-P-RollAdj'!$J$4:$J$76,MATCH(INT(Z257),'C-P-RollAdj'!$I$4:$I$76,FALSE),0)</f>
        <v>11</v>
      </c>
      <c r="AL257" s="219">
        <f>INDEX('C-P-RollAdj'!$J$4:$J$76,MATCH(INT(AC257),'C-P-RollAdj'!$I$4:$I$76,FALSE),0)</f>
        <v>15</v>
      </c>
      <c r="AM257" s="14">
        <f>+AR257*LeagueRatings!$K$27</f>
        <v>8.3333333333333339</v>
      </c>
      <c r="AN257" s="72">
        <f>F257*LeagueRatings!$K$27</f>
        <v>7.7777777777777786</v>
      </c>
      <c r="AO257" s="72">
        <f>G257*LeagueRatings!$K$27</f>
        <v>0</v>
      </c>
      <c r="AP257" s="72">
        <f>T257*LeagueRatings!$K$27</f>
        <v>40.555555555555557</v>
      </c>
      <c r="AR257" s="72">
        <f t="shared" si="51"/>
        <v>15</v>
      </c>
      <c r="AW257" s="144">
        <v>52.67</v>
      </c>
    </row>
    <row r="258" spans="1:50" x14ac:dyDescent="0.2">
      <c r="A258" s="41" t="s">
        <v>519</v>
      </c>
      <c r="B258" s="76" t="s">
        <v>156</v>
      </c>
      <c r="C258" s="76">
        <v>2</v>
      </c>
      <c r="D258" s="76">
        <v>4</v>
      </c>
      <c r="E258" s="97">
        <v>4.0599999999999996</v>
      </c>
      <c r="F258" s="76">
        <v>28</v>
      </c>
      <c r="G258" s="76">
        <v>0</v>
      </c>
      <c r="H258" s="76">
        <v>0</v>
      </c>
      <c r="I258" s="76">
        <v>0</v>
      </c>
      <c r="J258" s="76">
        <v>0</v>
      </c>
      <c r="K258" s="76">
        <v>1</v>
      </c>
      <c r="L258" s="258">
        <f>INDEX('C-P-RollAdj'!$P$4:$P$900,MATCH((U258),'C-P-RollAdj'!$O$4:$O$900,FALSE),0)</f>
        <v>31</v>
      </c>
      <c r="M258" s="76">
        <v>23</v>
      </c>
      <c r="N258" s="76">
        <v>14</v>
      </c>
      <c r="O258" s="76">
        <v>14</v>
      </c>
      <c r="P258" s="76">
        <v>4</v>
      </c>
      <c r="Q258" s="76">
        <v>8</v>
      </c>
      <c r="R258" s="76">
        <v>1</v>
      </c>
      <c r="S258" s="76">
        <v>30</v>
      </c>
      <c r="T258" s="76">
        <v>124</v>
      </c>
      <c r="U258" s="76">
        <v>31</v>
      </c>
      <c r="V258" s="100">
        <v>0.20499999999999999</v>
      </c>
      <c r="W258" s="76">
        <v>1</v>
      </c>
      <c r="X258" s="50"/>
      <c r="Y258" s="50">
        <f t="shared" si="62"/>
        <v>5.6910569105691051</v>
      </c>
      <c r="Z258" s="6">
        <f>IF(Y258&lt;LeagueRatings!$K$10,((LeagueRatings!$K$10-Y258)/LeagueRatings!$K$10)*36,(LeagueRatings!$K$10-Y258)*6.48)</f>
        <v>12.362658109330338</v>
      </c>
      <c r="AA258" s="16">
        <f>INDEX('C-P-RollAdj'!$B$4:$B$76,MATCH(INT(Z258),'C-P-RollAdj'!$A$4:$A$76,FALSE),0)</f>
        <v>-1.01</v>
      </c>
      <c r="AB258" s="16">
        <f t="shared" si="63"/>
        <v>3.2520325203252036</v>
      </c>
      <c r="AC258" s="6">
        <f>IF(AB258&lt;LeagueRatings!$K$8,((LeagueRatings!$K$8-AB258)/LeagueRatings!$K$8)*36,(LeagueRatings!$K$8-AB258)/LeagueRatings!$K$11)</f>
        <v>-0.3955517455993065</v>
      </c>
      <c r="AD258" s="16">
        <f>INDEX('C-P-RollAdj'!$F$4:$F$76,MATCH(INT(AC258),'C-P-RollAdj'!$E$4:$E$76,FALSE),0)</f>
        <v>0.08</v>
      </c>
      <c r="AE258" s="17">
        <f>+((LeagueRatings!$I$6-E258)*5)+9.5</f>
        <v>10.208051455277406</v>
      </c>
      <c r="AF258" s="17">
        <f t="shared" si="64"/>
        <v>10.208051455277406</v>
      </c>
      <c r="AG258" s="17">
        <f t="shared" si="65"/>
        <v>1.7364516129032257</v>
      </c>
      <c r="AH258" s="4">
        <f t="shared" si="66"/>
        <v>11.014503068180632</v>
      </c>
      <c r="AI258" s="41" t="s">
        <v>519</v>
      </c>
      <c r="AJ258" s="5" t="s">
        <v>68</v>
      </c>
      <c r="AK258" s="219">
        <f>INDEX('C-P-RollAdj'!$J$4:$J$76,MATCH(INT(Z258),'C-P-RollAdj'!$I$4:$I$76,FALSE),0)</f>
        <v>26</v>
      </c>
      <c r="AL258" s="219">
        <f>INDEX('C-P-RollAdj'!$J$4:$J$76,MATCH(INT(AC258),'C-P-RollAdj'!$I$4:$I$76,FALSE),0)</f>
        <v>-11</v>
      </c>
      <c r="AM258" s="14">
        <f>+AR258*LeagueRatings!$K$27</f>
        <v>17.222222222222221</v>
      </c>
      <c r="AN258" s="72">
        <f>F258*LeagueRatings!$K$27</f>
        <v>15.555555555555557</v>
      </c>
      <c r="AO258" s="72">
        <f>G258*LeagueRatings!$K$27</f>
        <v>0</v>
      </c>
      <c r="AP258" s="72">
        <f>T258*LeagueRatings!$K$27</f>
        <v>68.888888888888886</v>
      </c>
      <c r="AR258" s="72">
        <f t="shared" si="51"/>
        <v>31</v>
      </c>
      <c r="AW258" s="144">
        <v>81.33</v>
      </c>
    </row>
    <row r="259" spans="1:50" x14ac:dyDescent="0.2">
      <c r="A259" s="41" t="s">
        <v>428</v>
      </c>
      <c r="B259" s="76" t="s">
        <v>156</v>
      </c>
      <c r="C259" s="76">
        <v>6</v>
      </c>
      <c r="D259" s="76">
        <v>4</v>
      </c>
      <c r="E259" s="97">
        <v>3.64</v>
      </c>
      <c r="F259" s="76">
        <v>46</v>
      </c>
      <c r="G259" s="76">
        <v>0</v>
      </c>
      <c r="H259" s="76">
        <v>0</v>
      </c>
      <c r="I259" s="76">
        <v>0</v>
      </c>
      <c r="J259" s="76">
        <v>2</v>
      </c>
      <c r="K259" s="76">
        <v>4</v>
      </c>
      <c r="L259" s="258">
        <f>INDEX('C-P-RollAdj'!$P$4:$P$900,MATCH((U259),'C-P-RollAdj'!$O$4:$O$900,FALSE),0)</f>
        <v>42</v>
      </c>
      <c r="M259" s="76">
        <v>28</v>
      </c>
      <c r="N259" s="76">
        <v>17</v>
      </c>
      <c r="O259" s="76">
        <v>17</v>
      </c>
      <c r="P259" s="76">
        <v>8</v>
      </c>
      <c r="Q259" s="76">
        <v>19</v>
      </c>
      <c r="R259" s="76">
        <v>0</v>
      </c>
      <c r="S259" s="76">
        <v>58</v>
      </c>
      <c r="T259" s="76">
        <v>170</v>
      </c>
      <c r="U259" s="76">
        <v>42</v>
      </c>
      <c r="V259" s="100">
        <v>0.189</v>
      </c>
      <c r="W259" s="76">
        <v>1.1200000000000001</v>
      </c>
      <c r="X259" s="50"/>
      <c r="Y259" s="50">
        <f t="shared" si="62"/>
        <v>11.176470588235295</v>
      </c>
      <c r="Z259" s="6">
        <f>IF(Y259&lt;LeagueRatings!$K$10,((LeagueRatings!$K$10-Y259)/LeagueRatings!$K$10)*36,(LeagueRatings!$K$10-Y259)*6.48)</f>
        <v>-16.257748917571053</v>
      </c>
      <c r="AA259" s="16">
        <f>INDEX('C-P-RollAdj'!$B$4:$B$76,MATCH(INT(Z259),'C-P-RollAdj'!$A$4:$A$76,FALSE),0)</f>
        <v>1.93</v>
      </c>
      <c r="AB259" s="16">
        <f t="shared" si="63"/>
        <v>4.7058823529411766</v>
      </c>
      <c r="AC259" s="6">
        <f>IF(AB259&lt;LeagueRatings!$K$8,((LeagueRatings!$K$8-AB259)/LeagueRatings!$K$8)*36,(LeagueRatings!$K$8-AB259)/LeagueRatings!$K$11)</f>
        <v>-11.939777393865587</v>
      </c>
      <c r="AD259" s="16">
        <f>INDEX('C-P-RollAdj'!$F$4:$F$76,MATCH(INT(AC259),'C-P-RollAdj'!$E$4:$E$76,FALSE),0)</f>
        <v>1.1400000000000001</v>
      </c>
      <c r="AE259" s="17">
        <f>+((LeagueRatings!$I$6-E259)*5)+9.5</f>
        <v>12.308051455277402</v>
      </c>
      <c r="AF259" s="17">
        <f t="shared" si="64"/>
        <v>12.308051455277402</v>
      </c>
      <c r="AG259" s="17">
        <f t="shared" si="65"/>
        <v>2.2633333333333336</v>
      </c>
      <c r="AH259" s="4">
        <f t="shared" si="66"/>
        <v>17.641384788610736</v>
      </c>
      <c r="AI259" s="41" t="s">
        <v>428</v>
      </c>
      <c r="AJ259" s="5" t="s">
        <v>63</v>
      </c>
      <c r="AK259" s="219">
        <f>INDEX('C-P-RollAdj'!$J$4:$J$76,MATCH(INT(Z259),'C-P-RollAdj'!$I$4:$I$76,FALSE),0)</f>
        <v>-35</v>
      </c>
      <c r="AL259" s="219">
        <f>INDEX('C-P-RollAdj'!$J$4:$J$76,MATCH(INT(AC259),'C-P-RollAdj'!$I$4:$I$76,FALSE),0)</f>
        <v>-26</v>
      </c>
      <c r="AM259" s="14">
        <f>+AR259*LeagueRatings!$K$27</f>
        <v>23.333333333333336</v>
      </c>
      <c r="AN259" s="72">
        <f>F259*LeagueRatings!$K$27</f>
        <v>25.555555555555557</v>
      </c>
      <c r="AO259" s="72">
        <f>G259*LeagueRatings!$K$27</f>
        <v>0</v>
      </c>
      <c r="AP259" s="72">
        <f>T259*LeagueRatings!$K$27</f>
        <v>94.444444444444443</v>
      </c>
      <c r="AR259" s="72">
        <f t="shared" si="51"/>
        <v>42</v>
      </c>
      <c r="AW259" s="144">
        <v>69.33</v>
      </c>
    </row>
    <row r="260" spans="1:50" x14ac:dyDescent="0.2">
      <c r="A260" s="41" t="s">
        <v>621</v>
      </c>
      <c r="B260" s="76" t="s">
        <v>156</v>
      </c>
      <c r="C260" s="76">
        <v>20</v>
      </c>
      <c r="D260" s="76">
        <v>4</v>
      </c>
      <c r="E260" s="97">
        <v>3.18</v>
      </c>
      <c r="F260" s="76">
        <v>32</v>
      </c>
      <c r="G260" s="76">
        <v>32</v>
      </c>
      <c r="H260" s="76">
        <v>0</v>
      </c>
      <c r="I260" s="76">
        <v>0</v>
      </c>
      <c r="J260" s="76">
        <v>0</v>
      </c>
      <c r="K260" s="76">
        <v>0</v>
      </c>
      <c r="L260" s="258">
        <f>INDEX('C-P-RollAdj'!$P$4:$P$900,MATCH((U260),'C-P-RollAdj'!$O$4:$O$900,FALSE),0)</f>
        <v>195</v>
      </c>
      <c r="M260" s="76">
        <v>168</v>
      </c>
      <c r="N260" s="76">
        <v>72</v>
      </c>
      <c r="O260" s="76">
        <v>69</v>
      </c>
      <c r="P260" s="76">
        <v>22</v>
      </c>
      <c r="Q260" s="76">
        <v>60</v>
      </c>
      <c r="R260" s="76">
        <v>0</v>
      </c>
      <c r="S260" s="76">
        <v>163</v>
      </c>
      <c r="T260" s="76">
        <v>796</v>
      </c>
      <c r="U260" s="76">
        <v>195</v>
      </c>
      <c r="V260" s="100">
        <v>0.23100000000000001</v>
      </c>
      <c r="W260" s="76">
        <v>1.17</v>
      </c>
      <c r="X260" s="50"/>
      <c r="Y260" s="50">
        <f t="shared" si="62"/>
        <v>7.5376884422110546</v>
      </c>
      <c r="Z260" s="6">
        <f>IF(Y260&lt;LeagueRatings!$K$10,((LeagueRatings!$K$10-Y260)/LeagueRatings!$K$10)*36,(LeagueRatings!$K$10-Y260)*6.48)</f>
        <v>4.6928242725875613</v>
      </c>
      <c r="AA260" s="16">
        <f>INDEX('C-P-RollAdj'!$B$4:$B$76,MATCH(INT(Z260),'C-P-RollAdj'!$A$4:$A$76,FALSE),0)</f>
        <v>-0.32</v>
      </c>
      <c r="AB260" s="16">
        <f t="shared" si="63"/>
        <v>2.7638190954773871</v>
      </c>
      <c r="AC260" s="6">
        <f>IF(AB260&lt;LeagueRatings!$K$8,((LeagueRatings!$K$8-AB260)/LeagueRatings!$K$8)*36,(LeagueRatings!$K$8-AB260)/LeagueRatings!$K$11)</f>
        <v>4.9285692265006</v>
      </c>
      <c r="AD260" s="16">
        <f>INDEX('C-P-RollAdj'!$F$4:$F$76,MATCH(INT(AC260),'C-P-RollAdj'!$E$4:$E$76,FALSE),0)</f>
        <v>-0.28000000000000003</v>
      </c>
      <c r="AE260" s="17">
        <f>+((LeagueRatings!$I$6-E260)*5)+9.5</f>
        <v>14.608051455277403</v>
      </c>
      <c r="AF260" s="17">
        <f t="shared" si="64"/>
        <v>14.608051455277403</v>
      </c>
      <c r="AG260" s="17">
        <f t="shared" si="65"/>
        <v>0.89923076923076883</v>
      </c>
      <c r="AH260" s="4">
        <f t="shared" si="66"/>
        <v>14.907282224508172</v>
      </c>
      <c r="AI260" s="41" t="s">
        <v>621</v>
      </c>
      <c r="AJ260" s="5" t="s">
        <v>14</v>
      </c>
      <c r="AK260" s="219">
        <f>INDEX('C-P-RollAdj'!$J$4:$J$76,MATCH(INT(Z260),'C-P-RollAdj'!$I$4:$I$76,FALSE),0)</f>
        <v>14</v>
      </c>
      <c r="AL260" s="219">
        <f>INDEX('C-P-RollAdj'!$J$4:$J$76,MATCH(INT(AC260),'C-P-RollAdj'!$I$4:$I$76,FALSE),0)</f>
        <v>14</v>
      </c>
      <c r="AM260" s="14">
        <f>+AR260*LeagueRatings!$K$27</f>
        <v>108.33333333333334</v>
      </c>
      <c r="AN260" s="72">
        <f>F260*LeagueRatings!$K$27</f>
        <v>17.777777777777779</v>
      </c>
      <c r="AO260" s="72">
        <f>G260*LeagueRatings!$K$27</f>
        <v>17.777777777777779</v>
      </c>
      <c r="AP260" s="72">
        <f>T260*LeagueRatings!$K$27</f>
        <v>442.22222222222223</v>
      </c>
      <c r="AR260" s="72">
        <f t="shared" si="51"/>
        <v>195</v>
      </c>
      <c r="AW260" s="144">
        <v>25.67</v>
      </c>
    </row>
    <row r="261" spans="1:50" customFormat="1" x14ac:dyDescent="0.2">
      <c r="A261" s="41" t="s">
        <v>430</v>
      </c>
      <c r="B261" s="76" t="s">
        <v>156</v>
      </c>
      <c r="C261" s="76">
        <v>2</v>
      </c>
      <c r="D261" s="76">
        <v>2</v>
      </c>
      <c r="E261" s="97">
        <v>2.92</v>
      </c>
      <c r="F261" s="76">
        <v>10</v>
      </c>
      <c r="G261" s="76">
        <v>8</v>
      </c>
      <c r="H261" s="76">
        <v>0</v>
      </c>
      <c r="I261" s="76">
        <v>0</v>
      </c>
      <c r="J261" s="76">
        <v>0</v>
      </c>
      <c r="K261" s="76">
        <v>0</v>
      </c>
      <c r="L261" s="258">
        <f>INDEX('C-P-RollAdj'!$P$4:$P$900,MATCH((U261),'C-P-RollAdj'!$O$4:$O$900,FALSE),0)</f>
        <v>49.33</v>
      </c>
      <c r="M261" s="76">
        <v>42</v>
      </c>
      <c r="N261" s="76">
        <v>22</v>
      </c>
      <c r="O261" s="76">
        <v>16</v>
      </c>
      <c r="P261" s="76">
        <v>7</v>
      </c>
      <c r="Q261" s="76">
        <v>16</v>
      </c>
      <c r="R261" s="76">
        <v>0</v>
      </c>
      <c r="S261" s="76">
        <v>52</v>
      </c>
      <c r="T261" s="76">
        <v>208</v>
      </c>
      <c r="U261" s="76">
        <v>49.1</v>
      </c>
      <c r="V261" s="100">
        <v>0.222</v>
      </c>
      <c r="W261" s="76">
        <v>1.18</v>
      </c>
      <c r="X261" s="50"/>
      <c r="Y261" s="50">
        <f t="shared" si="62"/>
        <v>7.6923076923076925</v>
      </c>
      <c r="Z261" s="6">
        <f>IF(Y261&lt;LeagueRatings!$K$10,((LeagueRatings!$K$10-Y261)/LeagueRatings!$K$10)*36,(LeagueRatings!$K$10-Y261)*6.48)</f>
        <v>4.0506257961278145</v>
      </c>
      <c r="AA261" s="16">
        <f>INDEX('C-P-RollAdj'!$B$4:$B$76,MATCH(INT(Z261),'C-P-RollAdj'!$A$4:$A$76,FALSE),0)</f>
        <v>-0.32</v>
      </c>
      <c r="AB261" s="16">
        <f t="shared" si="63"/>
        <v>3.3653846153846154</v>
      </c>
      <c r="AC261" s="6">
        <f>IF(AB261&lt;LeagueRatings!$K$8,((LeagueRatings!$K$8-AB261)/LeagueRatings!$K$8)*36,(LeagueRatings!$K$8-AB261)/LeagueRatings!$K$11)</f>
        <v>-1.2956186807895995</v>
      </c>
      <c r="AD261" s="16">
        <f>INDEX('C-P-RollAdj'!$F$4:$F$76,MATCH(INT(AC261),'C-P-RollAdj'!$E$4:$E$76,FALSE),0)</f>
        <v>0.16</v>
      </c>
      <c r="AE261" s="17">
        <f>+((LeagueRatings!$I$6-E261)*5)+9.5</f>
        <v>15.908051455277404</v>
      </c>
      <c r="AF261" s="17">
        <f t="shared" si="64"/>
        <v>15.908051455277404</v>
      </c>
      <c r="AG261" s="17">
        <f t="shared" si="65"/>
        <v>0.97013784715183404</v>
      </c>
      <c r="AH261" s="4">
        <f t="shared" si="66"/>
        <v>16.718189302429238</v>
      </c>
      <c r="AI261" s="41" t="s">
        <v>430</v>
      </c>
      <c r="AJ261" s="94" t="s">
        <v>53</v>
      </c>
      <c r="AK261" s="219">
        <f>INDEX('C-P-RollAdj'!$J$4:$J$76,MATCH(INT(Z261),'C-P-RollAdj'!$I$4:$I$76,FALSE),0)</f>
        <v>14</v>
      </c>
      <c r="AL261" s="219">
        <f>INDEX('C-P-RollAdj'!$J$4:$J$76,MATCH(INT(AC261),'C-P-RollAdj'!$I$4:$I$76,FALSE),0)</f>
        <v>-12</v>
      </c>
      <c r="AM261" s="14">
        <f>+AR261*LeagueRatings!$K$27</f>
        <v>27.777777777777779</v>
      </c>
      <c r="AN261" s="72">
        <f>F261*LeagueRatings!$K$27</f>
        <v>5.5555555555555554</v>
      </c>
      <c r="AO261" s="72">
        <f>G261*LeagueRatings!$K$27</f>
        <v>4.4444444444444446</v>
      </c>
      <c r="AP261" s="72">
        <f>T261*LeagueRatings!$K$27</f>
        <v>115.55555555555556</v>
      </c>
      <c r="AQ261" s="76"/>
      <c r="AR261" s="72">
        <f t="shared" si="51"/>
        <v>50</v>
      </c>
      <c r="AS261" s="113"/>
      <c r="AT261" s="113"/>
      <c r="AU261" s="113"/>
      <c r="AV261" s="76"/>
      <c r="AW261" s="144">
        <v>54.33</v>
      </c>
    </row>
    <row r="262" spans="1:50" x14ac:dyDescent="0.2">
      <c r="A262" s="41" t="s">
        <v>617</v>
      </c>
      <c r="B262" s="76" t="s">
        <v>156</v>
      </c>
      <c r="C262" s="76">
        <v>0</v>
      </c>
      <c r="D262" s="76">
        <v>0</v>
      </c>
      <c r="E262" s="97">
        <v>5.0199999999999996</v>
      </c>
      <c r="F262" s="76">
        <v>21</v>
      </c>
      <c r="G262" s="76">
        <v>0</v>
      </c>
      <c r="H262" s="76">
        <v>0</v>
      </c>
      <c r="I262" s="76">
        <v>0</v>
      </c>
      <c r="J262" s="76">
        <v>0</v>
      </c>
      <c r="K262" s="76">
        <v>1</v>
      </c>
      <c r="L262" s="258">
        <f>INDEX('C-P-RollAdj'!$P$4:$P$900,MATCH((U262),'C-P-RollAdj'!$O$4:$O$900,FALSE),0)</f>
        <v>14.33</v>
      </c>
      <c r="M262" s="76">
        <v>15</v>
      </c>
      <c r="N262" s="76">
        <v>8</v>
      </c>
      <c r="O262" s="76">
        <v>8</v>
      </c>
      <c r="P262" s="76">
        <v>2</v>
      </c>
      <c r="Q262" s="76">
        <v>4</v>
      </c>
      <c r="R262" s="76">
        <v>0</v>
      </c>
      <c r="S262" s="76">
        <v>15</v>
      </c>
      <c r="T262" s="76">
        <v>62</v>
      </c>
      <c r="U262" s="76">
        <v>14.1</v>
      </c>
      <c r="V262" s="100">
        <v>0.28799999999999998</v>
      </c>
      <c r="W262" s="76">
        <v>1.33</v>
      </c>
      <c r="X262" s="50"/>
      <c r="Y262" s="50">
        <f t="shared" si="62"/>
        <v>6.4516129032258061</v>
      </c>
      <c r="Z262" s="6">
        <f>IF(Y262&lt;LeagueRatings!$K$10,((LeagueRatings!$K$10-Y262)/LeagueRatings!$K$10)*36,(LeagueRatings!$K$10-Y262)*6.48)</f>
        <v>9.2037506677201044</v>
      </c>
      <c r="AA262" s="16">
        <f>INDEX('C-P-RollAdj'!$B$4:$B$76,MATCH(INT(Z262),'C-P-RollAdj'!$A$4:$A$76,FALSE),0)</f>
        <v>-0.74</v>
      </c>
      <c r="AB262" s="16">
        <f t="shared" si="63"/>
        <v>3.225806451612903</v>
      </c>
      <c r="AC262" s="6">
        <f>IF(AB262&lt;LeagueRatings!$K$8,((LeagueRatings!$K$8-AB262)/LeagueRatings!$K$8)*36,(LeagueRatings!$K$8-AB262)/LeagueRatings!$K$11)</f>
        <v>-0.1873048907388109</v>
      </c>
      <c r="AD262" s="16">
        <f>INDEX('C-P-RollAdj'!$F$4:$F$76,MATCH(INT(AC262),'C-P-RollAdj'!$E$4:$E$76,FALSE),0)</f>
        <v>0.08</v>
      </c>
      <c r="AE262" s="17">
        <f>+((LeagueRatings!$I$6-E262)*5)+9.5</f>
        <v>5.4080514552774055</v>
      </c>
      <c r="AF262" s="17">
        <f t="shared" si="64"/>
        <v>5.4080514552774055</v>
      </c>
      <c r="AG262" s="17">
        <f t="shared" si="65"/>
        <v>-0.23377529658060059</v>
      </c>
      <c r="AH262" s="4">
        <f t="shared" si="66"/>
        <v>4.5142761586968048</v>
      </c>
      <c r="AI262" s="41" t="s">
        <v>617</v>
      </c>
      <c r="AJ262" s="5" t="s">
        <v>19</v>
      </c>
      <c r="AK262" s="219">
        <f>INDEX('C-P-RollAdj'!$J$4:$J$76,MATCH(INT(Z262),'C-P-RollAdj'!$I$4:$I$76,FALSE),0)</f>
        <v>23</v>
      </c>
      <c r="AL262" s="219">
        <f>INDEX('C-P-RollAdj'!$J$4:$J$76,MATCH(INT(AC262),'C-P-RollAdj'!$I$4:$I$76,FALSE),0)</f>
        <v>-11</v>
      </c>
      <c r="AM262" s="14">
        <f>+AR262*LeagueRatings!$K$27</f>
        <v>8.3333333333333339</v>
      </c>
      <c r="AN262" s="72">
        <f>F262*LeagueRatings!$K$27</f>
        <v>11.666666666666668</v>
      </c>
      <c r="AO262" s="72">
        <f>G262*LeagueRatings!$K$27</f>
        <v>0</v>
      </c>
      <c r="AP262" s="72">
        <f>T262*LeagueRatings!$K$27</f>
        <v>34.444444444444443</v>
      </c>
      <c r="AR262" s="72">
        <f t="shared" si="51"/>
        <v>15</v>
      </c>
      <c r="AW262" s="144">
        <v>49</v>
      </c>
    </row>
    <row r="263" spans="1:50" x14ac:dyDescent="0.2">
      <c r="A263" s="41" t="s">
        <v>1218</v>
      </c>
      <c r="B263" s="76" t="s">
        <v>156</v>
      </c>
      <c r="C263" s="76">
        <v>4</v>
      </c>
      <c r="D263" s="76">
        <v>3</v>
      </c>
      <c r="E263" s="97">
        <v>2.68</v>
      </c>
      <c r="F263" s="76">
        <v>72</v>
      </c>
      <c r="G263" s="76">
        <v>0</v>
      </c>
      <c r="H263" s="76">
        <v>0</v>
      </c>
      <c r="I263" s="76">
        <v>0</v>
      </c>
      <c r="J263" s="76">
        <v>36</v>
      </c>
      <c r="K263" s="76">
        <v>42</v>
      </c>
      <c r="L263" s="258">
        <f>INDEX('C-P-RollAdj'!$P$4:$P$900,MATCH((U263),'C-P-RollAdj'!$O$4:$O$900,FALSE),0)</f>
        <v>74</v>
      </c>
      <c r="M263" s="76">
        <v>55</v>
      </c>
      <c r="N263" s="76">
        <v>23</v>
      </c>
      <c r="O263" s="76">
        <v>22</v>
      </c>
      <c r="P263" s="76">
        <v>9</v>
      </c>
      <c r="Q263" s="76">
        <v>14</v>
      </c>
      <c r="R263" s="76">
        <v>4</v>
      </c>
      <c r="S263" s="76">
        <v>82</v>
      </c>
      <c r="T263" s="76">
        <v>288</v>
      </c>
      <c r="U263" s="76">
        <v>74</v>
      </c>
      <c r="V263" s="100">
        <v>0.20599999999999999</v>
      </c>
      <c r="W263" s="76">
        <v>0.93</v>
      </c>
      <c r="X263" s="50"/>
      <c r="Y263" s="50">
        <f t="shared" si="62"/>
        <v>3.5211267605633805</v>
      </c>
      <c r="Z263" s="6">
        <f>IF(Y263&lt;LeagueRatings!$K$10,((LeagueRatings!$K$10-Y263)/LeagueRatings!$K$10)*36,(LeagueRatings!$K$10-Y263)*6.48)</f>
        <v>21.375286455974003</v>
      </c>
      <c r="AA263" s="16">
        <f>INDEX('C-P-RollAdj'!$B$4:$B$76,MATCH(INT(Z263),'C-P-RollAdj'!$A$4:$A$76,FALSE),0)</f>
        <v>-1.8900000000000001</v>
      </c>
      <c r="AB263" s="16">
        <f t="shared" si="63"/>
        <v>3.169014084507042</v>
      </c>
      <c r="AC263" s="6">
        <f>IF(AB263&lt;LeagueRatings!$K$8,((LeagueRatings!$K$8-AB263)/LeagueRatings!$K$8)*36,(LeagueRatings!$K$8-AB263)/LeagueRatings!$K$11)</f>
        <v>0.37328264062905464</v>
      </c>
      <c r="AD263" s="16">
        <f>INDEX('C-P-RollAdj'!$F$4:$F$76,MATCH(INT(AC263),'C-P-RollAdj'!$E$4:$E$76,FALSE),0)</f>
        <v>0</v>
      </c>
      <c r="AE263" s="17">
        <f>+((LeagueRatings!$I$6-E263)*5)+9.5</f>
        <v>17.108051455277405</v>
      </c>
      <c r="AF263" s="17">
        <f t="shared" si="64"/>
        <v>17.108051455277405</v>
      </c>
      <c r="AG263" s="17">
        <f t="shared" si="65"/>
        <v>1.7272972972972975</v>
      </c>
      <c r="AH263" s="4">
        <f t="shared" si="66"/>
        <v>16.945348752574702</v>
      </c>
      <c r="AI263" s="41" t="s">
        <v>1218</v>
      </c>
      <c r="AJ263" s="5" t="s">
        <v>53</v>
      </c>
      <c r="AK263" s="219">
        <f>INDEX('C-P-RollAdj'!$J$4:$J$76,MATCH(INT(Z263),'C-P-RollAdj'!$I$4:$I$76,FALSE),0)</f>
        <v>43</v>
      </c>
      <c r="AL263" s="219">
        <f>INDEX('C-P-RollAdj'!$J$4:$J$76,MATCH(INT(AC263),'C-P-RollAdj'!$I$4:$I$76,FALSE),0)</f>
        <v>0</v>
      </c>
      <c r="AM263" s="14">
        <f>+AR263*LeagueRatings!$K$27</f>
        <v>41.111111111111114</v>
      </c>
      <c r="AN263" s="72">
        <f>F263*LeagueRatings!$K$27</f>
        <v>40</v>
      </c>
      <c r="AO263" s="72">
        <f>G263*LeagueRatings!$K$27</f>
        <v>0</v>
      </c>
      <c r="AP263" s="72">
        <f>T263*LeagueRatings!$K$27</f>
        <v>160</v>
      </c>
      <c r="AR263" s="72">
        <f>ROUNDUP(L263,0)</f>
        <v>74</v>
      </c>
      <c r="AW263" s="144">
        <v>77</v>
      </c>
    </row>
    <row r="264" spans="1:50" x14ac:dyDescent="0.2">
      <c r="A264" s="41" t="s">
        <v>537</v>
      </c>
      <c r="B264" s="76" t="s">
        <v>156</v>
      </c>
      <c r="C264" s="76">
        <v>15</v>
      </c>
      <c r="D264" s="76">
        <v>2</v>
      </c>
      <c r="E264" s="97">
        <v>3</v>
      </c>
      <c r="F264" s="76">
        <v>30</v>
      </c>
      <c r="G264" s="76">
        <v>30</v>
      </c>
      <c r="H264" s="76">
        <v>0</v>
      </c>
      <c r="I264" s="76">
        <v>0</v>
      </c>
      <c r="J264" s="76">
        <v>0</v>
      </c>
      <c r="K264" s="76">
        <v>0</v>
      </c>
      <c r="L264" s="258">
        <f>INDEX('C-P-RollAdj'!$P$4:$P$900,MATCH((U264),'C-P-RollAdj'!$O$4:$O$900,FALSE),0)</f>
        <v>192</v>
      </c>
      <c r="M264" s="76">
        <v>161</v>
      </c>
      <c r="N264" s="76">
        <v>69</v>
      </c>
      <c r="O264" s="76">
        <v>64</v>
      </c>
      <c r="P264" s="76">
        <v>15</v>
      </c>
      <c r="Q264" s="76">
        <v>63</v>
      </c>
      <c r="R264" s="76">
        <v>0</v>
      </c>
      <c r="S264" s="76">
        <v>161</v>
      </c>
      <c r="T264" s="76">
        <v>790</v>
      </c>
      <c r="U264" s="76">
        <v>192</v>
      </c>
      <c r="V264" s="100">
        <v>0.224</v>
      </c>
      <c r="W264" s="76">
        <v>1.17</v>
      </c>
      <c r="X264" s="50"/>
      <c r="Y264" s="50">
        <f t="shared" si="62"/>
        <v>7.9746835443037973</v>
      </c>
      <c r="Z264" s="6">
        <f>IF(Y264&lt;LeagueRatings!$K$10,((LeagueRatings!$K$10-Y264)/LeagueRatings!$K$10)*36,(LeagueRatings!$K$10-Y264)*6.48)</f>
        <v>2.8778006671249128</v>
      </c>
      <c r="AA264" s="16">
        <f>INDEX('C-P-RollAdj'!$B$4:$B$76,MATCH(INT(Z264),'C-P-RollAdj'!$A$4:$A$76,FALSE),0)</f>
        <v>-0.16</v>
      </c>
      <c r="AB264" s="16">
        <f t="shared" si="63"/>
        <v>1.89873417721519</v>
      </c>
      <c r="AC264" s="6">
        <f>IF(AB264&lt;LeagueRatings!$K$8,((LeagueRatings!$K$8-AB264)/LeagueRatings!$K$8)*36,(LeagueRatings!$K$8-AB264)/LeagueRatings!$K$11)</f>
        <v>14.654034324765085</v>
      </c>
      <c r="AD264" s="16">
        <f>INDEX('C-P-RollAdj'!$F$4:$F$76,MATCH(INT(AC264),'C-P-RollAdj'!$E$4:$E$76,FALSE),0)</f>
        <v>-1.05</v>
      </c>
      <c r="AE264" s="17">
        <f>+((LeagueRatings!$I$6-E264)*5)+9.5</f>
        <v>15.508051455277403</v>
      </c>
      <c r="AF264" s="17">
        <f t="shared" si="64"/>
        <v>15.508051455277403</v>
      </c>
      <c r="AG264" s="17">
        <f t="shared" si="65"/>
        <v>1.0602083333333334</v>
      </c>
      <c r="AH264" s="4">
        <f t="shared" si="66"/>
        <v>15.358259788610736</v>
      </c>
      <c r="AI264" s="41" t="s">
        <v>537</v>
      </c>
      <c r="AJ264" s="94" t="s">
        <v>14</v>
      </c>
      <c r="AK264" s="219">
        <f>INDEX('C-P-RollAdj'!$J$4:$J$76,MATCH(INT(Z264),'C-P-RollAdj'!$I$4:$I$76,FALSE),0)</f>
        <v>12</v>
      </c>
      <c r="AL264" s="219">
        <f>INDEX('C-P-RollAdj'!$J$4:$J$76,MATCH(INT(AC264),'C-P-RollAdj'!$I$4:$I$76,FALSE),0)</f>
        <v>32</v>
      </c>
      <c r="AM264" s="14">
        <f>+AR264*LeagueRatings!$K$27</f>
        <v>106.66666666666667</v>
      </c>
      <c r="AN264" s="72">
        <f>F264*LeagueRatings!$K$27</f>
        <v>16.666666666666668</v>
      </c>
      <c r="AO264" s="72">
        <f>G264*LeagueRatings!$K$27</f>
        <v>16.666666666666668</v>
      </c>
      <c r="AP264" s="72">
        <f>T264*LeagueRatings!$K$27</f>
        <v>438.88888888888891</v>
      </c>
      <c r="AQ264" s="76"/>
      <c r="AR264" s="72">
        <f>ROUNDUP(L264,0)</f>
        <v>192</v>
      </c>
      <c r="AV264" s="76"/>
      <c r="AW264" s="144">
        <v>137.66999999999999</v>
      </c>
      <c r="AX264"/>
    </row>
    <row r="265" spans="1:50" x14ac:dyDescent="0.2">
      <c r="A265" s="41" t="s">
        <v>828</v>
      </c>
      <c r="B265" s="76" t="s">
        <v>156</v>
      </c>
      <c r="C265" s="76">
        <v>9</v>
      </c>
      <c r="D265" s="76">
        <v>10</v>
      </c>
      <c r="E265" s="97">
        <v>4.37</v>
      </c>
      <c r="F265" s="76">
        <v>32</v>
      </c>
      <c r="G265" s="76">
        <v>32</v>
      </c>
      <c r="H265" s="76">
        <v>0</v>
      </c>
      <c r="I265" s="76">
        <v>0</v>
      </c>
      <c r="J265" s="76">
        <v>0</v>
      </c>
      <c r="K265" s="76">
        <v>0</v>
      </c>
      <c r="L265" s="258">
        <f>INDEX('C-P-RollAdj'!$P$4:$P$900,MATCH((U265),'C-P-RollAdj'!$O$4:$O$900,FALSE),0)</f>
        <v>204</v>
      </c>
      <c r="M265" s="76">
        <v>209</v>
      </c>
      <c r="N265" s="76">
        <v>104</v>
      </c>
      <c r="O265" s="76">
        <v>99</v>
      </c>
      <c r="P265" s="76">
        <v>21</v>
      </c>
      <c r="Q265" s="76">
        <v>54</v>
      </c>
      <c r="R265" s="76">
        <v>0</v>
      </c>
      <c r="S265" s="76">
        <v>166</v>
      </c>
      <c r="T265" s="76">
        <v>855</v>
      </c>
      <c r="U265" s="76">
        <v>204</v>
      </c>
      <c r="V265" s="100">
        <v>0.26400000000000001</v>
      </c>
      <c r="W265" s="76">
        <v>1.29</v>
      </c>
      <c r="X265" s="50"/>
      <c r="Y265" s="50">
        <f t="shared" si="62"/>
        <v>6.3157894736842106</v>
      </c>
      <c r="Z265" s="6">
        <f>IF(Y265&lt;LeagueRatings!$K$10,((LeagueRatings!$K$10-Y265)/LeagueRatings!$K$10)*36,(LeagueRatings!$K$10-Y265)*6.48)</f>
        <v>9.7678822326102051</v>
      </c>
      <c r="AA265" s="16">
        <f>INDEX('C-P-RollAdj'!$B$4:$B$76,MATCH(INT(Z265),'C-P-RollAdj'!$A$4:$A$76,FALSE),0)</f>
        <v>-0.74</v>
      </c>
      <c r="AB265" s="16">
        <f>(P265/(T265-R265))*100</f>
        <v>2.4561403508771931</v>
      </c>
      <c r="AC265" s="6">
        <f>IF(AB265&lt;LeagueRatings!$K$8,((LeagueRatings!$K$8-AB265)/LeagueRatings!$K$8)*36,(LeagueRatings!$K$8-AB265)/LeagueRatings!$K$11)</f>
        <v>8.3875578516844254</v>
      </c>
      <c r="AD265" s="16">
        <f>INDEX('C-P-RollAdj'!$F$4:$F$76,MATCH(INT(AC265),'C-P-RollAdj'!$E$4:$E$76,FALSE),0)</f>
        <v>-0.56999999999999995</v>
      </c>
      <c r="AE265" s="17">
        <f>+((LeagueRatings!$I$6-E265)*5)+9.5</f>
        <v>8.6580514552774019</v>
      </c>
      <c r="AF265" s="17">
        <f>IF(AE265&lt;4,4,AE265)</f>
        <v>8.6580514552774019</v>
      </c>
      <c r="AG265" s="17">
        <f>IF(M265&lt;L265,((1-(M265/L265))*7)-0.07,(1-(M265/L265))*5)</f>
        <v>-0.1225490196078427</v>
      </c>
      <c r="AH265" s="4">
        <f>+AA265+AD265+AF265+AG265</f>
        <v>7.2255024356695587</v>
      </c>
      <c r="AI265" s="41" t="s">
        <v>828</v>
      </c>
      <c r="AJ265" s="5" t="s">
        <v>55</v>
      </c>
      <c r="AK265" s="219">
        <f>INDEX('C-P-RollAdj'!$J$4:$J$76,MATCH(INT(Z265),'C-P-RollAdj'!$I$4:$I$76,FALSE),0)</f>
        <v>23</v>
      </c>
      <c r="AL265" s="219">
        <f>INDEX('C-P-RollAdj'!$J$4:$J$76,MATCH(INT(AC265),'C-P-RollAdj'!$I$4:$I$76,FALSE),0)</f>
        <v>22</v>
      </c>
      <c r="AM265" s="14">
        <f>+AR265*LeagueRatings!$K$27</f>
        <v>113.33333333333334</v>
      </c>
      <c r="AN265" s="72">
        <f>F265*LeagueRatings!$K$27</f>
        <v>17.777777777777779</v>
      </c>
      <c r="AO265" s="72">
        <f>G265*LeagueRatings!$K$27</f>
        <v>17.777777777777779</v>
      </c>
      <c r="AP265" s="72">
        <f>T265*LeagueRatings!$K$27</f>
        <v>475</v>
      </c>
      <c r="AR265" s="72">
        <f>ROUNDUP(L265,0)</f>
        <v>204</v>
      </c>
      <c r="AW265" s="144">
        <v>25.67</v>
      </c>
    </row>
    <row r="266" spans="1:50" x14ac:dyDescent="0.2">
      <c r="A266" s="41" t="s">
        <v>1219</v>
      </c>
      <c r="B266" s="76" t="s">
        <v>156</v>
      </c>
      <c r="C266" s="76">
        <v>0</v>
      </c>
      <c r="D266" s="76">
        <v>1</v>
      </c>
      <c r="E266" s="97">
        <v>2.95</v>
      </c>
      <c r="F266" s="76">
        <v>20</v>
      </c>
      <c r="G266" s="76">
        <v>0</v>
      </c>
      <c r="H266" s="76">
        <v>0</v>
      </c>
      <c r="I266" s="76">
        <v>0</v>
      </c>
      <c r="J266" s="76">
        <v>0</v>
      </c>
      <c r="K266" s="76">
        <v>0</v>
      </c>
      <c r="L266" s="258">
        <f>INDEX('C-P-RollAdj'!$P$4:$P$900,MATCH((U266),'C-P-RollAdj'!$O$4:$O$900,FALSE),0)</f>
        <v>18.329999999999998</v>
      </c>
      <c r="M266" s="76">
        <v>17</v>
      </c>
      <c r="N266" s="76">
        <v>8</v>
      </c>
      <c r="O266" s="76">
        <v>6</v>
      </c>
      <c r="P266" s="76">
        <v>1</v>
      </c>
      <c r="Q266" s="76">
        <v>8</v>
      </c>
      <c r="R266" s="76">
        <v>1</v>
      </c>
      <c r="S266" s="76">
        <v>18</v>
      </c>
      <c r="T266" s="76">
        <v>85</v>
      </c>
      <c r="U266" s="76">
        <v>18.100000000000001</v>
      </c>
      <c r="V266" s="100">
        <v>0.23300000000000001</v>
      </c>
      <c r="W266" s="76">
        <v>1.36</v>
      </c>
      <c r="X266" s="50"/>
      <c r="Y266" s="50">
        <f t="shared" si="62"/>
        <v>8.3333333333333321</v>
      </c>
      <c r="Z266" s="6">
        <f>IF(Y266&lt;LeagueRatings!$K$10,((LeagueRatings!$K$10-Y266)/LeagueRatings!$K$10)*36,(LeagueRatings!$K$10-Y266)*6.48)</f>
        <v>1.3881779458051384</v>
      </c>
      <c r="AA266" s="16">
        <f>INDEX('C-P-RollAdj'!$B$4:$B$76,MATCH(INT(Z266),'C-P-RollAdj'!$A$4:$A$76,FALSE),0)</f>
        <v>-0.08</v>
      </c>
      <c r="AB266" s="16">
        <f t="shared" si="63"/>
        <v>1.1904761904761905</v>
      </c>
      <c r="AC266" s="6">
        <f>IF(AB266&lt;LeagueRatings!$K$8,((LeagueRatings!$K$8-AB266)/LeagueRatings!$K$8)*36,(LeagueRatings!$K$8-AB266)/LeagueRatings!$K$11)</f>
        <v>22.616418346479694</v>
      </c>
      <c r="AD266" s="16">
        <f>INDEX('C-P-RollAdj'!$F$4:$F$76,MATCH(INT(AC266),'C-P-RollAdj'!$E$4:$E$76,FALSE),0)</f>
        <v>-1.78</v>
      </c>
      <c r="AE266" s="17">
        <f>+((LeagueRatings!$I$6-E266)*5)+9.5</f>
        <v>15.758051455277403</v>
      </c>
      <c r="AF266" s="17">
        <f t="shared" si="64"/>
        <v>15.758051455277403</v>
      </c>
      <c r="AG266" s="17">
        <f t="shared" si="65"/>
        <v>0.43791052918712464</v>
      </c>
      <c r="AH266" s="4">
        <f t="shared" si="66"/>
        <v>14.335961984464529</v>
      </c>
      <c r="AI266" s="41" t="s">
        <v>1219</v>
      </c>
      <c r="AJ266" s="5" t="s">
        <v>21</v>
      </c>
      <c r="AK266" s="219">
        <f>INDEX('C-P-RollAdj'!$J$4:$J$76,MATCH(INT(Z266),'C-P-RollAdj'!$I$4:$I$76,FALSE),0)</f>
        <v>11</v>
      </c>
      <c r="AL266" s="219">
        <f>INDEX('C-P-RollAdj'!$J$4:$J$76,MATCH(INT(AC266),'C-P-RollAdj'!$I$4:$I$76,FALSE),0)</f>
        <v>44</v>
      </c>
      <c r="AM266" s="14">
        <f>+AR266*LeagueRatings!$K$27</f>
        <v>10.555555555555555</v>
      </c>
      <c r="AN266" s="72">
        <f>F266*LeagueRatings!$K$27</f>
        <v>11.111111111111111</v>
      </c>
      <c r="AO266" s="72">
        <f>G266*LeagueRatings!$K$27</f>
        <v>0</v>
      </c>
      <c r="AP266" s="72">
        <f>T266*LeagueRatings!$K$27</f>
        <v>47.222222222222221</v>
      </c>
      <c r="AR266" s="72">
        <f>ROUNDUP(L266,0)</f>
        <v>19</v>
      </c>
      <c r="AW266" s="144">
        <v>25.67</v>
      </c>
    </row>
    <row r="267" spans="1:50" x14ac:dyDescent="0.2">
      <c r="Z267" s="6"/>
      <c r="AB267" s="16"/>
      <c r="AC267" s="6"/>
      <c r="AE267" s="17"/>
      <c r="AF267" s="17"/>
      <c r="AG267" s="17"/>
      <c r="AH267" s="4"/>
      <c r="AM267" s="72"/>
      <c r="AN267" s="72"/>
      <c r="AO267" s="72"/>
      <c r="AP267" s="72"/>
    </row>
    <row r="268" spans="1:50" s="12" customFormat="1" x14ac:dyDescent="0.2">
      <c r="A268" s="108"/>
      <c r="B268"/>
      <c r="C268" s="3"/>
      <c r="D268"/>
      <c r="E268" s="3"/>
      <c r="F268"/>
      <c r="G268" s="20"/>
      <c r="H268" s="176"/>
      <c r="I268" s="180"/>
      <c r="J268" s="21"/>
      <c r="K268"/>
      <c r="L268" s="111"/>
      <c r="M268"/>
      <c r="N268" s="3"/>
      <c r="O268"/>
      <c r="P268"/>
      <c r="Q268"/>
      <c r="R268" s="23"/>
      <c r="S268" s="10"/>
      <c r="T268" s="22"/>
      <c r="U268" s="22"/>
      <c r="V268" s="271"/>
      <c r="X268" s="16"/>
      <c r="Y268" s="16"/>
      <c r="Z268" s="6"/>
      <c r="AA268" s="16"/>
      <c r="AB268" s="43"/>
      <c r="AC268" s="6"/>
      <c r="AD268" s="16"/>
      <c r="AE268" s="43"/>
      <c r="AF268" s="43"/>
      <c r="AG268" s="43"/>
      <c r="AH268" s="16"/>
      <c r="AI268" s="108"/>
      <c r="AJ268" s="5"/>
      <c r="AK268" s="5"/>
      <c r="AL268" s="5"/>
      <c r="AM268" s="72"/>
      <c r="AN268" s="72"/>
      <c r="AO268" s="72"/>
      <c r="AP268" s="72"/>
      <c r="AQ268" s="24"/>
      <c r="AR268" s="113"/>
      <c r="AS268" s="113"/>
      <c r="AT268" s="113"/>
      <c r="AU268" s="113"/>
      <c r="AV268" s="24"/>
      <c r="AW268" s="108"/>
      <c r="AX268" s="24"/>
    </row>
    <row r="269" spans="1:50" x14ac:dyDescent="0.2">
      <c r="A269" s="131"/>
      <c r="B269" s="8"/>
      <c r="C269" s="132"/>
      <c r="D269" s="8"/>
      <c r="E269" s="132"/>
      <c r="F269" s="8"/>
      <c r="G269" s="133"/>
      <c r="H269" s="183"/>
      <c r="I269" s="181"/>
      <c r="J269" s="134"/>
      <c r="K269" s="8"/>
      <c r="L269" s="184"/>
      <c r="M269" s="8"/>
      <c r="N269" s="132"/>
      <c r="O269" s="8"/>
      <c r="P269" s="8"/>
      <c r="Q269" s="8"/>
      <c r="R269" s="135"/>
      <c r="S269" s="136"/>
      <c r="T269" s="137"/>
      <c r="U269" s="137"/>
      <c r="X269" s="117"/>
      <c r="Y269" s="117"/>
      <c r="Z269" s="116"/>
      <c r="AA269" s="117"/>
      <c r="AB269" s="118"/>
      <c r="AC269" s="116"/>
      <c r="AD269" s="117"/>
      <c r="AE269" s="119"/>
      <c r="AF269" s="119"/>
      <c r="AG269" s="119"/>
      <c r="AH269" s="128"/>
      <c r="AI269" s="131"/>
      <c r="AJ269" s="7"/>
      <c r="AK269" s="7"/>
      <c r="AL269" s="7"/>
      <c r="AM269" s="121"/>
      <c r="AN269" s="121"/>
      <c r="AO269" s="121"/>
      <c r="AP269" s="121"/>
      <c r="AQ269" s="28"/>
      <c r="AR269" s="114"/>
      <c r="AS269" s="114"/>
      <c r="AT269" s="114"/>
      <c r="AU269" s="114"/>
      <c r="AV269" s="28"/>
      <c r="AW269" s="131"/>
      <c r="AX269" s="28"/>
    </row>
    <row r="270" spans="1:50" x14ac:dyDescent="0.2">
      <c r="A270"/>
      <c r="B270" s="76"/>
      <c r="C270" s="76"/>
      <c r="D270" s="76"/>
      <c r="E270" s="97"/>
      <c r="F270" s="76"/>
      <c r="G270" s="76"/>
      <c r="H270" s="177"/>
      <c r="I270" s="177"/>
      <c r="J270" s="76"/>
      <c r="K270" s="76"/>
      <c r="L270" s="110"/>
      <c r="M270" s="76"/>
      <c r="N270" s="76"/>
      <c r="O270" s="76"/>
      <c r="P270" s="76"/>
      <c r="Q270" s="76"/>
      <c r="R270" s="76"/>
      <c r="S270" s="76"/>
      <c r="T270" s="76"/>
      <c r="U270" s="76"/>
      <c r="X270" s="50"/>
      <c r="Y270" s="50"/>
      <c r="Z270" s="6"/>
      <c r="AB270" s="16"/>
      <c r="AC270" s="6"/>
      <c r="AE270" s="17"/>
      <c r="AF270" s="17"/>
      <c r="AG270" s="17"/>
      <c r="AH270" s="4"/>
      <c r="AI270"/>
      <c r="AJ270" s="7"/>
      <c r="AK270" s="7"/>
      <c r="AL270" s="7"/>
      <c r="AM270" s="72"/>
      <c r="AN270" s="72"/>
      <c r="AO270" s="72"/>
      <c r="AP270" s="72"/>
      <c r="AW270" s="110">
        <v>39.1</v>
      </c>
    </row>
    <row r="271" spans="1:50" x14ac:dyDescent="0.2">
      <c r="A271"/>
      <c r="B271" s="76"/>
      <c r="C271" s="76"/>
      <c r="D271" s="76"/>
      <c r="E271" s="97"/>
      <c r="F271" s="76"/>
      <c r="G271" s="76"/>
      <c r="H271" s="177"/>
      <c r="I271" s="177"/>
      <c r="J271" s="76"/>
      <c r="K271" s="76"/>
      <c r="L271" s="97"/>
      <c r="M271" s="76"/>
      <c r="N271" s="76"/>
      <c r="O271" s="76"/>
      <c r="P271" s="76"/>
      <c r="Q271" s="76"/>
      <c r="R271" s="76"/>
      <c r="S271" s="76"/>
      <c r="T271" s="76"/>
      <c r="U271" s="76"/>
      <c r="X271" s="50"/>
      <c r="Y271" s="50"/>
      <c r="Z271" s="6"/>
      <c r="AB271" s="16"/>
      <c r="AC271" s="6"/>
      <c r="AE271" s="17"/>
      <c r="AF271" s="17"/>
      <c r="AG271" s="17"/>
      <c r="AH271" s="4"/>
      <c r="AI271"/>
      <c r="AM271" s="14"/>
      <c r="AN271" s="72"/>
      <c r="AO271" s="72"/>
      <c r="AP271" s="72"/>
      <c r="AQ271"/>
      <c r="AV271"/>
      <c r="AW271" s="97">
        <v>21</v>
      </c>
      <c r="AX271"/>
    </row>
    <row r="272" spans="1:50" x14ac:dyDescent="0.2">
      <c r="A272"/>
      <c r="C272"/>
      <c r="G272"/>
      <c r="I272" s="176"/>
      <c r="J272"/>
      <c r="L272" s="3"/>
      <c r="N272"/>
      <c r="R272"/>
      <c r="S272"/>
      <c r="T272" s="127"/>
      <c r="U272" s="127"/>
      <c r="Z272" s="6"/>
      <c r="AB272" s="16"/>
      <c r="AC272" s="6"/>
      <c r="AE272" s="17"/>
      <c r="AF272" s="17"/>
      <c r="AG272" s="17"/>
      <c r="AH272" s="4"/>
      <c r="AI272"/>
      <c r="AM272" s="14"/>
      <c r="AP272" s="44"/>
      <c r="AW272" s="3">
        <f>(AW270/100)/((AW270+AW271)/100)</f>
        <v>0.65058236272878545</v>
      </c>
    </row>
    <row r="273" spans="1:50" x14ac:dyDescent="0.2">
      <c r="A273"/>
      <c r="C273"/>
      <c r="G273"/>
      <c r="I273" s="176"/>
      <c r="J273"/>
      <c r="L273" s="3"/>
      <c r="N273"/>
      <c r="R273"/>
      <c r="S273"/>
      <c r="T273" s="127"/>
      <c r="U273" s="127"/>
      <c r="Z273" s="6"/>
      <c r="AB273" s="16"/>
      <c r="AC273" s="6"/>
      <c r="AE273" s="17"/>
      <c r="AF273" s="17"/>
      <c r="AG273" s="17"/>
      <c r="AH273" s="4"/>
      <c r="AI273"/>
      <c r="AM273" s="14"/>
      <c r="AP273" s="44"/>
      <c r="AW273" s="3">
        <f>(AW271/100)/((AW270+AW271)/100)</f>
        <v>0.34941763727121466</v>
      </c>
    </row>
    <row r="274" spans="1:50" x14ac:dyDescent="0.2">
      <c r="A274"/>
      <c r="C274"/>
      <c r="G274"/>
      <c r="I274" s="176"/>
      <c r="J274"/>
      <c r="L274" s="3"/>
      <c r="N274"/>
      <c r="R274"/>
      <c r="S274"/>
      <c r="T274" s="127"/>
      <c r="U274" s="127"/>
      <c r="Z274" s="6"/>
      <c r="AB274" s="16"/>
      <c r="AC274" s="6"/>
      <c r="AE274" s="17"/>
      <c r="AF274" s="17"/>
      <c r="AG274" s="17"/>
      <c r="AI274"/>
      <c r="AM274" s="14"/>
      <c r="AW274" s="3"/>
    </row>
    <row r="275" spans="1:50" x14ac:dyDescent="0.2">
      <c r="A275"/>
      <c r="C275"/>
      <c r="G275"/>
      <c r="I275" s="176"/>
      <c r="J275"/>
      <c r="L275" s="3"/>
      <c r="N275"/>
      <c r="R275"/>
      <c r="S275"/>
      <c r="T275" s="127"/>
      <c r="U275" s="127"/>
      <c r="Z275" s="6"/>
      <c r="AB275" s="16"/>
      <c r="AC275" s="6"/>
      <c r="AE275" s="17"/>
      <c r="AF275" s="17"/>
      <c r="AG275" s="17"/>
      <c r="AH275" s="4"/>
      <c r="AI275"/>
      <c r="AM275" s="14"/>
      <c r="AP275" s="44"/>
      <c r="AW275" s="3"/>
    </row>
    <row r="276" spans="1:50" x14ac:dyDescent="0.2">
      <c r="A276"/>
      <c r="B276" s="76"/>
      <c r="C276" s="76"/>
      <c r="D276" s="76"/>
      <c r="E276" s="97"/>
      <c r="F276" s="76"/>
      <c r="G276" s="76"/>
      <c r="H276" s="177"/>
      <c r="I276" s="177"/>
      <c r="J276" s="76"/>
      <c r="K276" s="76"/>
      <c r="L276" s="110"/>
      <c r="M276" s="76"/>
      <c r="N276" s="76"/>
      <c r="O276" s="76"/>
      <c r="P276" s="76"/>
      <c r="Q276" s="76"/>
      <c r="R276" s="76"/>
      <c r="S276" s="76"/>
      <c r="T276" s="76"/>
      <c r="U276" s="76"/>
      <c r="X276" s="50"/>
      <c r="Y276" s="50"/>
      <c r="Z276" s="6"/>
      <c r="AB276" s="16"/>
      <c r="AC276" s="6"/>
      <c r="AE276" s="17"/>
      <c r="AF276" s="17"/>
      <c r="AG276" s="17"/>
      <c r="AH276" s="4"/>
      <c r="AI276"/>
      <c r="AM276" s="72"/>
      <c r="AN276" s="72"/>
      <c r="AO276" s="72"/>
      <c r="AP276" s="72"/>
      <c r="AW276" s="110">
        <v>25.2</v>
      </c>
    </row>
    <row r="277" spans="1:50" x14ac:dyDescent="0.2">
      <c r="A277"/>
      <c r="B277" s="76"/>
      <c r="C277" s="76"/>
      <c r="D277" s="76"/>
      <c r="E277" s="97"/>
      <c r="F277" s="76"/>
      <c r="G277" s="76"/>
      <c r="H277" s="177"/>
      <c r="I277" s="177"/>
      <c r="J277" s="76"/>
      <c r="K277" s="76"/>
      <c r="L277" s="97"/>
      <c r="M277" s="76"/>
      <c r="N277" s="76"/>
      <c r="O277" s="76"/>
      <c r="P277" s="76"/>
      <c r="Q277" s="76"/>
      <c r="R277" s="76"/>
      <c r="S277" s="76"/>
      <c r="T277" s="76"/>
      <c r="U277" s="76"/>
      <c r="X277" s="50"/>
      <c r="Y277" s="50"/>
      <c r="Z277" s="6"/>
      <c r="AB277" s="16"/>
      <c r="AC277" s="6"/>
      <c r="AE277" s="17"/>
      <c r="AF277" s="17"/>
      <c r="AG277" s="17"/>
      <c r="AH277" s="4"/>
      <c r="AI277"/>
      <c r="AM277" s="14"/>
      <c r="AN277" s="72"/>
      <c r="AO277" s="72"/>
      <c r="AP277" s="72"/>
      <c r="AQ277"/>
      <c r="AV277"/>
      <c r="AW277" s="97">
        <v>14.67</v>
      </c>
      <c r="AX277"/>
    </row>
    <row r="278" spans="1:50" x14ac:dyDescent="0.2">
      <c r="A278"/>
      <c r="C278"/>
      <c r="G278"/>
      <c r="I278" s="176"/>
      <c r="J278"/>
      <c r="L278" s="3"/>
      <c r="N278"/>
      <c r="R278"/>
      <c r="S278"/>
      <c r="T278" s="127"/>
      <c r="U278" s="127"/>
      <c r="Z278" s="6"/>
      <c r="AB278" s="16"/>
      <c r="AC278" s="6"/>
      <c r="AE278" s="17"/>
      <c r="AF278" s="17"/>
      <c r="AG278" s="17"/>
      <c r="AH278" s="4"/>
      <c r="AI278"/>
      <c r="AM278" s="14"/>
      <c r="AP278" s="44"/>
      <c r="AW278" s="3">
        <f>(AW276/100)/((AW276+AW277)/100)</f>
        <v>0.6320541760722348</v>
      </c>
    </row>
    <row r="279" spans="1:50" x14ac:dyDescent="0.2">
      <c r="A279"/>
      <c r="C279"/>
      <c r="G279"/>
      <c r="I279" s="176"/>
      <c r="J279"/>
      <c r="L279" s="3"/>
      <c r="N279"/>
      <c r="R279"/>
      <c r="S279"/>
      <c r="T279" s="127"/>
      <c r="U279" s="127"/>
      <c r="Z279" s="6"/>
      <c r="AB279" s="16"/>
      <c r="AC279" s="6"/>
      <c r="AE279" s="17"/>
      <c r="AF279" s="17"/>
      <c r="AG279" s="17"/>
      <c r="AH279" s="4"/>
      <c r="AI279"/>
      <c r="AM279" s="14"/>
      <c r="AP279" s="44"/>
      <c r="AW279" s="3">
        <f>(AW277/100)/((AW276+AW277)/100)</f>
        <v>0.3679458239277652</v>
      </c>
    </row>
    <row r="280" spans="1:50" s="23" customFormat="1" ht="12.75" customHeight="1" x14ac:dyDescent="0.2">
      <c r="A280"/>
      <c r="B280"/>
      <c r="C280"/>
      <c r="D280"/>
      <c r="E280" s="3"/>
      <c r="F280"/>
      <c r="G280"/>
      <c r="H280" s="176"/>
      <c r="I280" s="176"/>
      <c r="J280"/>
      <c r="K280"/>
      <c r="L280" s="3"/>
      <c r="M280"/>
      <c r="N280"/>
      <c r="O280"/>
      <c r="P280"/>
      <c r="Q280"/>
      <c r="R280"/>
      <c r="S280"/>
      <c r="T280" s="127"/>
      <c r="U280" s="127"/>
      <c r="V280" s="270"/>
      <c r="X280" s="16"/>
      <c r="Y280" s="16"/>
      <c r="Z280" s="6"/>
      <c r="AA280" s="16"/>
      <c r="AB280" s="16"/>
      <c r="AC280" s="6"/>
      <c r="AD280" s="16"/>
      <c r="AE280" s="17"/>
      <c r="AF280" s="17"/>
      <c r="AG280" s="17"/>
      <c r="AH280" s="16"/>
      <c r="AI280"/>
      <c r="AJ280" s="5"/>
      <c r="AK280" s="5"/>
      <c r="AL280" s="5"/>
      <c r="AM280" s="14"/>
      <c r="AN280" s="14"/>
      <c r="AO280" s="14"/>
      <c r="AP280" s="14"/>
      <c r="AQ280" s="24"/>
      <c r="AR280" s="113"/>
      <c r="AS280" s="113"/>
      <c r="AT280" s="113"/>
      <c r="AU280" s="113"/>
      <c r="AV280" s="24"/>
      <c r="AW280" s="3"/>
      <c r="AX280" s="24"/>
    </row>
    <row r="281" spans="1:50" x14ac:dyDescent="0.2">
      <c r="A281"/>
      <c r="C281"/>
      <c r="G281"/>
      <c r="I281" s="176"/>
      <c r="J281"/>
      <c r="L281" s="3"/>
      <c r="N281"/>
      <c r="R281"/>
      <c r="S281"/>
      <c r="T281" s="127"/>
      <c r="U281" s="127"/>
      <c r="Z281" s="6"/>
      <c r="AB281" s="16"/>
      <c r="AC281" s="6"/>
      <c r="AE281" s="17"/>
      <c r="AF281" s="17"/>
      <c r="AG281" s="17"/>
      <c r="AH281" s="4"/>
      <c r="AI281"/>
      <c r="AM281" s="14"/>
      <c r="AP281" s="44"/>
      <c r="AW281" s="3"/>
    </row>
    <row r="282" spans="1:50" x14ac:dyDescent="0.2">
      <c r="A282"/>
      <c r="B282" s="76"/>
      <c r="C282" s="76"/>
      <c r="D282" s="76"/>
      <c r="E282" s="97"/>
      <c r="F282" s="76"/>
      <c r="G282" s="76"/>
      <c r="H282" s="177"/>
      <c r="I282" s="177"/>
      <c r="J282" s="76"/>
      <c r="K282" s="76"/>
      <c r="L282" s="97"/>
      <c r="M282" s="76"/>
      <c r="N282" s="76"/>
      <c r="O282" s="76"/>
      <c r="P282" s="76"/>
      <c r="Q282" s="76"/>
      <c r="R282" s="76"/>
      <c r="S282" s="76"/>
      <c r="T282" s="76"/>
      <c r="U282" s="76"/>
      <c r="X282" s="50"/>
      <c r="Y282" s="50"/>
      <c r="Z282" s="6"/>
      <c r="AB282" s="16"/>
      <c r="AC282" s="6"/>
      <c r="AE282" s="17"/>
      <c r="AF282" s="17"/>
      <c r="AG282" s="17"/>
      <c r="AH282" s="4"/>
      <c r="AI282"/>
      <c r="AM282" s="14"/>
      <c r="AN282" s="72"/>
      <c r="AO282" s="72"/>
      <c r="AP282" s="72"/>
      <c r="AW282" s="97">
        <v>46.2</v>
      </c>
    </row>
    <row r="283" spans="1:50" x14ac:dyDescent="0.2">
      <c r="A283"/>
      <c r="B283" s="76"/>
      <c r="C283" s="76"/>
      <c r="D283" s="76"/>
      <c r="E283" s="97"/>
      <c r="F283" s="76"/>
      <c r="G283" s="76"/>
      <c r="H283" s="177"/>
      <c r="I283" s="177"/>
      <c r="J283" s="76"/>
      <c r="K283" s="76"/>
      <c r="L283" s="97"/>
      <c r="M283" s="76"/>
      <c r="N283" s="76"/>
      <c r="O283" s="76"/>
      <c r="P283" s="76"/>
      <c r="Q283" s="76"/>
      <c r="R283" s="76"/>
      <c r="S283" s="76"/>
      <c r="T283" s="76"/>
      <c r="U283" s="76"/>
      <c r="X283" s="52"/>
      <c r="Y283" s="52"/>
      <c r="Z283" s="53"/>
      <c r="AA283" s="54"/>
      <c r="AB283" s="54"/>
      <c r="AC283" s="53"/>
      <c r="AD283" s="54"/>
      <c r="AE283" s="55"/>
      <c r="AF283" s="55"/>
      <c r="AG283" s="17"/>
      <c r="AH283" s="56"/>
      <c r="AI283"/>
      <c r="AM283" s="14"/>
      <c r="AN283" s="72"/>
      <c r="AO283" s="72"/>
      <c r="AP283" s="72"/>
      <c r="AQ283" s="12"/>
      <c r="AV283" s="12"/>
      <c r="AW283" s="97">
        <v>6</v>
      </c>
      <c r="AX283" s="12"/>
    </row>
    <row r="284" spans="1:50" x14ac:dyDescent="0.2">
      <c r="A284"/>
      <c r="C284"/>
      <c r="G284"/>
      <c r="I284" s="176"/>
      <c r="J284"/>
      <c r="L284" s="3"/>
      <c r="N284"/>
      <c r="R284"/>
      <c r="S284"/>
      <c r="T284" s="127"/>
      <c r="U284" s="127"/>
      <c r="Z284" s="6"/>
      <c r="AB284" s="16"/>
      <c r="AC284" s="6"/>
      <c r="AE284" s="17"/>
      <c r="AF284" s="17"/>
      <c r="AG284" s="17"/>
      <c r="AH284" s="4"/>
      <c r="AI284"/>
      <c r="AM284" s="14"/>
      <c r="AP284" s="44"/>
      <c r="AW284" s="3">
        <f>(AW282/100)/((AW282+AW283)/100)</f>
        <v>0.88505747126436785</v>
      </c>
    </row>
    <row r="285" spans="1:50" x14ac:dyDescent="0.2">
      <c r="A285"/>
      <c r="C285"/>
      <c r="G285"/>
      <c r="I285" s="176"/>
      <c r="J285"/>
      <c r="L285" s="3"/>
      <c r="N285"/>
      <c r="R285"/>
      <c r="S285"/>
      <c r="T285" s="127"/>
      <c r="U285" s="127"/>
      <c r="Z285" s="6"/>
      <c r="AB285" s="16"/>
      <c r="AC285" s="6"/>
      <c r="AE285" s="17"/>
      <c r="AF285" s="17"/>
      <c r="AG285" s="17"/>
      <c r="AH285" s="4"/>
      <c r="AI285"/>
      <c r="AM285" s="14"/>
      <c r="AP285" s="44"/>
      <c r="AW285" s="3">
        <f>(AW283/100)/((AW282+AW283)/100)</f>
        <v>0.11494252873563217</v>
      </c>
    </row>
    <row r="286" spans="1:50" x14ac:dyDescent="0.2">
      <c r="A286"/>
      <c r="C286"/>
      <c r="G286"/>
      <c r="I286" s="176"/>
      <c r="J286"/>
      <c r="L286" s="3"/>
      <c r="N286"/>
      <c r="R286"/>
      <c r="S286"/>
      <c r="T286" s="127"/>
      <c r="U286" s="127"/>
      <c r="Z286" s="6"/>
      <c r="AB286" s="16"/>
      <c r="AC286" s="6"/>
      <c r="AE286" s="17"/>
      <c r="AF286" s="17"/>
      <c r="AG286" s="17"/>
      <c r="AI286"/>
      <c r="AM286" s="14"/>
      <c r="AW286" s="3"/>
    </row>
    <row r="287" spans="1:50" x14ac:dyDescent="0.2">
      <c r="A287"/>
      <c r="C287"/>
      <c r="G287"/>
      <c r="I287" s="176"/>
      <c r="J287"/>
      <c r="L287" s="3"/>
      <c r="N287"/>
      <c r="R287"/>
      <c r="S287"/>
      <c r="T287" s="127"/>
      <c r="U287" s="127"/>
      <c r="Z287" s="6"/>
      <c r="AB287" s="16"/>
      <c r="AC287" s="6"/>
      <c r="AE287" s="17"/>
      <c r="AF287" s="17"/>
      <c r="AG287" s="17"/>
      <c r="AH287" s="4"/>
      <c r="AI287"/>
      <c r="AM287" s="14"/>
      <c r="AP287" s="44"/>
      <c r="AW287" s="3"/>
    </row>
    <row r="288" spans="1:50" x14ac:dyDescent="0.2">
      <c r="A288"/>
      <c r="B288" s="76"/>
      <c r="C288" s="76"/>
      <c r="D288" s="76"/>
      <c r="E288" s="97"/>
      <c r="F288" s="76"/>
      <c r="G288" s="76"/>
      <c r="H288" s="177"/>
      <c r="I288" s="177"/>
      <c r="J288" s="76"/>
      <c r="K288" s="76"/>
      <c r="L288" s="110"/>
      <c r="M288" s="76"/>
      <c r="N288" s="76"/>
      <c r="O288" s="76"/>
      <c r="P288" s="76"/>
      <c r="Q288" s="76"/>
      <c r="R288" s="76"/>
      <c r="S288" s="76"/>
      <c r="T288" s="76"/>
      <c r="U288" s="76"/>
      <c r="X288" s="50"/>
      <c r="Y288" s="50"/>
      <c r="Z288" s="6"/>
      <c r="AB288" s="16"/>
      <c r="AC288" s="6"/>
      <c r="AE288" s="17"/>
      <c r="AF288" s="17"/>
      <c r="AG288" s="17"/>
      <c r="AH288" s="4"/>
      <c r="AI288"/>
      <c r="AM288" s="72"/>
      <c r="AN288" s="72"/>
      <c r="AO288" s="72"/>
      <c r="AP288" s="72"/>
      <c r="AW288" s="110">
        <v>127.1</v>
      </c>
    </row>
    <row r="289" spans="1:50" x14ac:dyDescent="0.2">
      <c r="A289"/>
      <c r="B289" s="76"/>
      <c r="C289" s="76"/>
      <c r="D289" s="76"/>
      <c r="E289" s="97"/>
      <c r="F289" s="76"/>
      <c r="G289" s="76"/>
      <c r="H289" s="177"/>
      <c r="I289" s="177"/>
      <c r="J289" s="76"/>
      <c r="K289" s="76"/>
      <c r="L289" s="97"/>
      <c r="M289" s="76"/>
      <c r="N289" s="76"/>
      <c r="O289" s="76"/>
      <c r="P289" s="76"/>
      <c r="Q289" s="76"/>
      <c r="R289" s="76"/>
      <c r="S289" s="76"/>
      <c r="T289" s="76"/>
      <c r="U289" s="76"/>
      <c r="X289" s="50"/>
      <c r="Y289" s="50"/>
      <c r="Z289" s="6"/>
      <c r="AB289" s="16"/>
      <c r="AC289" s="6"/>
      <c r="AE289" s="17"/>
      <c r="AF289" s="17"/>
      <c r="AG289" s="17"/>
      <c r="AH289" s="4"/>
      <c r="AI289"/>
      <c r="AM289" s="14"/>
      <c r="AN289" s="72"/>
      <c r="AO289" s="72"/>
      <c r="AP289" s="72"/>
      <c r="AW289" s="97">
        <v>43</v>
      </c>
    </row>
    <row r="290" spans="1:50" x14ac:dyDescent="0.2">
      <c r="A290"/>
      <c r="C290"/>
      <c r="G290"/>
      <c r="I290" s="176"/>
      <c r="J290"/>
      <c r="L290" s="3"/>
      <c r="N290"/>
      <c r="R290"/>
      <c r="S290"/>
      <c r="T290" s="127"/>
      <c r="U290" s="127"/>
      <c r="Z290" s="6"/>
      <c r="AB290" s="16"/>
      <c r="AC290" s="6"/>
      <c r="AE290" s="17"/>
      <c r="AF290" s="17"/>
      <c r="AG290" s="17"/>
      <c r="AH290" s="4"/>
      <c r="AI290"/>
      <c r="AM290" s="14"/>
      <c r="AP290" s="44"/>
      <c r="AW290" s="3">
        <f>(AW288/100)/((AW288+AW289)/100)</f>
        <v>0.74720752498530274</v>
      </c>
    </row>
    <row r="291" spans="1:50" x14ac:dyDescent="0.2">
      <c r="A291"/>
      <c r="C291"/>
      <c r="G291"/>
      <c r="I291" s="176"/>
      <c r="J291"/>
      <c r="L291" s="3"/>
      <c r="N291"/>
      <c r="R291"/>
      <c r="S291"/>
      <c r="T291" s="127"/>
      <c r="U291" s="127"/>
      <c r="Z291" s="6"/>
      <c r="AB291" s="16"/>
      <c r="AC291" s="6"/>
      <c r="AE291" s="17"/>
      <c r="AF291" s="17"/>
      <c r="AG291" s="17"/>
      <c r="AH291" s="4"/>
      <c r="AI291"/>
      <c r="AM291" s="14"/>
      <c r="AP291" s="44"/>
      <c r="AW291" s="3">
        <f>(AW289/100)/((AW288+AW289)/100)</f>
        <v>0.25279247501469726</v>
      </c>
    </row>
    <row r="292" spans="1:50" s="12" customFormat="1" x14ac:dyDescent="0.2">
      <c r="A292"/>
      <c r="B292"/>
      <c r="C292"/>
      <c r="D292"/>
      <c r="E292" s="3"/>
      <c r="F292"/>
      <c r="G292"/>
      <c r="H292" s="176"/>
      <c r="I292" s="176"/>
      <c r="J292"/>
      <c r="K292"/>
      <c r="L292" s="3"/>
      <c r="M292"/>
      <c r="N292"/>
      <c r="O292"/>
      <c r="P292"/>
      <c r="Q292"/>
      <c r="R292"/>
      <c r="S292"/>
      <c r="T292" s="127"/>
      <c r="U292" s="127"/>
      <c r="V292" s="271"/>
      <c r="X292" s="16"/>
      <c r="Y292" s="16"/>
      <c r="Z292" s="6"/>
      <c r="AA292" s="16"/>
      <c r="AB292" s="16"/>
      <c r="AC292" s="6"/>
      <c r="AD292" s="16"/>
      <c r="AE292" s="17"/>
      <c r="AF292" s="17"/>
      <c r="AG292" s="17"/>
      <c r="AH292" s="16"/>
      <c r="AI292"/>
      <c r="AJ292" s="5"/>
      <c r="AK292" s="5"/>
      <c r="AL292" s="5"/>
      <c r="AM292" s="14"/>
      <c r="AN292" s="14"/>
      <c r="AO292" s="14"/>
      <c r="AP292" s="14"/>
      <c r="AQ292" s="24"/>
      <c r="AR292" s="113"/>
      <c r="AS292" s="113"/>
      <c r="AT292" s="113"/>
      <c r="AU292" s="113"/>
      <c r="AV292" s="24"/>
      <c r="AW292" s="3"/>
      <c r="AX292" s="24"/>
    </row>
    <row r="293" spans="1:50" x14ac:dyDescent="0.2">
      <c r="A293"/>
      <c r="C293"/>
      <c r="G293"/>
      <c r="I293" s="176"/>
      <c r="J293"/>
      <c r="L293" s="3"/>
      <c r="N293"/>
      <c r="R293"/>
      <c r="S293"/>
      <c r="T293" s="127"/>
      <c r="U293" s="127"/>
      <c r="Z293" s="6"/>
      <c r="AB293" s="16"/>
      <c r="AC293" s="6"/>
      <c r="AE293" s="17"/>
      <c r="AF293" s="17"/>
      <c r="AG293" s="17"/>
      <c r="AH293" s="4"/>
      <c r="AI293"/>
      <c r="AM293" s="14"/>
      <c r="AP293" s="44"/>
      <c r="AW293" s="3"/>
    </row>
    <row r="294" spans="1:50" x14ac:dyDescent="0.2">
      <c r="A294"/>
      <c r="B294" s="76"/>
      <c r="C294" s="76"/>
      <c r="D294" s="76"/>
      <c r="E294" s="97"/>
      <c r="F294" s="76"/>
      <c r="G294" s="76"/>
      <c r="H294" s="177"/>
      <c r="I294" s="177"/>
      <c r="J294" s="76"/>
      <c r="K294" s="76"/>
      <c r="L294" s="97"/>
      <c r="M294" s="76"/>
      <c r="N294" s="76"/>
      <c r="O294" s="76"/>
      <c r="P294" s="76"/>
      <c r="Q294" s="76"/>
      <c r="R294" s="76"/>
      <c r="S294" s="76"/>
      <c r="T294" s="76"/>
      <c r="U294" s="76"/>
      <c r="X294" s="50"/>
      <c r="Y294" s="50"/>
      <c r="Z294" s="6"/>
      <c r="AB294" s="16"/>
      <c r="AC294" s="6"/>
      <c r="AD294" s="68"/>
      <c r="AE294" s="17"/>
      <c r="AF294" s="17"/>
      <c r="AG294" s="17"/>
      <c r="AH294" s="4"/>
      <c r="AI294"/>
      <c r="AM294" s="14"/>
      <c r="AN294" s="72"/>
      <c r="AO294" s="72"/>
      <c r="AP294" s="72"/>
      <c r="AW294" s="97">
        <v>5</v>
      </c>
    </row>
    <row r="295" spans="1:50" x14ac:dyDescent="0.2">
      <c r="A295"/>
      <c r="B295" s="76"/>
      <c r="C295" s="76"/>
      <c r="D295" s="76"/>
      <c r="E295" s="97"/>
      <c r="F295" s="76"/>
      <c r="G295" s="76"/>
      <c r="H295" s="177"/>
      <c r="I295" s="177"/>
      <c r="J295" s="76"/>
      <c r="K295" s="76"/>
      <c r="L295" s="110"/>
      <c r="M295" s="76"/>
      <c r="N295" s="76"/>
      <c r="O295" s="76"/>
      <c r="P295" s="76"/>
      <c r="Q295" s="76"/>
      <c r="R295" s="76"/>
      <c r="S295" s="76"/>
      <c r="T295" s="76"/>
      <c r="U295" s="76"/>
      <c r="X295" s="50"/>
      <c r="Y295" s="50"/>
      <c r="Z295" s="6"/>
      <c r="AB295" s="16"/>
      <c r="AC295" s="6"/>
      <c r="AE295" s="17"/>
      <c r="AF295" s="17"/>
      <c r="AG295" s="17"/>
      <c r="AH295" s="4"/>
      <c r="AI295"/>
      <c r="AJ295" s="94"/>
      <c r="AK295" s="94"/>
      <c r="AL295" s="94"/>
      <c r="AM295" s="72"/>
      <c r="AN295" s="72"/>
      <c r="AO295" s="72"/>
      <c r="AP295" s="72"/>
      <c r="AQ295" s="76"/>
      <c r="AV295" s="76"/>
      <c r="AW295" s="110">
        <v>102.67</v>
      </c>
      <c r="AX295" s="23"/>
    </row>
    <row r="296" spans="1:50" x14ac:dyDescent="0.2">
      <c r="A296"/>
      <c r="C296"/>
      <c r="G296"/>
      <c r="I296" s="176"/>
      <c r="J296"/>
      <c r="L296" s="3"/>
      <c r="N296"/>
      <c r="R296"/>
      <c r="S296"/>
      <c r="T296" s="127"/>
      <c r="U296" s="127"/>
      <c r="Z296" s="6"/>
      <c r="AB296" s="16"/>
      <c r="AC296" s="6"/>
      <c r="AE296" s="17"/>
      <c r="AF296" s="17"/>
      <c r="AG296" s="17"/>
      <c r="AH296" s="4"/>
      <c r="AI296"/>
      <c r="AM296" s="14"/>
      <c r="AP296" s="44"/>
      <c r="AW296" s="3">
        <f>(AW294/100)/((AW294+AW295)/100)</f>
        <v>4.6438190768087681E-2</v>
      </c>
    </row>
    <row r="297" spans="1:50" s="11" customFormat="1" x14ac:dyDescent="0.2">
      <c r="A297"/>
      <c r="B297"/>
      <c r="C297"/>
      <c r="D297"/>
      <c r="E297" s="3"/>
      <c r="F297"/>
      <c r="G297"/>
      <c r="H297" s="176"/>
      <c r="I297" s="176"/>
      <c r="J297"/>
      <c r="K297"/>
      <c r="L297" s="3"/>
      <c r="M297"/>
      <c r="N297"/>
      <c r="O297"/>
      <c r="P297"/>
      <c r="Q297"/>
      <c r="R297"/>
      <c r="S297"/>
      <c r="T297" s="127"/>
      <c r="U297" s="127"/>
      <c r="V297" s="272"/>
      <c r="X297" s="16"/>
      <c r="Y297" s="16"/>
      <c r="Z297" s="6"/>
      <c r="AA297" s="16"/>
      <c r="AB297" s="16"/>
      <c r="AC297" s="6"/>
      <c r="AD297" s="16"/>
      <c r="AE297" s="17"/>
      <c r="AF297" s="17"/>
      <c r="AG297" s="17"/>
      <c r="AH297" s="4"/>
      <c r="AI297"/>
      <c r="AJ297" s="5"/>
      <c r="AK297" s="5"/>
      <c r="AL297" s="5"/>
      <c r="AM297" s="14"/>
      <c r="AN297" s="14"/>
      <c r="AO297" s="14"/>
      <c r="AP297" s="44"/>
      <c r="AQ297" s="24"/>
      <c r="AR297" s="113"/>
      <c r="AS297" s="113"/>
      <c r="AT297" s="113"/>
      <c r="AU297" s="113"/>
      <c r="AV297" s="24"/>
      <c r="AW297" s="3">
        <f>(AW295/100)/((AW294+AW295)/100)</f>
        <v>0.95356180923191225</v>
      </c>
      <c r="AX297" s="24"/>
    </row>
    <row r="298" spans="1:50" x14ac:dyDescent="0.2">
      <c r="A298"/>
      <c r="C298"/>
      <c r="G298"/>
      <c r="I298" s="176"/>
      <c r="J298"/>
      <c r="L298" s="3"/>
      <c r="N298"/>
      <c r="R298"/>
      <c r="S298"/>
      <c r="T298" s="127"/>
      <c r="U298" s="127"/>
      <c r="Z298" s="6"/>
      <c r="AB298" s="16"/>
      <c r="AC298" s="6"/>
      <c r="AE298" s="17"/>
      <c r="AF298" s="17"/>
      <c r="AG298" s="17"/>
      <c r="AI298"/>
      <c r="AM298" s="14"/>
      <c r="AW298" s="3"/>
    </row>
    <row r="299" spans="1:50" x14ac:dyDescent="0.2">
      <c r="A299"/>
      <c r="C299"/>
      <c r="G299"/>
      <c r="I299" s="176"/>
      <c r="J299"/>
      <c r="L299" s="3"/>
      <c r="N299"/>
      <c r="R299"/>
      <c r="S299"/>
      <c r="T299" s="127"/>
      <c r="U299" s="127"/>
      <c r="Z299" s="6"/>
      <c r="AB299" s="16"/>
      <c r="AC299" s="6"/>
      <c r="AE299" s="17"/>
      <c r="AF299" s="17"/>
      <c r="AG299" s="17"/>
      <c r="AH299" s="4"/>
      <c r="AI299"/>
      <c r="AM299" s="14"/>
      <c r="AP299" s="44"/>
      <c r="AW299" s="3"/>
    </row>
    <row r="300" spans="1:50" x14ac:dyDescent="0.2">
      <c r="A300"/>
      <c r="B300" s="76"/>
      <c r="C300" s="76"/>
      <c r="D300" s="76"/>
      <c r="E300" s="97"/>
      <c r="F300" s="76"/>
      <c r="G300" s="76"/>
      <c r="H300" s="177"/>
      <c r="I300" s="177"/>
      <c r="J300" s="76"/>
      <c r="K300" s="76"/>
      <c r="L300" s="97"/>
      <c r="M300" s="76"/>
      <c r="N300" s="76"/>
      <c r="O300" s="76"/>
      <c r="P300" s="76"/>
      <c r="Q300" s="76"/>
      <c r="R300" s="76"/>
      <c r="S300" s="76"/>
      <c r="T300" s="76"/>
      <c r="U300" s="76"/>
      <c r="X300" s="50"/>
      <c r="Y300" s="50"/>
      <c r="Z300" s="6"/>
      <c r="AB300" s="16"/>
      <c r="AC300" s="6"/>
      <c r="AD300" s="68"/>
      <c r="AE300" s="17"/>
      <c r="AF300" s="17"/>
      <c r="AG300" s="17"/>
      <c r="AH300" s="4"/>
      <c r="AI300"/>
      <c r="AM300" s="14"/>
      <c r="AN300" s="72"/>
      <c r="AO300" s="72"/>
      <c r="AP300" s="72"/>
      <c r="AW300" s="97">
        <v>133.1</v>
      </c>
    </row>
    <row r="301" spans="1:50" x14ac:dyDescent="0.2">
      <c r="A301"/>
      <c r="B301" s="76"/>
      <c r="C301" s="76"/>
      <c r="D301" s="76"/>
      <c r="E301" s="97"/>
      <c r="F301" s="76"/>
      <c r="G301" s="76"/>
      <c r="H301" s="177"/>
      <c r="I301" s="177"/>
      <c r="J301" s="76"/>
      <c r="K301" s="76"/>
      <c r="L301" s="97"/>
      <c r="M301" s="76"/>
      <c r="N301" s="76"/>
      <c r="O301" s="76"/>
      <c r="P301" s="76"/>
      <c r="Q301" s="76"/>
      <c r="R301" s="76"/>
      <c r="S301" s="76"/>
      <c r="T301" s="76"/>
      <c r="U301" s="76"/>
      <c r="X301" s="50"/>
      <c r="Y301" s="50"/>
      <c r="Z301" s="6"/>
      <c r="AB301" s="16"/>
      <c r="AC301" s="6"/>
      <c r="AE301" s="17"/>
      <c r="AF301" s="17"/>
      <c r="AG301" s="17"/>
      <c r="AH301" s="4"/>
      <c r="AI301"/>
      <c r="AM301" s="14"/>
      <c r="AN301" s="72"/>
      <c r="AO301" s="72"/>
      <c r="AP301" s="72"/>
      <c r="AW301" s="97">
        <v>57.67</v>
      </c>
    </row>
    <row r="302" spans="1:50" x14ac:dyDescent="0.2">
      <c r="A302"/>
      <c r="C302"/>
      <c r="G302"/>
      <c r="I302" s="176"/>
      <c r="J302"/>
      <c r="L302" s="3"/>
      <c r="N302"/>
      <c r="R302"/>
      <c r="S302"/>
      <c r="T302" s="127"/>
      <c r="U302" s="127"/>
      <c r="Z302" s="6"/>
      <c r="AB302" s="16"/>
      <c r="AC302" s="6"/>
      <c r="AE302" s="17"/>
      <c r="AF302" s="17"/>
      <c r="AG302" s="17"/>
      <c r="AH302" s="4"/>
      <c r="AI302"/>
      <c r="AM302" s="14"/>
      <c r="AP302" s="44"/>
      <c r="AW302" s="3">
        <f>(AW300/100)/((AW300+AW301)/100)</f>
        <v>0.69769879960161463</v>
      </c>
    </row>
    <row r="303" spans="1:50" s="26" customFormat="1" x14ac:dyDescent="0.2">
      <c r="A303"/>
      <c r="B303"/>
      <c r="C303"/>
      <c r="D303"/>
      <c r="E303" s="3"/>
      <c r="F303"/>
      <c r="G303"/>
      <c r="H303" s="176"/>
      <c r="I303" s="176"/>
      <c r="J303"/>
      <c r="K303"/>
      <c r="L303" s="3"/>
      <c r="M303"/>
      <c r="N303"/>
      <c r="O303"/>
      <c r="P303"/>
      <c r="Q303"/>
      <c r="R303"/>
      <c r="S303"/>
      <c r="T303" s="127"/>
      <c r="U303" s="127"/>
      <c r="V303" s="268"/>
      <c r="X303" s="16"/>
      <c r="Y303" s="16"/>
      <c r="Z303" s="6"/>
      <c r="AA303" s="16"/>
      <c r="AB303" s="16"/>
      <c r="AC303" s="6"/>
      <c r="AD303" s="16"/>
      <c r="AE303" s="17"/>
      <c r="AF303" s="17"/>
      <c r="AG303" s="17"/>
      <c r="AH303" s="4"/>
      <c r="AI303"/>
      <c r="AJ303" s="5"/>
      <c r="AK303" s="5"/>
      <c r="AL303" s="5"/>
      <c r="AM303" s="14"/>
      <c r="AN303" s="14"/>
      <c r="AO303" s="14"/>
      <c r="AP303" s="44"/>
      <c r="AQ303" s="24"/>
      <c r="AR303" s="113"/>
      <c r="AS303" s="113"/>
      <c r="AT303" s="113"/>
      <c r="AU303" s="113"/>
      <c r="AV303" s="24"/>
      <c r="AW303" s="3">
        <f>(AW301/100)/((AW300+AW301)/100)</f>
        <v>0.30230120039838554</v>
      </c>
      <c r="AX303" s="24"/>
    </row>
    <row r="304" spans="1:50" s="12" customFormat="1" x14ac:dyDescent="0.2">
      <c r="A304"/>
      <c r="B304"/>
      <c r="C304"/>
      <c r="D304"/>
      <c r="E304" s="3"/>
      <c r="F304"/>
      <c r="G304"/>
      <c r="H304" s="176"/>
      <c r="I304" s="176"/>
      <c r="J304"/>
      <c r="K304"/>
      <c r="L304" s="3"/>
      <c r="M304"/>
      <c r="N304"/>
      <c r="O304"/>
      <c r="P304"/>
      <c r="Q304"/>
      <c r="R304"/>
      <c r="S304"/>
      <c r="T304" s="127"/>
      <c r="U304" s="127"/>
      <c r="V304" s="271"/>
      <c r="X304" s="16"/>
      <c r="Y304" s="16"/>
      <c r="Z304" s="6"/>
      <c r="AA304" s="16"/>
      <c r="AB304" s="16"/>
      <c r="AC304" s="6"/>
      <c r="AD304" s="16"/>
      <c r="AE304" s="17"/>
      <c r="AF304" s="17"/>
      <c r="AG304" s="17"/>
      <c r="AH304" s="16"/>
      <c r="AI304"/>
      <c r="AJ304" s="5"/>
      <c r="AK304" s="5"/>
      <c r="AL304" s="5"/>
      <c r="AM304" s="14"/>
      <c r="AN304" s="14"/>
      <c r="AO304" s="14"/>
      <c r="AP304" s="14"/>
      <c r="AQ304" s="24"/>
      <c r="AR304" s="113"/>
      <c r="AS304" s="113"/>
      <c r="AT304" s="113"/>
      <c r="AU304" s="113"/>
      <c r="AV304" s="24"/>
      <c r="AW304" s="3"/>
      <c r="AX304" s="24"/>
    </row>
    <row r="305" spans="1:50" x14ac:dyDescent="0.2">
      <c r="A305"/>
      <c r="C305"/>
      <c r="G305"/>
      <c r="I305" s="176"/>
      <c r="J305"/>
      <c r="L305" s="3"/>
      <c r="N305"/>
      <c r="R305"/>
      <c r="S305"/>
      <c r="T305" s="127"/>
      <c r="U305" s="127"/>
      <c r="Z305" s="6"/>
      <c r="AB305" s="16"/>
      <c r="AC305" s="6"/>
      <c r="AE305" s="17"/>
      <c r="AF305" s="17"/>
      <c r="AG305" s="17"/>
      <c r="AH305" s="4"/>
      <c r="AI305"/>
      <c r="AM305" s="14"/>
      <c r="AP305" s="44"/>
      <c r="AW305" s="3"/>
    </row>
    <row r="306" spans="1:50" x14ac:dyDescent="0.2">
      <c r="A306"/>
      <c r="B306" s="76"/>
      <c r="C306" s="76"/>
      <c r="D306" s="76"/>
      <c r="E306" s="97"/>
      <c r="F306" s="76"/>
      <c r="G306" s="76"/>
      <c r="H306" s="177"/>
      <c r="I306" s="177"/>
      <c r="J306" s="76"/>
      <c r="K306" s="76"/>
      <c r="L306" s="110"/>
      <c r="M306" s="76"/>
      <c r="N306" s="76"/>
      <c r="O306" s="76"/>
      <c r="P306" s="76"/>
      <c r="Q306" s="76"/>
      <c r="R306" s="76"/>
      <c r="S306" s="76"/>
      <c r="T306" s="76"/>
      <c r="U306" s="76"/>
      <c r="X306" s="50"/>
      <c r="Y306" s="50"/>
      <c r="Z306" s="6"/>
      <c r="AB306" s="16"/>
      <c r="AC306" s="6"/>
      <c r="AE306" s="17"/>
      <c r="AF306" s="17"/>
      <c r="AG306" s="17"/>
      <c r="AH306" s="4"/>
      <c r="AI306"/>
      <c r="AM306" s="72"/>
      <c r="AN306" s="72"/>
      <c r="AO306" s="72"/>
      <c r="AP306" s="72"/>
      <c r="AW306" s="110">
        <v>3</v>
      </c>
    </row>
    <row r="307" spans="1:50" x14ac:dyDescent="0.2">
      <c r="A307"/>
      <c r="B307" s="76"/>
      <c r="C307" s="76"/>
      <c r="D307" s="76"/>
      <c r="E307" s="97"/>
      <c r="F307" s="76"/>
      <c r="G307" s="76"/>
      <c r="H307" s="177"/>
      <c r="I307" s="177"/>
      <c r="J307" s="76"/>
      <c r="K307" s="76"/>
      <c r="L307" s="97"/>
      <c r="M307" s="76"/>
      <c r="N307" s="76"/>
      <c r="O307" s="76"/>
      <c r="P307" s="76"/>
      <c r="Q307" s="76"/>
      <c r="R307" s="76"/>
      <c r="S307" s="76"/>
      <c r="T307" s="76"/>
      <c r="U307" s="76"/>
      <c r="X307" s="50"/>
      <c r="Y307" s="50"/>
      <c r="Z307" s="6"/>
      <c r="AB307" s="16"/>
      <c r="AC307" s="6"/>
      <c r="AE307" s="17"/>
      <c r="AF307" s="17"/>
      <c r="AG307" s="17"/>
      <c r="AH307" s="4"/>
      <c r="AI307"/>
      <c r="AJ307" s="7"/>
      <c r="AK307" s="7"/>
      <c r="AL307" s="7"/>
      <c r="AM307" s="14"/>
      <c r="AN307" s="72"/>
      <c r="AO307" s="72"/>
      <c r="AP307" s="72"/>
      <c r="AQ307" s="12"/>
      <c r="AV307" s="12"/>
      <c r="AW307" s="97">
        <v>36.67</v>
      </c>
      <c r="AX307" s="12"/>
    </row>
    <row r="308" spans="1:50" x14ac:dyDescent="0.2">
      <c r="A308"/>
      <c r="C308"/>
      <c r="G308"/>
      <c r="I308" s="176"/>
      <c r="J308"/>
      <c r="L308" s="3"/>
      <c r="N308"/>
      <c r="R308"/>
      <c r="S308"/>
      <c r="T308" s="127"/>
      <c r="U308" s="127"/>
      <c r="Z308" s="6"/>
      <c r="AB308" s="16"/>
      <c r="AC308" s="6"/>
      <c r="AE308" s="17"/>
      <c r="AF308" s="17"/>
      <c r="AG308" s="17"/>
      <c r="AH308" s="4"/>
      <c r="AI308"/>
      <c r="AM308" s="14"/>
      <c r="AP308" s="44"/>
      <c r="AW308" s="3">
        <f>(AW306/100)/((AW306+AW307)/100)</f>
        <v>7.5623897151499878E-2</v>
      </c>
    </row>
    <row r="309" spans="1:50" x14ac:dyDescent="0.2">
      <c r="A309"/>
      <c r="C309"/>
      <c r="G309"/>
      <c r="I309" s="176"/>
      <c r="J309"/>
      <c r="L309" s="3"/>
      <c r="N309"/>
      <c r="R309"/>
      <c r="S309"/>
      <c r="T309" s="127"/>
      <c r="U309" s="127"/>
      <c r="Z309" s="6"/>
      <c r="AB309" s="16"/>
      <c r="AC309" s="6"/>
      <c r="AE309" s="17"/>
      <c r="AF309" s="17"/>
      <c r="AG309" s="17"/>
      <c r="AH309" s="4"/>
      <c r="AI309"/>
      <c r="AM309" s="14"/>
      <c r="AP309" s="44"/>
      <c r="AW309" s="3">
        <f>(AW307/100)/((AW306+AW307)/100)</f>
        <v>0.92437610284850025</v>
      </c>
    </row>
    <row r="310" spans="1:50" x14ac:dyDescent="0.2">
      <c r="A310"/>
      <c r="C310"/>
      <c r="G310"/>
      <c r="I310" s="176"/>
      <c r="J310"/>
      <c r="L310" s="3"/>
      <c r="N310"/>
      <c r="R310"/>
      <c r="S310"/>
      <c r="T310" s="127"/>
      <c r="U310" s="127"/>
      <c r="Z310" s="6"/>
      <c r="AB310" s="16"/>
      <c r="AC310" s="6"/>
      <c r="AE310" s="17"/>
      <c r="AF310" s="17"/>
      <c r="AG310" s="17"/>
      <c r="AI310"/>
      <c r="AM310" s="14"/>
      <c r="AW310" s="3"/>
    </row>
    <row r="311" spans="1:50" x14ac:dyDescent="0.2">
      <c r="A311"/>
      <c r="C311"/>
      <c r="G311"/>
      <c r="I311" s="176"/>
      <c r="J311"/>
      <c r="L311" s="3"/>
      <c r="N311"/>
      <c r="R311"/>
      <c r="S311"/>
      <c r="T311" s="127"/>
      <c r="U311" s="127"/>
      <c r="Z311" s="6"/>
      <c r="AB311" s="16"/>
      <c r="AC311" s="6"/>
      <c r="AE311" s="17"/>
      <c r="AF311" s="17"/>
      <c r="AG311" s="17"/>
      <c r="AH311" s="4"/>
      <c r="AI311"/>
      <c r="AM311" s="14"/>
      <c r="AP311" s="44"/>
      <c r="AW311" s="3"/>
    </row>
    <row r="312" spans="1:50" x14ac:dyDescent="0.2">
      <c r="A312"/>
      <c r="B312" s="76"/>
      <c r="C312" s="76"/>
      <c r="D312" s="76"/>
      <c r="E312" s="97"/>
      <c r="F312" s="76"/>
      <c r="G312" s="76"/>
      <c r="H312" s="177"/>
      <c r="I312" s="177"/>
      <c r="J312" s="76"/>
      <c r="K312" s="76"/>
      <c r="L312" s="97"/>
      <c r="M312" s="76"/>
      <c r="N312" s="76"/>
      <c r="O312" s="76"/>
      <c r="P312" s="76"/>
      <c r="Q312" s="76"/>
      <c r="R312" s="76"/>
      <c r="S312" s="76"/>
      <c r="T312" s="76"/>
      <c r="U312" s="76"/>
      <c r="X312" s="50"/>
      <c r="Y312" s="50"/>
      <c r="Z312" s="6"/>
      <c r="AB312" s="16"/>
      <c r="AC312" s="6"/>
      <c r="AE312" s="17"/>
      <c r="AF312" s="17"/>
      <c r="AG312" s="17"/>
      <c r="AH312" s="4"/>
      <c r="AI312"/>
      <c r="AM312" s="14"/>
      <c r="AN312" s="72"/>
      <c r="AO312" s="72"/>
      <c r="AP312" s="72"/>
      <c r="AQ312" s="11"/>
      <c r="AV312" s="11"/>
      <c r="AW312" s="97">
        <v>43.1</v>
      </c>
      <c r="AX312" s="11"/>
    </row>
    <row r="313" spans="1:50" x14ac:dyDescent="0.2">
      <c r="A313"/>
      <c r="B313" s="76"/>
      <c r="C313" s="76"/>
      <c r="D313" s="76"/>
      <c r="E313" s="97"/>
      <c r="F313" s="76"/>
      <c r="G313" s="76"/>
      <c r="H313" s="177"/>
      <c r="I313" s="177"/>
      <c r="J313" s="76"/>
      <c r="K313" s="76"/>
      <c r="L313" s="110"/>
      <c r="M313" s="76"/>
      <c r="N313" s="76"/>
      <c r="O313" s="76"/>
      <c r="P313" s="76"/>
      <c r="Q313" s="76"/>
      <c r="R313" s="76"/>
      <c r="S313" s="76"/>
      <c r="T313" s="76"/>
      <c r="U313" s="76"/>
      <c r="X313" s="50"/>
      <c r="Y313" s="50"/>
      <c r="Z313" s="6"/>
      <c r="AB313" s="16"/>
      <c r="AC313" s="6"/>
      <c r="AE313" s="17"/>
      <c r="AF313" s="17"/>
      <c r="AG313" s="17"/>
      <c r="AH313" s="4"/>
      <c r="AI313"/>
      <c r="AM313" s="72"/>
      <c r="AN313" s="72"/>
      <c r="AO313" s="72"/>
      <c r="AP313" s="72"/>
      <c r="AW313" s="110">
        <v>20</v>
      </c>
    </row>
    <row r="314" spans="1:50" x14ac:dyDescent="0.2">
      <c r="A314"/>
      <c r="C314"/>
      <c r="G314"/>
      <c r="I314" s="176"/>
      <c r="J314"/>
      <c r="L314" s="3"/>
      <c r="N314"/>
      <c r="R314"/>
      <c r="S314"/>
      <c r="T314" s="127"/>
      <c r="U314" s="127"/>
      <c r="Z314" s="6"/>
      <c r="AB314" s="16"/>
      <c r="AC314" s="6"/>
      <c r="AE314" s="17"/>
      <c r="AF314" s="17"/>
      <c r="AG314" s="17"/>
      <c r="AH314" s="4"/>
      <c r="AI314"/>
      <c r="AM314" s="14"/>
      <c r="AP314" s="44"/>
      <c r="AW314" s="3">
        <f>(AW312/100)/((AW312+AW313)/100)</f>
        <v>0.68304278922345485</v>
      </c>
    </row>
    <row r="315" spans="1:50" x14ac:dyDescent="0.2">
      <c r="A315"/>
      <c r="C315"/>
      <c r="G315"/>
      <c r="I315" s="176"/>
      <c r="J315"/>
      <c r="L315" s="3"/>
      <c r="N315"/>
      <c r="R315"/>
      <c r="S315"/>
      <c r="T315" s="127"/>
      <c r="U315" s="127"/>
      <c r="Z315" s="6"/>
      <c r="AB315" s="16"/>
      <c r="AC315" s="6"/>
      <c r="AE315" s="17"/>
      <c r="AF315" s="17"/>
      <c r="AG315" s="17"/>
      <c r="AH315" s="4"/>
      <c r="AI315"/>
      <c r="AM315" s="14"/>
      <c r="AP315" s="44"/>
      <c r="AW315" s="3">
        <f>(AW313/100)/((AW312+AW313)/100)</f>
        <v>0.31695721077654521</v>
      </c>
    </row>
    <row r="316" spans="1:50" x14ac:dyDescent="0.2">
      <c r="A316"/>
      <c r="C316"/>
      <c r="G316"/>
      <c r="I316" s="176"/>
      <c r="J316"/>
      <c r="L316" s="3"/>
      <c r="N316"/>
      <c r="R316"/>
      <c r="S316"/>
      <c r="T316" s="127"/>
      <c r="U316" s="127"/>
      <c r="Z316" s="6"/>
      <c r="AB316" s="16"/>
      <c r="AC316" s="6"/>
      <c r="AE316" s="17"/>
      <c r="AF316" s="17"/>
      <c r="AG316" s="17"/>
      <c r="AI316"/>
      <c r="AM316" s="14"/>
      <c r="AW316" s="3"/>
    </row>
    <row r="317" spans="1:50" x14ac:dyDescent="0.2">
      <c r="A317"/>
      <c r="C317"/>
      <c r="G317"/>
      <c r="I317" s="176"/>
      <c r="J317"/>
      <c r="L317" s="3"/>
      <c r="N317"/>
      <c r="R317"/>
      <c r="S317"/>
      <c r="T317" s="127"/>
      <c r="U317" s="127"/>
      <c r="Z317" s="6"/>
      <c r="AB317" s="16"/>
      <c r="AC317" s="6"/>
      <c r="AE317" s="17"/>
      <c r="AF317" s="17"/>
      <c r="AG317" s="17"/>
      <c r="AH317" s="4"/>
      <c r="AI317"/>
      <c r="AM317" s="14"/>
      <c r="AP317" s="44"/>
      <c r="AW317" s="3"/>
    </row>
    <row r="318" spans="1:50" x14ac:dyDescent="0.2">
      <c r="A318"/>
      <c r="B318" s="76"/>
      <c r="C318" s="76"/>
      <c r="D318" s="76"/>
      <c r="E318" s="97"/>
      <c r="F318" s="76"/>
      <c r="G318" s="76"/>
      <c r="H318" s="177"/>
      <c r="I318" s="177"/>
      <c r="J318" s="76"/>
      <c r="K318" s="76"/>
      <c r="L318" s="110"/>
      <c r="M318" s="76"/>
      <c r="N318" s="76"/>
      <c r="O318" s="76"/>
      <c r="P318" s="76"/>
      <c r="Q318" s="76"/>
      <c r="R318" s="76"/>
      <c r="S318" s="76"/>
      <c r="T318" s="76"/>
      <c r="U318" s="76"/>
      <c r="X318" s="50"/>
      <c r="Y318" s="50"/>
      <c r="Z318" s="6"/>
      <c r="AB318" s="16"/>
      <c r="AC318" s="6"/>
      <c r="AE318" s="17"/>
      <c r="AF318" s="17"/>
      <c r="AG318" s="17"/>
      <c r="AH318" s="4"/>
      <c r="AI318"/>
      <c r="AM318" s="72"/>
      <c r="AN318" s="72"/>
      <c r="AO318" s="72"/>
      <c r="AP318" s="72"/>
      <c r="AQ318" s="26"/>
      <c r="AV318" s="26"/>
      <c r="AW318" s="110">
        <v>35.200000000000003</v>
      </c>
      <c r="AX318" s="26"/>
    </row>
    <row r="319" spans="1:50" x14ac:dyDescent="0.2">
      <c r="A319"/>
      <c r="B319" s="76"/>
      <c r="C319" s="76"/>
      <c r="D319" s="76"/>
      <c r="E319" s="97"/>
      <c r="F319" s="76"/>
      <c r="G319" s="76"/>
      <c r="H319" s="177"/>
      <c r="I319" s="177"/>
      <c r="J319" s="76"/>
      <c r="K319" s="76"/>
      <c r="L319" s="97"/>
      <c r="M319" s="76"/>
      <c r="N319" s="76"/>
      <c r="O319" s="76"/>
      <c r="P319" s="76"/>
      <c r="Q319" s="76"/>
      <c r="R319" s="76"/>
      <c r="S319" s="76"/>
      <c r="T319" s="76"/>
      <c r="U319" s="76"/>
      <c r="X319" s="50"/>
      <c r="Y319" s="50"/>
      <c r="Z319" s="6"/>
      <c r="AB319" s="16"/>
      <c r="AC319" s="6"/>
      <c r="AE319" s="17"/>
      <c r="AF319" s="17"/>
      <c r="AG319" s="17"/>
      <c r="AH319" s="4"/>
      <c r="AI319"/>
      <c r="AM319" s="14"/>
      <c r="AN319" s="72"/>
      <c r="AO319" s="72"/>
      <c r="AP319" s="72"/>
      <c r="AQ319" s="12"/>
      <c r="AV319" s="12"/>
      <c r="AW319" s="97">
        <v>22.33</v>
      </c>
      <c r="AX319" s="12"/>
    </row>
    <row r="320" spans="1:50" x14ac:dyDescent="0.2">
      <c r="A320"/>
      <c r="C320"/>
      <c r="G320"/>
      <c r="I320" s="176"/>
      <c r="J320"/>
      <c r="L320" s="3"/>
      <c r="N320"/>
      <c r="R320"/>
      <c r="S320"/>
      <c r="T320" s="127"/>
      <c r="U320" s="127"/>
      <c r="Z320" s="6"/>
      <c r="AB320" s="16"/>
      <c r="AC320" s="6"/>
      <c r="AE320" s="17"/>
      <c r="AF320" s="17"/>
      <c r="AG320" s="17"/>
      <c r="AH320" s="4"/>
      <c r="AI320"/>
      <c r="AM320" s="14"/>
      <c r="AP320" s="44"/>
      <c r="AW320" s="3">
        <f>(AW318/100)/((AW318+AW319)/100)</f>
        <v>0.6118546845124283</v>
      </c>
    </row>
    <row r="321" spans="1:50" x14ac:dyDescent="0.2">
      <c r="A321"/>
      <c r="C321"/>
      <c r="G321"/>
      <c r="I321" s="176"/>
      <c r="J321"/>
      <c r="L321" s="3"/>
      <c r="N321"/>
      <c r="R321"/>
      <c r="S321"/>
      <c r="T321" s="127"/>
      <c r="U321" s="127"/>
      <c r="Z321" s="6"/>
      <c r="AB321" s="16"/>
      <c r="AC321" s="6"/>
      <c r="AE321" s="17"/>
      <c r="AF321" s="17"/>
      <c r="AG321" s="17"/>
      <c r="AH321" s="4"/>
      <c r="AI321"/>
      <c r="AM321" s="14"/>
      <c r="AP321" s="44"/>
      <c r="AW321" s="3">
        <f>(AW319/100)/((AW318+AW319)/100)</f>
        <v>0.38814531548757164</v>
      </c>
    </row>
    <row r="322" spans="1:50" x14ac:dyDescent="0.2">
      <c r="A322"/>
      <c r="C322"/>
      <c r="G322"/>
      <c r="I322" s="176"/>
      <c r="J322"/>
      <c r="L322" s="3"/>
      <c r="N322"/>
      <c r="R322"/>
      <c r="S322"/>
      <c r="T322" s="127"/>
      <c r="U322" s="127"/>
      <c r="Z322" s="6"/>
      <c r="AB322" s="16"/>
      <c r="AC322" s="6"/>
      <c r="AE322" s="17"/>
      <c r="AF322" s="17"/>
      <c r="AG322" s="17"/>
      <c r="AI322"/>
      <c r="AM322" s="14"/>
      <c r="AW322" s="3"/>
    </row>
    <row r="323" spans="1:50" x14ac:dyDescent="0.2">
      <c r="A323"/>
      <c r="C323"/>
      <c r="G323"/>
      <c r="I323" s="176"/>
      <c r="J323"/>
      <c r="L323" s="3"/>
      <c r="N323"/>
      <c r="R323"/>
      <c r="S323"/>
      <c r="T323" s="127"/>
      <c r="U323" s="127"/>
      <c r="Z323" s="6"/>
      <c r="AB323" s="16"/>
      <c r="AC323" s="6"/>
      <c r="AE323" s="17"/>
      <c r="AF323" s="17"/>
      <c r="AG323" s="17"/>
      <c r="AH323" s="4"/>
      <c r="AI323"/>
      <c r="AM323" s="14"/>
      <c r="AP323" s="44"/>
      <c r="AW323" s="3"/>
    </row>
    <row r="324" spans="1:50" x14ac:dyDescent="0.2">
      <c r="A324"/>
      <c r="B324" s="76"/>
      <c r="C324" s="76"/>
      <c r="D324" s="76"/>
      <c r="E324" s="97"/>
      <c r="F324" s="76"/>
      <c r="G324" s="76"/>
      <c r="H324" s="177"/>
      <c r="I324" s="177"/>
      <c r="J324" s="76"/>
      <c r="K324" s="76"/>
      <c r="L324" s="97"/>
      <c r="M324" s="76"/>
      <c r="N324" s="76"/>
      <c r="O324" s="76"/>
      <c r="P324" s="76"/>
      <c r="Q324" s="76"/>
      <c r="R324" s="76"/>
      <c r="S324" s="76"/>
      <c r="T324" s="76"/>
      <c r="U324" s="76"/>
      <c r="X324" s="50"/>
      <c r="Y324" s="50"/>
      <c r="Z324" s="6"/>
      <c r="AB324" s="16"/>
      <c r="AC324" s="6"/>
      <c r="AE324" s="17"/>
      <c r="AF324" s="17"/>
      <c r="AG324" s="17"/>
      <c r="AH324" s="4"/>
      <c r="AI324"/>
      <c r="AM324" s="14"/>
      <c r="AN324" s="72"/>
      <c r="AO324" s="72"/>
      <c r="AP324" s="72"/>
      <c r="AW324" s="97">
        <v>25.1</v>
      </c>
    </row>
    <row r="325" spans="1:50" x14ac:dyDescent="0.2">
      <c r="A325"/>
      <c r="B325" s="76"/>
      <c r="C325" s="76"/>
      <c r="D325" s="76"/>
      <c r="E325" s="97"/>
      <c r="F325" s="76"/>
      <c r="G325" s="76"/>
      <c r="H325" s="177"/>
      <c r="I325" s="177"/>
      <c r="J325" s="76"/>
      <c r="K325" s="76"/>
      <c r="L325" s="97"/>
      <c r="M325" s="76"/>
      <c r="N325" s="76"/>
      <c r="O325" s="76"/>
      <c r="P325" s="76"/>
      <c r="Q325" s="76"/>
      <c r="R325" s="76"/>
      <c r="S325" s="76"/>
      <c r="T325" s="76"/>
      <c r="U325" s="76"/>
      <c r="X325" s="50"/>
      <c r="Y325" s="50"/>
      <c r="Z325" s="6"/>
      <c r="AB325" s="16"/>
      <c r="AC325" s="6"/>
      <c r="AE325" s="17"/>
      <c r="AF325" s="17"/>
      <c r="AG325" s="17"/>
      <c r="AH325" s="4"/>
      <c r="AI325"/>
      <c r="AM325" s="14"/>
      <c r="AN325" s="72"/>
      <c r="AO325" s="72"/>
      <c r="AP325" s="72"/>
      <c r="AW325" s="97">
        <v>13.33</v>
      </c>
    </row>
    <row r="326" spans="1:50" x14ac:dyDescent="0.2">
      <c r="A326"/>
      <c r="C326"/>
      <c r="G326"/>
      <c r="I326" s="176"/>
      <c r="J326"/>
      <c r="L326" s="3"/>
      <c r="N326"/>
      <c r="R326"/>
      <c r="S326"/>
      <c r="T326" s="127"/>
      <c r="U326" s="127"/>
      <c r="Z326" s="6"/>
      <c r="AB326" s="16"/>
      <c r="AC326" s="6"/>
      <c r="AE326" s="17"/>
      <c r="AF326" s="17"/>
      <c r="AG326" s="17"/>
      <c r="AH326" s="4"/>
      <c r="AI326"/>
      <c r="AM326" s="14"/>
      <c r="AP326" s="44"/>
      <c r="AW326" s="3">
        <f>(AW324/100)/((AW324+AW325)/100)</f>
        <v>0.65313557116835808</v>
      </c>
    </row>
    <row r="327" spans="1:50" customFormat="1" x14ac:dyDescent="0.2">
      <c r="E327" s="3"/>
      <c r="H327" s="176"/>
      <c r="I327" s="176"/>
      <c r="L327" s="3"/>
      <c r="T327" s="127"/>
      <c r="U327" s="127"/>
      <c r="V327" s="2"/>
      <c r="X327" s="16"/>
      <c r="Y327" s="16"/>
      <c r="Z327" s="6"/>
      <c r="AA327" s="16"/>
      <c r="AB327" s="16"/>
      <c r="AC327" s="6"/>
      <c r="AD327" s="16"/>
      <c r="AE327" s="17"/>
      <c r="AF327" s="17"/>
      <c r="AG327" s="17"/>
      <c r="AH327" s="4"/>
      <c r="AJ327" s="5"/>
      <c r="AK327" s="5"/>
      <c r="AL327" s="5"/>
      <c r="AM327" s="14"/>
      <c r="AN327" s="14"/>
      <c r="AO327" s="14"/>
      <c r="AP327" s="44"/>
      <c r="AQ327" s="24"/>
      <c r="AR327" s="113"/>
      <c r="AS327" s="113"/>
      <c r="AT327" s="113"/>
      <c r="AU327" s="113"/>
      <c r="AV327" s="24"/>
      <c r="AW327" s="3">
        <f>(AW325/100)/((AW324+AW325)/100)</f>
        <v>0.34686442883164198</v>
      </c>
      <c r="AX327" s="24"/>
    </row>
    <row r="328" spans="1:50" customFormat="1" ht="12.75" customHeight="1" x14ac:dyDescent="0.2">
      <c r="E328" s="3"/>
      <c r="H328" s="176"/>
      <c r="I328" s="176"/>
      <c r="L328" s="3"/>
      <c r="T328" s="127"/>
      <c r="U328" s="127"/>
      <c r="V328" s="2"/>
      <c r="X328" s="16"/>
      <c r="Y328" s="16"/>
      <c r="Z328" s="6"/>
      <c r="AA328" s="16"/>
      <c r="AB328" s="16"/>
      <c r="AC328" s="6"/>
      <c r="AD328" s="16"/>
      <c r="AE328" s="17"/>
      <c r="AF328" s="17"/>
      <c r="AG328" s="17"/>
      <c r="AH328" s="16"/>
      <c r="AJ328" s="5"/>
      <c r="AK328" s="5"/>
      <c r="AL328" s="5"/>
      <c r="AM328" s="14"/>
      <c r="AN328" s="14"/>
      <c r="AO328" s="14"/>
      <c r="AP328" s="14"/>
      <c r="AQ328" s="24"/>
      <c r="AR328" s="113"/>
      <c r="AS328" s="113"/>
      <c r="AT328" s="113"/>
      <c r="AU328" s="113"/>
      <c r="AV328" s="24"/>
      <c r="AW328" s="3"/>
      <c r="AX328" s="24"/>
    </row>
    <row r="329" spans="1:50" x14ac:dyDescent="0.2">
      <c r="A329"/>
      <c r="C329"/>
      <c r="G329"/>
      <c r="I329" s="176"/>
      <c r="J329"/>
      <c r="L329" s="3"/>
      <c r="N329"/>
      <c r="R329"/>
      <c r="S329"/>
      <c r="T329" s="127"/>
      <c r="U329" s="127"/>
      <c r="Z329" s="6"/>
      <c r="AB329" s="16"/>
      <c r="AC329" s="6"/>
      <c r="AE329" s="17"/>
      <c r="AF329" s="17"/>
      <c r="AG329" s="17"/>
      <c r="AH329" s="4"/>
      <c r="AI329"/>
      <c r="AM329" s="14"/>
      <c r="AP329" s="44"/>
      <c r="AW329" s="3"/>
    </row>
    <row r="330" spans="1:50" x14ac:dyDescent="0.2">
      <c r="A330"/>
      <c r="B330" s="76"/>
      <c r="C330" s="76"/>
      <c r="D330" s="76"/>
      <c r="E330" s="97"/>
      <c r="F330" s="76"/>
      <c r="G330" s="76"/>
      <c r="H330" s="177"/>
      <c r="I330" s="177"/>
      <c r="J330" s="76"/>
      <c r="K330" s="76"/>
      <c r="L330" s="110"/>
      <c r="M330" s="76"/>
      <c r="N330" s="76"/>
      <c r="O330" s="76"/>
      <c r="P330" s="76"/>
      <c r="Q330" s="76"/>
      <c r="R330" s="76"/>
      <c r="S330" s="76"/>
      <c r="T330" s="76"/>
      <c r="U330" s="76"/>
      <c r="X330" s="50"/>
      <c r="Y330" s="50"/>
      <c r="Z330" s="6"/>
      <c r="AB330" s="16"/>
      <c r="AC330" s="6"/>
      <c r="AE330" s="17"/>
      <c r="AF330" s="17"/>
      <c r="AG330" s="17"/>
      <c r="AH330" s="4"/>
      <c r="AI330"/>
      <c r="AM330" s="72"/>
      <c r="AN330" s="72"/>
      <c r="AO330" s="72"/>
      <c r="AP330" s="72"/>
      <c r="AW330" s="110">
        <v>34.1</v>
      </c>
    </row>
    <row r="331" spans="1:50" x14ac:dyDescent="0.2">
      <c r="A331"/>
      <c r="B331" s="76"/>
      <c r="C331" s="76"/>
      <c r="D331" s="76"/>
      <c r="E331" s="97"/>
      <c r="F331" s="76"/>
      <c r="G331" s="76"/>
      <c r="H331" s="177"/>
      <c r="I331" s="177"/>
      <c r="J331" s="76"/>
      <c r="K331" s="76"/>
      <c r="L331" s="97"/>
      <c r="M331" s="76"/>
      <c r="N331" s="76"/>
      <c r="O331" s="76"/>
      <c r="P331" s="76"/>
      <c r="Q331" s="76"/>
      <c r="R331" s="76"/>
      <c r="S331" s="76"/>
      <c r="T331" s="76"/>
      <c r="U331" s="76"/>
      <c r="X331" s="52"/>
      <c r="Y331" s="52"/>
      <c r="Z331" s="53"/>
      <c r="AA331" s="54"/>
      <c r="AB331" s="54"/>
      <c r="AC331" s="53"/>
      <c r="AD331" s="54"/>
      <c r="AE331" s="55"/>
      <c r="AF331" s="55"/>
      <c r="AG331" s="17"/>
      <c r="AH331" s="56"/>
      <c r="AI331"/>
      <c r="AM331" s="14"/>
      <c r="AN331" s="72"/>
      <c r="AO331" s="72"/>
      <c r="AP331" s="72"/>
      <c r="AW331" s="97">
        <v>5</v>
      </c>
    </row>
    <row r="332" spans="1:50" x14ac:dyDescent="0.2">
      <c r="A332"/>
      <c r="C332"/>
      <c r="G332"/>
      <c r="I332" s="176"/>
      <c r="J332"/>
      <c r="L332" s="3"/>
      <c r="N332"/>
      <c r="R332"/>
      <c r="S332"/>
      <c r="T332" s="127"/>
      <c r="U332" s="127"/>
      <c r="Z332" s="6"/>
      <c r="AB332" s="16"/>
      <c r="AC332" s="6"/>
      <c r="AE332" s="17"/>
      <c r="AF332" s="17"/>
      <c r="AG332" s="17"/>
      <c r="AH332" s="4"/>
      <c r="AI332"/>
      <c r="AM332" s="14"/>
      <c r="AP332" s="44"/>
      <c r="AW332" s="3">
        <f>(AW330/100)/((AW330+AW331)/100)</f>
        <v>0.87212276214833762</v>
      </c>
    </row>
    <row r="333" spans="1:50" x14ac:dyDescent="0.2">
      <c r="A333"/>
      <c r="C333"/>
      <c r="G333"/>
      <c r="I333" s="176"/>
      <c r="J333"/>
      <c r="L333" s="3"/>
      <c r="N333"/>
      <c r="R333"/>
      <c r="S333"/>
      <c r="T333" s="127"/>
      <c r="U333" s="127"/>
      <c r="Z333" s="6"/>
      <c r="AB333" s="16"/>
      <c r="AC333" s="6"/>
      <c r="AE333" s="17"/>
      <c r="AF333" s="17"/>
      <c r="AG333" s="17"/>
      <c r="AH333" s="4"/>
      <c r="AI333"/>
      <c r="AM333" s="14"/>
      <c r="AP333" s="44"/>
      <c r="AW333" s="3">
        <f>(AW331/100)/((AW330+AW331)/100)</f>
        <v>0.12787723785166241</v>
      </c>
    </row>
    <row r="334" spans="1:50" x14ac:dyDescent="0.2">
      <c r="A334"/>
      <c r="C334"/>
      <c r="G334"/>
      <c r="I334" s="176"/>
      <c r="J334"/>
      <c r="L334" s="3"/>
      <c r="N334"/>
      <c r="R334"/>
      <c r="S334"/>
      <c r="T334" s="127"/>
      <c r="U334" s="127"/>
      <c r="Z334" s="6"/>
      <c r="AB334" s="16"/>
      <c r="AC334" s="6"/>
      <c r="AE334" s="17"/>
      <c r="AF334" s="17"/>
      <c r="AG334" s="17"/>
      <c r="AI334"/>
      <c r="AM334" s="14"/>
      <c r="AW334" s="3"/>
    </row>
    <row r="335" spans="1:50" x14ac:dyDescent="0.2">
      <c r="A335"/>
      <c r="C335"/>
      <c r="G335"/>
      <c r="I335" s="176"/>
      <c r="J335"/>
      <c r="L335" s="3"/>
      <c r="N335"/>
      <c r="R335"/>
      <c r="S335"/>
      <c r="T335" s="127"/>
      <c r="U335" s="127"/>
      <c r="Z335" s="6"/>
      <c r="AB335" s="16"/>
      <c r="AC335" s="6"/>
      <c r="AE335" s="17"/>
      <c r="AF335" s="17"/>
      <c r="AG335" s="17"/>
      <c r="AH335" s="4"/>
      <c r="AI335"/>
      <c r="AM335" s="14"/>
      <c r="AP335" s="44"/>
      <c r="AR335" s="24"/>
      <c r="AS335" s="24"/>
      <c r="AT335" s="24"/>
      <c r="AU335" s="24"/>
      <c r="AW335" s="3"/>
    </row>
    <row r="336" spans="1:50" x14ac:dyDescent="0.2">
      <c r="A336"/>
      <c r="B336" s="76"/>
      <c r="C336" s="76"/>
      <c r="D336" s="76"/>
      <c r="E336" s="97"/>
      <c r="F336" s="76"/>
      <c r="G336" s="76"/>
      <c r="H336" s="177"/>
      <c r="I336" s="177"/>
      <c r="J336" s="76"/>
      <c r="K336" s="76"/>
      <c r="L336" s="110"/>
      <c r="M336" s="76"/>
      <c r="N336" s="76"/>
      <c r="O336" s="76"/>
      <c r="P336" s="76"/>
      <c r="Q336" s="76"/>
      <c r="R336" s="76"/>
      <c r="S336" s="76"/>
      <c r="T336" s="76"/>
      <c r="U336" s="76"/>
      <c r="X336" s="50"/>
      <c r="Y336" s="50"/>
      <c r="Z336" s="6"/>
      <c r="AB336" s="16"/>
      <c r="AC336" s="6"/>
      <c r="AE336" s="17"/>
      <c r="AF336" s="17"/>
      <c r="AG336" s="17"/>
      <c r="AH336" s="4"/>
      <c r="AI336"/>
      <c r="AM336" s="72"/>
      <c r="AN336" s="72"/>
      <c r="AO336" s="72"/>
      <c r="AP336" s="72"/>
      <c r="AW336" s="110">
        <v>36.200000000000003</v>
      </c>
    </row>
    <row r="337" spans="1:50" x14ac:dyDescent="0.2">
      <c r="A337"/>
      <c r="B337" s="76"/>
      <c r="C337" s="76"/>
      <c r="D337" s="76"/>
      <c r="E337" s="97"/>
      <c r="F337" s="76"/>
      <c r="G337" s="76"/>
      <c r="H337" s="177"/>
      <c r="I337" s="177"/>
      <c r="J337" s="76"/>
      <c r="K337" s="76"/>
      <c r="L337" s="110"/>
      <c r="M337" s="76"/>
      <c r="N337" s="76"/>
      <c r="O337" s="76"/>
      <c r="P337" s="76"/>
      <c r="Q337" s="76"/>
      <c r="R337" s="76"/>
      <c r="S337" s="76"/>
      <c r="T337" s="76"/>
      <c r="U337" s="76"/>
      <c r="X337" s="50"/>
      <c r="Y337" s="50"/>
      <c r="Z337" s="6"/>
      <c r="AB337" s="16"/>
      <c r="AC337" s="6"/>
      <c r="AE337" s="17"/>
      <c r="AF337" s="17"/>
      <c r="AG337" s="17"/>
      <c r="AH337" s="4"/>
      <c r="AI337"/>
      <c r="AM337" s="72"/>
      <c r="AN337" s="72"/>
      <c r="AO337" s="72"/>
      <c r="AP337" s="72"/>
      <c r="AW337" s="110">
        <v>29.33</v>
      </c>
    </row>
    <row r="338" spans="1:50" x14ac:dyDescent="0.2">
      <c r="A338"/>
      <c r="C338"/>
      <c r="G338"/>
      <c r="I338" s="176"/>
      <c r="J338"/>
      <c r="L338" s="3"/>
      <c r="N338"/>
      <c r="R338"/>
      <c r="S338"/>
      <c r="T338" s="127"/>
      <c r="U338" s="127"/>
      <c r="Z338" s="6"/>
      <c r="AB338" s="16"/>
      <c r="AC338" s="6"/>
      <c r="AE338" s="17"/>
      <c r="AF338" s="17"/>
      <c r="AG338" s="17"/>
      <c r="AH338" s="4"/>
      <c r="AI338"/>
      <c r="AM338" s="14"/>
      <c r="AP338" s="44"/>
      <c r="AW338" s="3">
        <f>(AW336/100)/((AW336+AW337)/100)</f>
        <v>0.55241873950862208</v>
      </c>
    </row>
    <row r="339" spans="1:50" x14ac:dyDescent="0.2">
      <c r="A339"/>
      <c r="C339"/>
      <c r="G339"/>
      <c r="I339" s="176"/>
      <c r="J339"/>
      <c r="L339" s="3"/>
      <c r="N339"/>
      <c r="R339"/>
      <c r="S339"/>
      <c r="T339" s="127"/>
      <c r="U339" s="127"/>
      <c r="Z339" s="6"/>
      <c r="AB339" s="16"/>
      <c r="AC339" s="6"/>
      <c r="AE339" s="17"/>
      <c r="AF339" s="17"/>
      <c r="AG339" s="17"/>
      <c r="AH339" s="4"/>
      <c r="AI339"/>
      <c r="AM339" s="14"/>
      <c r="AP339" s="44"/>
      <c r="AW339" s="3">
        <f>(AW337/100)/((AW336+AW337)/100)</f>
        <v>0.44758126049137803</v>
      </c>
    </row>
    <row r="340" spans="1:50" x14ac:dyDescent="0.2">
      <c r="A340"/>
      <c r="C340"/>
      <c r="G340"/>
      <c r="I340" s="176"/>
      <c r="J340"/>
      <c r="L340" s="3"/>
      <c r="N340"/>
      <c r="R340"/>
      <c r="S340"/>
      <c r="T340" s="127"/>
      <c r="U340" s="127"/>
      <c r="Z340" s="6"/>
      <c r="AB340" s="16"/>
      <c r="AC340" s="6"/>
      <c r="AE340" s="17"/>
      <c r="AF340" s="17"/>
      <c r="AG340" s="17"/>
      <c r="AI340"/>
      <c r="AM340" s="14"/>
      <c r="AW340" s="3"/>
    </row>
    <row r="341" spans="1:50" x14ac:dyDescent="0.2">
      <c r="A341"/>
      <c r="C341"/>
      <c r="G341"/>
      <c r="I341" s="176"/>
      <c r="J341"/>
      <c r="L341" s="3"/>
      <c r="N341"/>
      <c r="R341"/>
      <c r="S341"/>
      <c r="T341" s="127"/>
      <c r="U341" s="127"/>
      <c r="Z341" s="6"/>
      <c r="AB341" s="16"/>
      <c r="AC341" s="6"/>
      <c r="AE341" s="17"/>
      <c r="AF341" s="17"/>
      <c r="AG341" s="17"/>
      <c r="AH341" s="4"/>
      <c r="AI341"/>
      <c r="AM341" s="14"/>
      <c r="AP341" s="44"/>
      <c r="AW341" s="3"/>
    </row>
    <row r="342" spans="1:50" x14ac:dyDescent="0.2">
      <c r="A342"/>
      <c r="B342" s="76"/>
      <c r="C342" s="76"/>
      <c r="D342" s="76"/>
      <c r="E342" s="97"/>
      <c r="F342" s="76"/>
      <c r="G342" s="76"/>
      <c r="H342" s="177"/>
      <c r="I342" s="177"/>
      <c r="J342" s="76"/>
      <c r="K342" s="76"/>
      <c r="L342" s="97"/>
      <c r="M342" s="76"/>
      <c r="N342" s="76"/>
      <c r="O342" s="76"/>
      <c r="P342" s="76"/>
      <c r="Q342" s="76"/>
      <c r="R342" s="76"/>
      <c r="S342" s="76"/>
      <c r="T342" s="76"/>
      <c r="U342" s="76"/>
      <c r="X342" s="50"/>
      <c r="Y342" s="50"/>
      <c r="Z342" s="6"/>
      <c r="AB342" s="16"/>
      <c r="AC342" s="6"/>
      <c r="AE342" s="17"/>
      <c r="AF342" s="17"/>
      <c r="AG342" s="17"/>
      <c r="AH342" s="4"/>
      <c r="AI342"/>
      <c r="AM342" s="14"/>
      <c r="AN342" s="72"/>
      <c r="AO342" s="72"/>
      <c r="AP342" s="72"/>
      <c r="AQ342"/>
      <c r="AV342"/>
      <c r="AW342" s="97">
        <v>104</v>
      </c>
      <c r="AX342"/>
    </row>
    <row r="343" spans="1:50" x14ac:dyDescent="0.2">
      <c r="A343"/>
      <c r="B343" s="76"/>
      <c r="C343" s="76"/>
      <c r="D343" s="76"/>
      <c r="E343" s="97"/>
      <c r="F343" s="76"/>
      <c r="G343" s="76"/>
      <c r="H343" s="177"/>
      <c r="I343" s="177"/>
      <c r="J343" s="76"/>
      <c r="K343" s="76"/>
      <c r="L343" s="110"/>
      <c r="M343" s="76"/>
      <c r="N343" s="76"/>
      <c r="O343" s="76"/>
      <c r="P343" s="76"/>
      <c r="Q343" s="76"/>
      <c r="R343" s="76"/>
      <c r="S343" s="76"/>
      <c r="T343" s="76"/>
      <c r="U343" s="76"/>
      <c r="X343" s="50"/>
      <c r="Y343" s="50"/>
      <c r="Z343" s="6"/>
      <c r="AB343" s="16"/>
      <c r="AC343" s="6"/>
      <c r="AE343" s="17"/>
      <c r="AF343" s="17"/>
      <c r="AG343" s="17"/>
      <c r="AH343" s="4"/>
      <c r="AI343"/>
      <c r="AJ343" s="94"/>
      <c r="AK343" s="94"/>
      <c r="AL343" s="94"/>
      <c r="AM343" s="72"/>
      <c r="AN343" s="72"/>
      <c r="AO343" s="72"/>
      <c r="AP343" s="72"/>
      <c r="AQ343" s="76"/>
      <c r="AV343" s="76"/>
      <c r="AW343" s="110">
        <v>69</v>
      </c>
      <c r="AX343"/>
    </row>
    <row r="344" spans="1:50" x14ac:dyDescent="0.2">
      <c r="A344"/>
      <c r="C344"/>
      <c r="G344"/>
      <c r="I344" s="176"/>
      <c r="J344"/>
      <c r="L344" s="3"/>
      <c r="N344"/>
      <c r="R344"/>
      <c r="S344"/>
      <c r="T344" s="127"/>
      <c r="U344" s="127"/>
      <c r="Z344" s="6"/>
      <c r="AB344" s="16"/>
      <c r="AC344" s="6"/>
      <c r="AE344" s="17"/>
      <c r="AF344" s="17"/>
      <c r="AG344" s="17"/>
      <c r="AH344" s="4"/>
      <c r="AI344"/>
      <c r="AM344" s="14"/>
      <c r="AP344" s="44"/>
      <c r="AW344" s="3">
        <f>(AW342/100)/((AW342+AW343)/100)</f>
        <v>0.60115606936416188</v>
      </c>
    </row>
    <row r="345" spans="1:50" x14ac:dyDescent="0.2">
      <c r="A345"/>
      <c r="C345"/>
      <c r="G345"/>
      <c r="I345" s="176"/>
      <c r="J345"/>
      <c r="L345" s="3"/>
      <c r="N345"/>
      <c r="R345"/>
      <c r="S345"/>
      <c r="T345" s="127"/>
      <c r="U345" s="127"/>
      <c r="Z345" s="6"/>
      <c r="AB345" s="16"/>
      <c r="AC345" s="6"/>
      <c r="AE345" s="17"/>
      <c r="AF345" s="17"/>
      <c r="AG345" s="17"/>
      <c r="AH345" s="4"/>
      <c r="AI345"/>
      <c r="AM345" s="14"/>
      <c r="AP345" s="44"/>
      <c r="AW345" s="3">
        <f>(AW343/100)/((AW342+AW343)/100)</f>
        <v>0.39884393063583812</v>
      </c>
    </row>
    <row r="346" spans="1:50" x14ac:dyDescent="0.2">
      <c r="A346"/>
      <c r="C346"/>
      <c r="G346"/>
      <c r="I346" s="176"/>
      <c r="J346"/>
      <c r="L346" s="3"/>
      <c r="N346"/>
      <c r="R346"/>
      <c r="S346"/>
      <c r="T346" s="127"/>
      <c r="U346" s="127"/>
      <c r="Z346" s="6"/>
      <c r="AB346" s="16"/>
      <c r="AC346" s="6"/>
      <c r="AE346" s="17"/>
      <c r="AF346" s="17"/>
      <c r="AG346" s="17"/>
      <c r="AI346"/>
      <c r="AM346" s="14"/>
      <c r="AW346" s="3"/>
    </row>
    <row r="347" spans="1:50" x14ac:dyDescent="0.2">
      <c r="A347"/>
      <c r="C347"/>
      <c r="G347"/>
      <c r="I347" s="176"/>
      <c r="J347"/>
      <c r="L347" s="3"/>
      <c r="N347"/>
      <c r="R347"/>
      <c r="S347"/>
      <c r="T347" s="127"/>
      <c r="U347" s="127"/>
      <c r="Z347" s="6"/>
      <c r="AB347" s="16"/>
      <c r="AC347" s="6"/>
      <c r="AE347" s="17"/>
      <c r="AF347" s="17"/>
      <c r="AG347" s="17"/>
      <c r="AH347" s="4"/>
      <c r="AI347"/>
      <c r="AM347" s="14"/>
      <c r="AP347" s="44"/>
      <c r="AW347" s="3"/>
    </row>
    <row r="348" spans="1:50" x14ac:dyDescent="0.2">
      <c r="A348"/>
      <c r="B348" s="76"/>
      <c r="C348" s="76"/>
      <c r="D348" s="76"/>
      <c r="E348" s="97"/>
      <c r="F348" s="76"/>
      <c r="G348" s="76"/>
      <c r="H348" s="177"/>
      <c r="I348" s="177"/>
      <c r="J348" s="76"/>
      <c r="K348" s="76"/>
      <c r="L348" s="97"/>
      <c r="M348" s="76"/>
      <c r="N348" s="76"/>
      <c r="O348" s="76"/>
      <c r="P348" s="76"/>
      <c r="Q348" s="76"/>
      <c r="R348" s="76"/>
      <c r="S348" s="76"/>
      <c r="T348" s="76"/>
      <c r="U348" s="76"/>
      <c r="X348" s="50"/>
      <c r="Y348" s="50"/>
      <c r="Z348" s="6"/>
      <c r="AB348" s="16"/>
      <c r="AC348" s="6"/>
      <c r="AE348" s="17"/>
      <c r="AF348" s="17"/>
      <c r="AG348" s="17"/>
      <c r="AH348" s="4"/>
      <c r="AI348"/>
      <c r="AM348" s="14"/>
      <c r="AN348" s="72"/>
      <c r="AO348" s="72"/>
      <c r="AP348" s="72"/>
      <c r="AW348" s="97">
        <v>56.33</v>
      </c>
    </row>
    <row r="349" spans="1:50" x14ac:dyDescent="0.2">
      <c r="A349"/>
      <c r="B349" s="76"/>
      <c r="C349" s="76"/>
      <c r="D349" s="76"/>
      <c r="E349" s="97"/>
      <c r="F349" s="76"/>
      <c r="G349" s="76"/>
      <c r="H349" s="177"/>
      <c r="I349" s="177"/>
      <c r="J349" s="76"/>
      <c r="K349" s="76"/>
      <c r="L349" s="97"/>
      <c r="M349" s="76"/>
      <c r="N349" s="76"/>
      <c r="O349" s="76"/>
      <c r="P349" s="76"/>
      <c r="Q349" s="76"/>
      <c r="R349" s="76"/>
      <c r="S349" s="76"/>
      <c r="T349" s="76"/>
      <c r="U349" s="76"/>
      <c r="X349" s="50"/>
      <c r="Y349" s="50"/>
      <c r="Z349" s="6"/>
      <c r="AB349" s="16"/>
      <c r="AC349" s="6"/>
      <c r="AE349" s="17"/>
      <c r="AF349" s="17"/>
      <c r="AG349" s="17"/>
      <c r="AH349" s="4"/>
      <c r="AI349"/>
      <c r="AM349" s="14"/>
      <c r="AN349" s="72"/>
      <c r="AO349" s="72"/>
      <c r="AP349" s="72"/>
      <c r="AW349" s="97">
        <v>63</v>
      </c>
    </row>
    <row r="350" spans="1:50" x14ac:dyDescent="0.2">
      <c r="A350"/>
      <c r="C350"/>
      <c r="G350"/>
      <c r="I350" s="176"/>
      <c r="J350"/>
      <c r="L350" s="3"/>
      <c r="N350"/>
      <c r="R350"/>
      <c r="S350"/>
      <c r="T350" s="127"/>
      <c r="U350" s="127"/>
      <c r="Z350" s="6"/>
      <c r="AB350" s="16"/>
      <c r="AC350" s="6"/>
      <c r="AE350" s="17"/>
      <c r="AF350" s="17"/>
      <c r="AG350" s="17"/>
      <c r="AH350" s="4"/>
      <c r="AI350"/>
      <c r="AM350" s="14"/>
      <c r="AP350" s="44"/>
      <c r="AW350" s="3">
        <f>(AW348/100)/((AW348+AW349)/100)</f>
        <v>0.47205229196346266</v>
      </c>
    </row>
    <row r="351" spans="1:50" x14ac:dyDescent="0.2">
      <c r="A351"/>
      <c r="C351"/>
      <c r="G351"/>
      <c r="I351" s="176"/>
      <c r="J351"/>
      <c r="L351" s="3"/>
      <c r="N351"/>
      <c r="R351"/>
      <c r="S351"/>
      <c r="T351" s="127"/>
      <c r="U351" s="127"/>
      <c r="Z351" s="6"/>
      <c r="AB351" s="16"/>
      <c r="AC351" s="6"/>
      <c r="AE351" s="17"/>
      <c r="AF351" s="17"/>
      <c r="AG351" s="17"/>
      <c r="AH351" s="4"/>
      <c r="AI351"/>
      <c r="AM351" s="14"/>
      <c r="AP351" s="44"/>
      <c r="AW351" s="3">
        <f>(AW349/100)/((AW348+AW349)/100)</f>
        <v>0.52794770803653734</v>
      </c>
    </row>
    <row r="352" spans="1:50" customFormat="1" x14ac:dyDescent="0.2">
      <c r="E352" s="3"/>
      <c r="H352" s="176"/>
      <c r="I352" s="176"/>
      <c r="L352" s="3"/>
      <c r="T352" s="127"/>
      <c r="U352" s="127"/>
      <c r="V352" s="2"/>
      <c r="X352" s="16"/>
      <c r="Y352" s="16"/>
      <c r="Z352" s="6"/>
      <c r="AA352" s="16"/>
      <c r="AB352" s="16"/>
      <c r="AC352" s="6"/>
      <c r="AD352" s="16"/>
      <c r="AE352" s="17"/>
      <c r="AF352" s="17"/>
      <c r="AG352" s="17"/>
      <c r="AH352" s="16"/>
      <c r="AJ352" s="5"/>
      <c r="AK352" s="5"/>
      <c r="AL352" s="5"/>
      <c r="AM352" s="14"/>
      <c r="AN352" s="14"/>
      <c r="AO352" s="14"/>
      <c r="AP352" s="14"/>
      <c r="AQ352" s="24"/>
      <c r="AR352" s="113"/>
      <c r="AS352" s="113"/>
      <c r="AT352" s="113"/>
      <c r="AU352" s="113"/>
      <c r="AV352" s="24"/>
      <c r="AW352" s="3"/>
      <c r="AX352" s="24"/>
    </row>
    <row r="353" spans="1:50" x14ac:dyDescent="0.2">
      <c r="A353"/>
      <c r="C353"/>
      <c r="G353"/>
      <c r="I353" s="176"/>
      <c r="J353"/>
      <c r="L353" s="3"/>
      <c r="N353"/>
      <c r="R353"/>
      <c r="S353"/>
      <c r="T353" s="127"/>
      <c r="U353" s="127"/>
      <c r="Z353" s="6"/>
      <c r="AB353" s="16"/>
      <c r="AC353" s="6"/>
      <c r="AE353" s="17"/>
      <c r="AF353" s="17"/>
      <c r="AG353" s="17"/>
      <c r="AH353" s="4"/>
      <c r="AI353"/>
      <c r="AM353" s="14"/>
      <c r="AP353" s="44"/>
      <c r="AW353" s="3"/>
    </row>
    <row r="354" spans="1:50" x14ac:dyDescent="0.2">
      <c r="A354"/>
      <c r="B354" s="76"/>
      <c r="C354" s="76"/>
      <c r="D354" s="76"/>
      <c r="E354" s="97"/>
      <c r="F354" s="76"/>
      <c r="G354" s="76"/>
      <c r="H354" s="177"/>
      <c r="I354" s="177"/>
      <c r="J354" s="76"/>
      <c r="K354" s="76"/>
      <c r="L354" s="97"/>
      <c r="M354" s="76"/>
      <c r="N354" s="76"/>
      <c r="O354" s="76"/>
      <c r="P354" s="76"/>
      <c r="Q354" s="76"/>
      <c r="R354" s="76"/>
      <c r="S354" s="76"/>
      <c r="T354" s="76"/>
      <c r="U354" s="76"/>
      <c r="X354" s="50"/>
      <c r="Y354" s="50"/>
      <c r="Z354" s="6"/>
      <c r="AB354" s="16"/>
      <c r="AC354" s="6"/>
      <c r="AE354" s="17"/>
      <c r="AF354" s="17"/>
      <c r="AG354" s="17"/>
      <c r="AH354" s="4"/>
      <c r="AI354"/>
      <c r="AM354" s="14"/>
      <c r="AN354" s="72"/>
      <c r="AO354" s="72"/>
      <c r="AP354" s="72"/>
      <c r="AW354" s="97">
        <v>11.2</v>
      </c>
    </row>
    <row r="355" spans="1:50" x14ac:dyDescent="0.2">
      <c r="A355"/>
      <c r="B355" s="76"/>
      <c r="C355" s="76"/>
      <c r="D355" s="76"/>
      <c r="E355" s="97"/>
      <c r="F355" s="76"/>
      <c r="G355" s="76"/>
      <c r="H355" s="177"/>
      <c r="I355" s="177"/>
      <c r="J355" s="76"/>
      <c r="K355" s="76"/>
      <c r="L355" s="110"/>
      <c r="M355" s="76"/>
      <c r="N355" s="76"/>
      <c r="O355" s="76"/>
      <c r="P355" s="76"/>
      <c r="Q355" s="76"/>
      <c r="R355" s="76"/>
      <c r="S355" s="76"/>
      <c r="T355" s="76"/>
      <c r="U355" s="76"/>
      <c r="X355" s="50"/>
      <c r="Y355" s="50"/>
      <c r="Z355" s="6"/>
      <c r="AB355" s="16"/>
      <c r="AC355" s="6"/>
      <c r="AE355" s="17"/>
      <c r="AF355" s="17"/>
      <c r="AG355" s="17"/>
      <c r="AH355" s="4"/>
      <c r="AI355"/>
      <c r="AM355" s="72"/>
      <c r="AN355" s="72"/>
      <c r="AO355" s="72"/>
      <c r="AP355" s="72"/>
      <c r="AW355" s="110">
        <v>54.33</v>
      </c>
    </row>
    <row r="356" spans="1:50" x14ac:dyDescent="0.2">
      <c r="A356"/>
      <c r="C356"/>
      <c r="G356"/>
      <c r="I356" s="176"/>
      <c r="J356"/>
      <c r="L356" s="3"/>
      <c r="N356"/>
      <c r="R356"/>
      <c r="S356"/>
      <c r="T356" s="127"/>
      <c r="U356" s="127"/>
      <c r="Z356" s="6"/>
      <c r="AB356" s="16"/>
      <c r="AC356" s="6"/>
      <c r="AE356" s="17"/>
      <c r="AF356" s="17"/>
      <c r="AG356" s="17"/>
      <c r="AH356" s="4"/>
      <c r="AI356"/>
      <c r="AM356" s="14"/>
      <c r="AP356" s="44"/>
      <c r="AW356" s="3">
        <f>(AW354/100)/((AW354+AW355)/100)</f>
        <v>0.17091408515183884</v>
      </c>
    </row>
    <row r="357" spans="1:50" x14ac:dyDescent="0.2">
      <c r="A357"/>
      <c r="C357"/>
      <c r="G357"/>
      <c r="I357" s="176"/>
      <c r="J357"/>
      <c r="L357" s="3"/>
      <c r="N357"/>
      <c r="R357"/>
      <c r="S357"/>
      <c r="T357" s="127"/>
      <c r="U357" s="127"/>
      <c r="Z357" s="6"/>
      <c r="AB357" s="16"/>
      <c r="AC357" s="6"/>
      <c r="AE357" s="17"/>
      <c r="AF357" s="17"/>
      <c r="AG357" s="17"/>
      <c r="AH357" s="4"/>
      <c r="AI357"/>
      <c r="AM357" s="14"/>
      <c r="AP357" s="44"/>
      <c r="AW357" s="3">
        <f>(AW355/100)/((AW354+AW355)/100)</f>
        <v>0.82908591484816119</v>
      </c>
    </row>
    <row r="358" spans="1:50" x14ac:dyDescent="0.2">
      <c r="A358"/>
      <c r="C358"/>
      <c r="G358"/>
      <c r="I358" s="176"/>
      <c r="J358"/>
      <c r="L358" s="3"/>
      <c r="N358"/>
      <c r="R358"/>
      <c r="S358"/>
      <c r="T358" s="127"/>
      <c r="U358" s="127"/>
      <c r="Z358" s="6"/>
      <c r="AB358" s="16"/>
      <c r="AC358" s="6"/>
      <c r="AE358" s="17"/>
      <c r="AF358" s="17"/>
      <c r="AG358" s="17"/>
      <c r="AI358"/>
      <c r="AM358" s="14"/>
      <c r="AW358" s="3"/>
    </row>
    <row r="359" spans="1:50" x14ac:dyDescent="0.2">
      <c r="A359"/>
      <c r="C359"/>
      <c r="G359"/>
      <c r="I359" s="176"/>
      <c r="J359"/>
      <c r="L359" s="3"/>
      <c r="N359"/>
      <c r="R359"/>
      <c r="S359"/>
      <c r="T359" s="127"/>
      <c r="U359" s="127"/>
      <c r="Z359" s="6"/>
      <c r="AB359" s="16"/>
      <c r="AC359" s="6"/>
      <c r="AE359" s="17"/>
      <c r="AF359" s="17"/>
      <c r="AG359" s="17"/>
      <c r="AH359" s="4"/>
      <c r="AI359"/>
      <c r="AM359" s="14"/>
      <c r="AP359" s="44"/>
      <c r="AW359" s="3"/>
    </row>
    <row r="360" spans="1:50" x14ac:dyDescent="0.2">
      <c r="A360"/>
      <c r="B360" s="76"/>
      <c r="C360" s="76"/>
      <c r="D360" s="76"/>
      <c r="E360" s="97"/>
      <c r="F360" s="76"/>
      <c r="G360" s="76"/>
      <c r="H360" s="177"/>
      <c r="I360" s="177"/>
      <c r="J360" s="76"/>
      <c r="K360" s="76"/>
      <c r="L360" s="110"/>
      <c r="M360" s="76"/>
      <c r="N360" s="76"/>
      <c r="O360" s="76"/>
      <c r="P360" s="76"/>
      <c r="Q360" s="76"/>
      <c r="R360" s="76"/>
      <c r="S360" s="76"/>
      <c r="T360" s="76"/>
      <c r="U360" s="76"/>
      <c r="X360" s="50"/>
      <c r="Y360" s="50"/>
      <c r="Z360" s="6"/>
      <c r="AB360" s="16"/>
      <c r="AC360" s="6"/>
      <c r="AE360" s="17"/>
      <c r="AF360" s="17"/>
      <c r="AG360" s="17"/>
      <c r="AH360" s="4"/>
      <c r="AI360"/>
      <c r="AM360" s="72"/>
      <c r="AN360" s="72"/>
      <c r="AO360" s="72"/>
      <c r="AP360" s="72"/>
      <c r="AW360" s="110">
        <v>25</v>
      </c>
    </row>
    <row r="361" spans="1:50" x14ac:dyDescent="0.2">
      <c r="A361"/>
      <c r="B361" s="76"/>
      <c r="C361" s="76"/>
      <c r="D361" s="76"/>
      <c r="E361" s="97"/>
      <c r="F361" s="76"/>
      <c r="G361" s="76"/>
      <c r="H361" s="177"/>
      <c r="I361" s="177"/>
      <c r="J361" s="76"/>
      <c r="K361" s="76"/>
      <c r="L361" s="97"/>
      <c r="M361" s="76"/>
      <c r="N361" s="76"/>
      <c r="O361" s="76"/>
      <c r="P361" s="76"/>
      <c r="Q361" s="76"/>
      <c r="R361" s="76"/>
      <c r="S361" s="76"/>
      <c r="T361" s="76"/>
      <c r="U361" s="76"/>
      <c r="X361" s="50"/>
      <c r="Y361" s="50"/>
      <c r="Z361" s="6"/>
      <c r="AB361" s="16"/>
      <c r="AC361" s="6"/>
      <c r="AE361" s="17"/>
      <c r="AF361" s="17"/>
      <c r="AG361" s="17"/>
      <c r="AH361" s="4"/>
      <c r="AI361"/>
      <c r="AM361" s="14"/>
      <c r="AN361" s="72"/>
      <c r="AO361" s="72"/>
      <c r="AP361" s="72"/>
      <c r="AW361" s="97">
        <v>5</v>
      </c>
    </row>
    <row r="362" spans="1:50" x14ac:dyDescent="0.2">
      <c r="A362"/>
      <c r="C362"/>
      <c r="G362"/>
      <c r="I362" s="176"/>
      <c r="J362"/>
      <c r="L362" s="3"/>
      <c r="N362"/>
      <c r="R362"/>
      <c r="S362"/>
      <c r="T362" s="127"/>
      <c r="U362" s="127"/>
      <c r="Z362" s="6"/>
      <c r="AB362" s="16"/>
      <c r="AC362" s="6"/>
      <c r="AE362" s="17"/>
      <c r="AF362" s="17"/>
      <c r="AG362" s="17"/>
      <c r="AH362" s="4"/>
      <c r="AI362"/>
      <c r="AM362" s="14"/>
      <c r="AP362" s="44"/>
      <c r="AW362" s="3">
        <f>(AW360/100)/((AW360+AW361)/100)</f>
        <v>0.83333333333333337</v>
      </c>
    </row>
    <row r="363" spans="1:50" customFormat="1" x14ac:dyDescent="0.2">
      <c r="E363" s="3"/>
      <c r="H363" s="176"/>
      <c r="I363" s="176"/>
      <c r="L363" s="3"/>
      <c r="T363" s="127"/>
      <c r="U363" s="127"/>
      <c r="V363" s="2"/>
      <c r="X363" s="16"/>
      <c r="Y363" s="16"/>
      <c r="Z363" s="6"/>
      <c r="AA363" s="16"/>
      <c r="AB363" s="16"/>
      <c r="AC363" s="6"/>
      <c r="AD363" s="16"/>
      <c r="AE363" s="17"/>
      <c r="AF363" s="17"/>
      <c r="AG363" s="17"/>
      <c r="AH363" s="4"/>
      <c r="AJ363" s="5"/>
      <c r="AK363" s="5"/>
      <c r="AL363" s="5"/>
      <c r="AM363" s="14"/>
      <c r="AN363" s="14"/>
      <c r="AO363" s="14"/>
      <c r="AP363" s="44"/>
      <c r="AQ363" s="24"/>
      <c r="AR363" s="113"/>
      <c r="AS363" s="113"/>
      <c r="AT363" s="113"/>
      <c r="AU363" s="113"/>
      <c r="AV363" s="24"/>
      <c r="AW363" s="3">
        <f>(AW361/100)/((AW360+AW361)/100)</f>
        <v>0.16666666666666669</v>
      </c>
      <c r="AX363" s="24"/>
    </row>
    <row r="364" spans="1:50" x14ac:dyDescent="0.2">
      <c r="A364"/>
      <c r="C364"/>
      <c r="G364"/>
      <c r="I364" s="176"/>
      <c r="J364"/>
      <c r="L364" s="3"/>
      <c r="N364"/>
      <c r="R364"/>
      <c r="S364"/>
      <c r="T364" s="127"/>
      <c r="U364" s="127"/>
      <c r="Z364" s="6"/>
      <c r="AB364" s="16"/>
      <c r="AC364" s="6"/>
      <c r="AE364" s="17"/>
      <c r="AF364" s="17"/>
      <c r="AG364" s="17"/>
      <c r="AI364"/>
      <c r="AM364" s="14"/>
      <c r="AW364" s="3"/>
    </row>
    <row r="365" spans="1:50" x14ac:dyDescent="0.2">
      <c r="A365"/>
      <c r="C365"/>
      <c r="G365"/>
      <c r="I365" s="176"/>
      <c r="J365"/>
      <c r="L365" s="3"/>
      <c r="N365"/>
      <c r="R365"/>
      <c r="S365"/>
      <c r="T365" s="127"/>
      <c r="U365" s="127"/>
      <c r="Z365" s="6"/>
      <c r="AB365" s="16"/>
      <c r="AC365" s="6"/>
      <c r="AE365" s="17"/>
      <c r="AF365" s="17"/>
      <c r="AG365" s="17"/>
      <c r="AH365" s="4"/>
      <c r="AI365"/>
      <c r="AM365" s="14"/>
      <c r="AP365" s="44"/>
      <c r="AR365" s="24"/>
      <c r="AS365" s="24"/>
      <c r="AT365" s="24"/>
      <c r="AU365" s="24"/>
      <c r="AW365" s="3"/>
    </row>
    <row r="366" spans="1:50" x14ac:dyDescent="0.2">
      <c r="A366"/>
      <c r="B366" s="76"/>
      <c r="C366" s="76"/>
      <c r="D366" s="76"/>
      <c r="E366" s="97"/>
      <c r="F366" s="76"/>
      <c r="G366" s="76"/>
      <c r="H366" s="177"/>
      <c r="I366" s="177"/>
      <c r="J366" s="76"/>
      <c r="K366" s="76"/>
      <c r="L366" s="110"/>
      <c r="M366" s="76"/>
      <c r="N366" s="76"/>
      <c r="O366" s="76"/>
      <c r="P366" s="76"/>
      <c r="Q366" s="76"/>
      <c r="R366" s="76"/>
      <c r="S366" s="76"/>
      <c r="T366" s="76"/>
      <c r="U366" s="76"/>
      <c r="X366" s="50"/>
      <c r="Y366" s="50"/>
      <c r="Z366" s="6"/>
      <c r="AB366" s="16"/>
      <c r="AC366" s="6"/>
      <c r="AE366" s="17"/>
      <c r="AF366" s="17"/>
      <c r="AG366" s="17"/>
      <c r="AH366" s="4"/>
      <c r="AI366"/>
      <c r="AM366" s="72"/>
      <c r="AN366" s="72"/>
      <c r="AO366" s="72"/>
      <c r="AP366" s="72"/>
      <c r="AW366" s="110">
        <v>5.2</v>
      </c>
    </row>
    <row r="367" spans="1:50" x14ac:dyDescent="0.2">
      <c r="A367"/>
      <c r="B367" s="76"/>
      <c r="C367" s="76"/>
      <c r="D367" s="76"/>
      <c r="E367" s="97"/>
      <c r="F367" s="76"/>
      <c r="G367" s="76"/>
      <c r="H367" s="177"/>
      <c r="I367" s="177"/>
      <c r="J367" s="76"/>
      <c r="K367" s="76"/>
      <c r="L367" s="97"/>
      <c r="M367" s="76"/>
      <c r="N367" s="76"/>
      <c r="O367" s="76"/>
      <c r="P367" s="76"/>
      <c r="Q367" s="76"/>
      <c r="R367" s="76"/>
      <c r="S367" s="76"/>
      <c r="T367" s="76"/>
      <c r="U367" s="76"/>
      <c r="X367" s="50"/>
      <c r="Y367" s="50"/>
      <c r="Z367" s="6"/>
      <c r="AB367" s="16"/>
      <c r="AC367" s="6"/>
      <c r="AE367" s="17"/>
      <c r="AF367" s="17"/>
      <c r="AG367" s="17"/>
      <c r="AH367" s="4"/>
      <c r="AI367"/>
      <c r="AM367" s="14"/>
      <c r="AN367" s="72"/>
      <c r="AO367" s="72"/>
      <c r="AP367" s="72"/>
      <c r="AQ367"/>
      <c r="AV367"/>
      <c r="AW367" s="97">
        <v>64</v>
      </c>
      <c r="AX367"/>
    </row>
    <row r="368" spans="1:50" x14ac:dyDescent="0.2">
      <c r="A368"/>
      <c r="C368"/>
      <c r="G368"/>
      <c r="I368" s="176"/>
      <c r="J368"/>
      <c r="L368" s="3"/>
      <c r="N368"/>
      <c r="R368"/>
      <c r="S368"/>
      <c r="T368" s="127"/>
      <c r="U368" s="127"/>
      <c r="Z368" s="6"/>
      <c r="AB368" s="16"/>
      <c r="AC368" s="6"/>
      <c r="AE368" s="17"/>
      <c r="AF368" s="17"/>
      <c r="AG368" s="17"/>
      <c r="AH368" s="4"/>
      <c r="AI368"/>
      <c r="AM368" s="14"/>
      <c r="AP368" s="44"/>
      <c r="AW368" s="3">
        <f>(AW366/100)/((AW366+AW367)/100)</f>
        <v>7.5144508670520235E-2</v>
      </c>
    </row>
    <row r="369" spans="1:50" customFormat="1" x14ac:dyDescent="0.2">
      <c r="E369" s="3"/>
      <c r="H369" s="176"/>
      <c r="I369" s="176"/>
      <c r="L369" s="3"/>
      <c r="T369" s="127"/>
      <c r="U369" s="127"/>
      <c r="V369" s="2"/>
      <c r="X369" s="16"/>
      <c r="Y369" s="16"/>
      <c r="Z369" s="6"/>
      <c r="AA369" s="16"/>
      <c r="AB369" s="16"/>
      <c r="AC369" s="6"/>
      <c r="AD369" s="16"/>
      <c r="AE369" s="17"/>
      <c r="AF369" s="17"/>
      <c r="AG369" s="17"/>
      <c r="AH369" s="4"/>
      <c r="AJ369" s="5"/>
      <c r="AK369" s="5"/>
      <c r="AL369" s="5"/>
      <c r="AM369" s="14"/>
      <c r="AN369" s="14"/>
      <c r="AO369" s="14"/>
      <c r="AP369" s="44"/>
      <c r="AQ369" s="24"/>
      <c r="AR369" s="113"/>
      <c r="AS369" s="113"/>
      <c r="AT369" s="113"/>
      <c r="AU369" s="113"/>
      <c r="AV369" s="24"/>
      <c r="AW369" s="3">
        <f>(AW367/100)/((AW366+AW367)/100)</f>
        <v>0.92485549132947975</v>
      </c>
      <c r="AX369" s="24"/>
    </row>
    <row r="370" spans="1:50" x14ac:dyDescent="0.2">
      <c r="A370"/>
      <c r="C370"/>
      <c r="G370"/>
      <c r="I370" s="176"/>
      <c r="J370"/>
      <c r="L370" s="3"/>
      <c r="N370"/>
      <c r="R370"/>
      <c r="S370"/>
      <c r="T370" s="127"/>
      <c r="U370" s="127"/>
      <c r="Z370" s="6"/>
      <c r="AB370" s="16"/>
      <c r="AC370" s="6"/>
      <c r="AE370" s="17"/>
      <c r="AF370" s="17"/>
      <c r="AG370" s="17"/>
      <c r="AI370"/>
      <c r="AM370" s="14"/>
      <c r="AW370" s="3"/>
    </row>
    <row r="371" spans="1:50" x14ac:dyDescent="0.2">
      <c r="A371"/>
      <c r="C371"/>
      <c r="G371"/>
      <c r="I371" s="176"/>
      <c r="J371"/>
      <c r="L371" s="3"/>
      <c r="N371"/>
      <c r="R371"/>
      <c r="S371"/>
      <c r="T371" s="127"/>
      <c r="U371" s="127"/>
      <c r="Z371" s="6"/>
      <c r="AB371" s="16"/>
      <c r="AC371" s="6"/>
      <c r="AE371" s="17"/>
      <c r="AF371" s="17"/>
      <c r="AG371" s="17"/>
      <c r="AH371" s="4"/>
      <c r="AI371"/>
      <c r="AM371" s="14"/>
      <c r="AP371" s="44"/>
      <c r="AW371" s="3"/>
    </row>
    <row r="372" spans="1:50" x14ac:dyDescent="0.2">
      <c r="A372"/>
      <c r="B372" s="76"/>
      <c r="C372" s="76"/>
      <c r="D372" s="76"/>
      <c r="E372" s="97"/>
      <c r="F372" s="76"/>
      <c r="G372" s="76"/>
      <c r="H372" s="177"/>
      <c r="I372" s="177"/>
      <c r="J372" s="76"/>
      <c r="K372" s="76"/>
      <c r="L372" s="97"/>
      <c r="M372" s="76"/>
      <c r="N372" s="76"/>
      <c r="O372" s="76"/>
      <c r="P372" s="76"/>
      <c r="Q372" s="76"/>
      <c r="R372" s="76"/>
      <c r="S372" s="76"/>
      <c r="T372" s="76"/>
      <c r="U372" s="76"/>
      <c r="X372" s="50"/>
      <c r="Y372" s="50"/>
      <c r="Z372" s="6"/>
      <c r="AB372" s="16"/>
      <c r="AC372" s="6"/>
      <c r="AE372" s="17"/>
      <c r="AF372" s="17"/>
      <c r="AG372" s="17"/>
      <c r="AH372" s="4"/>
      <c r="AI372"/>
      <c r="AM372" s="14"/>
      <c r="AN372" s="72"/>
      <c r="AO372" s="72"/>
      <c r="AP372" s="72"/>
      <c r="AW372" s="97">
        <v>123</v>
      </c>
    </row>
    <row r="373" spans="1:50" x14ac:dyDescent="0.2">
      <c r="A373"/>
      <c r="B373" s="76"/>
      <c r="C373" s="76"/>
      <c r="D373" s="76"/>
      <c r="E373" s="97"/>
      <c r="F373" s="76"/>
      <c r="G373" s="76"/>
      <c r="H373" s="177"/>
      <c r="I373" s="177"/>
      <c r="J373" s="76"/>
      <c r="K373" s="76"/>
      <c r="L373" s="110"/>
      <c r="M373" s="76"/>
      <c r="N373" s="76"/>
      <c r="O373" s="76"/>
      <c r="P373" s="76"/>
      <c r="Q373" s="76"/>
      <c r="R373" s="76"/>
      <c r="S373" s="76"/>
      <c r="T373" s="76"/>
      <c r="U373" s="76"/>
      <c r="X373" s="50"/>
      <c r="Y373" s="50"/>
      <c r="Z373" s="6"/>
      <c r="AB373" s="16"/>
      <c r="AC373" s="6"/>
      <c r="AE373" s="17"/>
      <c r="AF373" s="17"/>
      <c r="AG373" s="17"/>
      <c r="AH373" s="4"/>
      <c r="AI373"/>
      <c r="AM373" s="72"/>
      <c r="AN373" s="72"/>
      <c r="AO373" s="72"/>
      <c r="AP373" s="72"/>
      <c r="AW373" s="110">
        <v>89.33</v>
      </c>
    </row>
    <row r="374" spans="1:50" x14ac:dyDescent="0.2">
      <c r="A374"/>
      <c r="C374"/>
      <c r="G374"/>
      <c r="I374" s="176"/>
      <c r="J374"/>
      <c r="L374" s="3"/>
      <c r="N374"/>
      <c r="R374"/>
      <c r="S374"/>
      <c r="T374" s="127"/>
      <c r="U374" s="127"/>
      <c r="Z374" s="6"/>
      <c r="AB374" s="16"/>
      <c r="AC374" s="6"/>
      <c r="AE374" s="17"/>
      <c r="AF374" s="17"/>
      <c r="AG374" s="17"/>
      <c r="AH374" s="4"/>
      <c r="AI374"/>
      <c r="AM374" s="14"/>
      <c r="AP374" s="44"/>
      <c r="AW374" s="3">
        <f>(AW372/100)/((AW372+AW373)/100)</f>
        <v>0.57928695897894789</v>
      </c>
    </row>
    <row r="375" spans="1:50" customFormat="1" x14ac:dyDescent="0.2">
      <c r="E375" s="3"/>
      <c r="H375" s="176"/>
      <c r="I375" s="176"/>
      <c r="L375" s="3"/>
      <c r="T375" s="127"/>
      <c r="U375" s="127"/>
      <c r="V375" s="2"/>
      <c r="X375" s="16"/>
      <c r="Y375" s="16"/>
      <c r="Z375" s="6"/>
      <c r="AA375" s="16"/>
      <c r="AB375" s="16"/>
      <c r="AC375" s="6"/>
      <c r="AD375" s="16"/>
      <c r="AE375" s="17"/>
      <c r="AF375" s="17"/>
      <c r="AG375" s="17"/>
      <c r="AH375" s="4"/>
      <c r="AJ375" s="5"/>
      <c r="AK375" s="5"/>
      <c r="AL375" s="5"/>
      <c r="AM375" s="14"/>
      <c r="AN375" s="14"/>
      <c r="AO375" s="14"/>
      <c r="AP375" s="44"/>
      <c r="AQ375" s="24"/>
      <c r="AR375" s="113"/>
      <c r="AS375" s="113"/>
      <c r="AT375" s="113"/>
      <c r="AU375" s="113"/>
      <c r="AV375" s="24"/>
      <c r="AW375" s="3">
        <f>(AW373/100)/((AW372+AW373)/100)</f>
        <v>0.42071304102105211</v>
      </c>
      <c r="AX375" s="24"/>
    </row>
    <row r="376" spans="1:50" x14ac:dyDescent="0.2">
      <c r="A376"/>
      <c r="C376"/>
      <c r="G376"/>
      <c r="I376" s="176"/>
      <c r="J376"/>
      <c r="L376" s="3"/>
      <c r="N376"/>
      <c r="R376"/>
      <c r="S376"/>
      <c r="T376" s="127"/>
      <c r="U376" s="127"/>
      <c r="Z376" s="6"/>
      <c r="AB376" s="16"/>
      <c r="AC376" s="6"/>
      <c r="AE376" s="17"/>
      <c r="AF376" s="17"/>
      <c r="AG376" s="17"/>
      <c r="AI376"/>
      <c r="AM376" s="14"/>
      <c r="AW376" s="3"/>
    </row>
    <row r="377" spans="1:50" x14ac:dyDescent="0.2">
      <c r="A377"/>
      <c r="C377"/>
      <c r="G377"/>
      <c r="I377" s="176"/>
      <c r="J377"/>
      <c r="L377" s="3"/>
      <c r="N377"/>
      <c r="R377"/>
      <c r="S377"/>
      <c r="T377" s="127"/>
      <c r="U377" s="127"/>
      <c r="Z377" s="6"/>
      <c r="AB377" s="16"/>
      <c r="AC377" s="6"/>
      <c r="AE377" s="17"/>
      <c r="AF377" s="17"/>
      <c r="AG377" s="17"/>
      <c r="AH377" s="4"/>
      <c r="AI377"/>
      <c r="AM377" s="14"/>
      <c r="AP377" s="44"/>
      <c r="AW377" s="3"/>
    </row>
    <row r="378" spans="1:50" x14ac:dyDescent="0.2">
      <c r="A378"/>
      <c r="B378" s="76"/>
      <c r="C378" s="76"/>
      <c r="D378" s="76"/>
      <c r="E378" s="97"/>
      <c r="F378" s="76"/>
      <c r="G378" s="76"/>
      <c r="H378" s="177"/>
      <c r="I378" s="177"/>
      <c r="J378" s="76"/>
      <c r="K378" s="76"/>
      <c r="L378" s="97"/>
      <c r="M378" s="76"/>
      <c r="N378" s="76"/>
      <c r="O378" s="76"/>
      <c r="P378" s="76"/>
      <c r="Q378" s="76"/>
      <c r="R378" s="76"/>
      <c r="S378" s="76"/>
      <c r="T378" s="76"/>
      <c r="U378" s="76"/>
      <c r="X378" s="50"/>
      <c r="Y378" s="50"/>
      <c r="Z378" s="6"/>
      <c r="AB378" s="16"/>
      <c r="AC378" s="6"/>
      <c r="AE378" s="17"/>
      <c r="AF378" s="17"/>
      <c r="AG378" s="17"/>
      <c r="AH378" s="4"/>
      <c r="AI378"/>
      <c r="AM378" s="14"/>
      <c r="AN378" s="72"/>
      <c r="AO378" s="72"/>
      <c r="AP378" s="72"/>
      <c r="AQ378"/>
      <c r="AV378"/>
      <c r="AW378" s="97">
        <v>90.2</v>
      </c>
      <c r="AX378"/>
    </row>
    <row r="379" spans="1:50" x14ac:dyDescent="0.2">
      <c r="A379"/>
      <c r="B379" s="76"/>
      <c r="C379" s="76"/>
      <c r="D379" s="76"/>
      <c r="E379" s="97"/>
      <c r="F379" s="76"/>
      <c r="G379" s="76"/>
      <c r="H379" s="177"/>
      <c r="I379" s="177"/>
      <c r="J379" s="76"/>
      <c r="K379" s="76"/>
      <c r="L379" s="110"/>
      <c r="M379" s="76"/>
      <c r="N379" s="76"/>
      <c r="O379" s="76"/>
      <c r="P379" s="76"/>
      <c r="Q379" s="76"/>
      <c r="R379" s="76"/>
      <c r="S379" s="76"/>
      <c r="T379" s="76"/>
      <c r="U379" s="76"/>
      <c r="X379" s="50"/>
      <c r="Y379" s="50"/>
      <c r="Z379" s="6"/>
      <c r="AB379" s="16"/>
      <c r="AC379" s="6"/>
      <c r="AE379" s="17"/>
      <c r="AF379" s="17"/>
      <c r="AG379" s="17"/>
      <c r="AH379" s="4"/>
      <c r="AI379"/>
      <c r="AM379" s="72"/>
      <c r="AN379" s="72"/>
      <c r="AO379" s="72"/>
      <c r="AP379" s="72"/>
      <c r="AW379" s="110">
        <v>91</v>
      </c>
    </row>
    <row r="380" spans="1:50" x14ac:dyDescent="0.2">
      <c r="A380"/>
      <c r="C380"/>
      <c r="G380"/>
      <c r="I380" s="176"/>
      <c r="J380"/>
      <c r="L380" s="3"/>
      <c r="N380"/>
      <c r="R380"/>
      <c r="S380"/>
      <c r="T380" s="127"/>
      <c r="U380" s="127"/>
      <c r="Z380" s="6"/>
      <c r="AB380" s="16"/>
      <c r="AC380" s="6"/>
      <c r="AE380" s="17"/>
      <c r="AF380" s="17"/>
      <c r="AG380" s="17"/>
      <c r="AH380" s="4"/>
      <c r="AI380"/>
      <c r="AM380" s="14"/>
      <c r="AP380" s="44"/>
      <c r="AW380" s="3">
        <f>(AW378/100)/((AW378+AW379)/100)</f>
        <v>0.49779249448123625</v>
      </c>
    </row>
    <row r="381" spans="1:50" x14ac:dyDescent="0.2">
      <c r="A381"/>
      <c r="C381"/>
      <c r="G381"/>
      <c r="I381" s="176"/>
      <c r="J381"/>
      <c r="L381" s="3"/>
      <c r="N381"/>
      <c r="R381"/>
      <c r="S381"/>
      <c r="T381" s="127"/>
      <c r="U381" s="127"/>
      <c r="Z381" s="6"/>
      <c r="AB381" s="16"/>
      <c r="AC381" s="6"/>
      <c r="AE381" s="17"/>
      <c r="AF381" s="17"/>
      <c r="AG381" s="17"/>
      <c r="AH381" s="4"/>
      <c r="AI381"/>
      <c r="AM381" s="14"/>
      <c r="AP381" s="44"/>
      <c r="AW381" s="3">
        <f>(AW379/100)/((AW378+AW379)/100)</f>
        <v>0.50220750551876381</v>
      </c>
    </row>
    <row r="382" spans="1:50" customFormat="1" x14ac:dyDescent="0.2">
      <c r="E382" s="3"/>
      <c r="H382" s="176"/>
      <c r="I382" s="176"/>
      <c r="L382" s="3"/>
      <c r="T382" s="127"/>
      <c r="U382" s="127"/>
      <c r="V382" s="2"/>
      <c r="X382" s="16"/>
      <c r="Y382" s="16"/>
      <c r="Z382" s="6"/>
      <c r="AA382" s="16"/>
      <c r="AB382" s="16"/>
      <c r="AC382" s="6"/>
      <c r="AD382" s="16"/>
      <c r="AE382" s="17"/>
      <c r="AF382" s="17"/>
      <c r="AG382" s="17"/>
      <c r="AH382" s="16"/>
      <c r="AJ382" s="5"/>
      <c r="AK382" s="5"/>
      <c r="AL382" s="5"/>
      <c r="AM382" s="14"/>
      <c r="AN382" s="14"/>
      <c r="AO382" s="14"/>
      <c r="AP382" s="14"/>
      <c r="AQ382" s="24"/>
      <c r="AR382" s="113"/>
      <c r="AS382" s="113"/>
      <c r="AT382" s="113"/>
      <c r="AU382" s="113"/>
      <c r="AV382" s="24"/>
      <c r="AW382" s="3"/>
      <c r="AX382" s="24"/>
    </row>
    <row r="383" spans="1:50" x14ac:dyDescent="0.2">
      <c r="A383"/>
      <c r="C383"/>
      <c r="G383"/>
      <c r="I383" s="176"/>
      <c r="J383"/>
      <c r="L383" s="3"/>
      <c r="N383"/>
      <c r="R383"/>
      <c r="S383"/>
      <c r="T383" s="127"/>
      <c r="U383" s="127"/>
      <c r="Z383" s="6"/>
      <c r="AB383" s="16"/>
      <c r="AC383" s="6"/>
      <c r="AE383" s="17"/>
      <c r="AF383" s="17"/>
      <c r="AG383" s="17"/>
      <c r="AH383" s="4"/>
      <c r="AI383"/>
      <c r="AM383" s="14"/>
      <c r="AP383" s="44"/>
      <c r="AW383" s="3"/>
    </row>
    <row r="384" spans="1:50" x14ac:dyDescent="0.2">
      <c r="A384"/>
      <c r="B384" s="76"/>
      <c r="C384" s="76"/>
      <c r="D384" s="76"/>
      <c r="E384" s="97"/>
      <c r="F384" s="76"/>
      <c r="G384" s="76"/>
      <c r="H384" s="177"/>
      <c r="I384" s="177"/>
      <c r="J384" s="76"/>
      <c r="K384" s="76"/>
      <c r="L384" s="97"/>
      <c r="M384" s="76"/>
      <c r="N384" s="76"/>
      <c r="O384" s="76"/>
      <c r="P384" s="76"/>
      <c r="Q384" s="76"/>
      <c r="R384" s="76"/>
      <c r="S384" s="76"/>
      <c r="T384" s="76"/>
      <c r="U384" s="76"/>
      <c r="X384" s="50"/>
      <c r="Y384" s="50"/>
      <c r="Z384" s="6"/>
      <c r="AB384" s="16"/>
      <c r="AC384" s="6"/>
      <c r="AE384" s="17"/>
      <c r="AF384" s="17"/>
      <c r="AG384" s="17"/>
      <c r="AH384" s="4"/>
      <c r="AI384"/>
      <c r="AM384" s="14"/>
      <c r="AN384" s="72"/>
      <c r="AO384" s="72"/>
      <c r="AP384" s="72"/>
      <c r="AQ384"/>
      <c r="AV384"/>
      <c r="AW384" s="97">
        <v>104.33</v>
      </c>
      <c r="AX384"/>
    </row>
    <row r="385" spans="1:50" x14ac:dyDescent="0.2">
      <c r="A385"/>
      <c r="B385" s="76"/>
      <c r="C385" s="76"/>
      <c r="D385" s="76"/>
      <c r="E385" s="97"/>
      <c r="F385" s="76"/>
      <c r="G385" s="76"/>
      <c r="H385" s="177"/>
      <c r="I385" s="177"/>
      <c r="J385" s="76"/>
      <c r="K385" s="76"/>
      <c r="L385" s="110"/>
      <c r="M385" s="76"/>
      <c r="N385" s="76"/>
      <c r="O385" s="76"/>
      <c r="P385" s="76"/>
      <c r="Q385" s="76"/>
      <c r="R385" s="76"/>
      <c r="S385" s="76"/>
      <c r="T385" s="76"/>
      <c r="U385" s="76"/>
      <c r="X385" s="50"/>
      <c r="Y385" s="50"/>
      <c r="Z385" s="6"/>
      <c r="AB385" s="16"/>
      <c r="AC385" s="6"/>
      <c r="AE385" s="17"/>
      <c r="AF385" s="17"/>
      <c r="AG385" s="17"/>
      <c r="AH385" s="4"/>
      <c r="AI385"/>
      <c r="AM385" s="72"/>
      <c r="AN385" s="72"/>
      <c r="AO385" s="72"/>
      <c r="AP385" s="72"/>
      <c r="AW385" s="110">
        <v>40.33</v>
      </c>
    </row>
    <row r="386" spans="1:50" x14ac:dyDescent="0.2">
      <c r="A386"/>
      <c r="C386"/>
      <c r="G386"/>
      <c r="I386" s="176"/>
      <c r="J386"/>
      <c r="L386" s="3"/>
      <c r="N386"/>
      <c r="R386"/>
      <c r="S386"/>
      <c r="T386" s="127"/>
      <c r="U386" s="127"/>
      <c r="Z386" s="6"/>
      <c r="AB386" s="16"/>
      <c r="AC386" s="6"/>
      <c r="AE386" s="17"/>
      <c r="AF386" s="17"/>
      <c r="AG386" s="17"/>
      <c r="AH386" s="4"/>
      <c r="AI386"/>
      <c r="AM386" s="14"/>
      <c r="AP386" s="44"/>
      <c r="AW386" s="3">
        <f>(AW384/100)/((AW384+AW385)/100)</f>
        <v>0.72120835061523569</v>
      </c>
    </row>
    <row r="387" spans="1:50" x14ac:dyDescent="0.2">
      <c r="A387"/>
      <c r="C387"/>
      <c r="G387"/>
      <c r="I387" s="176"/>
      <c r="J387"/>
      <c r="L387" s="3"/>
      <c r="N387"/>
      <c r="R387"/>
      <c r="S387"/>
      <c r="T387" s="127"/>
      <c r="U387" s="127"/>
      <c r="Z387" s="6"/>
      <c r="AB387" s="16"/>
      <c r="AC387" s="6"/>
      <c r="AE387" s="17"/>
      <c r="AF387" s="17"/>
      <c r="AG387" s="17"/>
      <c r="AH387" s="4"/>
      <c r="AI387"/>
      <c r="AM387" s="14"/>
      <c r="AP387" s="44"/>
      <c r="AW387" s="3">
        <f>(AW385/100)/((AW384+AW385)/100)</f>
        <v>0.27879164938476431</v>
      </c>
    </row>
    <row r="388" spans="1:50" x14ac:dyDescent="0.2">
      <c r="A388"/>
      <c r="C388"/>
      <c r="G388"/>
      <c r="I388" s="176"/>
      <c r="J388"/>
      <c r="L388" s="3"/>
      <c r="N388"/>
      <c r="R388"/>
      <c r="S388"/>
      <c r="T388" s="127"/>
      <c r="U388" s="127"/>
      <c r="Z388" s="6"/>
      <c r="AB388" s="16"/>
      <c r="AC388" s="6"/>
      <c r="AE388" s="17"/>
      <c r="AF388" s="17"/>
      <c r="AG388" s="17"/>
      <c r="AI388"/>
      <c r="AM388" s="14"/>
      <c r="AW388" s="3"/>
    </row>
    <row r="389" spans="1:50" x14ac:dyDescent="0.2">
      <c r="A389"/>
      <c r="C389"/>
      <c r="G389"/>
      <c r="I389" s="176"/>
      <c r="J389"/>
      <c r="L389" s="3"/>
      <c r="N389"/>
      <c r="R389"/>
      <c r="S389"/>
      <c r="T389" s="127"/>
      <c r="U389" s="127"/>
      <c r="Z389" s="6"/>
      <c r="AB389" s="16"/>
      <c r="AC389" s="6"/>
      <c r="AE389" s="17"/>
      <c r="AF389" s="17"/>
      <c r="AG389" s="17"/>
      <c r="AH389" s="4"/>
      <c r="AI389"/>
      <c r="AM389" s="14"/>
      <c r="AP389" s="44"/>
      <c r="AW389" s="3"/>
    </row>
    <row r="390" spans="1:50" x14ac:dyDescent="0.2">
      <c r="A390"/>
      <c r="B390" s="76"/>
      <c r="C390" s="76"/>
      <c r="D390" s="76"/>
      <c r="E390" s="97"/>
      <c r="F390" s="76"/>
      <c r="G390" s="76"/>
      <c r="H390" s="177"/>
      <c r="I390" s="177"/>
      <c r="J390" s="76"/>
      <c r="K390" s="76"/>
      <c r="L390" s="97"/>
      <c r="M390" s="76"/>
      <c r="N390" s="76"/>
      <c r="O390" s="76"/>
      <c r="P390" s="76"/>
      <c r="Q390" s="76"/>
      <c r="R390" s="76"/>
      <c r="S390" s="76"/>
      <c r="T390" s="76"/>
      <c r="U390" s="76"/>
      <c r="X390" s="50"/>
      <c r="Y390" s="50"/>
      <c r="Z390" s="6"/>
      <c r="AB390" s="16"/>
      <c r="AC390" s="6"/>
      <c r="AE390" s="17"/>
      <c r="AF390" s="17"/>
      <c r="AG390" s="17"/>
      <c r="AH390" s="4"/>
      <c r="AI390"/>
      <c r="AM390" s="14"/>
      <c r="AN390" s="72"/>
      <c r="AO390" s="72"/>
      <c r="AP390" s="72"/>
      <c r="AQ390"/>
      <c r="AV390"/>
      <c r="AW390" s="97">
        <v>31</v>
      </c>
      <c r="AX390"/>
    </row>
    <row r="391" spans="1:50" x14ac:dyDescent="0.2">
      <c r="A391"/>
      <c r="B391" s="76"/>
      <c r="C391" s="76"/>
      <c r="D391" s="76"/>
      <c r="E391" s="97"/>
      <c r="F391" s="76"/>
      <c r="G391" s="76"/>
      <c r="H391" s="177"/>
      <c r="I391" s="177"/>
      <c r="J391" s="76"/>
      <c r="K391" s="76"/>
      <c r="L391" s="97"/>
      <c r="M391" s="76"/>
      <c r="N391" s="76"/>
      <c r="O391" s="76"/>
      <c r="P391" s="76"/>
      <c r="Q391" s="76"/>
      <c r="R391" s="76"/>
      <c r="S391" s="76"/>
      <c r="T391" s="76"/>
      <c r="U391" s="76"/>
      <c r="X391" s="50"/>
      <c r="Y391" s="50"/>
      <c r="Z391" s="6"/>
      <c r="AB391" s="16"/>
      <c r="AC391" s="6"/>
      <c r="AE391" s="17"/>
      <c r="AF391" s="17"/>
      <c r="AG391" s="17"/>
      <c r="AH391" s="4"/>
      <c r="AI391"/>
      <c r="AM391" s="14"/>
      <c r="AN391" s="72"/>
      <c r="AO391" s="72"/>
      <c r="AP391" s="72"/>
      <c r="AW391" s="97">
        <v>36.33</v>
      </c>
    </row>
    <row r="392" spans="1:50" x14ac:dyDescent="0.2">
      <c r="A392"/>
      <c r="C392"/>
      <c r="G392"/>
      <c r="I392" s="176"/>
      <c r="J392"/>
      <c r="L392" s="3"/>
      <c r="N392"/>
      <c r="R392"/>
      <c r="S392"/>
      <c r="T392" s="127"/>
      <c r="U392" s="127"/>
      <c r="Z392" s="6"/>
      <c r="AB392" s="16"/>
      <c r="AC392" s="6"/>
      <c r="AE392" s="17"/>
      <c r="AF392" s="17"/>
      <c r="AG392" s="17"/>
      <c r="AH392" s="4"/>
      <c r="AI392"/>
      <c r="AM392" s="14"/>
      <c r="AP392" s="44"/>
      <c r="AW392" s="3">
        <f>(AW390/100)/((AW390+AW391)/100)</f>
        <v>0.460418832615476</v>
      </c>
    </row>
    <row r="393" spans="1:50" x14ac:dyDescent="0.2">
      <c r="A393"/>
      <c r="C393"/>
      <c r="G393"/>
      <c r="I393" s="176"/>
      <c r="J393"/>
      <c r="L393" s="3"/>
      <c r="N393"/>
      <c r="R393"/>
      <c r="S393"/>
      <c r="T393" s="127"/>
      <c r="U393" s="127"/>
      <c r="Z393" s="6"/>
      <c r="AB393" s="16"/>
      <c r="AC393" s="6"/>
      <c r="AE393" s="17"/>
      <c r="AF393" s="17"/>
      <c r="AG393" s="17"/>
      <c r="AH393" s="4"/>
      <c r="AI393"/>
      <c r="AM393" s="14"/>
      <c r="AP393" s="44"/>
      <c r="AW393" s="3">
        <f>(AW391/100)/((AW390+AW391)/100)</f>
        <v>0.53958116738452389</v>
      </c>
    </row>
    <row r="394" spans="1:50" x14ac:dyDescent="0.2">
      <c r="A394"/>
      <c r="C394"/>
      <c r="G394"/>
      <c r="I394" s="176"/>
      <c r="J394"/>
      <c r="L394" s="3"/>
      <c r="N394"/>
      <c r="R394"/>
      <c r="S394"/>
      <c r="T394" s="127"/>
      <c r="U394" s="127"/>
      <c r="Z394" s="6"/>
      <c r="AB394" s="16"/>
      <c r="AC394" s="6"/>
      <c r="AE394" s="17"/>
      <c r="AF394" s="17"/>
      <c r="AG394" s="17"/>
      <c r="AI394"/>
      <c r="AM394" s="14"/>
      <c r="AW394" s="3"/>
    </row>
    <row r="395" spans="1:50" x14ac:dyDescent="0.2">
      <c r="A395"/>
      <c r="C395"/>
      <c r="G395"/>
      <c r="I395" s="176"/>
      <c r="J395"/>
      <c r="L395" s="3"/>
      <c r="N395"/>
      <c r="R395"/>
      <c r="S395"/>
      <c r="T395" s="127"/>
      <c r="U395" s="127"/>
      <c r="Z395" s="6"/>
      <c r="AB395" s="16"/>
      <c r="AC395" s="6"/>
      <c r="AE395" s="17"/>
      <c r="AF395" s="17"/>
      <c r="AG395" s="17"/>
      <c r="AH395" s="4"/>
      <c r="AI395"/>
      <c r="AM395" s="14"/>
      <c r="AP395" s="44"/>
      <c r="AW395" s="3"/>
    </row>
    <row r="396" spans="1:50" x14ac:dyDescent="0.2">
      <c r="A396"/>
      <c r="B396" s="76"/>
      <c r="C396" s="76"/>
      <c r="D396" s="76"/>
      <c r="E396" s="97"/>
      <c r="F396" s="76"/>
      <c r="G396" s="76"/>
      <c r="H396" s="177"/>
      <c r="I396" s="177"/>
      <c r="J396" s="76"/>
      <c r="K396" s="76"/>
      <c r="L396" s="97"/>
      <c r="M396" s="76"/>
      <c r="N396" s="76"/>
      <c r="O396" s="76"/>
      <c r="P396" s="76"/>
      <c r="Q396" s="76"/>
      <c r="R396" s="76"/>
      <c r="S396" s="76"/>
      <c r="T396" s="76"/>
      <c r="U396" s="76"/>
      <c r="X396" s="50"/>
      <c r="Y396" s="50"/>
      <c r="Z396" s="6"/>
      <c r="AB396" s="16"/>
      <c r="AC396" s="6"/>
      <c r="AE396" s="17"/>
      <c r="AF396" s="17"/>
      <c r="AG396" s="17"/>
      <c r="AH396" s="4"/>
      <c r="AI396"/>
      <c r="AM396" s="14"/>
      <c r="AN396" s="72"/>
      <c r="AO396" s="72"/>
      <c r="AP396" s="72"/>
      <c r="AW396" s="97">
        <v>28</v>
      </c>
    </row>
    <row r="397" spans="1:50" x14ac:dyDescent="0.2">
      <c r="A397"/>
      <c r="B397" s="76"/>
      <c r="C397" s="76"/>
      <c r="D397" s="76"/>
      <c r="E397" s="97"/>
      <c r="F397" s="76"/>
      <c r="G397" s="76"/>
      <c r="H397" s="177"/>
      <c r="I397" s="177"/>
      <c r="J397" s="76"/>
      <c r="K397" s="76"/>
      <c r="L397" s="97"/>
      <c r="M397" s="76"/>
      <c r="N397" s="76"/>
      <c r="O397" s="76"/>
      <c r="P397" s="76"/>
      <c r="Q397" s="76"/>
      <c r="R397" s="76"/>
      <c r="S397" s="76"/>
      <c r="T397" s="76"/>
      <c r="U397" s="76"/>
      <c r="X397" s="50"/>
      <c r="Y397" s="50"/>
      <c r="Z397" s="6"/>
      <c r="AB397" s="16"/>
      <c r="AC397" s="6"/>
      <c r="AE397" s="17"/>
      <c r="AF397" s="17"/>
      <c r="AG397" s="17"/>
      <c r="AH397" s="4"/>
      <c r="AI397"/>
      <c r="AM397" s="14"/>
      <c r="AN397" s="72"/>
      <c r="AO397" s="72"/>
      <c r="AP397" s="72"/>
      <c r="AQ397"/>
      <c r="AV397"/>
      <c r="AW397" s="97">
        <v>0.33</v>
      </c>
      <c r="AX397"/>
    </row>
    <row r="398" spans="1:50" x14ac:dyDescent="0.2">
      <c r="A398"/>
      <c r="C398"/>
      <c r="G398"/>
      <c r="I398" s="176"/>
      <c r="J398"/>
      <c r="L398" s="3"/>
      <c r="N398"/>
      <c r="R398"/>
      <c r="S398"/>
      <c r="T398" s="127"/>
      <c r="U398" s="127"/>
      <c r="Z398" s="6"/>
      <c r="AB398" s="16"/>
      <c r="AC398" s="6"/>
      <c r="AE398" s="17"/>
      <c r="AF398" s="17"/>
      <c r="AG398" s="17"/>
      <c r="AH398" s="4"/>
      <c r="AI398"/>
      <c r="AM398" s="14"/>
      <c r="AP398" s="44"/>
      <c r="AW398" s="3">
        <f>(AW396/100)/((AW396+AW397)/100)</f>
        <v>0.98835157077303226</v>
      </c>
    </row>
    <row r="399" spans="1:50" x14ac:dyDescent="0.2">
      <c r="A399"/>
      <c r="C399"/>
      <c r="G399"/>
      <c r="I399" s="176"/>
      <c r="J399"/>
      <c r="L399" s="3"/>
      <c r="N399"/>
      <c r="R399"/>
      <c r="S399"/>
      <c r="T399" s="127"/>
      <c r="U399" s="127"/>
      <c r="Z399" s="6"/>
      <c r="AB399" s="16"/>
      <c r="AC399" s="6"/>
      <c r="AE399" s="17"/>
      <c r="AF399" s="17"/>
      <c r="AG399" s="17"/>
      <c r="AH399" s="4"/>
      <c r="AI399"/>
      <c r="AM399" s="14"/>
      <c r="AP399" s="44"/>
      <c r="AW399" s="3">
        <f>(AW397/100)/((AW396+AW397)/100)</f>
        <v>1.1648429226967879E-2</v>
      </c>
    </row>
    <row r="400" spans="1:50" x14ac:dyDescent="0.2">
      <c r="A400"/>
      <c r="C400"/>
      <c r="G400"/>
      <c r="I400" s="176"/>
      <c r="J400"/>
      <c r="L400" s="3"/>
      <c r="N400"/>
      <c r="R400"/>
      <c r="S400"/>
      <c r="T400" s="127"/>
      <c r="U400" s="127"/>
      <c r="Z400" s="6"/>
      <c r="AB400" s="16"/>
      <c r="AC400" s="6"/>
      <c r="AE400" s="17"/>
      <c r="AF400" s="17"/>
      <c r="AG400" s="17"/>
      <c r="AI400"/>
      <c r="AM400" s="14"/>
      <c r="AW400" s="3"/>
    </row>
    <row r="401" spans="1:50" x14ac:dyDescent="0.2">
      <c r="A401"/>
      <c r="C401"/>
      <c r="G401"/>
      <c r="I401" s="176"/>
      <c r="J401"/>
      <c r="L401" s="3"/>
      <c r="N401"/>
      <c r="R401"/>
      <c r="S401"/>
      <c r="T401" s="127"/>
      <c r="U401" s="127"/>
      <c r="Z401" s="6"/>
      <c r="AB401" s="16"/>
      <c r="AC401" s="6"/>
      <c r="AE401" s="17"/>
      <c r="AF401" s="17"/>
      <c r="AG401" s="17"/>
      <c r="AH401" s="4"/>
      <c r="AI401"/>
      <c r="AM401" s="14"/>
      <c r="AP401" s="44"/>
      <c r="AW401" s="3"/>
    </row>
    <row r="402" spans="1:50" x14ac:dyDescent="0.2">
      <c r="A402"/>
      <c r="B402" s="76"/>
      <c r="C402" s="76"/>
      <c r="D402" s="76"/>
      <c r="E402" s="97"/>
      <c r="F402" s="76"/>
      <c r="G402" s="76"/>
      <c r="H402" s="177"/>
      <c r="I402" s="177"/>
      <c r="J402" s="76"/>
      <c r="K402" s="76"/>
      <c r="L402" s="110"/>
      <c r="M402" s="76"/>
      <c r="N402" s="76"/>
      <c r="O402" s="76"/>
      <c r="P402" s="76"/>
      <c r="Q402" s="76"/>
      <c r="R402" s="76"/>
      <c r="S402" s="76"/>
      <c r="T402" s="76"/>
      <c r="U402" s="76"/>
      <c r="X402" s="50"/>
      <c r="Y402" s="50"/>
      <c r="Z402" s="6"/>
      <c r="AB402" s="16"/>
      <c r="AC402" s="6"/>
      <c r="AE402" s="17"/>
      <c r="AF402" s="17"/>
      <c r="AG402" s="17"/>
      <c r="AH402" s="4"/>
      <c r="AI402"/>
      <c r="AM402" s="72"/>
      <c r="AN402" s="72"/>
      <c r="AO402" s="72"/>
      <c r="AP402" s="72"/>
      <c r="AW402" s="110">
        <v>44.2</v>
      </c>
    </row>
    <row r="403" spans="1:50" x14ac:dyDescent="0.2">
      <c r="A403"/>
      <c r="B403" s="76"/>
      <c r="C403" s="76"/>
      <c r="D403" s="76"/>
      <c r="E403" s="97"/>
      <c r="F403" s="76"/>
      <c r="G403" s="76"/>
      <c r="H403" s="177"/>
      <c r="I403" s="177"/>
      <c r="J403" s="76"/>
      <c r="K403" s="76"/>
      <c r="L403" s="97"/>
      <c r="M403" s="76"/>
      <c r="N403" s="76"/>
      <c r="O403" s="76"/>
      <c r="P403" s="76"/>
      <c r="Q403" s="76"/>
      <c r="R403" s="76"/>
      <c r="S403" s="76"/>
      <c r="T403" s="76"/>
      <c r="U403" s="76"/>
      <c r="X403" s="50"/>
      <c r="Y403" s="50"/>
      <c r="Z403" s="6"/>
      <c r="AB403" s="16"/>
      <c r="AC403" s="6"/>
      <c r="AE403" s="17"/>
      <c r="AF403" s="17"/>
      <c r="AG403" s="17"/>
      <c r="AH403" s="4"/>
      <c r="AI403"/>
      <c r="AM403" s="14"/>
      <c r="AN403" s="72"/>
      <c r="AO403" s="72"/>
      <c r="AP403" s="72"/>
      <c r="AW403" s="97">
        <v>27.33</v>
      </c>
    </row>
    <row r="404" spans="1:50" x14ac:dyDescent="0.2">
      <c r="A404"/>
      <c r="C404"/>
      <c r="G404"/>
      <c r="I404" s="176"/>
      <c r="J404"/>
      <c r="L404" s="3"/>
      <c r="N404"/>
      <c r="R404"/>
      <c r="S404"/>
      <c r="T404" s="127"/>
      <c r="U404" s="127"/>
      <c r="Z404" s="6"/>
      <c r="AB404" s="16"/>
      <c r="AC404" s="6"/>
      <c r="AE404" s="17"/>
      <c r="AF404" s="17"/>
      <c r="AG404" s="17"/>
      <c r="AH404" s="4"/>
      <c r="AI404"/>
      <c r="AM404" s="14"/>
      <c r="AP404" s="44"/>
      <c r="AW404" s="3">
        <f>(AW402/100)/((AW402+AW403)/100)</f>
        <v>0.61792254997902973</v>
      </c>
    </row>
    <row r="405" spans="1:50" s="27" customFormat="1" x14ac:dyDescent="0.2">
      <c r="A405"/>
      <c r="B405"/>
      <c r="C405"/>
      <c r="D405"/>
      <c r="E405" s="3"/>
      <c r="F405"/>
      <c r="G405"/>
      <c r="H405" s="176"/>
      <c r="I405" s="176"/>
      <c r="J405"/>
      <c r="K405"/>
      <c r="L405" s="3"/>
      <c r="M405"/>
      <c r="N405"/>
      <c r="O405"/>
      <c r="P405"/>
      <c r="Q405"/>
      <c r="R405"/>
      <c r="S405"/>
      <c r="T405" s="127"/>
      <c r="U405" s="127"/>
      <c r="V405" s="273"/>
      <c r="X405" s="16"/>
      <c r="Y405" s="16"/>
      <c r="Z405" s="6"/>
      <c r="AA405" s="16"/>
      <c r="AB405" s="16"/>
      <c r="AC405" s="6"/>
      <c r="AD405" s="16"/>
      <c r="AE405" s="17"/>
      <c r="AF405" s="17"/>
      <c r="AG405" s="17"/>
      <c r="AH405" s="4"/>
      <c r="AI405"/>
      <c r="AJ405" s="5"/>
      <c r="AK405" s="5"/>
      <c r="AL405" s="5"/>
      <c r="AM405" s="14"/>
      <c r="AN405" s="14"/>
      <c r="AO405" s="14"/>
      <c r="AP405" s="44"/>
      <c r="AQ405" s="24"/>
      <c r="AR405" s="113"/>
      <c r="AS405" s="113"/>
      <c r="AT405" s="113"/>
      <c r="AU405" s="113"/>
      <c r="AV405" s="24"/>
      <c r="AW405" s="3">
        <f>(AW403/100)/((AW402+AW403)/100)</f>
        <v>0.38207745002097016</v>
      </c>
      <c r="AX405" s="24"/>
    </row>
    <row r="406" spans="1:50" customFormat="1" x14ac:dyDescent="0.2">
      <c r="E406" s="3"/>
      <c r="H406" s="176"/>
      <c r="I406" s="176"/>
      <c r="L406" s="3"/>
      <c r="T406" s="127"/>
      <c r="U406" s="127"/>
      <c r="V406" s="2"/>
      <c r="X406" s="16"/>
      <c r="Y406" s="16"/>
      <c r="Z406" s="6"/>
      <c r="AA406" s="16"/>
      <c r="AB406" s="16"/>
      <c r="AC406" s="6"/>
      <c r="AD406" s="16"/>
      <c r="AE406" s="17"/>
      <c r="AF406" s="17"/>
      <c r="AG406" s="17"/>
      <c r="AH406" s="16"/>
      <c r="AJ406" s="5"/>
      <c r="AK406" s="5"/>
      <c r="AL406" s="5"/>
      <c r="AM406" s="14"/>
      <c r="AN406" s="14"/>
      <c r="AO406" s="14"/>
      <c r="AP406" s="14"/>
      <c r="AQ406" s="24"/>
      <c r="AR406" s="113"/>
      <c r="AS406" s="113"/>
      <c r="AT406" s="113"/>
      <c r="AU406" s="113"/>
      <c r="AV406" s="24"/>
      <c r="AW406" s="3"/>
      <c r="AX406" s="24"/>
    </row>
    <row r="407" spans="1:50" x14ac:dyDescent="0.2">
      <c r="A407"/>
      <c r="C407"/>
      <c r="G407"/>
      <c r="I407" s="176"/>
      <c r="J407"/>
      <c r="L407" s="3"/>
      <c r="N407"/>
      <c r="R407"/>
      <c r="S407"/>
      <c r="T407" s="127"/>
      <c r="U407" s="127"/>
      <c r="Z407" s="6"/>
      <c r="AB407" s="16"/>
      <c r="AC407" s="6"/>
      <c r="AE407" s="17"/>
      <c r="AF407" s="17"/>
      <c r="AG407" s="17"/>
      <c r="AH407" s="4"/>
      <c r="AI407"/>
      <c r="AM407" s="14"/>
      <c r="AP407" s="44"/>
      <c r="AW407" s="3"/>
    </row>
    <row r="408" spans="1:50" x14ac:dyDescent="0.2">
      <c r="A408"/>
      <c r="B408" s="76"/>
      <c r="C408" s="76"/>
      <c r="D408" s="76"/>
      <c r="E408" s="97"/>
      <c r="F408" s="76"/>
      <c r="G408" s="76"/>
      <c r="H408" s="177"/>
      <c r="I408" s="177"/>
      <c r="J408" s="76"/>
      <c r="K408" s="76"/>
      <c r="L408" s="97"/>
      <c r="M408" s="76"/>
      <c r="N408" s="76"/>
      <c r="O408" s="76"/>
      <c r="P408" s="76"/>
      <c r="Q408" s="76"/>
      <c r="R408" s="76"/>
      <c r="S408" s="76"/>
      <c r="T408" s="76"/>
      <c r="U408" s="76"/>
      <c r="X408" s="50"/>
      <c r="Y408" s="50"/>
      <c r="Z408" s="6"/>
      <c r="AB408" s="16"/>
      <c r="AC408" s="6"/>
      <c r="AE408" s="17"/>
      <c r="AF408" s="17"/>
      <c r="AG408" s="17"/>
      <c r="AH408" s="4"/>
      <c r="AI408"/>
      <c r="AM408" s="14"/>
      <c r="AN408" s="72"/>
      <c r="AO408" s="72"/>
      <c r="AP408" s="72"/>
      <c r="AW408" s="97">
        <v>47.2</v>
      </c>
    </row>
    <row r="409" spans="1:50" x14ac:dyDescent="0.2">
      <c r="A409"/>
      <c r="B409" s="76"/>
      <c r="C409" s="76"/>
      <c r="D409" s="76"/>
      <c r="E409" s="97"/>
      <c r="F409" s="76"/>
      <c r="G409" s="76"/>
      <c r="H409" s="177"/>
      <c r="I409" s="177"/>
      <c r="J409" s="76"/>
      <c r="K409" s="76"/>
      <c r="L409" s="97"/>
      <c r="M409" s="76"/>
      <c r="N409" s="76"/>
      <c r="O409" s="76"/>
      <c r="P409" s="76"/>
      <c r="Q409" s="76"/>
      <c r="R409" s="76"/>
      <c r="S409" s="76"/>
      <c r="T409" s="76"/>
      <c r="U409" s="76"/>
      <c r="X409" s="50"/>
      <c r="Y409" s="50"/>
      <c r="Z409" s="6"/>
      <c r="AB409" s="16"/>
      <c r="AC409" s="6"/>
      <c r="AE409" s="17"/>
      <c r="AF409" s="17"/>
      <c r="AG409" s="17"/>
      <c r="AH409" s="4"/>
      <c r="AI409"/>
      <c r="AM409" s="14"/>
      <c r="AN409" s="72"/>
      <c r="AO409" s="72"/>
      <c r="AP409" s="72"/>
      <c r="AW409" s="97">
        <v>23.33</v>
      </c>
    </row>
    <row r="410" spans="1:50" x14ac:dyDescent="0.2">
      <c r="A410"/>
      <c r="C410"/>
      <c r="G410"/>
      <c r="I410" s="176"/>
      <c r="J410"/>
      <c r="L410" s="3"/>
      <c r="N410"/>
      <c r="R410"/>
      <c r="S410"/>
      <c r="T410" s="127"/>
      <c r="U410" s="127"/>
      <c r="Z410" s="6"/>
      <c r="AB410" s="16"/>
      <c r="AC410" s="6"/>
      <c r="AE410" s="17"/>
      <c r="AF410" s="17"/>
      <c r="AG410" s="17"/>
      <c r="AH410" s="4"/>
      <c r="AI410"/>
      <c r="AM410" s="14"/>
      <c r="AP410" s="44"/>
      <c r="AW410" s="3">
        <f>(AW408/100)/((AW408+AW409)/100)</f>
        <v>0.66921877215369352</v>
      </c>
    </row>
    <row r="411" spans="1:50" s="28" customFormat="1" x14ac:dyDescent="0.2">
      <c r="A411"/>
      <c r="B411"/>
      <c r="C411"/>
      <c r="D411"/>
      <c r="E411" s="3"/>
      <c r="F411"/>
      <c r="G411"/>
      <c r="H411" s="176"/>
      <c r="I411" s="176"/>
      <c r="J411"/>
      <c r="K411"/>
      <c r="L411" s="3"/>
      <c r="M411"/>
      <c r="N411"/>
      <c r="O411"/>
      <c r="P411"/>
      <c r="Q411"/>
      <c r="R411"/>
      <c r="S411"/>
      <c r="T411" s="127"/>
      <c r="U411" s="127"/>
      <c r="V411" s="269"/>
      <c r="X411" s="16"/>
      <c r="Y411" s="16"/>
      <c r="Z411" s="6"/>
      <c r="AA411" s="16"/>
      <c r="AB411" s="16"/>
      <c r="AC411" s="6"/>
      <c r="AD411" s="16"/>
      <c r="AE411" s="17"/>
      <c r="AF411" s="17"/>
      <c r="AG411" s="17"/>
      <c r="AH411" s="4"/>
      <c r="AI411"/>
      <c r="AJ411" s="5"/>
      <c r="AK411" s="5"/>
      <c r="AL411" s="5"/>
      <c r="AM411" s="14"/>
      <c r="AN411" s="14"/>
      <c r="AO411" s="14"/>
      <c r="AP411" s="44"/>
      <c r="AQ411" s="24"/>
      <c r="AR411" s="113"/>
      <c r="AS411" s="113"/>
      <c r="AT411" s="113"/>
      <c r="AU411" s="113"/>
      <c r="AV411" s="24"/>
      <c r="AW411" s="3">
        <f>(AW409/100)/((AW408+AW409)/100)</f>
        <v>0.33078122784630648</v>
      </c>
      <c r="AX411" s="24"/>
    </row>
    <row r="412" spans="1:50" x14ac:dyDescent="0.2">
      <c r="A412"/>
      <c r="C412"/>
      <c r="G412"/>
      <c r="I412" s="176"/>
      <c r="J412"/>
      <c r="L412" s="3"/>
      <c r="N412"/>
      <c r="R412"/>
      <c r="S412"/>
      <c r="T412" s="127"/>
      <c r="U412" s="127"/>
      <c r="Z412" s="6"/>
      <c r="AB412" s="16"/>
      <c r="AC412" s="6"/>
      <c r="AE412" s="17"/>
      <c r="AF412" s="17"/>
      <c r="AG412" s="17"/>
      <c r="AI412"/>
      <c r="AM412" s="14"/>
      <c r="AW412" s="3"/>
    </row>
    <row r="413" spans="1:50" x14ac:dyDescent="0.2">
      <c r="A413"/>
      <c r="C413"/>
      <c r="G413"/>
      <c r="I413" s="176"/>
      <c r="J413"/>
      <c r="L413" s="3"/>
      <c r="N413"/>
      <c r="R413"/>
      <c r="S413"/>
      <c r="T413" s="127"/>
      <c r="U413" s="127"/>
      <c r="Z413" s="6"/>
      <c r="AB413" s="16"/>
      <c r="AC413" s="6"/>
      <c r="AE413" s="17"/>
      <c r="AF413" s="17"/>
      <c r="AG413" s="17"/>
      <c r="AH413" s="4"/>
      <c r="AI413"/>
      <c r="AM413" s="14"/>
      <c r="AP413" s="44"/>
      <c r="AW413" s="3"/>
    </row>
    <row r="414" spans="1:50" x14ac:dyDescent="0.2">
      <c r="A414"/>
      <c r="B414" s="76"/>
      <c r="C414" s="76"/>
      <c r="D414" s="76"/>
      <c r="E414" s="97"/>
      <c r="F414" s="76"/>
      <c r="G414" s="76"/>
      <c r="H414" s="177"/>
      <c r="I414" s="177"/>
      <c r="J414" s="76"/>
      <c r="K414" s="76"/>
      <c r="L414" s="97"/>
      <c r="M414" s="76"/>
      <c r="N414" s="76"/>
      <c r="O414" s="76"/>
      <c r="P414" s="76"/>
      <c r="Q414" s="76"/>
      <c r="R414" s="76"/>
      <c r="S414" s="76"/>
      <c r="T414" s="76"/>
      <c r="U414" s="76"/>
      <c r="X414" s="50"/>
      <c r="Y414" s="50"/>
      <c r="Z414" s="6"/>
      <c r="AB414" s="16"/>
      <c r="AC414" s="6"/>
      <c r="AE414" s="17"/>
      <c r="AF414" s="17"/>
      <c r="AG414" s="17"/>
      <c r="AH414" s="4"/>
      <c r="AI414"/>
      <c r="AM414" s="14"/>
      <c r="AN414" s="72"/>
      <c r="AO414" s="72"/>
      <c r="AP414" s="72"/>
      <c r="AW414" s="97">
        <v>59.1</v>
      </c>
    </row>
    <row r="415" spans="1:50" x14ac:dyDescent="0.2">
      <c r="A415"/>
      <c r="B415" s="76"/>
      <c r="C415" s="76"/>
      <c r="D415" s="76"/>
      <c r="E415" s="97"/>
      <c r="F415" s="76"/>
      <c r="G415" s="76"/>
      <c r="H415" s="177"/>
      <c r="I415" s="177"/>
      <c r="J415" s="76"/>
      <c r="K415" s="76"/>
      <c r="L415" s="110"/>
      <c r="M415" s="76"/>
      <c r="N415" s="76"/>
      <c r="O415" s="76"/>
      <c r="P415" s="76"/>
      <c r="Q415" s="76"/>
      <c r="R415" s="76"/>
      <c r="S415" s="76"/>
      <c r="T415" s="76"/>
      <c r="U415" s="76"/>
      <c r="X415" s="50"/>
      <c r="Y415" s="50"/>
      <c r="Z415" s="6"/>
      <c r="AB415" s="16"/>
      <c r="AC415" s="6"/>
      <c r="AE415" s="17"/>
      <c r="AF415" s="17"/>
      <c r="AG415" s="17"/>
      <c r="AH415" s="4"/>
      <c r="AI415"/>
      <c r="AM415" s="72"/>
      <c r="AN415" s="72"/>
      <c r="AO415" s="72"/>
      <c r="AP415" s="72"/>
      <c r="AW415" s="110">
        <v>28.67</v>
      </c>
    </row>
    <row r="416" spans="1:50" x14ac:dyDescent="0.2">
      <c r="A416"/>
      <c r="C416"/>
      <c r="G416"/>
      <c r="I416" s="176"/>
      <c r="J416"/>
      <c r="L416" s="3"/>
      <c r="N416"/>
      <c r="R416"/>
      <c r="S416"/>
      <c r="T416" s="127"/>
      <c r="U416" s="127"/>
      <c r="Z416" s="6"/>
      <c r="AB416" s="16"/>
      <c r="AC416" s="6"/>
      <c r="AE416" s="17"/>
      <c r="AF416" s="17"/>
      <c r="AG416" s="17"/>
      <c r="AH416" s="4"/>
      <c r="AI416"/>
      <c r="AM416" s="14"/>
      <c r="AP416" s="44"/>
      <c r="AW416" s="3">
        <f>(AW414/100)/((AW414+AW415)/100)</f>
        <v>0.6733508032357296</v>
      </c>
    </row>
    <row r="417" spans="1:50" s="26" customFormat="1" x14ac:dyDescent="0.2">
      <c r="A417"/>
      <c r="B417"/>
      <c r="C417"/>
      <c r="D417"/>
      <c r="E417" s="3"/>
      <c r="F417"/>
      <c r="G417"/>
      <c r="H417" s="176"/>
      <c r="I417" s="176"/>
      <c r="J417"/>
      <c r="K417"/>
      <c r="L417" s="3"/>
      <c r="M417"/>
      <c r="N417"/>
      <c r="O417"/>
      <c r="P417"/>
      <c r="Q417"/>
      <c r="R417"/>
      <c r="S417"/>
      <c r="T417" s="127"/>
      <c r="U417" s="127"/>
      <c r="V417" s="268"/>
      <c r="X417" s="16"/>
      <c r="Y417" s="16"/>
      <c r="Z417" s="6"/>
      <c r="AA417" s="16"/>
      <c r="AB417" s="16"/>
      <c r="AC417" s="6"/>
      <c r="AD417" s="16"/>
      <c r="AE417" s="17"/>
      <c r="AF417" s="17"/>
      <c r="AG417" s="17"/>
      <c r="AH417" s="4"/>
      <c r="AI417"/>
      <c r="AJ417" s="5"/>
      <c r="AK417" s="5"/>
      <c r="AL417" s="5"/>
      <c r="AM417" s="14"/>
      <c r="AN417" s="14"/>
      <c r="AO417" s="14"/>
      <c r="AP417" s="44"/>
      <c r="AQ417" s="24"/>
      <c r="AR417" s="113"/>
      <c r="AS417" s="113"/>
      <c r="AT417" s="113"/>
      <c r="AU417" s="113"/>
      <c r="AV417" s="24"/>
      <c r="AW417" s="3">
        <f>(AW415/100)/((AW414+AW415)/100)</f>
        <v>0.32664919676427023</v>
      </c>
      <c r="AX417" s="24"/>
    </row>
    <row r="418" spans="1:50" x14ac:dyDescent="0.2">
      <c r="A418"/>
      <c r="C418"/>
      <c r="G418"/>
      <c r="I418" s="176"/>
      <c r="J418"/>
      <c r="L418" s="3"/>
      <c r="N418"/>
      <c r="R418"/>
      <c r="S418"/>
      <c r="T418" s="127"/>
      <c r="U418" s="127"/>
      <c r="Z418" s="6"/>
      <c r="AB418" s="16"/>
      <c r="AC418" s="6"/>
      <c r="AE418" s="17"/>
      <c r="AF418" s="17"/>
      <c r="AG418" s="17"/>
      <c r="AI418"/>
      <c r="AM418" s="14"/>
      <c r="AW418" s="3"/>
    </row>
    <row r="419" spans="1:50" x14ac:dyDescent="0.2">
      <c r="A419"/>
      <c r="C419"/>
      <c r="G419"/>
      <c r="I419" s="176"/>
      <c r="J419"/>
      <c r="L419" s="3"/>
      <c r="N419"/>
      <c r="R419"/>
      <c r="S419"/>
      <c r="T419" s="127"/>
      <c r="U419" s="127"/>
      <c r="Z419" s="6"/>
      <c r="AB419" s="16"/>
      <c r="AC419" s="6"/>
      <c r="AE419" s="17"/>
      <c r="AF419" s="17"/>
      <c r="AG419" s="17"/>
      <c r="AH419" s="4"/>
      <c r="AI419"/>
      <c r="AM419" s="14"/>
      <c r="AP419" s="44"/>
      <c r="AW419" s="3"/>
    </row>
    <row r="420" spans="1:50" x14ac:dyDescent="0.2">
      <c r="A420"/>
      <c r="B420" s="76"/>
      <c r="C420" s="76"/>
      <c r="D420" s="76"/>
      <c r="E420" s="97"/>
      <c r="F420" s="76"/>
      <c r="G420" s="76"/>
      <c r="H420" s="177"/>
      <c r="I420" s="177"/>
      <c r="J420" s="76"/>
      <c r="K420" s="76"/>
      <c r="L420" s="110"/>
      <c r="M420" s="76"/>
      <c r="N420" s="76"/>
      <c r="O420" s="76"/>
      <c r="P420" s="76"/>
      <c r="Q420" s="76"/>
      <c r="R420" s="76"/>
      <c r="S420" s="76"/>
      <c r="T420" s="76"/>
      <c r="U420" s="76"/>
      <c r="X420" s="50"/>
      <c r="Y420" s="50"/>
      <c r="Z420" s="6"/>
      <c r="AB420" s="16"/>
      <c r="AC420" s="6"/>
      <c r="AE420" s="17"/>
      <c r="AF420" s="17"/>
      <c r="AG420" s="17"/>
      <c r="AH420" s="4"/>
      <c r="AI420"/>
      <c r="AJ420" s="7"/>
      <c r="AK420" s="7"/>
      <c r="AL420" s="7"/>
      <c r="AM420" s="72"/>
      <c r="AN420" s="72"/>
      <c r="AO420" s="72"/>
      <c r="AP420" s="72"/>
      <c r="AQ420" s="27"/>
      <c r="AV420" s="27"/>
      <c r="AW420" s="110">
        <v>36.1</v>
      </c>
      <c r="AX420" s="27"/>
    </row>
    <row r="421" spans="1:50" x14ac:dyDescent="0.2">
      <c r="A421"/>
      <c r="B421" s="76"/>
      <c r="C421" s="76"/>
      <c r="D421" s="76"/>
      <c r="E421" s="97"/>
      <c r="F421" s="76"/>
      <c r="G421" s="76"/>
      <c r="H421" s="177"/>
      <c r="I421" s="177"/>
      <c r="J421" s="76"/>
      <c r="K421" s="76"/>
      <c r="L421" s="97"/>
      <c r="M421" s="76"/>
      <c r="N421" s="76"/>
      <c r="O421" s="76"/>
      <c r="P421" s="76"/>
      <c r="Q421" s="76"/>
      <c r="R421" s="76"/>
      <c r="S421" s="76"/>
      <c r="T421" s="76"/>
      <c r="U421" s="76"/>
      <c r="X421" s="52"/>
      <c r="Y421" s="52"/>
      <c r="Z421" s="53"/>
      <c r="AA421" s="54"/>
      <c r="AB421" s="54"/>
      <c r="AC421" s="53"/>
      <c r="AD421" s="54"/>
      <c r="AE421" s="55"/>
      <c r="AF421" s="55"/>
      <c r="AG421" s="17"/>
      <c r="AH421" s="56"/>
      <c r="AI421"/>
      <c r="AM421" s="14"/>
      <c r="AN421" s="72"/>
      <c r="AO421" s="72"/>
      <c r="AP421" s="72"/>
      <c r="AQ421"/>
      <c r="AV421"/>
      <c r="AW421" s="97">
        <v>10.67</v>
      </c>
      <c r="AX421"/>
    </row>
    <row r="422" spans="1:50" x14ac:dyDescent="0.2">
      <c r="A422"/>
      <c r="C422"/>
      <c r="G422"/>
      <c r="I422" s="176"/>
      <c r="J422"/>
      <c r="L422" s="3"/>
      <c r="N422"/>
      <c r="R422"/>
      <c r="S422"/>
      <c r="T422" s="127"/>
      <c r="U422" s="127"/>
      <c r="Z422" s="6"/>
      <c r="AB422" s="16"/>
      <c r="AC422" s="6"/>
      <c r="AE422" s="17"/>
      <c r="AF422" s="17"/>
      <c r="AG422" s="17"/>
      <c r="AH422" s="4"/>
      <c r="AI422"/>
      <c r="AM422" s="14"/>
      <c r="AP422" s="44"/>
      <c r="AW422" s="3">
        <f>(AW420/100)/((AW420+AW421)/100)</f>
        <v>0.77186230489630103</v>
      </c>
    </row>
    <row r="423" spans="1:50" customFormat="1" x14ac:dyDescent="0.2">
      <c r="E423" s="3"/>
      <c r="H423" s="176"/>
      <c r="I423" s="176"/>
      <c r="L423" s="3"/>
      <c r="T423" s="127"/>
      <c r="U423" s="127"/>
      <c r="V423" s="2"/>
      <c r="X423" s="16"/>
      <c r="Y423" s="16"/>
      <c r="Z423" s="6"/>
      <c r="AA423" s="16"/>
      <c r="AB423" s="16"/>
      <c r="AC423" s="6"/>
      <c r="AD423" s="16"/>
      <c r="AE423" s="17"/>
      <c r="AF423" s="17"/>
      <c r="AG423" s="17"/>
      <c r="AH423" s="4"/>
      <c r="AJ423" s="5"/>
      <c r="AK423" s="5"/>
      <c r="AL423" s="5"/>
      <c r="AM423" s="14"/>
      <c r="AN423" s="14"/>
      <c r="AO423" s="14"/>
      <c r="AP423" s="44"/>
      <c r="AQ423" s="24"/>
      <c r="AR423" s="113"/>
      <c r="AS423" s="113"/>
      <c r="AT423" s="113"/>
      <c r="AU423" s="113"/>
      <c r="AV423" s="24"/>
      <c r="AW423" s="3">
        <f>(AW421/100)/((AW420+AW421)/100)</f>
        <v>0.22813769510369897</v>
      </c>
      <c r="AX423" s="24"/>
    </row>
    <row r="424" spans="1:50" x14ac:dyDescent="0.2">
      <c r="A424"/>
      <c r="C424"/>
      <c r="G424"/>
      <c r="I424" s="176"/>
      <c r="J424"/>
      <c r="L424" s="3"/>
      <c r="N424"/>
      <c r="R424"/>
      <c r="S424"/>
      <c r="T424" s="127"/>
      <c r="U424" s="127"/>
      <c r="Z424" s="6"/>
      <c r="AB424" s="16"/>
      <c r="AC424" s="6"/>
      <c r="AE424" s="17"/>
      <c r="AF424" s="17"/>
      <c r="AG424" s="17"/>
      <c r="AI424"/>
      <c r="AM424" s="14"/>
      <c r="AW424" s="3"/>
    </row>
    <row r="425" spans="1:50" x14ac:dyDescent="0.2">
      <c r="A425"/>
      <c r="C425"/>
      <c r="G425"/>
      <c r="I425" s="176"/>
      <c r="J425"/>
      <c r="L425" s="3"/>
      <c r="N425"/>
      <c r="R425"/>
      <c r="S425"/>
      <c r="T425" s="127"/>
      <c r="U425" s="127"/>
      <c r="Z425" s="6"/>
      <c r="AB425" s="16"/>
      <c r="AC425" s="6"/>
      <c r="AE425" s="17"/>
      <c r="AF425" s="17"/>
      <c r="AG425" s="17"/>
      <c r="AH425" s="4"/>
      <c r="AI425"/>
      <c r="AM425" s="14"/>
      <c r="AP425" s="44"/>
      <c r="AW425" s="3"/>
    </row>
    <row r="426" spans="1:50" x14ac:dyDescent="0.2">
      <c r="A426"/>
      <c r="B426" s="76"/>
      <c r="C426" s="76"/>
      <c r="D426" s="76"/>
      <c r="E426" s="97"/>
      <c r="F426" s="76"/>
      <c r="G426" s="76"/>
      <c r="H426" s="177"/>
      <c r="I426" s="177"/>
      <c r="J426" s="76"/>
      <c r="K426" s="76"/>
      <c r="L426" s="110"/>
      <c r="M426" s="76"/>
      <c r="N426" s="76"/>
      <c r="O426" s="76"/>
      <c r="P426" s="76"/>
      <c r="Q426" s="76"/>
      <c r="R426" s="76"/>
      <c r="S426" s="76"/>
      <c r="T426" s="76"/>
      <c r="U426" s="76"/>
      <c r="X426" s="50"/>
      <c r="Y426" s="50"/>
      <c r="Z426" s="6"/>
      <c r="AB426" s="16"/>
      <c r="AC426" s="6"/>
      <c r="AE426" s="17"/>
      <c r="AF426" s="17"/>
      <c r="AG426" s="17"/>
      <c r="AH426" s="4"/>
      <c r="AI426"/>
      <c r="AM426" s="72"/>
      <c r="AN426" s="72"/>
      <c r="AO426" s="72"/>
      <c r="AP426" s="72"/>
      <c r="AQ426" s="28"/>
      <c r="AV426" s="28"/>
      <c r="AW426" s="110">
        <v>100</v>
      </c>
      <c r="AX426" s="28"/>
    </row>
    <row r="427" spans="1:50" x14ac:dyDescent="0.2">
      <c r="A427"/>
      <c r="B427" s="76"/>
      <c r="C427" s="76"/>
      <c r="D427" s="76"/>
      <c r="E427" s="97"/>
      <c r="F427" s="76"/>
      <c r="G427" s="76"/>
      <c r="H427" s="177"/>
      <c r="I427" s="177"/>
      <c r="J427" s="76"/>
      <c r="K427" s="76"/>
      <c r="L427" s="110"/>
      <c r="M427" s="76"/>
      <c r="N427" s="76"/>
      <c r="O427" s="76"/>
      <c r="P427" s="76"/>
      <c r="Q427" s="76"/>
      <c r="R427" s="76"/>
      <c r="S427" s="76"/>
      <c r="T427" s="76"/>
      <c r="U427" s="76"/>
      <c r="X427" s="50"/>
      <c r="Y427" s="50"/>
      <c r="Z427" s="6"/>
      <c r="AB427" s="16"/>
      <c r="AC427" s="6"/>
      <c r="AE427" s="17"/>
      <c r="AF427" s="17"/>
      <c r="AG427" s="17"/>
      <c r="AH427" s="4"/>
      <c r="AI427"/>
      <c r="AM427" s="72"/>
      <c r="AN427" s="72"/>
      <c r="AO427" s="72"/>
      <c r="AP427" s="72"/>
      <c r="AW427" s="110">
        <v>56.67</v>
      </c>
    </row>
    <row r="428" spans="1:50" x14ac:dyDescent="0.2">
      <c r="A428"/>
      <c r="C428"/>
      <c r="G428"/>
      <c r="I428" s="176"/>
      <c r="J428"/>
      <c r="L428" s="3"/>
      <c r="N428"/>
      <c r="R428"/>
      <c r="S428"/>
      <c r="T428" s="127"/>
      <c r="U428" s="127"/>
      <c r="Z428" s="6"/>
      <c r="AB428" s="16"/>
      <c r="AC428" s="6"/>
      <c r="AE428" s="17"/>
      <c r="AF428" s="17"/>
      <c r="AG428" s="17"/>
      <c r="AH428" s="4"/>
      <c r="AI428"/>
      <c r="AM428" s="14"/>
      <c r="AP428" s="44"/>
      <c r="AW428" s="3">
        <f>(AW426/100)/((AW426+AW427)/100)</f>
        <v>0.63828429182357815</v>
      </c>
    </row>
    <row r="429" spans="1:50" customFormat="1" x14ac:dyDescent="0.2">
      <c r="E429" s="3"/>
      <c r="H429" s="176"/>
      <c r="I429" s="176"/>
      <c r="L429" s="3"/>
      <c r="T429" s="127"/>
      <c r="U429" s="127"/>
      <c r="V429" s="2"/>
      <c r="X429" s="16"/>
      <c r="Y429" s="16"/>
      <c r="Z429" s="6"/>
      <c r="AA429" s="16"/>
      <c r="AB429" s="16"/>
      <c r="AC429" s="6"/>
      <c r="AD429" s="16"/>
      <c r="AE429" s="17"/>
      <c r="AF429" s="17"/>
      <c r="AG429" s="17"/>
      <c r="AH429" s="4"/>
      <c r="AJ429" s="5"/>
      <c r="AK429" s="5"/>
      <c r="AL429" s="5"/>
      <c r="AM429" s="14"/>
      <c r="AN429" s="14"/>
      <c r="AO429" s="14"/>
      <c r="AP429" s="44"/>
      <c r="AQ429" s="24"/>
      <c r="AR429" s="113"/>
      <c r="AS429" s="113"/>
      <c r="AT429" s="113"/>
      <c r="AU429" s="113"/>
      <c r="AV429" s="24"/>
      <c r="AW429" s="3">
        <f>(AW427/100)/((AW426+AW427)/100)</f>
        <v>0.36171570817642174</v>
      </c>
      <c r="AX429" s="24"/>
    </row>
    <row r="430" spans="1:50" customFormat="1" x14ac:dyDescent="0.2">
      <c r="E430" s="3"/>
      <c r="H430" s="176"/>
      <c r="I430" s="176"/>
      <c r="L430" s="3"/>
      <c r="T430" s="127"/>
      <c r="U430" s="127"/>
      <c r="V430" s="2"/>
      <c r="X430" s="16"/>
      <c r="Y430" s="16"/>
      <c r="Z430" s="6"/>
      <c r="AA430" s="16"/>
      <c r="AB430" s="16"/>
      <c r="AC430" s="6"/>
      <c r="AD430" s="16"/>
      <c r="AE430" s="17"/>
      <c r="AF430" s="17"/>
      <c r="AG430" s="17"/>
      <c r="AH430" s="16"/>
      <c r="AJ430" s="5"/>
      <c r="AK430" s="5"/>
      <c r="AL430" s="5"/>
      <c r="AM430" s="14"/>
      <c r="AN430" s="14"/>
      <c r="AO430" s="14"/>
      <c r="AP430" s="14"/>
      <c r="AQ430" s="24"/>
      <c r="AR430" s="113"/>
      <c r="AS430" s="113"/>
      <c r="AT430" s="113"/>
      <c r="AU430" s="113"/>
      <c r="AV430" s="24"/>
      <c r="AW430" s="3"/>
      <c r="AX430" s="24"/>
    </row>
    <row r="431" spans="1:50" x14ac:dyDescent="0.2">
      <c r="A431"/>
      <c r="C431"/>
      <c r="G431"/>
      <c r="I431" s="176"/>
      <c r="J431"/>
      <c r="L431" s="3"/>
      <c r="N431"/>
      <c r="R431"/>
      <c r="S431"/>
      <c r="T431" s="127"/>
      <c r="U431" s="127"/>
      <c r="Z431" s="6"/>
      <c r="AB431" s="16"/>
      <c r="AC431" s="6"/>
      <c r="AE431" s="17"/>
      <c r="AF431" s="17"/>
      <c r="AG431" s="17"/>
      <c r="AH431" s="4"/>
      <c r="AI431"/>
      <c r="AM431" s="14"/>
      <c r="AP431" s="44"/>
      <c r="AW431" s="3"/>
    </row>
    <row r="432" spans="1:50" x14ac:dyDescent="0.2">
      <c r="A432"/>
      <c r="B432" s="76"/>
      <c r="C432" s="76"/>
      <c r="D432" s="76"/>
      <c r="E432" s="97"/>
      <c r="F432" s="76"/>
      <c r="G432" s="76"/>
      <c r="H432" s="177"/>
      <c r="I432" s="177"/>
      <c r="J432" s="76"/>
      <c r="K432" s="76"/>
      <c r="L432" s="110"/>
      <c r="M432" s="76"/>
      <c r="N432" s="76"/>
      <c r="O432" s="76"/>
      <c r="P432" s="76"/>
      <c r="Q432" s="76"/>
      <c r="R432" s="76"/>
      <c r="S432" s="76"/>
      <c r="T432" s="76"/>
      <c r="U432" s="76"/>
      <c r="X432" s="52"/>
      <c r="Y432" s="52"/>
      <c r="Z432" s="53"/>
      <c r="AA432" s="54"/>
      <c r="AB432" s="54"/>
      <c r="AC432" s="53"/>
      <c r="AD432" s="54"/>
      <c r="AE432" s="55"/>
      <c r="AF432" s="55"/>
      <c r="AG432" s="17"/>
      <c r="AH432" s="56"/>
      <c r="AI432"/>
      <c r="AM432" s="72"/>
      <c r="AN432" s="72"/>
      <c r="AO432" s="72"/>
      <c r="AP432" s="72"/>
      <c r="AQ432" s="26"/>
      <c r="AV432" s="26"/>
      <c r="AW432" s="110">
        <v>119</v>
      </c>
      <c r="AX432" s="26"/>
    </row>
    <row r="433" spans="1:50" x14ac:dyDescent="0.2">
      <c r="A433"/>
      <c r="B433" s="76"/>
      <c r="C433" s="76"/>
      <c r="D433" s="76"/>
      <c r="E433" s="97"/>
      <c r="F433" s="76"/>
      <c r="G433" s="76"/>
      <c r="H433" s="177"/>
      <c r="I433" s="177"/>
      <c r="J433" s="76"/>
      <c r="K433" s="76"/>
      <c r="L433" s="110"/>
      <c r="M433" s="76"/>
      <c r="N433" s="76"/>
      <c r="O433" s="76"/>
      <c r="P433" s="76"/>
      <c r="Q433" s="76"/>
      <c r="R433" s="76"/>
      <c r="S433" s="76"/>
      <c r="T433" s="76"/>
      <c r="U433" s="76"/>
      <c r="X433" s="50"/>
      <c r="Y433" s="50"/>
      <c r="Z433" s="6"/>
      <c r="AB433" s="16"/>
      <c r="AC433" s="6"/>
      <c r="AE433" s="17"/>
      <c r="AF433" s="17"/>
      <c r="AG433" s="17"/>
      <c r="AH433" s="4"/>
      <c r="AI433"/>
      <c r="AM433" s="72"/>
      <c r="AN433" s="72"/>
      <c r="AO433" s="72"/>
      <c r="AP433" s="72"/>
      <c r="AW433" s="110">
        <v>23.67</v>
      </c>
    </row>
    <row r="434" spans="1:50" x14ac:dyDescent="0.2">
      <c r="A434"/>
      <c r="C434"/>
      <c r="G434"/>
      <c r="I434" s="176"/>
      <c r="J434"/>
      <c r="L434" s="3"/>
      <c r="N434"/>
      <c r="R434"/>
      <c r="S434"/>
      <c r="T434" s="127"/>
      <c r="U434" s="127"/>
      <c r="Z434" s="6"/>
      <c r="AB434" s="16"/>
      <c r="AC434" s="6"/>
      <c r="AE434" s="17"/>
      <c r="AF434" s="17"/>
      <c r="AG434" s="17"/>
      <c r="AH434" s="4"/>
      <c r="AI434"/>
      <c r="AM434" s="14"/>
      <c r="AP434" s="44"/>
      <c r="AW434" s="3">
        <f>(AW432/100)/((AW432+AW433)/100)</f>
        <v>0.83409266138641613</v>
      </c>
    </row>
    <row r="435" spans="1:50" customFormat="1" x14ac:dyDescent="0.2">
      <c r="E435" s="3"/>
      <c r="H435" s="176"/>
      <c r="I435" s="176"/>
      <c r="L435" s="3"/>
      <c r="T435" s="127"/>
      <c r="U435" s="127"/>
      <c r="V435" s="2"/>
      <c r="X435" s="16"/>
      <c r="Y435" s="16"/>
      <c r="Z435" s="6"/>
      <c r="AA435" s="16"/>
      <c r="AB435" s="16"/>
      <c r="AC435" s="6"/>
      <c r="AD435" s="16"/>
      <c r="AE435" s="17"/>
      <c r="AF435" s="17"/>
      <c r="AG435" s="17"/>
      <c r="AH435" s="4"/>
      <c r="AJ435" s="5"/>
      <c r="AK435" s="5"/>
      <c r="AL435" s="5"/>
      <c r="AM435" s="14"/>
      <c r="AN435" s="14"/>
      <c r="AO435" s="14"/>
      <c r="AP435" s="44"/>
      <c r="AQ435" s="24"/>
      <c r="AR435" s="113"/>
      <c r="AS435" s="113"/>
      <c r="AT435" s="113"/>
      <c r="AU435" s="113"/>
      <c r="AV435" s="24"/>
      <c r="AW435" s="3">
        <f>(AW433/100)/((AW432+AW433)/100)</f>
        <v>0.16590733861358381</v>
      </c>
      <c r="AX435" s="24"/>
    </row>
    <row r="436" spans="1:50" x14ac:dyDescent="0.2">
      <c r="A436"/>
      <c r="C436"/>
      <c r="G436"/>
      <c r="I436" s="176"/>
      <c r="J436"/>
      <c r="L436" s="3"/>
      <c r="N436"/>
      <c r="R436"/>
      <c r="S436"/>
      <c r="T436" s="127"/>
      <c r="U436" s="127"/>
      <c r="Z436" s="6"/>
      <c r="AB436" s="16"/>
      <c r="AC436" s="6"/>
      <c r="AE436" s="17"/>
      <c r="AF436" s="17"/>
      <c r="AG436" s="17"/>
      <c r="AI436"/>
      <c r="AM436" s="14"/>
      <c r="AW436" s="3"/>
    </row>
    <row r="437" spans="1:50" x14ac:dyDescent="0.2">
      <c r="A437"/>
      <c r="C437"/>
      <c r="G437"/>
      <c r="I437" s="176"/>
      <c r="J437"/>
      <c r="L437" s="3"/>
      <c r="N437"/>
      <c r="R437"/>
      <c r="S437"/>
      <c r="T437" s="127"/>
      <c r="U437" s="127"/>
      <c r="Z437" s="6"/>
      <c r="AB437" s="16"/>
      <c r="AC437" s="6"/>
      <c r="AE437" s="17"/>
      <c r="AF437" s="17"/>
      <c r="AG437" s="17"/>
      <c r="AH437" s="4"/>
      <c r="AI437"/>
      <c r="AM437" s="14"/>
      <c r="AP437" s="44"/>
      <c r="AW437" s="3"/>
    </row>
    <row r="438" spans="1:50" x14ac:dyDescent="0.2">
      <c r="A438"/>
      <c r="B438" s="76"/>
      <c r="C438" s="76"/>
      <c r="D438" s="76"/>
      <c r="E438" s="97"/>
      <c r="F438" s="76"/>
      <c r="G438" s="76"/>
      <c r="H438" s="177"/>
      <c r="I438" s="177"/>
      <c r="J438" s="76"/>
      <c r="K438" s="76"/>
      <c r="L438" s="97"/>
      <c r="M438" s="76"/>
      <c r="N438" s="76"/>
      <c r="O438" s="76"/>
      <c r="P438" s="76"/>
      <c r="Q438" s="76"/>
      <c r="R438" s="76"/>
      <c r="S438" s="76"/>
      <c r="T438" s="76"/>
      <c r="U438" s="76"/>
      <c r="X438" s="50"/>
      <c r="Y438" s="50"/>
      <c r="Z438" s="6"/>
      <c r="AB438" s="16"/>
      <c r="AC438" s="6"/>
      <c r="AE438" s="17"/>
      <c r="AF438" s="17"/>
      <c r="AG438" s="17"/>
      <c r="AH438" s="4"/>
      <c r="AI438"/>
      <c r="AM438" s="14"/>
      <c r="AN438" s="72"/>
      <c r="AO438" s="72"/>
      <c r="AP438" s="72"/>
      <c r="AQ438"/>
      <c r="AV438"/>
      <c r="AW438" s="97">
        <v>36</v>
      </c>
      <c r="AX438"/>
    </row>
    <row r="439" spans="1:50" x14ac:dyDescent="0.2">
      <c r="A439"/>
      <c r="B439" s="76"/>
      <c r="C439" s="76"/>
      <c r="D439" s="76"/>
      <c r="E439" s="97"/>
      <c r="F439" s="76"/>
      <c r="G439" s="76"/>
      <c r="H439" s="177"/>
      <c r="I439" s="177"/>
      <c r="J439" s="76"/>
      <c r="K439" s="76"/>
      <c r="L439" s="110"/>
      <c r="M439" s="76"/>
      <c r="N439" s="76"/>
      <c r="O439" s="76"/>
      <c r="P439" s="76"/>
      <c r="Q439" s="76"/>
      <c r="R439" s="76"/>
      <c r="S439" s="76"/>
      <c r="T439" s="76"/>
      <c r="U439" s="76"/>
      <c r="X439" s="50"/>
      <c r="Y439" s="50"/>
      <c r="Z439" s="6"/>
      <c r="AB439" s="16"/>
      <c r="AC439" s="6"/>
      <c r="AE439" s="17"/>
      <c r="AF439" s="17"/>
      <c r="AG439" s="17"/>
      <c r="AH439" s="4"/>
      <c r="AI439"/>
      <c r="AM439" s="72"/>
      <c r="AN439" s="72"/>
      <c r="AO439" s="72"/>
      <c r="AP439" s="72"/>
      <c r="AW439" s="110">
        <v>25</v>
      </c>
    </row>
    <row r="440" spans="1:50" x14ac:dyDescent="0.2">
      <c r="A440"/>
      <c r="C440"/>
      <c r="G440"/>
      <c r="I440" s="176"/>
      <c r="J440"/>
      <c r="L440" s="3"/>
      <c r="N440"/>
      <c r="R440"/>
      <c r="S440"/>
      <c r="T440" s="127"/>
      <c r="U440" s="127"/>
      <c r="Z440" s="6"/>
      <c r="AB440" s="16"/>
      <c r="AC440" s="6"/>
      <c r="AE440" s="17"/>
      <c r="AF440" s="17"/>
      <c r="AG440" s="17"/>
      <c r="AH440" s="4"/>
      <c r="AI440"/>
      <c r="AM440" s="14"/>
      <c r="AP440" s="44"/>
      <c r="AW440" s="3">
        <f>(AW438/100)/((AW438+AW439)/100)</f>
        <v>0.5901639344262295</v>
      </c>
    </row>
    <row r="441" spans="1:50" x14ac:dyDescent="0.2">
      <c r="A441"/>
      <c r="C441"/>
      <c r="G441"/>
      <c r="I441" s="176"/>
      <c r="J441"/>
      <c r="L441" s="3"/>
      <c r="N441"/>
      <c r="R441"/>
      <c r="S441"/>
      <c r="T441" s="127"/>
      <c r="U441" s="127"/>
      <c r="Z441" s="6"/>
      <c r="AB441" s="16"/>
      <c r="AC441" s="6"/>
      <c r="AE441" s="17"/>
      <c r="AF441" s="17"/>
      <c r="AG441" s="17"/>
      <c r="AH441" s="4"/>
      <c r="AI441"/>
      <c r="AM441" s="14"/>
      <c r="AP441" s="44"/>
      <c r="AW441" s="3">
        <f>(AW439/100)/((AW438+AW439)/100)</f>
        <v>0.4098360655737705</v>
      </c>
    </row>
    <row r="442" spans="1:50" x14ac:dyDescent="0.2">
      <c r="A442"/>
      <c r="C442"/>
      <c r="G442"/>
      <c r="I442" s="176"/>
      <c r="J442"/>
      <c r="L442" s="3"/>
      <c r="N442"/>
      <c r="R442"/>
      <c r="S442"/>
      <c r="T442" s="127"/>
      <c r="U442" s="127"/>
      <c r="Z442" s="6"/>
      <c r="AB442" s="16"/>
      <c r="AC442" s="6"/>
      <c r="AE442" s="17"/>
      <c r="AF442" s="17"/>
      <c r="AG442" s="17"/>
      <c r="AI442"/>
      <c r="AM442" s="14"/>
      <c r="AW442" s="3"/>
    </row>
    <row r="443" spans="1:50" x14ac:dyDescent="0.2">
      <c r="A443"/>
      <c r="C443"/>
      <c r="G443"/>
      <c r="I443" s="176"/>
      <c r="J443"/>
      <c r="L443" s="3"/>
      <c r="N443"/>
      <c r="R443"/>
      <c r="S443"/>
      <c r="T443" s="127"/>
      <c r="U443" s="127"/>
      <c r="Z443" s="6"/>
      <c r="AB443" s="16"/>
      <c r="AC443" s="6"/>
      <c r="AE443" s="17"/>
      <c r="AF443" s="17"/>
      <c r="AG443" s="17"/>
      <c r="AH443" s="4"/>
      <c r="AI443"/>
      <c r="AM443" s="14"/>
      <c r="AP443" s="44"/>
      <c r="AW443" s="3"/>
    </row>
    <row r="444" spans="1:50" x14ac:dyDescent="0.2">
      <c r="A444"/>
      <c r="B444" s="76"/>
      <c r="C444" s="76"/>
      <c r="D444" s="76"/>
      <c r="E444" s="97"/>
      <c r="F444" s="76"/>
      <c r="G444" s="76"/>
      <c r="H444" s="177"/>
      <c r="I444" s="177"/>
      <c r="J444" s="76"/>
      <c r="K444" s="76"/>
      <c r="L444" s="97"/>
      <c r="M444" s="76"/>
      <c r="N444" s="76"/>
      <c r="O444" s="76"/>
      <c r="P444" s="76"/>
      <c r="Q444" s="76"/>
      <c r="R444" s="76"/>
      <c r="S444" s="76"/>
      <c r="T444" s="76"/>
      <c r="U444" s="76"/>
      <c r="X444" s="50"/>
      <c r="Y444" s="50"/>
      <c r="Z444" s="6"/>
      <c r="AB444" s="16"/>
      <c r="AC444" s="6"/>
      <c r="AE444" s="17"/>
      <c r="AF444" s="17"/>
      <c r="AG444" s="17"/>
      <c r="AH444" s="4"/>
      <c r="AI444"/>
      <c r="AM444" s="14"/>
      <c r="AN444" s="72"/>
      <c r="AO444" s="72"/>
      <c r="AP444" s="72"/>
      <c r="AQ444"/>
      <c r="AV444"/>
      <c r="AW444" s="97">
        <v>120.1</v>
      </c>
      <c r="AX444"/>
    </row>
    <row r="445" spans="1:50" x14ac:dyDescent="0.2">
      <c r="A445"/>
      <c r="B445" s="76"/>
      <c r="C445" s="76"/>
      <c r="D445" s="76"/>
      <c r="E445" s="97"/>
      <c r="F445" s="76"/>
      <c r="G445" s="76"/>
      <c r="H445" s="177"/>
      <c r="I445" s="177"/>
      <c r="J445" s="76"/>
      <c r="K445" s="76"/>
      <c r="L445" s="97"/>
      <c r="M445" s="76"/>
      <c r="N445" s="76"/>
      <c r="O445" s="76"/>
      <c r="P445" s="76"/>
      <c r="Q445" s="76"/>
      <c r="R445" s="76"/>
      <c r="S445" s="76"/>
      <c r="T445" s="76"/>
      <c r="U445" s="76"/>
      <c r="X445" s="50"/>
      <c r="Y445" s="50"/>
      <c r="Z445" s="6"/>
      <c r="AB445" s="16"/>
      <c r="AC445" s="6"/>
      <c r="AE445" s="17"/>
      <c r="AF445" s="17"/>
      <c r="AG445" s="17"/>
      <c r="AH445" s="4"/>
      <c r="AI445"/>
      <c r="AM445" s="14"/>
      <c r="AN445" s="72"/>
      <c r="AO445" s="72"/>
      <c r="AP445" s="72"/>
      <c r="AQ445"/>
      <c r="AV445"/>
      <c r="AW445" s="97">
        <v>68.67</v>
      </c>
      <c r="AX445"/>
    </row>
    <row r="446" spans="1:50" x14ac:dyDescent="0.2">
      <c r="A446"/>
      <c r="C446"/>
      <c r="G446"/>
      <c r="I446" s="176"/>
      <c r="J446"/>
      <c r="L446" s="3"/>
      <c r="N446"/>
      <c r="R446"/>
      <c r="S446"/>
      <c r="T446" s="127"/>
      <c r="U446" s="127"/>
      <c r="Z446" s="6"/>
      <c r="AB446" s="16"/>
      <c r="AC446" s="6"/>
      <c r="AE446" s="17"/>
      <c r="AF446" s="17"/>
      <c r="AG446" s="17"/>
      <c r="AH446" s="4"/>
      <c r="AI446"/>
      <c r="AM446" s="14"/>
      <c r="AP446" s="44"/>
      <c r="AW446" s="3">
        <f>(AW444/100)/((AW444+AW445)/100)</f>
        <v>0.63622397626741534</v>
      </c>
    </row>
    <row r="447" spans="1:50" x14ac:dyDescent="0.2">
      <c r="A447"/>
      <c r="C447"/>
      <c r="G447"/>
      <c r="I447" s="176"/>
      <c r="J447"/>
      <c r="L447" s="3"/>
      <c r="N447"/>
      <c r="R447"/>
      <c r="S447"/>
      <c r="T447" s="127"/>
      <c r="U447" s="127"/>
      <c r="Z447" s="6"/>
      <c r="AB447" s="16"/>
      <c r="AC447" s="6"/>
      <c r="AE447" s="17"/>
      <c r="AF447" s="17"/>
      <c r="AG447" s="17"/>
      <c r="AH447" s="4"/>
      <c r="AI447"/>
      <c r="AM447" s="14"/>
      <c r="AP447" s="44"/>
      <c r="AW447" s="3">
        <f>(AW445/100)/((AW444+AW445)/100)</f>
        <v>0.36377602373258466</v>
      </c>
    </row>
    <row r="448" spans="1:50" x14ac:dyDescent="0.2">
      <c r="A448"/>
      <c r="C448"/>
      <c r="G448"/>
      <c r="I448" s="176"/>
      <c r="J448"/>
      <c r="L448" s="3"/>
      <c r="N448"/>
      <c r="R448"/>
      <c r="S448"/>
      <c r="T448" s="127"/>
      <c r="U448" s="127"/>
      <c r="Z448" s="6"/>
      <c r="AB448" s="16"/>
      <c r="AC448" s="6"/>
      <c r="AE448" s="17"/>
      <c r="AF448" s="17"/>
      <c r="AG448" s="17"/>
      <c r="AI448"/>
      <c r="AM448" s="14"/>
      <c r="AW448" s="3"/>
    </row>
    <row r="449" spans="1:50" x14ac:dyDescent="0.2">
      <c r="A449"/>
      <c r="C449"/>
      <c r="G449"/>
      <c r="I449" s="176"/>
      <c r="J449"/>
      <c r="L449" s="3"/>
      <c r="N449"/>
      <c r="R449"/>
      <c r="S449"/>
      <c r="T449" s="127"/>
      <c r="U449" s="127"/>
      <c r="Z449" s="6"/>
      <c r="AB449" s="16"/>
      <c r="AC449" s="6"/>
      <c r="AE449" s="17"/>
      <c r="AF449" s="17"/>
      <c r="AG449" s="17"/>
      <c r="AH449" s="4"/>
      <c r="AI449"/>
      <c r="AM449" s="14"/>
      <c r="AP449" s="44"/>
      <c r="AW449" s="3"/>
    </row>
    <row r="450" spans="1:50" x14ac:dyDescent="0.2">
      <c r="A450"/>
      <c r="B450" s="76"/>
      <c r="C450" s="76"/>
      <c r="D450" s="76"/>
      <c r="E450" s="97"/>
      <c r="F450" s="76"/>
      <c r="G450" s="76"/>
      <c r="H450" s="177"/>
      <c r="I450" s="177"/>
      <c r="J450" s="76"/>
      <c r="K450" s="76"/>
      <c r="L450" s="97"/>
      <c r="M450" s="76"/>
      <c r="N450" s="76"/>
      <c r="O450" s="76"/>
      <c r="P450" s="76"/>
      <c r="Q450" s="76"/>
      <c r="R450" s="76"/>
      <c r="S450" s="76"/>
      <c r="T450" s="76"/>
      <c r="U450" s="76"/>
      <c r="X450" s="50"/>
      <c r="Y450" s="50"/>
      <c r="Z450" s="6"/>
      <c r="AB450" s="16"/>
      <c r="AC450" s="6"/>
      <c r="AE450" s="17"/>
      <c r="AF450" s="17"/>
      <c r="AG450" s="17"/>
      <c r="AH450" s="4"/>
      <c r="AI450"/>
      <c r="AM450" s="14"/>
      <c r="AN450" s="72"/>
      <c r="AO450" s="72"/>
      <c r="AP450" s="72"/>
      <c r="AQ450"/>
      <c r="AV450"/>
      <c r="AW450" s="97">
        <v>20.2</v>
      </c>
      <c r="AX450"/>
    </row>
    <row r="451" spans="1:50" x14ac:dyDescent="0.2">
      <c r="A451"/>
      <c r="B451" s="76"/>
      <c r="C451" s="76"/>
      <c r="D451" s="76"/>
      <c r="E451" s="97"/>
      <c r="F451" s="76"/>
      <c r="G451" s="76"/>
      <c r="I451" s="176"/>
      <c r="J451" s="76"/>
      <c r="K451" s="76"/>
      <c r="L451" s="110"/>
      <c r="M451" s="76"/>
      <c r="N451" s="76"/>
      <c r="O451" s="76"/>
      <c r="P451" s="76"/>
      <c r="Q451" s="76"/>
      <c r="R451" s="76"/>
      <c r="S451" s="76"/>
      <c r="T451" s="76"/>
      <c r="U451" s="76"/>
      <c r="X451" s="52"/>
      <c r="Y451" s="52"/>
      <c r="Z451" s="53"/>
      <c r="AA451" s="54"/>
      <c r="AB451" s="54"/>
      <c r="AC451" s="53"/>
      <c r="AD451" s="54"/>
      <c r="AE451" s="55"/>
      <c r="AF451" s="55"/>
      <c r="AG451" s="17"/>
      <c r="AH451" s="56"/>
      <c r="AI451"/>
      <c r="AJ451" s="7"/>
      <c r="AK451" s="7"/>
      <c r="AL451" s="7"/>
      <c r="AM451" s="72"/>
      <c r="AN451" s="72"/>
      <c r="AO451" s="72"/>
      <c r="AP451" s="72"/>
      <c r="AW451" s="110">
        <v>6</v>
      </c>
    </row>
    <row r="452" spans="1:50" x14ac:dyDescent="0.2">
      <c r="A452"/>
      <c r="C452"/>
      <c r="G452"/>
      <c r="I452" s="176"/>
      <c r="J452"/>
      <c r="L452" s="3"/>
      <c r="N452"/>
      <c r="R452"/>
      <c r="S452"/>
      <c r="T452" s="127"/>
      <c r="U452" s="127"/>
      <c r="Z452" s="6"/>
      <c r="AB452" s="16"/>
      <c r="AC452" s="6"/>
      <c r="AE452" s="17"/>
      <c r="AF452" s="17"/>
      <c r="AG452" s="17"/>
      <c r="AH452" s="4"/>
      <c r="AI452"/>
      <c r="AM452" s="14"/>
      <c r="AP452" s="44"/>
      <c r="AW452" s="3">
        <f>(AW450/100)/((AW450+AW451)/100)</f>
        <v>0.77099236641221369</v>
      </c>
    </row>
    <row r="453" spans="1:50" s="28" customFormat="1" x14ac:dyDescent="0.2">
      <c r="A453"/>
      <c r="B453"/>
      <c r="C453"/>
      <c r="D453"/>
      <c r="E453" s="3"/>
      <c r="F453"/>
      <c r="G453"/>
      <c r="H453" s="176"/>
      <c r="I453" s="176"/>
      <c r="J453"/>
      <c r="K453"/>
      <c r="L453" s="3"/>
      <c r="M453"/>
      <c r="N453"/>
      <c r="O453"/>
      <c r="P453"/>
      <c r="Q453"/>
      <c r="R453"/>
      <c r="S453"/>
      <c r="T453" s="127"/>
      <c r="U453" s="127"/>
      <c r="V453" s="269"/>
      <c r="X453" s="16"/>
      <c r="Y453" s="16"/>
      <c r="Z453" s="6"/>
      <c r="AA453" s="16"/>
      <c r="AB453" s="16"/>
      <c r="AC453" s="6"/>
      <c r="AD453" s="16"/>
      <c r="AE453" s="17"/>
      <c r="AF453" s="17"/>
      <c r="AG453" s="17"/>
      <c r="AH453" s="4"/>
      <c r="AI453"/>
      <c r="AJ453" s="5"/>
      <c r="AK453" s="5"/>
      <c r="AL453" s="5"/>
      <c r="AM453" s="14"/>
      <c r="AN453" s="14"/>
      <c r="AO453" s="14"/>
      <c r="AP453" s="44"/>
      <c r="AQ453" s="24"/>
      <c r="AR453" s="113"/>
      <c r="AS453" s="113"/>
      <c r="AT453" s="113"/>
      <c r="AU453" s="113"/>
      <c r="AV453" s="24"/>
      <c r="AW453" s="3">
        <f>(AW451/100)/((AW450+AW451)/100)</f>
        <v>0.22900763358778625</v>
      </c>
      <c r="AX453" s="24"/>
    </row>
    <row r="454" spans="1:50" x14ac:dyDescent="0.2">
      <c r="A454"/>
      <c r="C454"/>
      <c r="G454"/>
      <c r="I454" s="176"/>
      <c r="J454"/>
      <c r="L454" s="3"/>
      <c r="N454"/>
      <c r="R454"/>
      <c r="S454"/>
      <c r="T454" s="127"/>
      <c r="U454" s="127"/>
      <c r="Z454" s="6"/>
      <c r="AB454" s="16"/>
      <c r="AC454" s="6"/>
      <c r="AE454" s="17"/>
      <c r="AF454" s="17"/>
      <c r="AG454" s="17"/>
      <c r="AI454"/>
      <c r="AM454" s="14"/>
      <c r="AW454" s="3"/>
    </row>
    <row r="455" spans="1:50" x14ac:dyDescent="0.2">
      <c r="A455"/>
      <c r="C455"/>
      <c r="G455"/>
      <c r="I455" s="176"/>
      <c r="J455"/>
      <c r="L455" s="3"/>
      <c r="N455"/>
      <c r="R455"/>
      <c r="S455"/>
      <c r="T455" s="127"/>
      <c r="U455" s="127"/>
      <c r="Z455" s="6"/>
      <c r="AB455" s="16"/>
      <c r="AC455" s="6"/>
      <c r="AE455" s="17"/>
      <c r="AF455" s="17"/>
      <c r="AG455" s="17"/>
      <c r="AH455" s="4"/>
      <c r="AI455"/>
      <c r="AM455" s="14"/>
      <c r="AP455" s="44"/>
      <c r="AW455" s="3"/>
    </row>
    <row r="456" spans="1:50" x14ac:dyDescent="0.2">
      <c r="A456"/>
      <c r="B456" s="76"/>
      <c r="C456" s="76"/>
      <c r="D456" s="76"/>
      <c r="E456" s="97"/>
      <c r="F456" s="76"/>
      <c r="G456" s="76"/>
      <c r="H456" s="177"/>
      <c r="I456" s="177"/>
      <c r="J456" s="76"/>
      <c r="K456" s="76"/>
      <c r="L456" s="110"/>
      <c r="M456" s="76"/>
      <c r="N456" s="76"/>
      <c r="O456" s="76"/>
      <c r="P456" s="76"/>
      <c r="Q456" s="76"/>
      <c r="R456" s="76"/>
      <c r="S456" s="76"/>
      <c r="T456" s="76"/>
      <c r="U456" s="76"/>
      <c r="X456" s="52"/>
      <c r="Y456" s="52"/>
      <c r="Z456" s="53"/>
      <c r="AA456" s="54"/>
      <c r="AB456" s="54"/>
      <c r="AC456" s="53"/>
      <c r="AD456" s="54"/>
      <c r="AE456" s="55"/>
      <c r="AF456" s="55"/>
      <c r="AG456" s="55"/>
      <c r="AH456" s="56"/>
      <c r="AI456"/>
      <c r="AJ456" s="7"/>
      <c r="AK456" s="7"/>
      <c r="AL456" s="7"/>
      <c r="AM456" s="72"/>
      <c r="AN456" s="72"/>
      <c r="AO456" s="72"/>
      <c r="AP456" s="72"/>
      <c r="AW456" s="110">
        <v>34</v>
      </c>
    </row>
    <row r="457" spans="1:50" x14ac:dyDescent="0.2">
      <c r="A457"/>
      <c r="B457" s="76"/>
      <c r="C457" s="76"/>
      <c r="D457" s="76"/>
      <c r="E457" s="97"/>
      <c r="F457" s="76"/>
      <c r="G457" s="76"/>
      <c r="H457" s="177"/>
      <c r="I457" s="177"/>
      <c r="J457" s="76"/>
      <c r="K457" s="76"/>
      <c r="L457" s="97"/>
      <c r="M457" s="76"/>
      <c r="N457" s="76"/>
      <c r="O457" s="76"/>
      <c r="P457" s="76"/>
      <c r="Q457" s="76"/>
      <c r="R457" s="76"/>
      <c r="S457" s="76"/>
      <c r="T457" s="76"/>
      <c r="U457" s="76"/>
      <c r="X457" s="50"/>
      <c r="Y457" s="50"/>
      <c r="Z457" s="6"/>
      <c r="AB457" s="16"/>
      <c r="AC457" s="6"/>
      <c r="AD457" s="54"/>
      <c r="AE457" s="55"/>
      <c r="AF457" s="55"/>
      <c r="AG457" s="55"/>
      <c r="AH457" s="56"/>
      <c r="AI457"/>
      <c r="AM457" s="14"/>
      <c r="AN457" s="72"/>
      <c r="AO457" s="72"/>
      <c r="AP457" s="72"/>
      <c r="AW457" s="97">
        <v>93.67</v>
      </c>
    </row>
    <row r="458" spans="1:50" x14ac:dyDescent="0.2">
      <c r="A458"/>
      <c r="C458"/>
      <c r="G458"/>
      <c r="I458" s="176"/>
      <c r="J458"/>
      <c r="L458" s="3"/>
      <c r="N458"/>
      <c r="R458"/>
      <c r="S458"/>
      <c r="T458" s="127"/>
      <c r="U458" s="127"/>
      <c r="Z458" s="6"/>
      <c r="AB458" s="16"/>
      <c r="AC458" s="6"/>
      <c r="AE458" s="17"/>
      <c r="AF458" s="17"/>
      <c r="AG458" s="17"/>
      <c r="AH458" s="4"/>
      <c r="AI458"/>
      <c r="AM458" s="14"/>
      <c r="AP458" s="44"/>
      <c r="AW458" s="3">
        <f>(AW456/100)/((AW456+AW457)/100)</f>
        <v>0.26631158455392812</v>
      </c>
    </row>
    <row r="459" spans="1:50" s="8" customFormat="1" x14ac:dyDescent="0.2">
      <c r="A459"/>
      <c r="B459"/>
      <c r="C459"/>
      <c r="D459"/>
      <c r="E459" s="3"/>
      <c r="F459"/>
      <c r="G459"/>
      <c r="H459" s="176"/>
      <c r="I459" s="176"/>
      <c r="J459"/>
      <c r="K459"/>
      <c r="L459" s="3"/>
      <c r="M459"/>
      <c r="N459"/>
      <c r="O459"/>
      <c r="P459"/>
      <c r="Q459"/>
      <c r="R459"/>
      <c r="S459"/>
      <c r="T459" s="127"/>
      <c r="U459" s="127"/>
      <c r="V459" s="274"/>
      <c r="X459" s="16"/>
      <c r="Y459" s="16"/>
      <c r="Z459" s="6"/>
      <c r="AA459" s="16"/>
      <c r="AB459" s="16"/>
      <c r="AC459" s="6"/>
      <c r="AD459" s="16"/>
      <c r="AE459" s="17"/>
      <c r="AF459" s="17"/>
      <c r="AG459" s="17"/>
      <c r="AH459" s="4"/>
      <c r="AI459"/>
      <c r="AJ459" s="5"/>
      <c r="AK459" s="5"/>
      <c r="AL459" s="5"/>
      <c r="AM459" s="14"/>
      <c r="AN459" s="14"/>
      <c r="AO459" s="14"/>
      <c r="AP459" s="44"/>
      <c r="AQ459" s="24"/>
      <c r="AR459" s="113"/>
      <c r="AS459" s="113"/>
      <c r="AT459" s="113"/>
      <c r="AU459" s="113"/>
      <c r="AV459" s="24"/>
      <c r="AW459" s="3">
        <f>(AW457/100)/((AW456+AW457)/100)</f>
        <v>0.73368841544607188</v>
      </c>
      <c r="AX459" s="24"/>
    </row>
    <row r="460" spans="1:50" s="26" customFormat="1" x14ac:dyDescent="0.2">
      <c r="A460"/>
      <c r="B460"/>
      <c r="C460"/>
      <c r="D460"/>
      <c r="E460" s="3"/>
      <c r="F460"/>
      <c r="G460"/>
      <c r="H460" s="176"/>
      <c r="I460" s="176"/>
      <c r="J460"/>
      <c r="K460"/>
      <c r="L460" s="3"/>
      <c r="M460"/>
      <c r="N460"/>
      <c r="O460"/>
      <c r="P460"/>
      <c r="Q460"/>
      <c r="R460"/>
      <c r="S460"/>
      <c r="T460" s="127"/>
      <c r="U460" s="127"/>
      <c r="V460" s="268"/>
      <c r="X460" s="16"/>
      <c r="Y460" s="16"/>
      <c r="Z460" s="6"/>
      <c r="AA460" s="16"/>
      <c r="AB460" s="16"/>
      <c r="AC460" s="6"/>
      <c r="AD460" s="16"/>
      <c r="AE460" s="17"/>
      <c r="AF460" s="17"/>
      <c r="AG460" s="17"/>
      <c r="AH460" s="16"/>
      <c r="AI460"/>
      <c r="AJ460" s="5"/>
      <c r="AK460" s="5"/>
      <c r="AL460" s="5"/>
      <c r="AM460" s="14"/>
      <c r="AN460" s="14"/>
      <c r="AO460" s="14"/>
      <c r="AP460" s="14"/>
      <c r="AQ460" s="24"/>
      <c r="AR460" s="113"/>
      <c r="AS460" s="113"/>
      <c r="AT460" s="113"/>
      <c r="AU460" s="113"/>
      <c r="AV460" s="24"/>
      <c r="AW460" s="3"/>
      <c r="AX460" s="24"/>
    </row>
    <row r="461" spans="1:50" x14ac:dyDescent="0.2">
      <c r="A461"/>
      <c r="C461"/>
      <c r="G461"/>
      <c r="I461" s="176"/>
      <c r="J461"/>
      <c r="L461" s="3"/>
      <c r="N461"/>
      <c r="R461"/>
      <c r="S461"/>
      <c r="T461" s="127"/>
      <c r="U461" s="127"/>
      <c r="Z461" s="6"/>
      <c r="AB461" s="16"/>
      <c r="AC461" s="6"/>
      <c r="AE461" s="17"/>
      <c r="AF461" s="17"/>
      <c r="AG461" s="17"/>
      <c r="AH461" s="4"/>
      <c r="AI461"/>
      <c r="AM461" s="14"/>
      <c r="AP461" s="44"/>
      <c r="AW461" s="3"/>
    </row>
    <row r="462" spans="1:50" x14ac:dyDescent="0.2">
      <c r="A462"/>
      <c r="B462" s="76"/>
      <c r="C462" s="76"/>
      <c r="D462" s="76"/>
      <c r="E462" s="97"/>
      <c r="F462" s="76"/>
      <c r="G462" s="76"/>
      <c r="H462" s="177"/>
      <c r="I462" s="177"/>
      <c r="J462" s="76"/>
      <c r="K462" s="76"/>
      <c r="L462" s="110"/>
      <c r="M462" s="76"/>
      <c r="N462" s="76"/>
      <c r="O462" s="76"/>
      <c r="P462" s="76"/>
      <c r="Q462" s="76"/>
      <c r="R462" s="76"/>
      <c r="S462" s="76"/>
      <c r="T462" s="76"/>
      <c r="U462" s="76"/>
      <c r="X462" s="50"/>
      <c r="Y462" s="50"/>
      <c r="Z462" s="6"/>
      <c r="AB462" s="16"/>
      <c r="AC462" s="6"/>
      <c r="AE462" s="17"/>
      <c r="AF462" s="17"/>
      <c r="AG462" s="17"/>
      <c r="AH462" s="4"/>
      <c r="AI462"/>
      <c r="AM462" s="72"/>
      <c r="AN462" s="72"/>
      <c r="AO462" s="72"/>
      <c r="AP462" s="72"/>
      <c r="AW462" s="110">
        <v>38.200000000000003</v>
      </c>
    </row>
    <row r="463" spans="1:50" x14ac:dyDescent="0.2">
      <c r="A463"/>
      <c r="B463" s="76"/>
      <c r="C463" s="76"/>
      <c r="D463" s="76"/>
      <c r="E463" s="97"/>
      <c r="F463" s="76"/>
      <c r="G463" s="76"/>
      <c r="H463" s="177"/>
      <c r="I463" s="177"/>
      <c r="J463" s="76"/>
      <c r="K463" s="76"/>
      <c r="L463" s="97"/>
      <c r="M463" s="76"/>
      <c r="N463" s="76"/>
      <c r="O463" s="76"/>
      <c r="P463" s="76"/>
      <c r="Q463" s="76"/>
      <c r="R463" s="76"/>
      <c r="S463" s="76"/>
      <c r="T463" s="76"/>
      <c r="U463" s="76"/>
      <c r="X463" s="50"/>
      <c r="Y463" s="50"/>
      <c r="Z463" s="6"/>
      <c r="AB463" s="16"/>
      <c r="AC463" s="6"/>
      <c r="AE463" s="17"/>
      <c r="AF463" s="17"/>
      <c r="AG463" s="17"/>
      <c r="AH463" s="4"/>
      <c r="AI463"/>
      <c r="AM463" s="14"/>
      <c r="AN463" s="72"/>
      <c r="AO463" s="72"/>
      <c r="AP463" s="72"/>
      <c r="AW463" s="97">
        <v>17.670000000000002</v>
      </c>
    </row>
    <row r="464" spans="1:50" x14ac:dyDescent="0.2">
      <c r="A464"/>
      <c r="C464"/>
      <c r="G464"/>
      <c r="I464" s="176"/>
      <c r="J464"/>
      <c r="L464" s="3"/>
      <c r="N464"/>
      <c r="R464"/>
      <c r="S464"/>
      <c r="T464" s="127"/>
      <c r="U464" s="127"/>
      <c r="Z464" s="6"/>
      <c r="AB464" s="16"/>
      <c r="AC464" s="6"/>
      <c r="AE464" s="17"/>
      <c r="AF464" s="17"/>
      <c r="AG464" s="17"/>
      <c r="AH464" s="4"/>
      <c r="AI464"/>
      <c r="AM464" s="14"/>
      <c r="AP464" s="44"/>
      <c r="AW464" s="3">
        <f>(AW462/100)/((AW462+AW463)/100)</f>
        <v>0.68373008770359756</v>
      </c>
    </row>
    <row r="465" spans="1:50" x14ac:dyDescent="0.2">
      <c r="A465"/>
      <c r="C465"/>
      <c r="G465"/>
      <c r="I465" s="176"/>
      <c r="J465"/>
      <c r="L465" s="3"/>
      <c r="N465"/>
      <c r="R465"/>
      <c r="S465"/>
      <c r="T465" s="127"/>
      <c r="U465" s="127"/>
      <c r="Z465" s="6"/>
      <c r="AB465" s="16"/>
      <c r="AC465" s="6"/>
      <c r="AE465" s="17"/>
      <c r="AF465" s="17"/>
      <c r="AG465" s="17"/>
      <c r="AH465" s="4"/>
      <c r="AI465"/>
      <c r="AM465" s="14"/>
      <c r="AP465" s="44"/>
      <c r="AW465" s="3">
        <f>(AW463/100)/((AW462+AW463)/100)</f>
        <v>0.31626991229640233</v>
      </c>
    </row>
    <row r="466" spans="1:50" x14ac:dyDescent="0.2">
      <c r="A466"/>
      <c r="C466"/>
      <c r="G466"/>
      <c r="I466" s="176"/>
      <c r="J466"/>
      <c r="L466" s="3"/>
      <c r="N466"/>
      <c r="R466"/>
      <c r="S466"/>
      <c r="T466" s="127"/>
      <c r="U466" s="127"/>
      <c r="Z466" s="6"/>
      <c r="AB466" s="16"/>
      <c r="AC466" s="6"/>
      <c r="AE466" s="17"/>
      <c r="AF466" s="17"/>
      <c r="AG466" s="17"/>
      <c r="AI466"/>
      <c r="AM466" s="14"/>
      <c r="AW466" s="3"/>
    </row>
    <row r="467" spans="1:50" x14ac:dyDescent="0.2">
      <c r="A467"/>
      <c r="C467"/>
      <c r="G467"/>
      <c r="I467" s="176"/>
      <c r="J467"/>
      <c r="L467" s="3"/>
      <c r="N467"/>
      <c r="R467"/>
      <c r="S467"/>
      <c r="T467" s="127"/>
      <c r="U467" s="127"/>
      <c r="Z467" s="6"/>
      <c r="AB467" s="16"/>
      <c r="AC467" s="6"/>
      <c r="AE467" s="17"/>
      <c r="AF467" s="17"/>
      <c r="AG467" s="17"/>
      <c r="AH467" s="4"/>
      <c r="AI467"/>
      <c r="AM467" s="14"/>
      <c r="AP467" s="44"/>
      <c r="AW467" s="3"/>
    </row>
    <row r="468" spans="1:50" x14ac:dyDescent="0.2">
      <c r="A468"/>
      <c r="B468" s="76"/>
      <c r="C468" s="76"/>
      <c r="D468" s="76"/>
      <c r="E468" s="97"/>
      <c r="F468" s="76"/>
      <c r="G468" s="76"/>
      <c r="H468" s="177"/>
      <c r="I468" s="177"/>
      <c r="J468" s="76"/>
      <c r="K468" s="76"/>
      <c r="L468" s="97"/>
      <c r="M468" s="76"/>
      <c r="N468" s="76"/>
      <c r="O468" s="76"/>
      <c r="P468" s="76"/>
      <c r="Q468" s="76"/>
      <c r="R468" s="76"/>
      <c r="S468" s="76"/>
      <c r="T468" s="76"/>
      <c r="U468" s="76"/>
      <c r="X468" s="52"/>
      <c r="Y468" s="52"/>
      <c r="Z468" s="53"/>
      <c r="AA468" s="54"/>
      <c r="AB468" s="16"/>
      <c r="AC468" s="53"/>
      <c r="AD468" s="54"/>
      <c r="AE468" s="55"/>
      <c r="AF468" s="55"/>
      <c r="AG468" s="17"/>
      <c r="AH468" s="56"/>
      <c r="AI468"/>
      <c r="AJ468" s="9"/>
      <c r="AK468" s="9"/>
      <c r="AL468" s="9"/>
      <c r="AM468" s="14"/>
      <c r="AN468" s="72"/>
      <c r="AO468" s="72"/>
      <c r="AP468" s="72"/>
      <c r="AQ468" s="28"/>
      <c r="AV468" s="28"/>
      <c r="AW468" s="97">
        <v>39</v>
      </c>
      <c r="AX468" s="28"/>
    </row>
    <row r="469" spans="1:50" x14ac:dyDescent="0.2">
      <c r="A469"/>
      <c r="B469" s="76"/>
      <c r="C469" s="76"/>
      <c r="D469" s="76"/>
      <c r="E469" s="97"/>
      <c r="F469" s="76"/>
      <c r="G469" s="76"/>
      <c r="H469" s="177"/>
      <c r="I469" s="177"/>
      <c r="J469" s="76"/>
      <c r="K469" s="76"/>
      <c r="L469" s="97"/>
      <c r="M469" s="76"/>
      <c r="N469" s="76"/>
      <c r="O469" s="76"/>
      <c r="P469" s="76"/>
      <c r="Q469" s="76"/>
      <c r="R469" s="76"/>
      <c r="S469" s="76"/>
      <c r="T469" s="76"/>
      <c r="U469" s="76"/>
      <c r="X469" s="50"/>
      <c r="Y469" s="50"/>
      <c r="Z469" s="6"/>
      <c r="AB469" s="16"/>
      <c r="AC469" s="6"/>
      <c r="AD469" s="54"/>
      <c r="AE469" s="55"/>
      <c r="AF469" s="55"/>
      <c r="AG469" s="17"/>
      <c r="AH469" s="56"/>
      <c r="AI469"/>
      <c r="AM469" s="14"/>
      <c r="AN469" s="72"/>
      <c r="AO469" s="72"/>
      <c r="AP469" s="72"/>
      <c r="AW469" s="97">
        <v>26.33</v>
      </c>
    </row>
    <row r="470" spans="1:50" x14ac:dyDescent="0.2">
      <c r="A470"/>
      <c r="C470"/>
      <c r="G470"/>
      <c r="I470" s="176"/>
      <c r="J470"/>
      <c r="L470" s="3"/>
      <c r="N470"/>
      <c r="R470"/>
      <c r="S470"/>
      <c r="T470" s="127"/>
      <c r="U470" s="127"/>
      <c r="Z470" s="6"/>
      <c r="AB470" s="16"/>
      <c r="AC470" s="6"/>
      <c r="AE470" s="17"/>
      <c r="AF470" s="17"/>
      <c r="AG470" s="17"/>
      <c r="AH470" s="4"/>
      <c r="AI470"/>
      <c r="AM470" s="14"/>
      <c r="AP470" s="44"/>
      <c r="AW470" s="3">
        <f>(AW468/100)/((AW468+AW469)/100)</f>
        <v>0.59696923312413896</v>
      </c>
    </row>
    <row r="471" spans="1:50" x14ac:dyDescent="0.2">
      <c r="A471"/>
      <c r="C471"/>
      <c r="G471"/>
      <c r="I471" s="176"/>
      <c r="J471"/>
      <c r="L471" s="3"/>
      <c r="N471"/>
      <c r="R471"/>
      <c r="S471"/>
      <c r="T471" s="127"/>
      <c r="U471" s="127"/>
      <c r="Z471" s="6"/>
      <c r="AB471" s="16"/>
      <c r="AC471" s="6"/>
      <c r="AE471" s="17"/>
      <c r="AF471" s="17"/>
      <c r="AG471" s="17"/>
      <c r="AH471" s="4"/>
      <c r="AI471"/>
      <c r="AM471" s="14"/>
      <c r="AP471" s="44"/>
      <c r="AW471" s="3">
        <f>(AW469/100)/((AW468+AW469)/100)</f>
        <v>0.40303076687586098</v>
      </c>
    </row>
    <row r="472" spans="1:50" x14ac:dyDescent="0.2">
      <c r="A472"/>
      <c r="C472"/>
      <c r="G472"/>
      <c r="I472" s="176"/>
      <c r="J472"/>
      <c r="L472" s="3"/>
      <c r="N472"/>
      <c r="R472"/>
      <c r="S472"/>
      <c r="T472" s="127"/>
      <c r="U472" s="127"/>
      <c r="Z472" s="6"/>
      <c r="AB472" s="16"/>
      <c r="AC472" s="6"/>
      <c r="AE472" s="17"/>
      <c r="AF472" s="17"/>
      <c r="AG472" s="17"/>
      <c r="AI472"/>
      <c r="AM472" s="14"/>
      <c r="AW472" s="3"/>
    </row>
    <row r="473" spans="1:50" customFormat="1" x14ac:dyDescent="0.2">
      <c r="E473" s="3"/>
      <c r="H473" s="176"/>
      <c r="I473" s="176"/>
      <c r="L473" s="3"/>
      <c r="T473" s="127"/>
      <c r="U473" s="127"/>
      <c r="V473" s="2"/>
      <c r="X473" s="16"/>
      <c r="Y473" s="16"/>
      <c r="Z473" s="6"/>
      <c r="AA473" s="16"/>
      <c r="AB473" s="16"/>
      <c r="AC473" s="6"/>
      <c r="AD473" s="16"/>
      <c r="AE473" s="17"/>
      <c r="AF473" s="17"/>
      <c r="AG473" s="17"/>
      <c r="AH473" s="4"/>
      <c r="AJ473" s="5"/>
      <c r="AK473" s="5"/>
      <c r="AL473" s="5"/>
      <c r="AM473" s="14"/>
      <c r="AN473" s="14"/>
      <c r="AO473" s="14"/>
      <c r="AP473" s="44"/>
      <c r="AQ473" s="24"/>
      <c r="AR473" s="113"/>
      <c r="AS473" s="113"/>
      <c r="AT473" s="113"/>
      <c r="AU473" s="113"/>
      <c r="AV473" s="24"/>
      <c r="AW473" s="3"/>
      <c r="AX473" s="24"/>
    </row>
    <row r="474" spans="1:50" x14ac:dyDescent="0.2">
      <c r="A474"/>
      <c r="B474" s="76"/>
      <c r="C474" s="76"/>
      <c r="D474" s="76"/>
      <c r="E474" s="97"/>
      <c r="F474" s="76"/>
      <c r="G474" s="76"/>
      <c r="H474" s="177"/>
      <c r="I474" s="177"/>
      <c r="J474" s="76"/>
      <c r="K474" s="76"/>
      <c r="L474" s="97"/>
      <c r="M474" s="76"/>
      <c r="N474" s="76"/>
      <c r="O474" s="76"/>
      <c r="P474" s="76"/>
      <c r="Q474" s="76"/>
      <c r="R474" s="76"/>
      <c r="S474" s="76"/>
      <c r="T474" s="76"/>
      <c r="U474" s="76"/>
      <c r="X474" s="50"/>
      <c r="Y474" s="50"/>
      <c r="Z474" s="6"/>
      <c r="AB474" s="16"/>
      <c r="AC474" s="6"/>
      <c r="AE474" s="17"/>
      <c r="AF474" s="17"/>
      <c r="AG474" s="17"/>
      <c r="AH474" s="4"/>
      <c r="AI474"/>
      <c r="AJ474" s="9"/>
      <c r="AK474" s="9"/>
      <c r="AL474" s="9"/>
      <c r="AM474" s="14"/>
      <c r="AN474" s="72"/>
      <c r="AO474" s="72"/>
      <c r="AP474" s="72"/>
      <c r="AQ474" s="8"/>
      <c r="AV474" s="8"/>
      <c r="AW474" s="97">
        <v>30.2</v>
      </c>
      <c r="AX474" s="8"/>
    </row>
    <row r="475" spans="1:50" x14ac:dyDescent="0.2">
      <c r="A475"/>
      <c r="B475" s="76"/>
      <c r="C475" s="76"/>
      <c r="D475" s="76"/>
      <c r="E475" s="97"/>
      <c r="F475" s="76"/>
      <c r="G475" s="76"/>
      <c r="H475" s="177"/>
      <c r="I475" s="177"/>
      <c r="J475" s="76"/>
      <c r="K475" s="76"/>
      <c r="L475" s="110"/>
      <c r="M475" s="76"/>
      <c r="N475" s="76"/>
      <c r="O475" s="76"/>
      <c r="P475" s="76"/>
      <c r="Q475" s="76"/>
      <c r="R475" s="76"/>
      <c r="S475" s="76"/>
      <c r="T475" s="76"/>
      <c r="U475" s="76"/>
      <c r="X475" s="50"/>
      <c r="Y475" s="50"/>
      <c r="Z475" s="6"/>
      <c r="AB475" s="16"/>
      <c r="AC475" s="6"/>
      <c r="AE475" s="17"/>
      <c r="AF475" s="17"/>
      <c r="AG475" s="17"/>
      <c r="AH475" s="4"/>
      <c r="AI475"/>
      <c r="AM475" s="72"/>
      <c r="AN475" s="72"/>
      <c r="AO475" s="72"/>
      <c r="AP475" s="72"/>
      <c r="AQ475" s="26"/>
      <c r="AV475" s="26"/>
      <c r="AW475" s="110">
        <v>34.67</v>
      </c>
      <c r="AX475" s="26"/>
    </row>
    <row r="476" spans="1:50" x14ac:dyDescent="0.2">
      <c r="A476"/>
      <c r="C476"/>
      <c r="G476"/>
      <c r="I476" s="176"/>
      <c r="J476"/>
      <c r="L476" s="3"/>
      <c r="N476"/>
      <c r="R476"/>
      <c r="S476"/>
      <c r="T476" s="127"/>
      <c r="U476" s="127"/>
      <c r="Z476" s="6"/>
      <c r="AB476" s="16"/>
      <c r="AC476" s="6"/>
      <c r="AE476" s="17"/>
      <c r="AF476" s="17"/>
      <c r="AG476" s="17"/>
      <c r="AH476" s="4"/>
      <c r="AI476"/>
      <c r="AM476" s="14"/>
      <c r="AP476" s="44"/>
      <c r="AW476" s="3">
        <f>(AW474/100)/((AW474+AW475)/100)</f>
        <v>0.46554647757052564</v>
      </c>
    </row>
    <row r="477" spans="1:50" x14ac:dyDescent="0.2">
      <c r="A477"/>
      <c r="C477"/>
      <c r="G477"/>
      <c r="I477" s="176"/>
      <c r="J477"/>
      <c r="L477" s="3"/>
      <c r="N477"/>
      <c r="R477"/>
      <c r="S477"/>
      <c r="T477" s="127"/>
      <c r="U477" s="127"/>
      <c r="Z477" s="6"/>
      <c r="AB477" s="16"/>
      <c r="AC477" s="6"/>
      <c r="AE477" s="17"/>
      <c r="AF477" s="17"/>
      <c r="AG477" s="17"/>
      <c r="AH477" s="4"/>
      <c r="AI477"/>
      <c r="AM477" s="14"/>
      <c r="AP477" s="44"/>
      <c r="AW477" s="3">
        <f>(AW475/100)/((AW474+AW475)/100)</f>
        <v>0.5344535224294743</v>
      </c>
    </row>
    <row r="478" spans="1:50" x14ac:dyDescent="0.2">
      <c r="A478"/>
      <c r="C478"/>
      <c r="G478"/>
      <c r="I478" s="176"/>
      <c r="J478"/>
      <c r="L478" s="3"/>
      <c r="N478"/>
      <c r="R478"/>
      <c r="S478"/>
      <c r="T478" s="127"/>
      <c r="U478" s="127"/>
      <c r="Z478" s="6"/>
      <c r="AB478" s="16"/>
      <c r="AC478" s="6"/>
      <c r="AE478" s="17"/>
      <c r="AF478" s="17"/>
      <c r="AG478" s="17"/>
      <c r="AI478"/>
      <c r="AM478" s="14"/>
      <c r="AW478" s="3"/>
    </row>
    <row r="479" spans="1:50" s="12" customFormat="1" x14ac:dyDescent="0.2">
      <c r="A479"/>
      <c r="B479"/>
      <c r="C479"/>
      <c r="D479"/>
      <c r="E479" s="3"/>
      <c r="F479"/>
      <c r="G479"/>
      <c r="H479" s="176"/>
      <c r="I479" s="176"/>
      <c r="J479"/>
      <c r="K479"/>
      <c r="L479" s="3"/>
      <c r="M479"/>
      <c r="N479"/>
      <c r="O479"/>
      <c r="P479"/>
      <c r="Q479"/>
      <c r="R479"/>
      <c r="S479"/>
      <c r="T479" s="127"/>
      <c r="U479" s="127"/>
      <c r="V479" s="271"/>
      <c r="X479" s="16"/>
      <c r="Y479" s="16"/>
      <c r="Z479" s="6"/>
      <c r="AA479" s="16"/>
      <c r="AB479" s="16"/>
      <c r="AC479" s="6"/>
      <c r="AD479" s="16"/>
      <c r="AE479" s="17"/>
      <c r="AF479" s="17"/>
      <c r="AG479" s="17"/>
      <c r="AH479" s="4"/>
      <c r="AI479"/>
      <c r="AJ479" s="5"/>
      <c r="AK479" s="5"/>
      <c r="AL479" s="5"/>
      <c r="AM479" s="14"/>
      <c r="AN479" s="14"/>
      <c r="AO479" s="14"/>
      <c r="AP479" s="44"/>
      <c r="AQ479" s="24"/>
      <c r="AR479" s="113"/>
      <c r="AS479" s="113"/>
      <c r="AT479" s="113"/>
      <c r="AU479" s="113"/>
      <c r="AV479" s="24"/>
      <c r="AW479" s="3"/>
      <c r="AX479" s="24"/>
    </row>
    <row r="480" spans="1:50" x14ac:dyDescent="0.2">
      <c r="A480"/>
      <c r="B480" s="76"/>
      <c r="C480" s="76"/>
      <c r="D480" s="76"/>
      <c r="E480" s="97"/>
      <c r="F480" s="76"/>
      <c r="G480" s="76"/>
      <c r="H480" s="177"/>
      <c r="I480" s="177"/>
      <c r="J480" s="76"/>
      <c r="K480" s="76"/>
      <c r="L480" s="97"/>
      <c r="M480" s="76"/>
      <c r="N480" s="76"/>
      <c r="O480" s="76"/>
      <c r="P480" s="76"/>
      <c r="Q480" s="76"/>
      <c r="R480" s="76"/>
      <c r="S480" s="76"/>
      <c r="T480" s="76"/>
      <c r="U480" s="76"/>
      <c r="X480" s="50"/>
      <c r="Y480" s="50"/>
      <c r="Z480" s="6"/>
      <c r="AB480" s="16"/>
      <c r="AC480" s="6"/>
      <c r="AE480" s="17"/>
      <c r="AF480" s="17"/>
      <c r="AG480" s="17"/>
      <c r="AH480" s="4"/>
      <c r="AI480"/>
      <c r="AM480" s="14"/>
      <c r="AN480" s="72"/>
      <c r="AO480" s="72"/>
      <c r="AP480" s="72"/>
      <c r="AW480" s="97">
        <v>31.1</v>
      </c>
    </row>
    <row r="481" spans="1:50" x14ac:dyDescent="0.2">
      <c r="A481"/>
      <c r="B481" s="76"/>
      <c r="C481" s="76"/>
      <c r="D481" s="76"/>
      <c r="E481" s="97"/>
      <c r="F481" s="76"/>
      <c r="G481" s="76"/>
      <c r="H481" s="177"/>
      <c r="I481" s="177"/>
      <c r="J481" s="76"/>
      <c r="K481" s="76"/>
      <c r="L481" s="110"/>
      <c r="M481" s="76"/>
      <c r="N481" s="76"/>
      <c r="O481" s="76"/>
      <c r="P481" s="76"/>
      <c r="Q481" s="76"/>
      <c r="R481" s="76"/>
      <c r="S481" s="76"/>
      <c r="T481" s="76"/>
      <c r="U481" s="76"/>
      <c r="X481" s="50"/>
      <c r="Y481" s="50"/>
      <c r="Z481" s="6"/>
      <c r="AB481" s="16"/>
      <c r="AC481" s="6"/>
      <c r="AE481" s="17"/>
      <c r="AF481" s="17"/>
      <c r="AG481" s="17"/>
      <c r="AH481" s="4"/>
      <c r="AI481"/>
      <c r="AM481" s="72"/>
      <c r="AN481" s="72"/>
      <c r="AO481" s="72"/>
      <c r="AP481" s="72"/>
      <c r="AW481" s="110">
        <v>7.1</v>
      </c>
    </row>
    <row r="482" spans="1:50" x14ac:dyDescent="0.2">
      <c r="A482"/>
      <c r="B482" s="76"/>
      <c r="C482" s="76"/>
      <c r="D482" s="76"/>
      <c r="E482" s="97"/>
      <c r="F482" s="76"/>
      <c r="G482" s="76"/>
      <c r="H482" s="177"/>
      <c r="I482" s="177"/>
      <c r="J482" s="76"/>
      <c r="K482" s="76"/>
      <c r="L482" s="97"/>
      <c r="M482" s="76"/>
      <c r="N482" s="76"/>
      <c r="O482" s="76"/>
      <c r="P482" s="76"/>
      <c r="Q482" s="76"/>
      <c r="R482" s="76"/>
      <c r="S482" s="76"/>
      <c r="T482" s="76"/>
      <c r="U482" s="76"/>
      <c r="X482" s="50"/>
      <c r="Y482" s="50"/>
      <c r="Z482" s="6"/>
      <c r="AB482" s="16"/>
      <c r="AC482" s="6"/>
      <c r="AE482" s="17"/>
      <c r="AF482" s="17"/>
      <c r="AG482" s="17"/>
      <c r="AH482" s="4"/>
      <c r="AI482"/>
      <c r="AM482" s="14"/>
      <c r="AN482" s="72"/>
      <c r="AO482" s="72"/>
      <c r="AP482" s="72"/>
      <c r="AW482" s="97">
        <v>13.67</v>
      </c>
    </row>
    <row r="483" spans="1:50" x14ac:dyDescent="0.2">
      <c r="A483"/>
      <c r="C483"/>
      <c r="G483"/>
      <c r="I483" s="176"/>
      <c r="J483"/>
      <c r="L483" s="3"/>
      <c r="N483"/>
      <c r="R483"/>
      <c r="S483"/>
      <c r="T483" s="127"/>
      <c r="U483" s="127"/>
      <c r="Z483" s="6"/>
      <c r="AB483" s="16"/>
      <c r="AC483" s="6"/>
      <c r="AE483" s="17"/>
      <c r="AF483" s="17"/>
      <c r="AG483" s="17"/>
      <c r="AH483" s="4"/>
      <c r="AI483"/>
      <c r="AM483" s="14"/>
      <c r="AP483" s="44"/>
      <c r="AW483" s="3">
        <f>(AW480/100)/((AW480+AW481+AW482)/100)</f>
        <v>0.5995758627337574</v>
      </c>
    </row>
    <row r="484" spans="1:50" x14ac:dyDescent="0.2">
      <c r="A484"/>
      <c r="C484"/>
      <c r="G484"/>
      <c r="I484" s="176"/>
      <c r="J484"/>
      <c r="L484" s="3"/>
      <c r="N484"/>
      <c r="R484"/>
      <c r="S484"/>
      <c r="T484" s="127"/>
      <c r="U484" s="127"/>
      <c r="Z484" s="6"/>
      <c r="AB484" s="16"/>
      <c r="AC484" s="6"/>
      <c r="AE484" s="17"/>
      <c r="AF484" s="17"/>
      <c r="AG484" s="17"/>
      <c r="AH484" s="4"/>
      <c r="AI484"/>
      <c r="AM484" s="14"/>
      <c r="AP484" s="44"/>
      <c r="AW484" s="3">
        <f>(AW481/100)/((AW461+AW480+AW481)/100)</f>
        <v>0.18586387434554971</v>
      </c>
    </row>
    <row r="485" spans="1:50" x14ac:dyDescent="0.2">
      <c r="A485"/>
      <c r="C485"/>
      <c r="G485"/>
      <c r="I485" s="176"/>
      <c r="J485"/>
      <c r="L485" s="3"/>
      <c r="N485"/>
      <c r="R485"/>
      <c r="S485"/>
      <c r="T485" s="127"/>
      <c r="U485" s="127"/>
      <c r="Z485" s="6"/>
      <c r="AB485" s="16"/>
      <c r="AC485" s="6"/>
      <c r="AE485" s="17"/>
      <c r="AF485" s="17"/>
      <c r="AG485" s="17"/>
      <c r="AH485" s="4"/>
      <c r="AI485"/>
      <c r="AM485" s="14"/>
      <c r="AP485" s="44"/>
      <c r="AW485" s="3">
        <f>(AW482/100)/((AW480+AW481+AW482)/100)</f>
        <v>0.26354347406978978</v>
      </c>
    </row>
    <row r="486" spans="1:50" x14ac:dyDescent="0.2">
      <c r="A486"/>
      <c r="C486"/>
      <c r="G486"/>
      <c r="I486" s="176"/>
      <c r="J486"/>
      <c r="L486" s="3"/>
      <c r="N486"/>
      <c r="R486"/>
      <c r="S486"/>
      <c r="T486" s="127"/>
      <c r="U486" s="127"/>
      <c r="Z486" s="6"/>
      <c r="AB486" s="16"/>
      <c r="AC486" s="6"/>
      <c r="AE486" s="17"/>
      <c r="AF486" s="17"/>
      <c r="AG486" s="17"/>
      <c r="AI486"/>
      <c r="AM486" s="14"/>
      <c r="AW486" s="3"/>
    </row>
    <row r="487" spans="1:50" x14ac:dyDescent="0.2">
      <c r="A487"/>
      <c r="C487"/>
      <c r="G487"/>
      <c r="I487" s="176"/>
      <c r="J487"/>
      <c r="L487" s="3"/>
      <c r="N487"/>
      <c r="R487"/>
      <c r="S487"/>
      <c r="T487" s="127"/>
      <c r="U487" s="127"/>
      <c r="Z487" s="6"/>
      <c r="AB487" s="16"/>
      <c r="AC487" s="6"/>
      <c r="AE487" s="17"/>
      <c r="AF487" s="17"/>
      <c r="AG487" s="17"/>
      <c r="AH487" s="4"/>
      <c r="AI487"/>
      <c r="AM487" s="14"/>
      <c r="AP487" s="44"/>
      <c r="AW487" s="3"/>
    </row>
    <row r="488" spans="1:50" x14ac:dyDescent="0.2">
      <c r="A488"/>
      <c r="B488" s="76"/>
      <c r="C488" s="76"/>
      <c r="D488" s="76"/>
      <c r="E488" s="97"/>
      <c r="F488" s="76"/>
      <c r="G488" s="76"/>
      <c r="H488" s="177"/>
      <c r="I488" s="177"/>
      <c r="J488" s="76"/>
      <c r="K488" s="76"/>
      <c r="L488" s="97"/>
      <c r="M488" s="76"/>
      <c r="N488" s="76"/>
      <c r="O488" s="76"/>
      <c r="P488" s="76"/>
      <c r="Q488" s="76"/>
      <c r="R488" s="76"/>
      <c r="S488" s="76"/>
      <c r="T488" s="76"/>
      <c r="U488" s="76"/>
      <c r="X488" s="52"/>
      <c r="Y488" s="52"/>
      <c r="Z488" s="53"/>
      <c r="AA488" s="54"/>
      <c r="AB488" s="54"/>
      <c r="AC488" s="53"/>
      <c r="AD488" s="54"/>
      <c r="AE488" s="55"/>
      <c r="AF488" s="55"/>
      <c r="AG488" s="17"/>
      <c r="AH488" s="56"/>
      <c r="AI488"/>
      <c r="AJ488" s="9"/>
      <c r="AK488" s="9"/>
      <c r="AL488" s="9"/>
      <c r="AM488" s="14"/>
      <c r="AN488" s="72"/>
      <c r="AO488" s="72"/>
      <c r="AP488" s="72"/>
      <c r="AQ488"/>
      <c r="AV488"/>
      <c r="AW488" s="97">
        <v>130.19999999999999</v>
      </c>
      <c r="AX488"/>
    </row>
    <row r="489" spans="1:50" x14ac:dyDescent="0.2">
      <c r="A489"/>
      <c r="B489" s="76"/>
      <c r="C489" s="76"/>
      <c r="D489" s="76"/>
      <c r="E489" s="97"/>
      <c r="F489" s="76"/>
      <c r="G489" s="76"/>
      <c r="H489" s="177"/>
      <c r="I489" s="177"/>
      <c r="J489" s="76"/>
      <c r="K489" s="76"/>
      <c r="L489" s="97"/>
      <c r="M489" s="76"/>
      <c r="N489" s="76"/>
      <c r="O489" s="76"/>
      <c r="P489" s="76"/>
      <c r="Q489" s="76"/>
      <c r="R489" s="76"/>
      <c r="S489" s="76"/>
      <c r="T489" s="76"/>
      <c r="U489" s="76"/>
      <c r="X489" s="50"/>
      <c r="Y489" s="50"/>
      <c r="Z489" s="6"/>
      <c r="AB489" s="16"/>
      <c r="AC489" s="6"/>
      <c r="AD489" s="54"/>
      <c r="AE489" s="55"/>
      <c r="AF489" s="55"/>
      <c r="AG489" s="17"/>
      <c r="AH489" s="56"/>
      <c r="AI489"/>
      <c r="AM489" s="14"/>
      <c r="AN489" s="72"/>
      <c r="AO489" s="72"/>
      <c r="AP489" s="72"/>
      <c r="AW489" s="97">
        <v>75</v>
      </c>
    </row>
    <row r="490" spans="1:50" x14ac:dyDescent="0.2">
      <c r="A490"/>
      <c r="C490"/>
      <c r="G490"/>
      <c r="I490" s="176"/>
      <c r="J490"/>
      <c r="L490" s="3"/>
      <c r="N490"/>
      <c r="R490"/>
      <c r="S490"/>
      <c r="T490" s="127"/>
      <c r="U490" s="127"/>
      <c r="Z490" s="6"/>
      <c r="AB490" s="16"/>
      <c r="AC490" s="6"/>
      <c r="AE490" s="17"/>
      <c r="AF490" s="17"/>
      <c r="AG490" s="17"/>
      <c r="AH490" s="4"/>
      <c r="AI490"/>
      <c r="AM490" s="14"/>
      <c r="AP490" s="44"/>
      <c r="AW490" s="3">
        <f>(AW488/100)/((AW488+AW489)/100)</f>
        <v>0.63450292397660812</v>
      </c>
    </row>
    <row r="491" spans="1:50" x14ac:dyDescent="0.2">
      <c r="A491"/>
      <c r="C491"/>
      <c r="G491"/>
      <c r="I491" s="176"/>
      <c r="J491"/>
      <c r="L491" s="3"/>
      <c r="N491"/>
      <c r="R491"/>
      <c r="S491"/>
      <c r="T491" s="127"/>
      <c r="U491" s="127"/>
      <c r="Z491" s="6"/>
      <c r="AB491" s="16"/>
      <c r="AC491" s="6"/>
      <c r="AE491" s="17"/>
      <c r="AF491" s="17"/>
      <c r="AG491" s="17"/>
      <c r="AH491" s="4"/>
      <c r="AI491"/>
      <c r="AM491" s="14"/>
      <c r="AP491" s="44"/>
      <c r="AW491" s="3">
        <f>(AW489/100)/((AW488+AW489)/100)</f>
        <v>0.36549707602339182</v>
      </c>
    </row>
    <row r="492" spans="1:50" s="12" customFormat="1" x14ac:dyDescent="0.2">
      <c r="A492"/>
      <c r="B492"/>
      <c r="C492"/>
      <c r="D492"/>
      <c r="E492" s="3"/>
      <c r="F492"/>
      <c r="G492"/>
      <c r="H492" s="176"/>
      <c r="I492" s="176"/>
      <c r="J492"/>
      <c r="K492"/>
      <c r="L492" s="3"/>
      <c r="M492"/>
      <c r="N492"/>
      <c r="O492"/>
      <c r="P492"/>
      <c r="Q492"/>
      <c r="R492"/>
      <c r="S492"/>
      <c r="T492" s="127"/>
      <c r="U492" s="127"/>
      <c r="V492" s="271"/>
      <c r="X492" s="16"/>
      <c r="Y492" s="16"/>
      <c r="Z492" s="6"/>
      <c r="AA492" s="16"/>
      <c r="AB492" s="16"/>
      <c r="AC492" s="6"/>
      <c r="AD492" s="16"/>
      <c r="AE492" s="17"/>
      <c r="AF492" s="17"/>
      <c r="AG492" s="17"/>
      <c r="AH492" s="16"/>
      <c r="AI492"/>
      <c r="AJ492" s="5"/>
      <c r="AK492" s="5"/>
      <c r="AL492" s="5"/>
      <c r="AM492" s="14"/>
      <c r="AN492" s="14"/>
      <c r="AO492" s="14"/>
      <c r="AP492" s="14"/>
      <c r="AQ492" s="24"/>
      <c r="AR492" s="113"/>
      <c r="AS492" s="113"/>
      <c r="AT492" s="113"/>
      <c r="AU492" s="113"/>
      <c r="AV492" s="24"/>
      <c r="AW492" s="3"/>
      <c r="AX492" s="24"/>
    </row>
    <row r="493" spans="1:50" x14ac:dyDescent="0.2">
      <c r="A493"/>
      <c r="C493"/>
      <c r="G493"/>
      <c r="I493" s="176"/>
      <c r="J493"/>
      <c r="L493" s="3"/>
      <c r="N493"/>
      <c r="R493"/>
      <c r="S493"/>
      <c r="T493" s="127"/>
      <c r="U493" s="127"/>
      <c r="Z493" s="6"/>
      <c r="AB493" s="16"/>
      <c r="AC493" s="6"/>
      <c r="AE493" s="17"/>
      <c r="AF493" s="17"/>
      <c r="AG493" s="17"/>
      <c r="AH493" s="4"/>
      <c r="AI493"/>
      <c r="AM493" s="14"/>
      <c r="AP493" s="44"/>
      <c r="AW493" s="3"/>
    </row>
    <row r="494" spans="1:50" x14ac:dyDescent="0.2">
      <c r="A494"/>
      <c r="B494" s="76"/>
      <c r="C494" s="76"/>
      <c r="D494" s="76"/>
      <c r="E494" s="97"/>
      <c r="F494" s="76"/>
      <c r="G494" s="76"/>
      <c r="H494" s="177"/>
      <c r="I494" s="177"/>
      <c r="J494" s="76"/>
      <c r="K494" s="76"/>
      <c r="L494" s="97"/>
      <c r="M494" s="76"/>
      <c r="N494" s="76"/>
      <c r="O494" s="76"/>
      <c r="P494" s="76"/>
      <c r="Q494" s="76"/>
      <c r="R494" s="76"/>
      <c r="S494" s="76"/>
      <c r="T494" s="76"/>
      <c r="U494" s="76"/>
      <c r="X494" s="50"/>
      <c r="Y494" s="50"/>
      <c r="Z494" s="6"/>
      <c r="AB494" s="16"/>
      <c r="AC494" s="6"/>
      <c r="AE494" s="17"/>
      <c r="AF494" s="17"/>
      <c r="AG494" s="17"/>
      <c r="AH494" s="4"/>
      <c r="AI494"/>
      <c r="AM494" s="14"/>
      <c r="AN494" s="72"/>
      <c r="AO494" s="72"/>
      <c r="AP494" s="72"/>
      <c r="AQ494" s="12"/>
      <c r="AV494" s="12"/>
      <c r="AW494" s="97">
        <v>25.2</v>
      </c>
      <c r="AX494" s="12"/>
    </row>
    <row r="495" spans="1:50" x14ac:dyDescent="0.2">
      <c r="A495"/>
      <c r="B495" s="76"/>
      <c r="C495" s="76"/>
      <c r="D495" s="76"/>
      <c r="E495" s="97"/>
      <c r="F495" s="76"/>
      <c r="G495" s="76"/>
      <c r="H495" s="177"/>
      <c r="I495" s="177"/>
      <c r="J495" s="76"/>
      <c r="K495" s="76"/>
      <c r="L495" s="110"/>
      <c r="M495" s="76"/>
      <c r="N495" s="76"/>
      <c r="O495" s="76"/>
      <c r="P495" s="76"/>
      <c r="Q495" s="76"/>
      <c r="R495" s="76"/>
      <c r="S495" s="76"/>
      <c r="T495" s="76"/>
      <c r="U495" s="76"/>
      <c r="X495" s="50"/>
      <c r="Y495" s="50"/>
      <c r="Z495" s="6"/>
      <c r="AB495" s="16"/>
      <c r="AC495" s="6"/>
      <c r="AE495" s="17"/>
      <c r="AF495" s="17"/>
      <c r="AG495" s="17"/>
      <c r="AH495" s="4"/>
      <c r="AI495"/>
      <c r="AM495" s="72"/>
      <c r="AN495" s="72"/>
      <c r="AO495" s="72"/>
      <c r="AP495" s="72"/>
      <c r="AW495" s="110">
        <v>53</v>
      </c>
    </row>
    <row r="496" spans="1:50" x14ac:dyDescent="0.2">
      <c r="A496"/>
      <c r="C496"/>
      <c r="G496"/>
      <c r="I496" s="176"/>
      <c r="J496"/>
      <c r="L496" s="3"/>
      <c r="N496"/>
      <c r="R496"/>
      <c r="S496"/>
      <c r="T496" s="127"/>
      <c r="U496" s="127"/>
      <c r="Z496" s="6"/>
      <c r="AB496" s="16"/>
      <c r="AC496" s="6"/>
      <c r="AE496" s="17"/>
      <c r="AF496" s="17"/>
      <c r="AG496" s="17"/>
      <c r="AH496" s="4"/>
      <c r="AI496"/>
      <c r="AM496" s="14"/>
      <c r="AP496" s="44"/>
      <c r="AW496" s="3">
        <f>(AW494/100)/((AW494+AW495)/100)</f>
        <v>0.32225063938618925</v>
      </c>
    </row>
    <row r="497" spans="1:50" customFormat="1" x14ac:dyDescent="0.2">
      <c r="E497" s="3"/>
      <c r="H497" s="176"/>
      <c r="I497" s="176"/>
      <c r="L497" s="3"/>
      <c r="T497" s="127"/>
      <c r="U497" s="127"/>
      <c r="V497" s="2"/>
      <c r="X497" s="16"/>
      <c r="Y497" s="16"/>
      <c r="Z497" s="6"/>
      <c r="AA497" s="16"/>
      <c r="AB497" s="16"/>
      <c r="AC497" s="6"/>
      <c r="AD497" s="16"/>
      <c r="AE497" s="17"/>
      <c r="AF497" s="17"/>
      <c r="AG497" s="17"/>
      <c r="AH497" s="4"/>
      <c r="AJ497" s="5"/>
      <c r="AK497" s="5"/>
      <c r="AL497" s="5"/>
      <c r="AM497" s="14"/>
      <c r="AN497" s="14"/>
      <c r="AO497" s="14"/>
      <c r="AP497" s="44"/>
      <c r="AQ497" s="24"/>
      <c r="AR497" s="113"/>
      <c r="AS497" s="113"/>
      <c r="AT497" s="113"/>
      <c r="AU497" s="113"/>
      <c r="AV497" s="24"/>
      <c r="AW497" s="3">
        <f>(AW495/100)/((AW494+AW495)/100)</f>
        <v>0.67774936061381075</v>
      </c>
      <c r="AX497" s="24"/>
    </row>
    <row r="498" spans="1:50" s="28" customFormat="1" x14ac:dyDescent="0.2">
      <c r="A498"/>
      <c r="B498"/>
      <c r="C498"/>
      <c r="D498"/>
      <c r="E498" s="3"/>
      <c r="F498"/>
      <c r="G498"/>
      <c r="H498" s="176"/>
      <c r="I498" s="176"/>
      <c r="J498"/>
      <c r="K498"/>
      <c r="L498" s="3"/>
      <c r="M498"/>
      <c r="N498"/>
      <c r="O498"/>
      <c r="P498"/>
      <c r="Q498"/>
      <c r="R498"/>
      <c r="S498"/>
      <c r="T498" s="127"/>
      <c r="U498" s="127"/>
      <c r="V498" s="269"/>
      <c r="X498" s="16"/>
      <c r="Y498" s="16"/>
      <c r="Z498" s="6"/>
      <c r="AA498" s="16"/>
      <c r="AB498" s="16"/>
      <c r="AC498" s="6"/>
      <c r="AD498" s="16"/>
      <c r="AE498" s="17"/>
      <c r="AF498" s="17"/>
      <c r="AG498" s="17"/>
      <c r="AH498" s="16"/>
      <c r="AI498"/>
      <c r="AJ498" s="5"/>
      <c r="AK498" s="5"/>
      <c r="AL498" s="5"/>
      <c r="AM498" s="14"/>
      <c r="AN498" s="14"/>
      <c r="AO498" s="14"/>
      <c r="AP498" s="14"/>
      <c r="AQ498" s="24"/>
      <c r="AR498" s="113"/>
      <c r="AS498" s="113"/>
      <c r="AT498" s="113"/>
      <c r="AU498" s="113"/>
      <c r="AV498" s="24"/>
      <c r="AW498" s="3"/>
      <c r="AX498" s="24"/>
    </row>
    <row r="499" spans="1:50" x14ac:dyDescent="0.2">
      <c r="A499"/>
      <c r="C499"/>
      <c r="G499"/>
      <c r="I499" s="176"/>
      <c r="J499"/>
      <c r="L499" s="3"/>
      <c r="N499"/>
      <c r="R499"/>
      <c r="S499"/>
      <c r="T499" s="127"/>
      <c r="U499" s="127"/>
      <c r="Z499" s="6"/>
      <c r="AB499" s="16"/>
      <c r="AC499" s="6"/>
      <c r="AE499" s="17"/>
      <c r="AF499" s="17"/>
      <c r="AG499" s="17"/>
      <c r="AH499" s="4"/>
      <c r="AI499"/>
      <c r="AM499" s="14"/>
      <c r="AP499" s="44"/>
      <c r="AW499" s="3"/>
    </row>
    <row r="500" spans="1:50" x14ac:dyDescent="0.2">
      <c r="A500"/>
      <c r="B500" s="76"/>
      <c r="C500" s="76"/>
      <c r="D500" s="76"/>
      <c r="E500" s="97"/>
      <c r="F500" s="76"/>
      <c r="G500" s="76"/>
      <c r="H500" s="177"/>
      <c r="I500" s="177"/>
      <c r="J500" s="76"/>
      <c r="K500" s="76"/>
      <c r="L500" s="97"/>
      <c r="M500" s="76"/>
      <c r="N500" s="76"/>
      <c r="O500" s="76"/>
      <c r="P500" s="76"/>
      <c r="Q500" s="76"/>
      <c r="R500" s="76"/>
      <c r="S500" s="76"/>
      <c r="T500" s="76"/>
      <c r="U500" s="76"/>
      <c r="X500" s="50"/>
      <c r="Y500" s="50"/>
      <c r="Z500" s="6"/>
      <c r="AB500" s="16"/>
      <c r="AC500" s="6"/>
      <c r="AE500" s="17"/>
      <c r="AF500" s="17"/>
      <c r="AG500" s="17"/>
      <c r="AH500" s="4"/>
      <c r="AI500"/>
      <c r="AM500" s="14"/>
      <c r="AN500" s="72"/>
      <c r="AO500" s="72"/>
      <c r="AP500" s="72"/>
      <c r="AW500" s="97">
        <v>121</v>
      </c>
    </row>
    <row r="501" spans="1:50" x14ac:dyDescent="0.2">
      <c r="A501"/>
      <c r="B501" s="76"/>
      <c r="C501" s="76"/>
      <c r="D501" s="76"/>
      <c r="E501" s="97"/>
      <c r="F501" s="76"/>
      <c r="G501" s="76"/>
      <c r="H501" s="177"/>
      <c r="I501" s="177"/>
      <c r="J501" s="76"/>
      <c r="K501" s="76"/>
      <c r="L501" s="110"/>
      <c r="M501" s="76"/>
      <c r="N501" s="76"/>
      <c r="O501" s="76"/>
      <c r="P501" s="76"/>
      <c r="Q501" s="76"/>
      <c r="R501" s="76"/>
      <c r="S501" s="76"/>
      <c r="T501" s="76"/>
      <c r="U501" s="76"/>
      <c r="X501" s="50"/>
      <c r="Y501" s="50"/>
      <c r="Z501" s="6"/>
      <c r="AB501" s="16"/>
      <c r="AC501" s="6"/>
      <c r="AE501" s="17"/>
      <c r="AF501" s="17"/>
      <c r="AG501" s="17"/>
      <c r="AH501" s="4"/>
      <c r="AI501"/>
      <c r="AM501" s="72"/>
      <c r="AN501" s="72"/>
      <c r="AO501" s="72"/>
      <c r="AP501" s="72"/>
      <c r="AW501" s="110">
        <v>74.67</v>
      </c>
    </row>
    <row r="502" spans="1:50" x14ac:dyDescent="0.2">
      <c r="A502"/>
      <c r="C502"/>
      <c r="G502"/>
      <c r="I502" s="176"/>
      <c r="J502"/>
      <c r="L502" s="3"/>
      <c r="N502"/>
      <c r="R502"/>
      <c r="S502"/>
      <c r="T502" s="127"/>
      <c r="U502" s="127"/>
      <c r="Z502" s="6"/>
      <c r="AB502" s="16"/>
      <c r="AC502" s="6"/>
      <c r="AE502" s="17"/>
      <c r="AF502" s="17"/>
      <c r="AG502" s="17"/>
      <c r="AH502" s="4"/>
      <c r="AI502"/>
      <c r="AM502" s="14"/>
      <c r="AP502" s="44"/>
      <c r="AW502" s="3">
        <f>(AW500/100)/((AW500+AW501)/100)</f>
        <v>0.61838810241733522</v>
      </c>
    </row>
    <row r="503" spans="1:50" s="26" customFormat="1" x14ac:dyDescent="0.2">
      <c r="A503"/>
      <c r="B503"/>
      <c r="C503"/>
      <c r="D503"/>
      <c r="E503" s="3"/>
      <c r="F503"/>
      <c r="G503"/>
      <c r="H503" s="176"/>
      <c r="I503" s="176"/>
      <c r="J503"/>
      <c r="K503"/>
      <c r="L503" s="3"/>
      <c r="M503"/>
      <c r="N503"/>
      <c r="O503"/>
      <c r="P503"/>
      <c r="Q503"/>
      <c r="R503"/>
      <c r="S503"/>
      <c r="T503" s="127"/>
      <c r="U503" s="127"/>
      <c r="V503" s="268"/>
      <c r="X503" s="16"/>
      <c r="Y503" s="16"/>
      <c r="Z503" s="6"/>
      <c r="AA503" s="16"/>
      <c r="AB503" s="16"/>
      <c r="AC503" s="6"/>
      <c r="AD503" s="16"/>
      <c r="AE503" s="17"/>
      <c r="AF503" s="17"/>
      <c r="AG503" s="17"/>
      <c r="AH503" s="4"/>
      <c r="AI503"/>
      <c r="AJ503" s="5"/>
      <c r="AK503" s="5"/>
      <c r="AL503" s="5"/>
      <c r="AM503" s="14"/>
      <c r="AN503" s="14"/>
      <c r="AO503" s="14"/>
      <c r="AP503" s="44"/>
      <c r="AQ503" s="24"/>
      <c r="AR503" s="113"/>
      <c r="AS503" s="113"/>
      <c r="AT503" s="113"/>
      <c r="AU503" s="113"/>
      <c r="AV503" s="24"/>
      <c r="AW503" s="3">
        <f>(AW501/100)/((AW500+AW501)/100)</f>
        <v>0.38161189758266467</v>
      </c>
      <c r="AX503" s="24"/>
    </row>
    <row r="504" spans="1:50" x14ac:dyDescent="0.2">
      <c r="A504"/>
      <c r="C504"/>
      <c r="G504"/>
      <c r="I504" s="176"/>
      <c r="J504"/>
      <c r="L504" s="3"/>
      <c r="N504"/>
      <c r="R504"/>
      <c r="S504"/>
      <c r="T504" s="127"/>
      <c r="U504" s="127"/>
      <c r="Z504" s="6"/>
      <c r="AB504" s="16"/>
      <c r="AC504" s="6"/>
      <c r="AE504" s="17"/>
      <c r="AF504" s="17"/>
      <c r="AG504" s="17"/>
      <c r="AI504"/>
      <c r="AM504" s="14"/>
      <c r="AW504" s="3"/>
    </row>
    <row r="505" spans="1:50" x14ac:dyDescent="0.2">
      <c r="A505"/>
      <c r="C505"/>
      <c r="G505"/>
      <c r="I505" s="176"/>
      <c r="J505"/>
      <c r="L505" s="3"/>
      <c r="N505"/>
      <c r="R505"/>
      <c r="S505"/>
      <c r="T505" s="127"/>
      <c r="U505" s="127"/>
      <c r="Z505" s="6"/>
      <c r="AB505" s="16"/>
      <c r="AC505" s="6"/>
      <c r="AE505" s="17"/>
      <c r="AF505" s="17"/>
      <c r="AG505" s="17"/>
      <c r="AH505" s="4"/>
      <c r="AI505"/>
      <c r="AM505" s="14"/>
      <c r="AP505" s="44"/>
      <c r="AW505" s="3"/>
    </row>
    <row r="506" spans="1:50" x14ac:dyDescent="0.2">
      <c r="A506"/>
      <c r="B506" s="76"/>
      <c r="C506" s="76"/>
      <c r="D506" s="76"/>
      <c r="E506" s="97"/>
      <c r="F506" s="76"/>
      <c r="G506" s="76"/>
      <c r="H506" s="177"/>
      <c r="I506" s="177"/>
      <c r="J506" s="76"/>
      <c r="K506" s="76"/>
      <c r="L506" s="110"/>
      <c r="M506" s="76"/>
      <c r="N506" s="76"/>
      <c r="O506" s="76"/>
      <c r="P506" s="76"/>
      <c r="Q506" s="18"/>
      <c r="R506" s="76"/>
      <c r="S506" s="76"/>
      <c r="T506" s="76"/>
      <c r="U506" s="76"/>
      <c r="X506" s="50"/>
      <c r="Y506" s="50"/>
      <c r="Z506" s="6"/>
      <c r="AB506" s="16"/>
      <c r="AC506" s="6"/>
      <c r="AE506" s="17"/>
      <c r="AF506" s="17"/>
      <c r="AG506" s="17"/>
      <c r="AH506" s="4"/>
      <c r="AI506"/>
      <c r="AM506" s="72"/>
      <c r="AN506" s="72"/>
      <c r="AO506" s="72"/>
      <c r="AP506" s="72"/>
      <c r="AW506" s="110">
        <v>53.1</v>
      </c>
    </row>
    <row r="507" spans="1:50" x14ac:dyDescent="0.2">
      <c r="A507"/>
      <c r="B507" s="76"/>
      <c r="C507" s="76"/>
      <c r="D507" s="76"/>
      <c r="E507" s="97"/>
      <c r="F507" s="76"/>
      <c r="G507" s="76"/>
      <c r="H507" s="177"/>
      <c r="I507" s="177"/>
      <c r="J507" s="76"/>
      <c r="K507" s="76"/>
      <c r="L507" s="97"/>
      <c r="M507" s="76"/>
      <c r="N507" s="76"/>
      <c r="O507" s="76"/>
      <c r="P507" s="76"/>
      <c r="Q507" s="76"/>
      <c r="R507" s="76"/>
      <c r="S507" s="76"/>
      <c r="T507" s="76"/>
      <c r="U507" s="76"/>
      <c r="X507" s="50"/>
      <c r="Y507" s="50"/>
      <c r="Z507" s="6"/>
      <c r="AB507" s="16"/>
      <c r="AC507" s="6"/>
      <c r="AE507" s="17"/>
      <c r="AF507" s="17"/>
      <c r="AG507" s="17"/>
      <c r="AH507" s="4"/>
      <c r="AI507"/>
      <c r="AM507" s="14"/>
      <c r="AN507" s="72"/>
      <c r="AO507" s="72"/>
      <c r="AP507" s="72"/>
      <c r="AQ507" s="12"/>
      <c r="AV507" s="12"/>
      <c r="AW507" s="97">
        <v>11.33</v>
      </c>
      <c r="AX507" s="12"/>
    </row>
    <row r="508" spans="1:50" x14ac:dyDescent="0.2">
      <c r="A508"/>
      <c r="C508"/>
      <c r="G508"/>
      <c r="I508" s="176"/>
      <c r="J508"/>
      <c r="L508" s="3"/>
      <c r="N508"/>
      <c r="R508"/>
      <c r="S508"/>
      <c r="T508" s="127"/>
      <c r="U508" s="127"/>
      <c r="Z508" s="6"/>
      <c r="AB508" s="16"/>
      <c r="AC508" s="6"/>
      <c r="AE508" s="17"/>
      <c r="AF508" s="17"/>
      <c r="AG508" s="17"/>
      <c r="AH508" s="4"/>
      <c r="AI508"/>
      <c r="AM508" s="14"/>
      <c r="AP508" s="44"/>
      <c r="AW508" s="3">
        <f>(AW506/100)/((AW506+AW507)/100)</f>
        <v>0.82415024057116237</v>
      </c>
    </row>
    <row r="509" spans="1:50" x14ac:dyDescent="0.2">
      <c r="A509"/>
      <c r="C509"/>
      <c r="G509"/>
      <c r="I509" s="176"/>
      <c r="J509"/>
      <c r="L509" s="3"/>
      <c r="N509"/>
      <c r="R509"/>
      <c r="S509"/>
      <c r="T509" s="127"/>
      <c r="U509" s="127"/>
      <c r="Z509" s="6"/>
      <c r="AB509" s="16"/>
      <c r="AC509" s="6"/>
      <c r="AE509" s="17"/>
      <c r="AF509" s="17"/>
      <c r="AG509" s="17"/>
      <c r="AH509" s="4"/>
      <c r="AI509"/>
      <c r="AM509" s="14"/>
      <c r="AP509" s="44"/>
      <c r="AW509" s="3">
        <f>(AW507/100)/((AW506+AW507)/100)</f>
        <v>0.17584975942883746</v>
      </c>
    </row>
    <row r="510" spans="1:50" x14ac:dyDescent="0.2">
      <c r="A510"/>
      <c r="C510"/>
      <c r="G510"/>
      <c r="I510" s="176"/>
      <c r="J510"/>
      <c r="L510" s="3"/>
      <c r="N510"/>
      <c r="R510"/>
      <c r="S510"/>
      <c r="T510" s="127"/>
      <c r="U510" s="127"/>
      <c r="Z510" s="6"/>
      <c r="AB510" s="16"/>
      <c r="AC510" s="6"/>
      <c r="AE510" s="17"/>
      <c r="AF510" s="17"/>
      <c r="AG510" s="17"/>
      <c r="AI510"/>
      <c r="AM510" s="14"/>
      <c r="AW510" s="3"/>
    </row>
    <row r="511" spans="1:50" x14ac:dyDescent="0.2">
      <c r="A511"/>
      <c r="C511"/>
      <c r="G511"/>
      <c r="I511" s="176"/>
      <c r="J511"/>
      <c r="L511" s="3"/>
      <c r="N511"/>
      <c r="R511"/>
      <c r="S511"/>
      <c r="T511" s="127"/>
      <c r="U511" s="127"/>
      <c r="Z511" s="6"/>
      <c r="AB511" s="16"/>
      <c r="AC511" s="6"/>
      <c r="AE511" s="17"/>
      <c r="AF511" s="17"/>
      <c r="AG511" s="17"/>
      <c r="AH511" s="4"/>
      <c r="AI511"/>
      <c r="AM511" s="14"/>
      <c r="AP511" s="44"/>
      <c r="AR511" s="24"/>
      <c r="AS511" s="24"/>
      <c r="AT511" s="24"/>
      <c r="AU511" s="24"/>
      <c r="AW511" s="3"/>
    </row>
    <row r="512" spans="1:50" x14ac:dyDescent="0.2">
      <c r="A512"/>
      <c r="B512" s="76"/>
      <c r="C512" s="76"/>
      <c r="D512" s="76"/>
      <c r="E512" s="97"/>
      <c r="F512" s="76"/>
      <c r="G512" s="76"/>
      <c r="H512" s="177"/>
      <c r="I512" s="177"/>
      <c r="J512" s="76"/>
      <c r="K512" s="76"/>
      <c r="L512" s="97"/>
      <c r="M512" s="76"/>
      <c r="N512" s="76"/>
      <c r="O512" s="76"/>
      <c r="P512" s="76"/>
      <c r="Q512" s="76"/>
      <c r="R512" s="76"/>
      <c r="S512" s="76"/>
      <c r="T512" s="76"/>
      <c r="U512" s="76"/>
      <c r="X512" s="50"/>
      <c r="Y512" s="50"/>
      <c r="Z512" s="6"/>
      <c r="AB512" s="16"/>
      <c r="AC512" s="6"/>
      <c r="AE512" s="17"/>
      <c r="AF512" s="17"/>
      <c r="AG512" s="17"/>
      <c r="AH512" s="4"/>
      <c r="AI512"/>
      <c r="AM512" s="14"/>
      <c r="AN512" s="72"/>
      <c r="AO512" s="72"/>
      <c r="AP512" s="72"/>
      <c r="AQ512"/>
      <c r="AV512"/>
      <c r="AW512" s="97">
        <v>130</v>
      </c>
      <c r="AX512"/>
    </row>
    <row r="513" spans="1:50" x14ac:dyDescent="0.2">
      <c r="A513"/>
      <c r="B513" s="76"/>
      <c r="C513" s="76"/>
      <c r="D513" s="76"/>
      <c r="E513" s="97"/>
      <c r="F513" s="76"/>
      <c r="G513" s="76"/>
      <c r="H513" s="177"/>
      <c r="I513" s="177"/>
      <c r="J513" s="76"/>
      <c r="K513" s="76"/>
      <c r="L513" s="110"/>
      <c r="M513" s="76"/>
      <c r="N513" s="76"/>
      <c r="O513" s="76"/>
      <c r="P513" s="76"/>
      <c r="Q513" s="76"/>
      <c r="R513" s="76"/>
      <c r="S513" s="76"/>
      <c r="T513" s="76"/>
      <c r="U513" s="76"/>
      <c r="X513" s="50"/>
      <c r="Y513" s="50"/>
      <c r="Z513" s="6"/>
      <c r="AB513" s="16"/>
      <c r="AC513" s="6"/>
      <c r="AE513" s="17"/>
      <c r="AF513" s="17"/>
      <c r="AG513" s="17"/>
      <c r="AH513" s="4"/>
      <c r="AI513"/>
      <c r="AJ513" s="9"/>
      <c r="AK513" s="9"/>
      <c r="AL513" s="9"/>
      <c r="AM513" s="72"/>
      <c r="AN513" s="72"/>
      <c r="AO513" s="72"/>
      <c r="AP513" s="72"/>
      <c r="AQ513" s="28"/>
      <c r="AV513" s="28"/>
      <c r="AW513" s="110">
        <v>44.67</v>
      </c>
      <c r="AX513" s="28"/>
    </row>
    <row r="514" spans="1:50" x14ac:dyDescent="0.2">
      <c r="A514"/>
      <c r="C514"/>
      <c r="G514"/>
      <c r="I514" s="176"/>
      <c r="J514"/>
      <c r="L514" s="3"/>
      <c r="N514"/>
      <c r="R514"/>
      <c r="S514"/>
      <c r="T514" s="127"/>
      <c r="U514" s="127"/>
      <c r="Z514" s="6"/>
      <c r="AB514" s="16"/>
      <c r="AC514" s="6"/>
      <c r="AE514" s="17"/>
      <c r="AF514" s="17"/>
      <c r="AG514" s="17"/>
      <c r="AH514" s="4"/>
      <c r="AI514"/>
      <c r="AM514" s="14"/>
      <c r="AP514" s="44"/>
      <c r="AW514" s="3">
        <f>(AW512/100)/((AW512+AW513)/100)</f>
        <v>0.7442606057136314</v>
      </c>
    </row>
    <row r="515" spans="1:50" x14ac:dyDescent="0.2">
      <c r="A515"/>
      <c r="C515"/>
      <c r="G515"/>
      <c r="I515" s="176"/>
      <c r="J515"/>
      <c r="L515" s="3"/>
      <c r="N515"/>
      <c r="R515"/>
      <c r="S515"/>
      <c r="T515" s="127"/>
      <c r="U515" s="127"/>
      <c r="Z515" s="6"/>
      <c r="AB515" s="16"/>
      <c r="AC515" s="6"/>
      <c r="AE515" s="17"/>
      <c r="AF515" s="17"/>
      <c r="AG515" s="17"/>
      <c r="AH515" s="4"/>
      <c r="AI515"/>
      <c r="AM515" s="14"/>
      <c r="AP515" s="44"/>
      <c r="AW515" s="3">
        <f>(AW513/100)/((AW512+AW513)/100)</f>
        <v>0.2557393942863686</v>
      </c>
    </row>
    <row r="516" spans="1:50" x14ac:dyDescent="0.2">
      <c r="A516"/>
      <c r="C516"/>
      <c r="G516"/>
      <c r="I516" s="176"/>
      <c r="J516"/>
      <c r="L516" s="3"/>
      <c r="N516"/>
      <c r="R516"/>
      <c r="S516"/>
      <c r="T516" s="127"/>
      <c r="U516" s="127"/>
      <c r="Z516" s="6"/>
      <c r="AB516" s="16"/>
      <c r="AC516" s="6"/>
      <c r="AE516" s="17"/>
      <c r="AF516" s="17"/>
      <c r="AG516" s="17"/>
      <c r="AI516"/>
      <c r="AM516" s="14"/>
      <c r="AW516" s="3"/>
    </row>
    <row r="517" spans="1:50" x14ac:dyDescent="0.2">
      <c r="A517"/>
      <c r="C517"/>
      <c r="G517"/>
      <c r="I517" s="176"/>
      <c r="J517"/>
      <c r="L517" s="3"/>
      <c r="N517"/>
      <c r="R517"/>
      <c r="S517"/>
      <c r="T517" s="127"/>
      <c r="U517" s="127"/>
      <c r="Z517" s="6"/>
      <c r="AB517" s="16"/>
      <c r="AC517" s="6"/>
      <c r="AE517" s="17"/>
      <c r="AF517" s="17"/>
      <c r="AG517" s="17"/>
      <c r="AH517" s="4"/>
      <c r="AI517"/>
      <c r="AM517" s="14"/>
      <c r="AP517" s="44"/>
      <c r="AW517" s="3"/>
    </row>
    <row r="518" spans="1:50" x14ac:dyDescent="0.2">
      <c r="A518"/>
      <c r="B518" s="76"/>
      <c r="C518" s="76"/>
      <c r="D518" s="76"/>
      <c r="E518" s="97"/>
      <c r="F518" s="76"/>
      <c r="G518" s="76"/>
      <c r="H518" s="177"/>
      <c r="I518" s="177"/>
      <c r="J518" s="76"/>
      <c r="K518" s="76"/>
      <c r="L518" s="110"/>
      <c r="M518" s="76"/>
      <c r="N518" s="76"/>
      <c r="O518" s="76"/>
      <c r="P518" s="76"/>
      <c r="Q518" s="76"/>
      <c r="R518" s="76"/>
      <c r="S518" s="76"/>
      <c r="T518" s="76"/>
      <c r="U518" s="76"/>
      <c r="X518" s="50"/>
      <c r="Y518" s="50"/>
      <c r="Z518" s="6"/>
      <c r="AB518" s="16"/>
      <c r="AC518" s="6"/>
      <c r="AE518" s="17"/>
      <c r="AF518" s="17"/>
      <c r="AG518" s="17"/>
      <c r="AH518" s="4"/>
      <c r="AI518"/>
      <c r="AJ518" s="60"/>
      <c r="AK518" s="60"/>
      <c r="AL518" s="60"/>
      <c r="AM518" s="72"/>
      <c r="AN518" s="72"/>
      <c r="AO518" s="72"/>
      <c r="AP518" s="72"/>
      <c r="AQ518" s="26"/>
      <c r="AV518" s="26"/>
      <c r="AW518" s="110">
        <v>6.2</v>
      </c>
      <c r="AX518" s="26"/>
    </row>
    <row r="519" spans="1:50" x14ac:dyDescent="0.2">
      <c r="A519"/>
      <c r="B519" s="76"/>
      <c r="C519" s="76"/>
      <c r="D519" s="76"/>
      <c r="E519" s="97"/>
      <c r="F519" s="76"/>
      <c r="G519" s="76"/>
      <c r="H519" s="177"/>
      <c r="I519" s="177"/>
      <c r="J519" s="76"/>
      <c r="K519" s="76"/>
      <c r="L519" s="97"/>
      <c r="M519" s="76"/>
      <c r="N519" s="76"/>
      <c r="O519" s="76"/>
      <c r="P519" s="76"/>
      <c r="Q519" s="76"/>
      <c r="R519" s="76"/>
      <c r="S519" s="76"/>
      <c r="T519" s="76"/>
      <c r="U519" s="76"/>
      <c r="X519" s="50"/>
      <c r="Y519" s="50"/>
      <c r="Z519" s="6"/>
      <c r="AB519" s="16"/>
      <c r="AC519" s="6"/>
      <c r="AE519" s="17"/>
      <c r="AF519" s="17"/>
      <c r="AG519" s="17"/>
      <c r="AH519" s="4"/>
      <c r="AI519"/>
      <c r="AM519" s="14"/>
      <c r="AN519" s="72"/>
      <c r="AO519" s="72"/>
      <c r="AP519" s="72"/>
      <c r="AW519" s="97">
        <v>92.33</v>
      </c>
    </row>
    <row r="520" spans="1:50" x14ac:dyDescent="0.2">
      <c r="A520"/>
      <c r="C520"/>
      <c r="G520"/>
      <c r="I520" s="176"/>
      <c r="J520"/>
      <c r="L520" s="3"/>
      <c r="N520"/>
      <c r="R520"/>
      <c r="S520"/>
      <c r="T520" s="127"/>
      <c r="U520" s="127"/>
      <c r="Z520" s="6"/>
      <c r="AB520" s="16"/>
      <c r="AC520" s="6"/>
      <c r="AE520" s="17"/>
      <c r="AF520" s="17"/>
      <c r="AG520" s="17"/>
      <c r="AH520" s="4"/>
      <c r="AI520"/>
      <c r="AM520" s="14"/>
      <c r="AP520" s="44"/>
      <c r="AW520" s="3">
        <f>(AW518/100)/((AW518+AW519)/100)</f>
        <v>6.2924997462701707E-2</v>
      </c>
    </row>
    <row r="521" spans="1:50" x14ac:dyDescent="0.2">
      <c r="A521"/>
      <c r="C521"/>
      <c r="G521"/>
      <c r="I521" s="176"/>
      <c r="J521"/>
      <c r="L521" s="3"/>
      <c r="N521"/>
      <c r="R521"/>
      <c r="S521"/>
      <c r="T521" s="127"/>
      <c r="U521" s="127"/>
      <c r="Z521" s="6"/>
      <c r="AB521" s="16"/>
      <c r="AC521" s="6"/>
      <c r="AE521" s="17"/>
      <c r="AF521" s="17"/>
      <c r="AG521" s="17"/>
      <c r="AH521" s="4"/>
      <c r="AI521"/>
      <c r="AM521" s="14"/>
      <c r="AP521" s="44"/>
      <c r="AW521" s="3">
        <f>(AW519/100)/((AW518+AW519)/100)</f>
        <v>0.93707500253729825</v>
      </c>
    </row>
    <row r="522" spans="1:50" x14ac:dyDescent="0.2">
      <c r="A522"/>
      <c r="C522"/>
      <c r="G522"/>
      <c r="I522" s="176"/>
      <c r="J522"/>
      <c r="L522" s="3"/>
      <c r="N522"/>
      <c r="R522"/>
      <c r="S522"/>
      <c r="T522" s="127"/>
      <c r="U522" s="127"/>
      <c r="Z522" s="6"/>
      <c r="AB522" s="16"/>
      <c r="AC522" s="6"/>
      <c r="AE522" s="17"/>
      <c r="AF522" s="17"/>
      <c r="AG522" s="17"/>
      <c r="AI522"/>
      <c r="AM522" s="14"/>
      <c r="AW522" s="3"/>
    </row>
    <row r="523" spans="1:50" x14ac:dyDescent="0.2">
      <c r="A523"/>
      <c r="C523"/>
      <c r="G523"/>
      <c r="I523" s="176"/>
      <c r="J523"/>
      <c r="L523" s="3"/>
      <c r="N523"/>
      <c r="R523"/>
      <c r="S523"/>
      <c r="T523" s="127"/>
      <c r="U523" s="127"/>
      <c r="Z523" s="6"/>
      <c r="AB523" s="16"/>
      <c r="AC523" s="6"/>
      <c r="AE523" s="17"/>
      <c r="AF523" s="17"/>
      <c r="AG523" s="17"/>
      <c r="AH523" s="4"/>
      <c r="AI523"/>
      <c r="AM523" s="14"/>
      <c r="AP523" s="44"/>
      <c r="AW523" s="3"/>
    </row>
    <row r="524" spans="1:50" x14ac:dyDescent="0.2">
      <c r="A524"/>
      <c r="B524" s="76"/>
      <c r="C524" s="76"/>
      <c r="D524" s="76"/>
      <c r="E524" s="97"/>
      <c r="F524" s="76"/>
      <c r="G524" s="76"/>
      <c r="H524" s="177"/>
      <c r="I524" s="177"/>
      <c r="J524" s="76"/>
      <c r="K524" s="76"/>
      <c r="L524" s="110"/>
      <c r="M524" s="76"/>
      <c r="N524" s="76"/>
      <c r="O524" s="76"/>
      <c r="P524" s="76"/>
      <c r="Q524" s="76"/>
      <c r="R524" s="76"/>
      <c r="S524" s="76"/>
      <c r="T524" s="76"/>
      <c r="U524" s="76"/>
      <c r="X524" s="50"/>
      <c r="Y524" s="50"/>
      <c r="Z524" s="6"/>
      <c r="AB524" s="16"/>
      <c r="AC524" s="6"/>
      <c r="AE524" s="17"/>
      <c r="AF524" s="17"/>
      <c r="AG524" s="17"/>
      <c r="AH524" s="4"/>
      <c r="AI524"/>
      <c r="AM524" s="72"/>
      <c r="AN524" s="72"/>
      <c r="AO524" s="72"/>
      <c r="AP524" s="72"/>
      <c r="AW524" s="110">
        <v>42</v>
      </c>
    </row>
    <row r="525" spans="1:50" x14ac:dyDescent="0.2">
      <c r="A525"/>
      <c r="B525" s="76"/>
      <c r="C525" s="76"/>
      <c r="D525" s="76"/>
      <c r="E525" s="97"/>
      <c r="F525" s="76"/>
      <c r="G525" s="76"/>
      <c r="H525" s="177"/>
      <c r="I525" s="177"/>
      <c r="J525" s="76"/>
      <c r="K525" s="76"/>
      <c r="L525" s="97"/>
      <c r="M525" s="76"/>
      <c r="N525" s="76"/>
      <c r="O525" s="76"/>
      <c r="P525" s="76"/>
      <c r="Q525" s="76"/>
      <c r="R525" s="76"/>
      <c r="S525" s="76"/>
      <c r="T525" s="76"/>
      <c r="U525" s="76"/>
      <c r="X525" s="50"/>
      <c r="Y525" s="50"/>
      <c r="Z525" s="6"/>
      <c r="AB525" s="16"/>
      <c r="AC525" s="6"/>
      <c r="AE525" s="17"/>
      <c r="AF525" s="17"/>
      <c r="AG525" s="17"/>
      <c r="AH525" s="4"/>
      <c r="AI525"/>
      <c r="AM525" s="14"/>
      <c r="AN525" s="72"/>
      <c r="AO525" s="72"/>
      <c r="AP525" s="72"/>
      <c r="AW525" s="97">
        <v>8.33</v>
      </c>
    </row>
    <row r="526" spans="1:50" x14ac:dyDescent="0.2">
      <c r="A526"/>
      <c r="C526"/>
      <c r="G526"/>
      <c r="I526" s="176"/>
      <c r="J526"/>
      <c r="L526" s="3"/>
      <c r="N526"/>
      <c r="R526"/>
      <c r="S526"/>
      <c r="T526" s="127"/>
      <c r="U526" s="127"/>
      <c r="Z526" s="6"/>
      <c r="AB526" s="16"/>
      <c r="AC526" s="6"/>
      <c r="AE526" s="17"/>
      <c r="AF526" s="17"/>
      <c r="AG526" s="17"/>
      <c r="AH526" s="4"/>
      <c r="AI526"/>
      <c r="AM526" s="14"/>
      <c r="AP526" s="44"/>
      <c r="AW526" s="3">
        <f>(AW524/100)/((AW524+AW525)/100)</f>
        <v>0.83449235048678727</v>
      </c>
    </row>
    <row r="527" spans="1:50" x14ac:dyDescent="0.2">
      <c r="A527"/>
      <c r="C527"/>
      <c r="G527"/>
      <c r="I527" s="176"/>
      <c r="J527"/>
      <c r="L527" s="3"/>
      <c r="N527"/>
      <c r="R527"/>
      <c r="S527"/>
      <c r="T527" s="127"/>
      <c r="U527" s="127"/>
      <c r="Z527" s="6"/>
      <c r="AB527" s="16"/>
      <c r="AC527" s="6"/>
      <c r="AE527" s="17"/>
      <c r="AF527" s="17"/>
      <c r="AG527" s="17"/>
      <c r="AH527" s="4"/>
      <c r="AI527"/>
      <c r="AM527" s="14"/>
      <c r="AP527" s="44"/>
      <c r="AW527" s="3">
        <f>(AW525/100)/((AW524+AW525)/100)</f>
        <v>0.16550764951321281</v>
      </c>
    </row>
    <row r="528" spans="1:50" x14ac:dyDescent="0.2">
      <c r="A528"/>
      <c r="C528"/>
      <c r="G528"/>
      <c r="I528" s="176"/>
      <c r="J528"/>
      <c r="L528" s="3"/>
      <c r="N528"/>
      <c r="R528"/>
      <c r="S528"/>
      <c r="T528" s="127"/>
      <c r="U528" s="127"/>
      <c r="Z528" s="6"/>
      <c r="AB528" s="16"/>
      <c r="AC528" s="6"/>
      <c r="AE528" s="17"/>
      <c r="AF528" s="17"/>
      <c r="AG528" s="17"/>
      <c r="AI528"/>
      <c r="AM528" s="14"/>
      <c r="AW528" s="3"/>
    </row>
    <row r="529" spans="1:49" x14ac:dyDescent="0.2">
      <c r="A529"/>
      <c r="C529"/>
      <c r="G529"/>
      <c r="I529" s="176"/>
      <c r="J529"/>
      <c r="L529" s="3"/>
      <c r="N529"/>
      <c r="R529"/>
      <c r="S529"/>
      <c r="T529" s="127"/>
      <c r="U529" s="127"/>
      <c r="Z529" s="6"/>
      <c r="AB529" s="16"/>
      <c r="AC529" s="6"/>
      <c r="AE529" s="17"/>
      <c r="AF529" s="17"/>
      <c r="AG529" s="17"/>
      <c r="AH529" s="4"/>
      <c r="AI529"/>
      <c r="AM529" s="14"/>
      <c r="AP529" s="44"/>
      <c r="AW529" s="3"/>
    </row>
    <row r="530" spans="1:49" x14ac:dyDescent="0.2">
      <c r="A530"/>
      <c r="B530" s="76"/>
      <c r="C530" s="76"/>
      <c r="D530" s="76"/>
      <c r="E530" s="97"/>
      <c r="F530" s="76"/>
      <c r="G530" s="76"/>
      <c r="H530" s="177"/>
      <c r="I530" s="177"/>
      <c r="J530" s="76"/>
      <c r="K530" s="76"/>
      <c r="L530" s="110"/>
      <c r="M530" s="76"/>
      <c r="N530" s="76"/>
      <c r="O530" s="76"/>
      <c r="P530" s="76"/>
      <c r="Q530" s="76"/>
      <c r="R530" s="76"/>
      <c r="S530" s="76"/>
      <c r="T530" s="76"/>
      <c r="U530" s="76"/>
      <c r="X530" s="50"/>
      <c r="Y530" s="50"/>
      <c r="Z530" s="6"/>
      <c r="AB530" s="16"/>
      <c r="AC530" s="6"/>
      <c r="AE530" s="17"/>
      <c r="AF530" s="17"/>
      <c r="AG530" s="17"/>
      <c r="AH530" s="4"/>
      <c r="AI530"/>
      <c r="AM530" s="72"/>
      <c r="AN530" s="72"/>
      <c r="AO530" s="72"/>
      <c r="AP530" s="72"/>
      <c r="AW530" s="110">
        <v>12.1</v>
      </c>
    </row>
    <row r="531" spans="1:49" x14ac:dyDescent="0.2">
      <c r="A531"/>
      <c r="B531" s="76"/>
      <c r="C531" s="76"/>
      <c r="D531" s="76"/>
      <c r="E531" s="97"/>
      <c r="F531" s="76"/>
      <c r="G531" s="76"/>
      <c r="H531" s="177"/>
      <c r="I531" s="177"/>
      <c r="J531" s="76"/>
      <c r="K531" s="76"/>
      <c r="L531" s="97"/>
      <c r="M531" s="76"/>
      <c r="N531" s="76"/>
      <c r="O531" s="76"/>
      <c r="P531" s="76"/>
      <c r="Q531" s="76"/>
      <c r="R531" s="76"/>
      <c r="S531" s="76"/>
      <c r="T531" s="76"/>
      <c r="U531" s="76"/>
      <c r="X531" s="50"/>
      <c r="Y531" s="50"/>
      <c r="Z531" s="6"/>
      <c r="AB531" s="16"/>
      <c r="AC531" s="6"/>
      <c r="AE531" s="17"/>
      <c r="AF531" s="17"/>
      <c r="AG531" s="17"/>
      <c r="AH531" s="4"/>
      <c r="AI531"/>
      <c r="AM531" s="14"/>
      <c r="AN531" s="72"/>
      <c r="AO531" s="72"/>
      <c r="AP531" s="72"/>
      <c r="AW531" s="97">
        <v>42.67</v>
      </c>
    </row>
    <row r="532" spans="1:49" x14ac:dyDescent="0.2">
      <c r="A532"/>
      <c r="C532"/>
      <c r="G532"/>
      <c r="I532" s="176"/>
      <c r="J532"/>
      <c r="L532" s="3"/>
      <c r="N532"/>
      <c r="R532"/>
      <c r="S532"/>
      <c r="T532" s="127"/>
      <c r="U532" s="127"/>
      <c r="Z532" s="6"/>
      <c r="AB532" s="16"/>
      <c r="AC532" s="6"/>
      <c r="AE532" s="17"/>
      <c r="AF532" s="17"/>
      <c r="AG532" s="17"/>
      <c r="AH532" s="4"/>
      <c r="AI532"/>
      <c r="AM532" s="14"/>
      <c r="AP532" s="44"/>
      <c r="AW532" s="3">
        <f>(AW530/100)/((AW530+AW531)/100)</f>
        <v>0.2209238634288844</v>
      </c>
    </row>
    <row r="533" spans="1:49" x14ac:dyDescent="0.2">
      <c r="A533"/>
      <c r="C533"/>
      <c r="G533"/>
      <c r="I533" s="176"/>
      <c r="J533"/>
      <c r="L533" s="3"/>
      <c r="N533"/>
      <c r="R533"/>
      <c r="S533"/>
      <c r="T533" s="127"/>
      <c r="U533" s="127"/>
      <c r="Z533" s="6"/>
      <c r="AB533" s="16"/>
      <c r="AC533" s="6"/>
      <c r="AE533" s="17"/>
      <c r="AF533" s="17"/>
      <c r="AG533" s="17"/>
      <c r="AH533" s="4"/>
      <c r="AI533"/>
      <c r="AM533" s="14"/>
      <c r="AP533" s="44"/>
      <c r="AW533" s="3">
        <f>(AW531/100)/((AW530+AW531)/100)</f>
        <v>0.77907613657111552</v>
      </c>
    </row>
    <row r="534" spans="1:49" x14ac:dyDescent="0.2">
      <c r="A534"/>
      <c r="C534"/>
      <c r="G534"/>
      <c r="I534" s="176"/>
      <c r="J534"/>
      <c r="L534" s="3"/>
      <c r="N534"/>
      <c r="R534"/>
      <c r="S534"/>
      <c r="T534" s="127"/>
      <c r="U534" s="127"/>
      <c r="Z534" s="6"/>
      <c r="AB534" s="16"/>
      <c r="AC534" s="6"/>
      <c r="AE534" s="17"/>
      <c r="AF534" s="17"/>
      <c r="AG534" s="17"/>
      <c r="AI534"/>
      <c r="AM534" s="14"/>
      <c r="AW534" s="3"/>
    </row>
    <row r="535" spans="1:49" x14ac:dyDescent="0.2">
      <c r="A535"/>
      <c r="C535"/>
      <c r="G535"/>
      <c r="I535" s="176"/>
      <c r="J535"/>
      <c r="L535" s="3"/>
      <c r="N535"/>
      <c r="R535"/>
      <c r="S535"/>
      <c r="T535" s="127"/>
      <c r="U535" s="127"/>
      <c r="Z535" s="6"/>
      <c r="AB535" s="16"/>
      <c r="AC535" s="6"/>
      <c r="AE535" s="17"/>
      <c r="AF535" s="17"/>
      <c r="AG535" s="17"/>
      <c r="AH535" s="4"/>
      <c r="AI535"/>
      <c r="AM535" s="14"/>
      <c r="AP535" s="44"/>
      <c r="AW535" s="3"/>
    </row>
    <row r="536" spans="1:49" x14ac:dyDescent="0.2">
      <c r="A536"/>
      <c r="B536" s="76"/>
      <c r="C536" s="76"/>
      <c r="D536" s="76"/>
      <c r="E536" s="97"/>
      <c r="F536" s="76"/>
      <c r="G536" s="76"/>
      <c r="H536" s="177"/>
      <c r="I536" s="177"/>
      <c r="J536" s="76"/>
      <c r="K536" s="76"/>
      <c r="L536" s="97"/>
      <c r="M536" s="76"/>
      <c r="N536" s="76"/>
      <c r="O536" s="76"/>
      <c r="P536" s="76"/>
      <c r="Q536" s="76"/>
      <c r="R536" s="76"/>
      <c r="S536" s="76"/>
      <c r="T536" s="76"/>
      <c r="U536" s="76"/>
      <c r="X536" s="50"/>
      <c r="Y536" s="50"/>
      <c r="Z536" s="6"/>
      <c r="AB536" s="16"/>
      <c r="AC536" s="6"/>
      <c r="AE536" s="17"/>
      <c r="AF536" s="17"/>
      <c r="AG536" s="17"/>
      <c r="AH536" s="4"/>
      <c r="AI536"/>
      <c r="AM536" s="14"/>
      <c r="AN536" s="72"/>
      <c r="AO536" s="72"/>
      <c r="AP536" s="72"/>
      <c r="AW536" s="97">
        <v>142.1</v>
      </c>
    </row>
    <row r="537" spans="1:49" x14ac:dyDescent="0.2">
      <c r="A537"/>
      <c r="B537" s="76"/>
      <c r="C537" s="76"/>
      <c r="D537" s="76"/>
      <c r="E537" s="97"/>
      <c r="F537" s="76"/>
      <c r="G537" s="76"/>
      <c r="H537" s="177"/>
      <c r="I537" s="177"/>
      <c r="J537" s="76"/>
      <c r="K537" s="76"/>
      <c r="L537" s="110"/>
      <c r="M537" s="76"/>
      <c r="N537" s="76"/>
      <c r="O537" s="76"/>
      <c r="P537" s="76"/>
      <c r="Q537" s="76"/>
      <c r="R537" s="76"/>
      <c r="S537" s="76"/>
      <c r="T537" s="76"/>
      <c r="U537" s="76"/>
      <c r="X537" s="50"/>
      <c r="Y537" s="50"/>
      <c r="Z537" s="6"/>
      <c r="AB537" s="16"/>
      <c r="AC537" s="6"/>
      <c r="AE537" s="17"/>
      <c r="AF537" s="17"/>
      <c r="AG537" s="17"/>
      <c r="AH537" s="4"/>
      <c r="AI537"/>
      <c r="AM537" s="72"/>
      <c r="AN537" s="72"/>
      <c r="AO537" s="72"/>
      <c r="AP537" s="72"/>
      <c r="AW537" s="110">
        <v>15.33</v>
      </c>
    </row>
    <row r="538" spans="1:49" x14ac:dyDescent="0.2">
      <c r="A538"/>
      <c r="C538"/>
      <c r="G538"/>
      <c r="I538" s="176"/>
      <c r="J538"/>
      <c r="L538" s="3"/>
      <c r="N538"/>
      <c r="R538"/>
      <c r="S538"/>
      <c r="T538" s="127"/>
      <c r="U538" s="127"/>
      <c r="Z538" s="6"/>
      <c r="AB538" s="16"/>
      <c r="AC538" s="6"/>
      <c r="AE538" s="17"/>
      <c r="AF538" s="17"/>
      <c r="AG538" s="17"/>
      <c r="AH538" s="4"/>
      <c r="AI538"/>
      <c r="AM538" s="14"/>
      <c r="AP538" s="44"/>
      <c r="AW538" s="3">
        <f>(AW536/100)/((AW536+AW537)/100)</f>
        <v>0.90262338817252108</v>
      </c>
    </row>
    <row r="539" spans="1:49" x14ac:dyDescent="0.2">
      <c r="A539"/>
      <c r="C539"/>
      <c r="G539"/>
      <c r="I539" s="176"/>
      <c r="J539"/>
      <c r="L539" s="3"/>
      <c r="N539"/>
      <c r="R539"/>
      <c r="S539"/>
      <c r="T539" s="127"/>
      <c r="U539" s="127"/>
      <c r="Z539" s="6"/>
      <c r="AB539" s="16"/>
      <c r="AC539" s="6"/>
      <c r="AE539" s="17"/>
      <c r="AF539" s="17"/>
      <c r="AG539" s="17"/>
      <c r="AH539" s="4"/>
      <c r="AI539"/>
      <c r="AM539" s="14"/>
      <c r="AP539" s="44"/>
      <c r="AW539" s="3">
        <f>(AW537/100)/((AW536+AW537)/100)</f>
        <v>9.7376611827478879E-2</v>
      </c>
    </row>
    <row r="540" spans="1:49" x14ac:dyDescent="0.2">
      <c r="A540"/>
      <c r="C540"/>
      <c r="G540"/>
      <c r="I540" s="176"/>
      <c r="J540"/>
      <c r="L540" s="3"/>
      <c r="N540"/>
      <c r="R540"/>
      <c r="S540"/>
      <c r="T540" s="127"/>
      <c r="U540" s="127"/>
      <c r="Z540" s="6"/>
      <c r="AB540" s="16"/>
      <c r="AC540" s="6"/>
      <c r="AE540" s="17"/>
      <c r="AF540" s="17"/>
      <c r="AG540" s="17"/>
      <c r="AI540"/>
      <c r="AM540" s="14"/>
      <c r="AW540" s="3"/>
    </row>
    <row r="541" spans="1:49" x14ac:dyDescent="0.2">
      <c r="A541"/>
      <c r="C541"/>
      <c r="G541"/>
      <c r="I541" s="176"/>
      <c r="J541"/>
      <c r="L541" s="3"/>
      <c r="N541"/>
      <c r="R541"/>
      <c r="S541"/>
      <c r="T541" s="127"/>
      <c r="U541" s="127"/>
      <c r="Z541" s="6"/>
      <c r="AB541" s="16"/>
      <c r="AC541" s="6"/>
      <c r="AE541" s="17"/>
      <c r="AF541" s="17"/>
      <c r="AG541" s="17"/>
      <c r="AH541" s="4"/>
      <c r="AI541"/>
      <c r="AM541" s="14"/>
      <c r="AP541" s="44"/>
      <c r="AW541" s="3"/>
    </row>
    <row r="542" spans="1:49" x14ac:dyDescent="0.2">
      <c r="A542" s="105"/>
      <c r="B542" s="76"/>
      <c r="C542" s="76"/>
      <c r="D542" s="76"/>
      <c r="E542" s="97"/>
      <c r="F542" s="76"/>
      <c r="G542" s="76"/>
      <c r="H542" s="177"/>
      <c r="I542" s="177"/>
      <c r="J542" s="76"/>
      <c r="K542" s="76"/>
      <c r="L542" s="110"/>
      <c r="M542" s="76"/>
      <c r="N542" s="76"/>
      <c r="O542" s="76"/>
      <c r="P542" s="76"/>
      <c r="Q542" s="76"/>
      <c r="R542" s="76"/>
      <c r="S542" s="76"/>
      <c r="T542" s="76"/>
      <c r="U542" s="76"/>
      <c r="X542" s="50"/>
      <c r="Y542" s="50"/>
      <c r="Z542" s="6"/>
      <c r="AB542" s="16"/>
      <c r="AC542" s="6"/>
      <c r="AE542" s="17"/>
      <c r="AF542" s="17"/>
      <c r="AG542" s="17"/>
      <c r="AH542" s="4"/>
      <c r="AI542" s="105"/>
      <c r="AM542" s="72"/>
      <c r="AN542" s="72"/>
      <c r="AO542" s="72"/>
      <c r="AP542" s="72"/>
      <c r="AW542" s="110"/>
    </row>
    <row r="543" spans="1:49" x14ac:dyDescent="0.2">
      <c r="A543" s="105"/>
      <c r="B543" s="76"/>
      <c r="C543" s="76"/>
      <c r="D543" s="76"/>
      <c r="E543" s="97"/>
      <c r="F543" s="76"/>
      <c r="G543" s="76"/>
      <c r="H543" s="177"/>
      <c r="I543" s="177"/>
      <c r="J543" s="76"/>
      <c r="K543" s="76"/>
      <c r="L543" s="110"/>
      <c r="M543" s="76"/>
      <c r="N543" s="76"/>
      <c r="O543" s="76"/>
      <c r="P543" s="76"/>
      <c r="Q543" s="76"/>
      <c r="R543" s="76"/>
      <c r="S543" s="76"/>
      <c r="T543" s="76"/>
      <c r="U543" s="76"/>
      <c r="X543" s="50"/>
      <c r="Y543" s="50"/>
      <c r="Z543" s="6"/>
      <c r="AB543" s="16"/>
      <c r="AC543" s="6"/>
      <c r="AE543" s="17"/>
      <c r="AF543" s="17"/>
      <c r="AG543" s="17"/>
      <c r="AH543" s="4"/>
      <c r="AI543" s="105"/>
      <c r="AM543" s="72"/>
      <c r="AN543" s="72"/>
      <c r="AO543" s="72"/>
      <c r="AP543" s="72"/>
      <c r="AW543" s="110"/>
    </row>
    <row r="544" spans="1:49" x14ac:dyDescent="0.2">
      <c r="A544"/>
      <c r="C544"/>
      <c r="G544"/>
      <c r="I544" s="176"/>
      <c r="J544"/>
      <c r="L544" s="3"/>
      <c r="N544"/>
      <c r="R544"/>
      <c r="S544"/>
      <c r="T544" s="127"/>
      <c r="U544" s="127"/>
      <c r="Z544" s="6"/>
      <c r="AB544" s="16"/>
      <c r="AC544" s="6"/>
      <c r="AE544" s="17"/>
      <c r="AF544" s="17"/>
      <c r="AG544" s="17"/>
      <c r="AH544" s="4"/>
      <c r="AI544"/>
      <c r="AM544" s="14"/>
      <c r="AP544" s="44"/>
      <c r="AW544" s="3"/>
    </row>
    <row r="545" spans="1:49" x14ac:dyDescent="0.2">
      <c r="A545"/>
      <c r="C545"/>
      <c r="G545"/>
      <c r="I545" s="176"/>
      <c r="J545"/>
      <c r="L545" s="3"/>
      <c r="N545"/>
      <c r="R545"/>
      <c r="S545"/>
      <c r="T545" s="127"/>
      <c r="U545" s="127"/>
      <c r="Z545" s="6"/>
      <c r="AB545" s="16"/>
      <c r="AC545" s="6"/>
      <c r="AE545" s="17"/>
      <c r="AF545" s="17"/>
      <c r="AG545" s="17"/>
      <c r="AH545" s="4"/>
      <c r="AI545"/>
      <c r="AM545" s="14"/>
      <c r="AP545" s="44"/>
      <c r="AW545" s="3"/>
    </row>
    <row r="546" spans="1:49" x14ac:dyDescent="0.2">
      <c r="A546"/>
      <c r="C546"/>
      <c r="G546"/>
      <c r="I546" s="176"/>
      <c r="J546"/>
      <c r="L546" s="3"/>
      <c r="N546"/>
      <c r="R546"/>
      <c r="S546"/>
      <c r="T546" s="127"/>
      <c r="U546" s="127"/>
      <c r="Z546" s="6"/>
      <c r="AB546" s="16"/>
      <c r="AC546" s="6"/>
      <c r="AE546" s="17"/>
      <c r="AF546" s="17"/>
      <c r="AG546" s="17"/>
      <c r="AI546"/>
      <c r="AM546" s="14"/>
      <c r="AW546" s="3"/>
    </row>
    <row r="547" spans="1:49" x14ac:dyDescent="0.2">
      <c r="A547"/>
      <c r="C547"/>
      <c r="G547"/>
      <c r="I547" s="176"/>
      <c r="J547"/>
      <c r="L547" s="3"/>
      <c r="N547"/>
      <c r="R547"/>
      <c r="S547"/>
      <c r="T547" s="127"/>
      <c r="U547" s="127"/>
      <c r="Z547" s="6"/>
      <c r="AB547" s="16"/>
      <c r="AC547" s="6"/>
      <c r="AE547" s="17"/>
      <c r="AF547" s="17"/>
      <c r="AG547" s="17"/>
      <c r="AH547" s="4"/>
      <c r="AI547"/>
      <c r="AM547" s="14"/>
      <c r="AP547" s="44"/>
      <c r="AR547" s="24"/>
      <c r="AS547" s="24"/>
      <c r="AT547" s="24"/>
      <c r="AU547" s="24"/>
      <c r="AW547" s="3"/>
    </row>
  </sheetData>
  <phoneticPr fontId="0" type="noConversion"/>
  <conditionalFormatting sqref="AH267 AC267:AC268 Z105:AA105 Z17 AA252:AA266 AA216:AA230 AA180:AA194 AA162:AA176 AA126:AA140 AA108:AA122 AA91:AA104 AA73:AA87 AA56:AA69 AA39:AA52 AA21:AA35 AA3:AA17 Z4:Z15 Z143:AA159 Z74:Z86 Z109:Z120 Z140 Z127:Z138 Z176 Z163:Z174 Z194 Z181:Z192 Z212 Z199:Z210 Z217:Z228 Z248 Z235:Z246 Z253:Z264 Z251:AA252 Z233:AA234 Z215:AA216 Z197:AA198 Z179:AA180 Z161:AA162 Z125:AA126 Z90:AA91 Z72:AA73 Z57:Z67 Z55:AA56 Z40:Z51 Z38:AA39 Z34:Z35 Z22:Z31 Z20:AA21 Z1:AA3 Z266:Z268 Z249:AA249 Z231:AA231 Z213:AA213 Z195:AA195 Z123:AA123 Z70:AA70 Z36:AA36 Z18:AA18 Z53:AA53 Z88:AA88 Z141:AA141 Z177:AA177 X106:Y267 X1:Y2 X269:Y547 X18:Y104 Z107:AA108 AA198:AA212 AA234:AA248">
    <cfRule type="cellIs" priority="480" stopIfTrue="1" operator="lessThan">
      <formula>10.237</formula>
    </cfRule>
  </conditionalFormatting>
  <conditionalFormatting sqref="Z494:AA494">
    <cfRule type="cellIs" priority="296" stopIfTrue="1" operator="lessThan">
      <formula>10.237</formula>
    </cfRule>
  </conditionalFormatting>
  <conditionalFormatting sqref="Z289">
    <cfRule type="cellIs" priority="297" stopIfTrue="1" operator="lessThan">
      <formula>10.237</formula>
    </cfRule>
  </conditionalFormatting>
  <conditionalFormatting sqref="AH422:AH423 AC422:AC424 Z422:Z425">
    <cfRule type="cellIs" priority="445" stopIfTrue="1" operator="lessThan">
      <formula>10.237</formula>
    </cfRule>
  </conditionalFormatting>
  <conditionalFormatting sqref="Z283:AA283">
    <cfRule type="cellIs" priority="299" stopIfTrue="1" operator="lessThan">
      <formula>10.237</formula>
    </cfRule>
  </conditionalFormatting>
  <conditionalFormatting sqref="Z354">
    <cfRule type="cellIs" priority="460" stopIfTrue="1" operator="lessThan">
      <formula>10.237</formula>
    </cfRule>
  </conditionalFormatting>
  <conditionalFormatting sqref="Z513:AA513">
    <cfRule type="cellIs" priority="340" stopIfTrue="1" operator="lessThan">
      <formula>10.237</formula>
    </cfRule>
  </conditionalFormatting>
  <conditionalFormatting sqref="Z294">
    <cfRule type="cellIs" priority="339" stopIfTrue="1" operator="lessThan">
      <formula>10.237</formula>
    </cfRule>
  </conditionalFormatting>
  <conditionalFormatting sqref="Z295:AA295">
    <cfRule type="cellIs" priority="338" stopIfTrue="1" operator="lessThan">
      <formula>10.237</formula>
    </cfRule>
  </conditionalFormatting>
  <conditionalFormatting sqref="Z349">
    <cfRule type="cellIs" priority="303" stopIfTrue="1" operator="lessThan">
      <formula>10.237</formula>
    </cfRule>
  </conditionalFormatting>
  <conditionalFormatting sqref="Z531">
    <cfRule type="cellIs" priority="302" stopIfTrue="1" operator="lessThan">
      <formula>10.237</formula>
    </cfRule>
  </conditionalFormatting>
  <conditionalFormatting sqref="AH532:AH533 AC532:AC534 Z532:Z535">
    <cfRule type="cellIs" priority="335" stopIfTrue="1" operator="lessThan">
      <formula>10.237</formula>
    </cfRule>
  </conditionalFormatting>
  <conditionalFormatting sqref="Z355:AA355">
    <cfRule type="cellIs" priority="459" stopIfTrue="1" operator="lessThan">
      <formula>10.237</formula>
    </cfRule>
  </conditionalFormatting>
  <conditionalFormatting sqref="Z480">
    <cfRule type="cellIs" priority="261" stopIfTrue="1" operator="lessThan">
      <formula>10.237</formula>
    </cfRule>
  </conditionalFormatting>
  <conditionalFormatting sqref="Z482">
    <cfRule type="cellIs" priority="258" stopIfTrue="1" operator="lessThan">
      <formula>10.237</formula>
    </cfRule>
  </conditionalFormatting>
  <conditionalFormatting sqref="Z506:AA506">
    <cfRule type="cellIs" priority="227" stopIfTrue="1" operator="lessThan">
      <formula>10.237</formula>
    </cfRule>
  </conditionalFormatting>
  <conditionalFormatting sqref="AH356:AH357 AC356:AC358 Z356:Z359">
    <cfRule type="cellIs" priority="457" stopIfTrue="1" operator="lessThan">
      <formula>10.237</formula>
    </cfRule>
  </conditionalFormatting>
  <conditionalFormatting sqref="Z282">
    <cfRule type="cellIs" priority="300" stopIfTrue="1" operator="lessThan">
      <formula>10.237</formula>
    </cfRule>
  </conditionalFormatting>
  <conditionalFormatting sqref="AH272:AH273 AC272:AC274 Z272:Z275">
    <cfRule type="cellIs" priority="454" stopIfTrue="1" operator="lessThan">
      <formula>10.237</formula>
    </cfRule>
  </conditionalFormatting>
  <conditionalFormatting sqref="Z301">
    <cfRule type="cellIs" priority="294" stopIfTrue="1" operator="lessThan">
      <formula>10.237</formula>
    </cfRule>
  </conditionalFormatting>
  <conditionalFormatting sqref="AH320:AH321 AC320:AC322 Z320:Z323">
    <cfRule type="cellIs" priority="451" stopIfTrue="1" operator="lessThan">
      <formula>10.237</formula>
    </cfRule>
  </conditionalFormatting>
  <conditionalFormatting sqref="Z379:AA379">
    <cfRule type="cellIs" priority="291" stopIfTrue="1" operator="lessThan">
      <formula>10.237</formula>
    </cfRule>
  </conditionalFormatting>
  <conditionalFormatting sqref="AH464:AH465 AC464:AC466 Z464:Z467">
    <cfRule type="cellIs" priority="448" stopIfTrue="1" operator="lessThan">
      <formula>10.237</formula>
    </cfRule>
  </conditionalFormatting>
  <conditionalFormatting sqref="AH284:AH285 AC284:AC286 Z284:Z287">
    <cfRule type="cellIs" priority="332" stopIfTrue="1" operator="lessThan">
      <formula>10.237</formula>
    </cfRule>
  </conditionalFormatting>
  <conditionalFormatting sqref="AH290:AH291 AC290:AC292 Z290:Z293">
    <cfRule type="cellIs" priority="329" stopIfTrue="1" operator="lessThan">
      <formula>10.237</formula>
    </cfRule>
  </conditionalFormatting>
  <conditionalFormatting sqref="AH380:AH381 AC380:AC382 Z380:Z383">
    <cfRule type="cellIs" priority="320" stopIfTrue="1" operator="lessThan">
      <formula>10.237</formula>
    </cfRule>
  </conditionalFormatting>
  <conditionalFormatting sqref="Z456:AA456">
    <cfRule type="cellIs" priority="284" stopIfTrue="1" operator="lessThan">
      <formula>10.237</formula>
    </cfRule>
  </conditionalFormatting>
  <conditionalFormatting sqref="AH314:AH315 AC314:AC316 Z314:Z317">
    <cfRule type="cellIs" priority="442" stopIfTrue="1" operator="lessThan">
      <formula>10.237</formula>
    </cfRule>
  </conditionalFormatting>
  <conditionalFormatting sqref="AH520:AH521 AC520:AC522 Z520:Z523">
    <cfRule type="cellIs" priority="439" stopIfTrue="1" operator="lessThan">
      <formula>10.237</formula>
    </cfRule>
  </conditionalFormatting>
  <conditionalFormatting sqref="AH308:AH309 AC308:AC310 Z308:Z311">
    <cfRule type="cellIs" priority="436" stopIfTrue="1" operator="lessThan">
      <formula>10.237</formula>
    </cfRule>
  </conditionalFormatting>
  <conditionalFormatting sqref="AH326:AH327 AC326:AC328 Z326:Z329">
    <cfRule type="cellIs" priority="433" stopIfTrue="1" operator="lessThan">
      <formula>10.237</formula>
    </cfRule>
  </conditionalFormatting>
  <conditionalFormatting sqref="Z300">
    <cfRule type="cellIs" priority="293" stopIfTrue="1" operator="lessThan">
      <formula>10.237</formula>
    </cfRule>
  </conditionalFormatting>
  <conditionalFormatting sqref="AH470:AH471 AC470:AC472 Z470:Z473">
    <cfRule type="cellIs" priority="430" stopIfTrue="1" operator="lessThan">
      <formula>10.237</formula>
    </cfRule>
  </conditionalFormatting>
  <conditionalFormatting sqref="AH496:AH497 AC496:AC498 Z496:Z499">
    <cfRule type="cellIs" priority="326" stopIfTrue="1" operator="lessThan">
      <formula>10.237</formula>
    </cfRule>
  </conditionalFormatting>
  <conditionalFormatting sqref="AH302:AH303 AC302:AC304 Z302:Z305">
    <cfRule type="cellIs" priority="323" stopIfTrue="1" operator="lessThan">
      <formula>10.237</formula>
    </cfRule>
  </conditionalFormatting>
  <conditionalFormatting sqref="AH440:AH441 AC440:AC442 Z440:Z443">
    <cfRule type="cellIs" priority="427" stopIfTrue="1" operator="lessThan">
      <formula>10.237</formula>
    </cfRule>
  </conditionalFormatting>
  <conditionalFormatting sqref="AH404:AH405 AC404:AC406 Z404:Z407">
    <cfRule type="cellIs" priority="424" stopIfTrue="1" operator="lessThan">
      <formula>10.237</formula>
    </cfRule>
  </conditionalFormatting>
  <conditionalFormatting sqref="Z384:AA384">
    <cfRule type="cellIs" priority="290" stopIfTrue="1" operator="lessThan">
      <formula>10.237</formula>
    </cfRule>
  </conditionalFormatting>
  <conditionalFormatting sqref="AH476:AH477 AC476:AC478 Z476:Z479">
    <cfRule type="cellIs" priority="421" stopIfTrue="1" operator="lessThan">
      <formula>10.237</formula>
    </cfRule>
  </conditionalFormatting>
  <conditionalFormatting sqref="Z378:AA378">
    <cfRule type="cellIs" priority="292" stopIfTrue="1" operator="lessThan">
      <formula>10.237</formula>
    </cfRule>
  </conditionalFormatting>
  <conditionalFormatting sqref="Z385:AA385">
    <cfRule type="cellIs" priority="289" stopIfTrue="1" operator="lessThan">
      <formula>10.237</formula>
    </cfRule>
  </conditionalFormatting>
  <conditionalFormatting sqref="AH344:AH345 AC344:AC346 Z344:Z347">
    <cfRule type="cellIs" priority="418" stopIfTrue="1" operator="lessThan">
      <formula>10.237</formula>
    </cfRule>
  </conditionalFormatting>
  <conditionalFormatting sqref="Z277:AA277">
    <cfRule type="cellIs" priority="288" stopIfTrue="1" operator="lessThan">
      <formula>10.237</formula>
    </cfRule>
  </conditionalFormatting>
  <conditionalFormatting sqref="AH374:AH375 AC374:AC376 Z374:Z377">
    <cfRule type="cellIs" priority="415" stopIfTrue="1" operator="lessThan">
      <formula>10.237</formula>
    </cfRule>
  </conditionalFormatting>
  <conditionalFormatting sqref="Z276:AA276">
    <cfRule type="cellIs" priority="287" stopIfTrue="1" operator="lessThan">
      <formula>10.237</formula>
    </cfRule>
  </conditionalFormatting>
  <conditionalFormatting sqref="AH410:AH411 AC410:AC412 Z410:Z413">
    <cfRule type="cellIs" priority="412" stopIfTrue="1" operator="lessThan">
      <formula>10.237</formula>
    </cfRule>
  </conditionalFormatting>
  <conditionalFormatting sqref="AH386:AH387 AC386:AC388 Z386:Z389">
    <cfRule type="cellIs" priority="317" stopIfTrue="1" operator="lessThan">
      <formula>10.237</formula>
    </cfRule>
  </conditionalFormatting>
  <conditionalFormatting sqref="Z432:AA432">
    <cfRule type="cellIs" priority="286" stopIfTrue="1" operator="lessThan">
      <formula>10.237</formula>
    </cfRule>
  </conditionalFormatting>
  <conditionalFormatting sqref="AH446:AH447 AC446:AC448 Z446:Z449">
    <cfRule type="cellIs" priority="409" stopIfTrue="1" operator="lessThan">
      <formula>10.237</formula>
    </cfRule>
  </conditionalFormatting>
  <conditionalFormatting sqref="Z433:AA433">
    <cfRule type="cellIs" priority="285" stopIfTrue="1" operator="lessThan">
      <formula>10.237</formula>
    </cfRule>
  </conditionalFormatting>
  <conditionalFormatting sqref="AH416:AH417 AC416:AC418 Z416:Z419">
    <cfRule type="cellIs" priority="406" stopIfTrue="1" operator="lessThan">
      <formula>10.237</formula>
    </cfRule>
  </conditionalFormatting>
  <conditionalFormatting sqref="AH490:AH491 AC490:AC492 Z490:Z493">
    <cfRule type="cellIs" priority="403" stopIfTrue="1" operator="lessThan">
      <formula>10.237</formula>
    </cfRule>
  </conditionalFormatting>
  <conditionalFormatting sqref="AH278:AH279 AC278:AC280 Z278:Z281">
    <cfRule type="cellIs" priority="314" stopIfTrue="1" operator="lessThan">
      <formula>10.237</formula>
    </cfRule>
  </conditionalFormatting>
  <conditionalFormatting sqref="Z457">
    <cfRule type="cellIs" priority="283" stopIfTrue="1" operator="lessThan">
      <formula>10.237</formula>
    </cfRule>
  </conditionalFormatting>
  <conditionalFormatting sqref="AH338:AH339 AC338:AC340 Z338:Z341">
    <cfRule type="cellIs" priority="400" stopIfTrue="1" operator="lessThan">
      <formula>10.237</formula>
    </cfRule>
  </conditionalFormatting>
  <conditionalFormatting sqref="AH502:AH503 AC502:AC504 Z502:Z505">
    <cfRule type="cellIs" priority="397" stopIfTrue="1" operator="lessThan">
      <formula>10.237</formula>
    </cfRule>
  </conditionalFormatting>
  <conditionalFormatting sqref="AH514:AH515 AC514:AC516 Z514:Z517">
    <cfRule type="cellIs" priority="394" stopIfTrue="1" operator="lessThan">
      <formula>10.237</formula>
    </cfRule>
  </conditionalFormatting>
  <conditionalFormatting sqref="AH434:AH435 AC434:AC436 Z434:Z437">
    <cfRule type="cellIs" priority="311" stopIfTrue="1" operator="lessThan">
      <formula>10.237</formula>
    </cfRule>
  </conditionalFormatting>
  <conditionalFormatting sqref="AH296:AH297 AC296:AC298 Z296:Z299">
    <cfRule type="cellIs" priority="391" stopIfTrue="1" operator="lessThan">
      <formula>10.237</formula>
    </cfRule>
  </conditionalFormatting>
  <conditionalFormatting sqref="Z488:AA488">
    <cfRule type="cellIs" priority="346" stopIfTrue="1" operator="lessThan">
      <formula>10.237</formula>
    </cfRule>
  </conditionalFormatting>
  <conditionalFormatting sqref="Z500">
    <cfRule type="cellIs" priority="343" stopIfTrue="1" operator="lessThan">
      <formula>10.237</formula>
    </cfRule>
  </conditionalFormatting>
  <conditionalFormatting sqref="AH350:AH351 AC350:AC352 Z350:Z353">
    <cfRule type="cellIs" priority="388" stopIfTrue="1" operator="lessThan">
      <formula>10.237</formula>
    </cfRule>
  </conditionalFormatting>
  <conditionalFormatting sqref="Z271:AA271">
    <cfRule type="cellIs" priority="387" stopIfTrue="1" operator="lessThan">
      <formula>10.237</formula>
    </cfRule>
  </conditionalFormatting>
  <conditionalFormatting sqref="Z319:AA319">
    <cfRule type="cellIs" priority="378" stopIfTrue="1" operator="lessThan">
      <formula>10.237</formula>
    </cfRule>
  </conditionalFormatting>
  <conditionalFormatting sqref="Z270:AA270">
    <cfRule type="cellIs" priority="380" stopIfTrue="1" operator="lessThan">
      <formula>10.237</formula>
    </cfRule>
  </conditionalFormatting>
  <conditionalFormatting sqref="Z318:AA318">
    <cfRule type="cellIs" priority="379" stopIfTrue="1" operator="lessThan">
      <formula>10.237</formula>
    </cfRule>
  </conditionalFormatting>
  <conditionalFormatting sqref="Z462:AA462">
    <cfRule type="cellIs" priority="377" stopIfTrue="1" operator="lessThan">
      <formula>10.237</formula>
    </cfRule>
  </conditionalFormatting>
  <conditionalFormatting sqref="Z463">
    <cfRule type="cellIs" priority="376" stopIfTrue="1" operator="lessThan">
      <formula>10.237</formula>
    </cfRule>
  </conditionalFormatting>
  <conditionalFormatting sqref="Z420:AA420">
    <cfRule type="cellIs" priority="375" stopIfTrue="1" operator="lessThan">
      <formula>10.237</formula>
    </cfRule>
  </conditionalFormatting>
  <conditionalFormatting sqref="Z421:AA421">
    <cfRule type="cellIs" priority="374" stopIfTrue="1" operator="lessThan">
      <formula>10.237</formula>
    </cfRule>
  </conditionalFormatting>
  <conditionalFormatting sqref="Z312:AA312">
    <cfRule type="cellIs" priority="373" stopIfTrue="1" operator="lessThan">
      <formula>10.237</formula>
    </cfRule>
  </conditionalFormatting>
  <conditionalFormatting sqref="Z313:AA313">
    <cfRule type="cellIs" priority="372" stopIfTrue="1" operator="lessThan">
      <formula>10.237</formula>
    </cfRule>
  </conditionalFormatting>
  <conditionalFormatting sqref="AD518:AD519 Z518:AA518">
    <cfRule type="cellIs" priority="371" stopIfTrue="1" operator="lessThan">
      <formula>10.237</formula>
    </cfRule>
  </conditionalFormatting>
  <conditionalFormatting sqref="Z519">
    <cfRule type="cellIs" priority="370" stopIfTrue="1" operator="lessThan">
      <formula>10.237</formula>
    </cfRule>
  </conditionalFormatting>
  <conditionalFormatting sqref="Z307:AA307">
    <cfRule type="cellIs" priority="369" stopIfTrue="1" operator="lessThan">
      <formula>10.237</formula>
    </cfRule>
  </conditionalFormatting>
  <conditionalFormatting sqref="Z306:AA306">
    <cfRule type="cellIs" priority="368" stopIfTrue="1" operator="lessThan">
      <formula>10.237</formula>
    </cfRule>
  </conditionalFormatting>
  <conditionalFormatting sqref="Z324">
    <cfRule type="cellIs" priority="367" stopIfTrue="1" operator="lessThan">
      <formula>10.237</formula>
    </cfRule>
  </conditionalFormatting>
  <conditionalFormatting sqref="Z325">
    <cfRule type="cellIs" priority="366" stopIfTrue="1" operator="lessThan">
      <formula>10.237</formula>
    </cfRule>
  </conditionalFormatting>
  <conditionalFormatting sqref="Z468:AA468">
    <cfRule type="cellIs" priority="365" stopIfTrue="1" operator="lessThan">
      <formula>10.237</formula>
    </cfRule>
  </conditionalFormatting>
  <conditionalFormatting sqref="Z469">
    <cfRule type="cellIs" priority="364" stopIfTrue="1" operator="lessThan">
      <formula>10.237</formula>
    </cfRule>
  </conditionalFormatting>
  <conditionalFormatting sqref="Z438:AA438">
    <cfRule type="cellIs" priority="363" stopIfTrue="1" operator="lessThan">
      <formula>10.237</formula>
    </cfRule>
  </conditionalFormatting>
  <conditionalFormatting sqref="Z439:AA439">
    <cfRule type="cellIs" priority="362" stopIfTrue="1" operator="lessThan">
      <formula>10.237</formula>
    </cfRule>
  </conditionalFormatting>
  <conditionalFormatting sqref="Z402:AA402">
    <cfRule type="cellIs" priority="361" stopIfTrue="1" operator="lessThan">
      <formula>10.237</formula>
    </cfRule>
  </conditionalFormatting>
  <conditionalFormatting sqref="Z403">
    <cfRule type="cellIs" priority="360" stopIfTrue="1" operator="lessThan">
      <formula>10.237</formula>
    </cfRule>
  </conditionalFormatting>
  <conditionalFormatting sqref="Z474:AA474">
    <cfRule type="cellIs" priority="359" stopIfTrue="1" operator="lessThan">
      <formula>10.237</formula>
    </cfRule>
  </conditionalFormatting>
  <conditionalFormatting sqref="Z475:AA475">
    <cfRule type="cellIs" priority="358" stopIfTrue="1" operator="lessThan">
      <formula>10.237</formula>
    </cfRule>
  </conditionalFormatting>
  <conditionalFormatting sqref="Z342:AA342">
    <cfRule type="cellIs" priority="357" stopIfTrue="1" operator="lessThan">
      <formula>10.237</formula>
    </cfRule>
  </conditionalFormatting>
  <conditionalFormatting sqref="Z343:AA343">
    <cfRule type="cellIs" priority="356" stopIfTrue="1" operator="lessThan">
      <formula>10.237</formula>
    </cfRule>
  </conditionalFormatting>
  <conditionalFormatting sqref="Z372">
    <cfRule type="cellIs" priority="355" stopIfTrue="1" operator="lessThan">
      <formula>10.237</formula>
    </cfRule>
  </conditionalFormatting>
  <conditionalFormatting sqref="Z373:AA373">
    <cfRule type="cellIs" priority="354" stopIfTrue="1" operator="lessThan">
      <formula>10.237</formula>
    </cfRule>
  </conditionalFormatting>
  <conditionalFormatting sqref="Z408">
    <cfRule type="cellIs" priority="353" stopIfTrue="1" operator="lessThan">
      <formula>10.237</formula>
    </cfRule>
  </conditionalFormatting>
  <conditionalFormatting sqref="Z409">
    <cfRule type="cellIs" priority="352" stopIfTrue="1" operator="lessThan">
      <formula>10.237</formula>
    </cfRule>
  </conditionalFormatting>
  <conditionalFormatting sqref="Z444:AA444">
    <cfRule type="cellIs" priority="351" stopIfTrue="1" operator="lessThan">
      <formula>10.237</formula>
    </cfRule>
  </conditionalFormatting>
  <conditionalFormatting sqref="Z445:AA445">
    <cfRule type="cellIs" priority="350" stopIfTrue="1" operator="lessThan">
      <formula>10.237</formula>
    </cfRule>
  </conditionalFormatting>
  <conditionalFormatting sqref="Z414">
    <cfRule type="cellIs" priority="349" stopIfTrue="1" operator="lessThan">
      <formula>10.237</formula>
    </cfRule>
  </conditionalFormatting>
  <conditionalFormatting sqref="Z415:AA415">
    <cfRule type="cellIs" priority="348" stopIfTrue="1" operator="lessThan">
      <formula>10.237</formula>
    </cfRule>
  </conditionalFormatting>
  <conditionalFormatting sqref="Z489">
    <cfRule type="cellIs" priority="347" stopIfTrue="1" operator="lessThan">
      <formula>10.237</formula>
    </cfRule>
  </conditionalFormatting>
  <conditionalFormatting sqref="Z336:AA336">
    <cfRule type="cellIs" priority="345" stopIfTrue="1" operator="lessThan">
      <formula>10.237</formula>
    </cfRule>
  </conditionalFormatting>
  <conditionalFormatting sqref="Z337:AA337">
    <cfRule type="cellIs" priority="344" stopIfTrue="1" operator="lessThan">
      <formula>10.237</formula>
    </cfRule>
  </conditionalFormatting>
  <conditionalFormatting sqref="Z501:AA501">
    <cfRule type="cellIs" priority="342" stopIfTrue="1" operator="lessThan">
      <formula>10.237</formula>
    </cfRule>
  </conditionalFormatting>
  <conditionalFormatting sqref="Z512:AA512">
    <cfRule type="cellIs" priority="341" stopIfTrue="1" operator="lessThan">
      <formula>10.237</formula>
    </cfRule>
  </conditionalFormatting>
  <conditionalFormatting sqref="AH483 AC483 AC485:AC486 AH485 Z485:Z487 Z483">
    <cfRule type="cellIs" priority="305" stopIfTrue="1" operator="lessThan">
      <formula>10.237</formula>
    </cfRule>
  </conditionalFormatting>
  <conditionalFormatting sqref="Z348">
    <cfRule type="cellIs" priority="304" stopIfTrue="1" operator="lessThan">
      <formula>10.237</formula>
    </cfRule>
  </conditionalFormatting>
  <conditionalFormatting sqref="Z530:AA530">
    <cfRule type="cellIs" priority="301" stopIfTrue="1" operator="lessThan">
      <formula>10.237</formula>
    </cfRule>
  </conditionalFormatting>
  <conditionalFormatting sqref="Z288:AA288">
    <cfRule type="cellIs" priority="298" stopIfTrue="1" operator="lessThan">
      <formula>10.237</formula>
    </cfRule>
  </conditionalFormatting>
  <conditionalFormatting sqref="Z481:AA481">
    <cfRule type="cellIs" priority="259" stopIfTrue="1" operator="lessThan">
      <formula>10.237</formula>
    </cfRule>
  </conditionalFormatting>
  <conditionalFormatting sqref="Z426:AA426">
    <cfRule type="cellIs" priority="256" stopIfTrue="1" operator="lessThan">
      <formula>10.237</formula>
    </cfRule>
  </conditionalFormatting>
  <conditionalFormatting sqref="Z427:AA427">
    <cfRule type="cellIs" priority="255" stopIfTrue="1" operator="lessThan">
      <formula>10.237</formula>
    </cfRule>
  </conditionalFormatting>
  <conditionalFormatting sqref="AH428:AH429 AC428:AC430 Z428:Z431">
    <cfRule type="cellIs" priority="280" stopIfTrue="1" operator="lessThan">
      <formula>10.237</formula>
    </cfRule>
  </conditionalFormatting>
  <conditionalFormatting sqref="Z525">
    <cfRule type="cellIs" priority="253" stopIfTrue="1" operator="lessThan">
      <formula>10.237</formula>
    </cfRule>
  </conditionalFormatting>
  <conditionalFormatting sqref="AH458:AH459 AC458:AC460 Z458:Z461">
    <cfRule type="cellIs" priority="308" stopIfTrue="1" operator="lessThan">
      <formula>10.237</formula>
    </cfRule>
  </conditionalFormatting>
  <conditionalFormatting sqref="AH538:AH539 AC538:AC540 Z538:Z541">
    <cfRule type="cellIs" priority="274" stopIfTrue="1" operator="lessThan">
      <formula>10.237</formula>
    </cfRule>
  </conditionalFormatting>
  <conditionalFormatting sqref="AH362:AH363 AC362:AC364 Z362:Z365">
    <cfRule type="cellIs" priority="262" stopIfTrue="1" operator="lessThan">
      <formula>10.237</formula>
    </cfRule>
  </conditionalFormatting>
  <conditionalFormatting sqref="Z495:AA495">
    <cfRule type="cellIs" priority="295" stopIfTrue="1" operator="lessThan">
      <formula>10.237</formula>
    </cfRule>
  </conditionalFormatting>
  <conditionalFormatting sqref="Z536">
    <cfRule type="cellIs" priority="252" stopIfTrue="1" operator="lessThan">
      <formula>10.237</formula>
    </cfRule>
  </conditionalFormatting>
  <conditionalFormatting sqref="Z537:AA537">
    <cfRule type="cellIs" priority="251" stopIfTrue="1" operator="lessThan">
      <formula>10.237</formula>
    </cfRule>
  </conditionalFormatting>
  <conditionalFormatting sqref="AH526:AH527 AC526:AC528 Z526:Z529">
    <cfRule type="cellIs" priority="277" stopIfTrue="1" operator="lessThan">
      <formula>10.237</formula>
    </cfRule>
  </conditionalFormatting>
  <conditionalFormatting sqref="Z396">
    <cfRule type="cellIs" priority="250" stopIfTrue="1" operator="lessThan">
      <formula>10.237</formula>
    </cfRule>
  </conditionalFormatting>
  <conditionalFormatting sqref="Z397:AA397">
    <cfRule type="cellIs" priority="249" stopIfTrue="1" operator="lessThan">
      <formula>10.237</formula>
    </cfRule>
  </conditionalFormatting>
  <conditionalFormatting sqref="AH398:AH399 AC398:AC400 Z398:Z401">
    <cfRule type="cellIs" priority="271" stopIfTrue="1" operator="lessThan">
      <formula>10.237</formula>
    </cfRule>
  </conditionalFormatting>
  <conditionalFormatting sqref="Z450:AA450">
    <cfRule type="cellIs" priority="248" stopIfTrue="1" operator="lessThan">
      <formula>10.237</formula>
    </cfRule>
  </conditionalFormatting>
  <conditionalFormatting sqref="AH452:AH453 AC452:AC454 Z452:Z455">
    <cfRule type="cellIs" priority="268" stopIfTrue="1" operator="lessThan">
      <formula>10.237</formula>
    </cfRule>
  </conditionalFormatting>
  <conditionalFormatting sqref="Z367:AA367">
    <cfRule type="cellIs" priority="246" stopIfTrue="1" operator="lessThan">
      <formula>10.237</formula>
    </cfRule>
  </conditionalFormatting>
  <conditionalFormatting sqref="AH368:AH369 AC368:AC370 Z368:Z371">
    <cfRule type="cellIs" priority="265" stopIfTrue="1" operator="lessThan">
      <formula>10.237</formula>
    </cfRule>
  </conditionalFormatting>
  <conditionalFormatting sqref="Z451:AA451">
    <cfRule type="cellIs" priority="247" stopIfTrue="1" operator="lessThan">
      <formula>10.237</formula>
    </cfRule>
  </conditionalFormatting>
  <conditionalFormatting sqref="Z366:AA366">
    <cfRule type="cellIs" priority="245" stopIfTrue="1" operator="lessThan">
      <formula>10.237</formula>
    </cfRule>
  </conditionalFormatting>
  <conditionalFormatting sqref="AC484 AH484 Z484">
    <cfRule type="cellIs" priority="257" stopIfTrue="1" operator="lessThan">
      <formula>10.237</formula>
    </cfRule>
  </conditionalFormatting>
  <conditionalFormatting sqref="Z524:AA524">
    <cfRule type="cellIs" priority="254" stopIfTrue="1" operator="lessThan">
      <formula>10.237</formula>
    </cfRule>
  </conditionalFormatting>
  <conditionalFormatting sqref="Z361">
    <cfRule type="cellIs" priority="244" stopIfTrue="1" operator="lessThan">
      <formula>10.237</formula>
    </cfRule>
  </conditionalFormatting>
  <conditionalFormatting sqref="Z360:AA360">
    <cfRule type="cellIs" priority="243" stopIfTrue="1" operator="lessThan">
      <formula>10.237</formula>
    </cfRule>
  </conditionalFormatting>
  <conditionalFormatting sqref="AH332:AH333 AC332:AC334 Z332:Z335">
    <cfRule type="cellIs" priority="239" stopIfTrue="1" operator="lessThan">
      <formula>10.237</formula>
    </cfRule>
  </conditionalFormatting>
  <conditionalFormatting sqref="Z507:AA507">
    <cfRule type="cellIs" priority="228" stopIfTrue="1" operator="lessThan">
      <formula>10.237</formula>
    </cfRule>
  </conditionalFormatting>
  <conditionalFormatting sqref="Z330:AA330">
    <cfRule type="cellIs" priority="236" stopIfTrue="1" operator="lessThan">
      <formula>10.237</formula>
    </cfRule>
  </conditionalFormatting>
  <conditionalFormatting sqref="Z331:AA331">
    <cfRule type="cellIs" priority="235" stopIfTrue="1" operator="lessThan">
      <formula>10.237</formula>
    </cfRule>
  </conditionalFormatting>
  <conditionalFormatting sqref="AH508:AH509 AC508:AC510 Z508:Z511">
    <cfRule type="cellIs" priority="234" stopIfTrue="1" operator="lessThan">
      <formula>10.237</formula>
    </cfRule>
  </conditionalFormatting>
  <conditionalFormatting sqref="AH544:AH545 AC544:AC546 Z544:Z547">
    <cfRule type="cellIs" priority="231" stopIfTrue="1" operator="lessThan">
      <formula>10.237</formula>
    </cfRule>
  </conditionalFormatting>
  <conditionalFormatting sqref="Z542:AA542">
    <cfRule type="cellIs" priority="226" stopIfTrue="1" operator="lessThan">
      <formula>10.237</formula>
    </cfRule>
  </conditionalFormatting>
  <conditionalFormatting sqref="Z543:AA543">
    <cfRule type="cellIs" priority="225" stopIfTrue="1" operator="lessThan">
      <formula>10.237</formula>
    </cfRule>
  </conditionalFormatting>
  <conditionalFormatting sqref="Z19:AA19">
    <cfRule type="cellIs" priority="220" stopIfTrue="1" operator="lessThan">
      <formula>10.237</formula>
    </cfRule>
  </conditionalFormatting>
  <conditionalFormatting sqref="Z37:AA37">
    <cfRule type="cellIs" priority="219" stopIfTrue="1" operator="lessThan">
      <formula>10.237</formula>
    </cfRule>
  </conditionalFormatting>
  <conditionalFormatting sqref="Z54:AA54">
    <cfRule type="cellIs" priority="218" stopIfTrue="1" operator="lessThan">
      <formula>10.237</formula>
    </cfRule>
  </conditionalFormatting>
  <conditionalFormatting sqref="Z71:AA71">
    <cfRule type="cellIs" priority="217" stopIfTrue="1" operator="lessThan">
      <formula>10.237</formula>
    </cfRule>
  </conditionalFormatting>
  <conditionalFormatting sqref="Z106:AA106">
    <cfRule type="cellIs" priority="216" stopIfTrue="1" operator="lessThan">
      <formula>10.237</formula>
    </cfRule>
  </conditionalFormatting>
  <conditionalFormatting sqref="Z124:AA124">
    <cfRule type="cellIs" priority="215" stopIfTrue="1" operator="lessThan">
      <formula>10.237</formula>
    </cfRule>
  </conditionalFormatting>
  <conditionalFormatting sqref="Z142:AA142">
    <cfRule type="cellIs" priority="214" stopIfTrue="1" operator="lessThan">
      <formula>10.237</formula>
    </cfRule>
  </conditionalFormatting>
  <conditionalFormatting sqref="Z160:AA160">
    <cfRule type="cellIs" priority="213" stopIfTrue="1" operator="lessThan">
      <formula>10.237</formula>
    </cfRule>
  </conditionalFormatting>
  <conditionalFormatting sqref="Z178:AA178">
    <cfRule type="cellIs" priority="212" stopIfTrue="1" operator="lessThan">
      <formula>10.237</formula>
    </cfRule>
  </conditionalFormatting>
  <conditionalFormatting sqref="Z196:AA196">
    <cfRule type="cellIs" priority="211" stopIfTrue="1" operator="lessThan">
      <formula>10.237</formula>
    </cfRule>
  </conditionalFormatting>
  <conditionalFormatting sqref="Z214:AA214">
    <cfRule type="cellIs" priority="210" stopIfTrue="1" operator="lessThan">
      <formula>10.237</formula>
    </cfRule>
  </conditionalFormatting>
  <conditionalFormatting sqref="Z232:AA232">
    <cfRule type="cellIs" priority="209" stopIfTrue="1" operator="lessThan">
      <formula>10.237</formula>
    </cfRule>
  </conditionalFormatting>
  <conditionalFormatting sqref="Z250:AA250">
    <cfRule type="cellIs" priority="208" stopIfTrue="1" operator="lessThan">
      <formula>10.237</formula>
    </cfRule>
  </conditionalFormatting>
  <conditionalFormatting sqref="Z269:AA269">
    <cfRule type="cellIs" priority="207" stopIfTrue="1" operator="lessThan">
      <formula>10.237</formula>
    </cfRule>
  </conditionalFormatting>
  <conditionalFormatting sqref="Z390:AA390">
    <cfRule type="cellIs" priority="205" stopIfTrue="1" operator="lessThan">
      <formula>10.237</formula>
    </cfRule>
  </conditionalFormatting>
  <conditionalFormatting sqref="AH392:AH393 AC392:AC394 Z392:Z395">
    <cfRule type="cellIs" priority="206" stopIfTrue="1" operator="lessThan">
      <formula>10.237</formula>
    </cfRule>
  </conditionalFormatting>
  <conditionalFormatting sqref="Z391">
    <cfRule type="cellIs" priority="203" stopIfTrue="1" operator="lessThan">
      <formula>10.237</formula>
    </cfRule>
  </conditionalFormatting>
  <conditionalFormatting sqref="Z92:Z103">
    <cfRule type="cellIs" priority="202" stopIfTrue="1" operator="lessThan">
      <formula>10.237</formula>
    </cfRule>
  </conditionalFormatting>
  <conditionalFormatting sqref="Z89:AA89">
    <cfRule type="cellIs" priority="201" stopIfTrue="1" operator="lessThan">
      <formula>10.237</formula>
    </cfRule>
  </conditionalFormatting>
  <conditionalFormatting sqref="Z52">
    <cfRule type="cellIs" priority="200" stopIfTrue="1" operator="lessThan">
      <formula>10.237</formula>
    </cfRule>
  </conditionalFormatting>
  <conditionalFormatting sqref="Z87">
    <cfRule type="cellIs" priority="199" stopIfTrue="1" operator="lessThan">
      <formula>10.237</formula>
    </cfRule>
  </conditionalFormatting>
  <conditionalFormatting sqref="Z121">
    <cfRule type="cellIs" priority="198" stopIfTrue="1" operator="lessThan">
      <formula>10.237</formula>
    </cfRule>
  </conditionalFormatting>
  <conditionalFormatting sqref="Z122">
    <cfRule type="cellIs" priority="197" stopIfTrue="1" operator="lessThan">
      <formula>10.237</formula>
    </cfRule>
  </conditionalFormatting>
  <conditionalFormatting sqref="Z139">
    <cfRule type="cellIs" priority="196" stopIfTrue="1" operator="lessThan">
      <formula>10.237</formula>
    </cfRule>
  </conditionalFormatting>
  <conditionalFormatting sqref="Z175">
    <cfRule type="cellIs" priority="195" stopIfTrue="1" operator="lessThan">
      <formula>10.237</formula>
    </cfRule>
  </conditionalFormatting>
  <conditionalFormatting sqref="Z229">
    <cfRule type="cellIs" priority="194" stopIfTrue="1" operator="lessThan">
      <formula>10.237</formula>
    </cfRule>
  </conditionalFormatting>
  <conditionalFormatting sqref="Z230">
    <cfRule type="cellIs" priority="193" stopIfTrue="1" operator="lessThan">
      <formula>10.237</formula>
    </cfRule>
  </conditionalFormatting>
  <conditionalFormatting sqref="Z16">
    <cfRule type="cellIs" priority="192" stopIfTrue="1" operator="lessThan">
      <formula>10.237</formula>
    </cfRule>
  </conditionalFormatting>
  <conditionalFormatting sqref="Z32:Z33">
    <cfRule type="cellIs" priority="191" stopIfTrue="1" operator="lessThan">
      <formula>10.237</formula>
    </cfRule>
  </conditionalFormatting>
  <conditionalFormatting sqref="Z68:Z69">
    <cfRule type="cellIs" priority="190" stopIfTrue="1" operator="lessThan">
      <formula>10.237</formula>
    </cfRule>
  </conditionalFormatting>
  <conditionalFormatting sqref="Z104">
    <cfRule type="cellIs" priority="188" stopIfTrue="1" operator="lessThan">
      <formula>10.237</formula>
    </cfRule>
  </conditionalFormatting>
  <conditionalFormatting sqref="Z193">
    <cfRule type="cellIs" priority="187" stopIfTrue="1" operator="lessThan">
      <formula>10.237</formula>
    </cfRule>
  </conditionalFormatting>
  <conditionalFormatting sqref="Z211">
    <cfRule type="cellIs" priority="186" stopIfTrue="1" operator="lessThan">
      <formula>10.237</formula>
    </cfRule>
  </conditionalFormatting>
  <conditionalFormatting sqref="Z247">
    <cfRule type="cellIs" priority="185" stopIfTrue="1" operator="lessThan">
      <formula>10.237</formula>
    </cfRule>
  </conditionalFormatting>
  <conditionalFormatting sqref="Z265">
    <cfRule type="cellIs" priority="184" stopIfTrue="1" operator="lessThan">
      <formula>10.237</formula>
    </cfRule>
  </conditionalFormatting>
  <conditionalFormatting sqref="AD3:AD17">
    <cfRule type="cellIs" priority="183" stopIfTrue="1" operator="lessThan">
      <formula>10.237</formula>
    </cfRule>
  </conditionalFormatting>
  <conditionalFormatting sqref="AK3:AK17">
    <cfRule type="cellIs" priority="168" stopIfTrue="1" operator="lessThan">
      <formula>10.237</formula>
    </cfRule>
  </conditionalFormatting>
  <conditionalFormatting sqref="AL3:AL17">
    <cfRule type="cellIs" priority="167" stopIfTrue="1" operator="lessThan">
      <formula>10.237</formula>
    </cfRule>
  </conditionalFormatting>
  <conditionalFormatting sqref="AK21:AK35">
    <cfRule type="cellIs" priority="166" stopIfTrue="1" operator="lessThan">
      <formula>10.237</formula>
    </cfRule>
  </conditionalFormatting>
  <conditionalFormatting sqref="AL21:AL35">
    <cfRule type="cellIs" priority="165" stopIfTrue="1" operator="lessThan">
      <formula>10.237</formula>
    </cfRule>
  </conditionalFormatting>
  <conditionalFormatting sqref="AK39:AK52">
    <cfRule type="cellIs" priority="164" stopIfTrue="1" operator="lessThan">
      <formula>10.237</formula>
    </cfRule>
  </conditionalFormatting>
  <conditionalFormatting sqref="AL39:AL52">
    <cfRule type="cellIs" priority="163" stopIfTrue="1" operator="lessThan">
      <formula>10.237</formula>
    </cfRule>
  </conditionalFormatting>
  <conditionalFormatting sqref="AK56:AK69">
    <cfRule type="cellIs" priority="162" stopIfTrue="1" operator="lessThan">
      <formula>10.237</formula>
    </cfRule>
  </conditionalFormatting>
  <conditionalFormatting sqref="AL56:AL69">
    <cfRule type="cellIs" priority="161" stopIfTrue="1" operator="lessThan">
      <formula>10.237</formula>
    </cfRule>
  </conditionalFormatting>
  <conditionalFormatting sqref="AK73:AK87">
    <cfRule type="cellIs" priority="160" stopIfTrue="1" operator="lessThan">
      <formula>10.237</formula>
    </cfRule>
  </conditionalFormatting>
  <conditionalFormatting sqref="AL73:AL87">
    <cfRule type="cellIs" priority="159" stopIfTrue="1" operator="lessThan">
      <formula>10.237</formula>
    </cfRule>
  </conditionalFormatting>
  <conditionalFormatting sqref="AK91:AK104">
    <cfRule type="cellIs" priority="158" stopIfTrue="1" operator="lessThan">
      <formula>10.237</formula>
    </cfRule>
  </conditionalFormatting>
  <conditionalFormatting sqref="AL91:AL104">
    <cfRule type="cellIs" priority="157" stopIfTrue="1" operator="lessThan">
      <formula>10.237</formula>
    </cfRule>
  </conditionalFormatting>
  <conditionalFormatting sqref="AK108:AK122">
    <cfRule type="cellIs" priority="156" stopIfTrue="1" operator="lessThan">
      <formula>10.237</formula>
    </cfRule>
  </conditionalFormatting>
  <conditionalFormatting sqref="AL108:AL122">
    <cfRule type="cellIs" priority="155" stopIfTrue="1" operator="lessThan">
      <formula>10.237</formula>
    </cfRule>
  </conditionalFormatting>
  <conditionalFormatting sqref="AK126:AK140">
    <cfRule type="cellIs" priority="154" stopIfTrue="1" operator="lessThan">
      <formula>10.237</formula>
    </cfRule>
  </conditionalFormatting>
  <conditionalFormatting sqref="AL126:AL140">
    <cfRule type="cellIs" priority="153" stopIfTrue="1" operator="lessThan">
      <formula>10.237</formula>
    </cfRule>
  </conditionalFormatting>
  <conditionalFormatting sqref="AK144:AK158">
    <cfRule type="cellIs" priority="152" stopIfTrue="1" operator="lessThan">
      <formula>10.237</formula>
    </cfRule>
  </conditionalFormatting>
  <conditionalFormatting sqref="AL144:AL158">
    <cfRule type="cellIs" priority="151" stopIfTrue="1" operator="lessThan">
      <formula>10.237</formula>
    </cfRule>
  </conditionalFormatting>
  <conditionalFormatting sqref="AK162:AK176">
    <cfRule type="cellIs" priority="150" stopIfTrue="1" operator="lessThan">
      <formula>10.237</formula>
    </cfRule>
  </conditionalFormatting>
  <conditionalFormatting sqref="AL162:AL176">
    <cfRule type="cellIs" priority="149" stopIfTrue="1" operator="lessThan">
      <formula>10.237</formula>
    </cfRule>
  </conditionalFormatting>
  <conditionalFormatting sqref="AK180:AK194">
    <cfRule type="cellIs" priority="148" stopIfTrue="1" operator="lessThan">
      <formula>10.237</formula>
    </cfRule>
  </conditionalFormatting>
  <conditionalFormatting sqref="AL180:AL194">
    <cfRule type="cellIs" priority="147" stopIfTrue="1" operator="lessThan">
      <formula>10.237</formula>
    </cfRule>
  </conditionalFormatting>
  <conditionalFormatting sqref="AK198:AK212">
    <cfRule type="cellIs" priority="146" stopIfTrue="1" operator="lessThan">
      <formula>10.237</formula>
    </cfRule>
  </conditionalFormatting>
  <conditionalFormatting sqref="AL198:AL212">
    <cfRule type="cellIs" priority="145" stopIfTrue="1" operator="lessThan">
      <formula>10.237</formula>
    </cfRule>
  </conditionalFormatting>
  <conditionalFormatting sqref="AK216:AK230">
    <cfRule type="cellIs" priority="144" stopIfTrue="1" operator="lessThan">
      <formula>10.237</formula>
    </cfRule>
  </conditionalFormatting>
  <conditionalFormatting sqref="AL216:AL230">
    <cfRule type="cellIs" priority="143" stopIfTrue="1" operator="lessThan">
      <formula>10.237</formula>
    </cfRule>
  </conditionalFormatting>
  <conditionalFormatting sqref="AK234:AK248">
    <cfRule type="cellIs" priority="142" stopIfTrue="1" operator="lessThan">
      <formula>10.237</formula>
    </cfRule>
  </conditionalFormatting>
  <conditionalFormatting sqref="AL234:AL248">
    <cfRule type="cellIs" priority="141" stopIfTrue="1" operator="lessThan">
      <formula>10.237</formula>
    </cfRule>
  </conditionalFormatting>
  <conditionalFormatting sqref="AK252:AK266">
    <cfRule type="cellIs" priority="140" stopIfTrue="1" operator="lessThan">
      <formula>10.237</formula>
    </cfRule>
  </conditionalFormatting>
  <conditionalFormatting sqref="AL252:AL266">
    <cfRule type="cellIs" priority="139" stopIfTrue="1" operator="lessThan">
      <formula>10.237</formula>
    </cfRule>
  </conditionalFormatting>
  <conditionalFormatting sqref="AK1:AL1048576">
    <cfRule type="cellIs" dxfId="882" priority="95" operator="lessThan">
      <formula>0</formula>
    </cfRule>
    <cfRule type="cellIs" dxfId="881" priority="138" operator="lessThan">
      <formula>0</formula>
    </cfRule>
  </conditionalFormatting>
  <conditionalFormatting sqref="AD21:AD35">
    <cfRule type="cellIs" priority="137" stopIfTrue="1" operator="lessThan">
      <formula>10.237</formula>
    </cfRule>
  </conditionalFormatting>
  <conditionalFormatting sqref="AD39:AD52">
    <cfRule type="cellIs" priority="136" stopIfTrue="1" operator="lessThan">
      <formula>10.237</formula>
    </cfRule>
  </conditionalFormatting>
  <conditionalFormatting sqref="AD56:AD69">
    <cfRule type="cellIs" priority="135" stopIfTrue="1" operator="lessThan">
      <formula>10.237</formula>
    </cfRule>
  </conditionalFormatting>
  <conditionalFormatting sqref="AD73:AD87">
    <cfRule type="cellIs" priority="134" stopIfTrue="1" operator="lessThan">
      <formula>10.237</formula>
    </cfRule>
  </conditionalFormatting>
  <conditionalFormatting sqref="AD91:AD104">
    <cfRule type="cellIs" priority="133" stopIfTrue="1" operator="lessThan">
      <formula>10.237</formula>
    </cfRule>
  </conditionalFormatting>
  <conditionalFormatting sqref="AD108:AD122">
    <cfRule type="cellIs" priority="132" stopIfTrue="1" operator="lessThan">
      <formula>10.237</formula>
    </cfRule>
  </conditionalFormatting>
  <conditionalFormatting sqref="AD126:AD140">
    <cfRule type="cellIs" priority="131" stopIfTrue="1" operator="lessThan">
      <formula>10.237</formula>
    </cfRule>
  </conditionalFormatting>
  <conditionalFormatting sqref="AD144:AD158">
    <cfRule type="cellIs" priority="130" stopIfTrue="1" operator="lessThan">
      <formula>10.237</formula>
    </cfRule>
  </conditionalFormatting>
  <conditionalFormatting sqref="AD162:AD176">
    <cfRule type="cellIs" priority="129" stopIfTrue="1" operator="lessThan">
      <formula>10.237</formula>
    </cfRule>
  </conditionalFormatting>
  <conditionalFormatting sqref="AD180:AD194">
    <cfRule type="cellIs" priority="128" stopIfTrue="1" operator="lessThan">
      <formula>10.237</formula>
    </cfRule>
  </conditionalFormatting>
  <conditionalFormatting sqref="AD198:AD212">
    <cfRule type="cellIs" priority="127" stopIfTrue="1" operator="lessThan">
      <formula>10.237</formula>
    </cfRule>
  </conditionalFormatting>
  <conditionalFormatting sqref="AD216:AD230">
    <cfRule type="cellIs" priority="126" stopIfTrue="1" operator="lessThan">
      <formula>10.237</formula>
    </cfRule>
  </conditionalFormatting>
  <conditionalFormatting sqref="AD234:AD248">
    <cfRule type="cellIs" priority="125" stopIfTrue="1" operator="lessThan">
      <formula>10.237</formula>
    </cfRule>
  </conditionalFormatting>
  <conditionalFormatting sqref="AD252:AD266">
    <cfRule type="cellIs" priority="124" stopIfTrue="1" operator="lessThan">
      <formula>10.237</formula>
    </cfRule>
  </conditionalFormatting>
  <conditionalFormatting sqref="AK21:AK35">
    <cfRule type="cellIs" priority="123" stopIfTrue="1" operator="lessThan">
      <formula>10.237</formula>
    </cfRule>
  </conditionalFormatting>
  <conditionalFormatting sqref="AL21:AL35">
    <cfRule type="cellIs" priority="122" stopIfTrue="1" operator="lessThan">
      <formula>10.237</formula>
    </cfRule>
  </conditionalFormatting>
  <conditionalFormatting sqref="AK39:AK52">
    <cfRule type="cellIs" priority="121" stopIfTrue="1" operator="lessThan">
      <formula>10.237</formula>
    </cfRule>
  </conditionalFormatting>
  <conditionalFormatting sqref="AL39:AL52">
    <cfRule type="cellIs" priority="120" stopIfTrue="1" operator="lessThan">
      <formula>10.237</formula>
    </cfRule>
  </conditionalFormatting>
  <conditionalFormatting sqref="AK56:AK69">
    <cfRule type="cellIs" priority="119" stopIfTrue="1" operator="lessThan">
      <formula>10.237</formula>
    </cfRule>
  </conditionalFormatting>
  <conditionalFormatting sqref="AL56:AL69">
    <cfRule type="cellIs" priority="118" stopIfTrue="1" operator="lessThan">
      <formula>10.237</formula>
    </cfRule>
  </conditionalFormatting>
  <conditionalFormatting sqref="AK73:AK87">
    <cfRule type="cellIs" priority="117" stopIfTrue="1" operator="lessThan">
      <formula>10.237</formula>
    </cfRule>
  </conditionalFormatting>
  <conditionalFormatting sqref="AL73:AL87">
    <cfRule type="cellIs" priority="116" stopIfTrue="1" operator="lessThan">
      <formula>10.237</formula>
    </cfRule>
  </conditionalFormatting>
  <conditionalFormatting sqref="AK91:AK104">
    <cfRule type="cellIs" priority="115" stopIfTrue="1" operator="lessThan">
      <formula>10.237</formula>
    </cfRule>
  </conditionalFormatting>
  <conditionalFormatting sqref="AL91:AL104">
    <cfRule type="cellIs" priority="114" stopIfTrue="1" operator="lessThan">
      <formula>10.237</formula>
    </cfRule>
  </conditionalFormatting>
  <conditionalFormatting sqref="AK108:AK122">
    <cfRule type="cellIs" priority="113" stopIfTrue="1" operator="lessThan">
      <formula>10.237</formula>
    </cfRule>
  </conditionalFormatting>
  <conditionalFormatting sqref="AL108:AL122">
    <cfRule type="cellIs" priority="112" stopIfTrue="1" operator="lessThan">
      <formula>10.237</formula>
    </cfRule>
  </conditionalFormatting>
  <conditionalFormatting sqref="AK126:AK140">
    <cfRule type="cellIs" priority="111" stopIfTrue="1" operator="lessThan">
      <formula>10.237</formula>
    </cfRule>
  </conditionalFormatting>
  <conditionalFormatting sqref="AL126:AL140">
    <cfRule type="cellIs" priority="110" stopIfTrue="1" operator="lessThan">
      <formula>10.237</formula>
    </cfRule>
  </conditionalFormatting>
  <conditionalFormatting sqref="AK144:AK158">
    <cfRule type="cellIs" priority="109" stopIfTrue="1" operator="lessThan">
      <formula>10.237</formula>
    </cfRule>
  </conditionalFormatting>
  <conditionalFormatting sqref="AL144:AL158">
    <cfRule type="cellIs" priority="108" stopIfTrue="1" operator="lessThan">
      <formula>10.237</formula>
    </cfRule>
  </conditionalFormatting>
  <conditionalFormatting sqref="AK162:AK176">
    <cfRule type="cellIs" priority="107" stopIfTrue="1" operator="lessThan">
      <formula>10.237</formula>
    </cfRule>
  </conditionalFormatting>
  <conditionalFormatting sqref="AL162:AL176">
    <cfRule type="cellIs" priority="106" stopIfTrue="1" operator="lessThan">
      <formula>10.237</formula>
    </cfRule>
  </conditionalFormatting>
  <conditionalFormatting sqref="AK180:AK194">
    <cfRule type="cellIs" priority="105" stopIfTrue="1" operator="lessThan">
      <formula>10.237</formula>
    </cfRule>
  </conditionalFormatting>
  <conditionalFormatting sqref="AL180:AL194">
    <cfRule type="cellIs" priority="104" stopIfTrue="1" operator="lessThan">
      <formula>10.237</formula>
    </cfRule>
  </conditionalFormatting>
  <conditionalFormatting sqref="AK198:AK212">
    <cfRule type="cellIs" priority="103" stopIfTrue="1" operator="lessThan">
      <formula>10.237</formula>
    </cfRule>
  </conditionalFormatting>
  <conditionalFormatting sqref="AL198:AL212">
    <cfRule type="cellIs" priority="102" stopIfTrue="1" operator="lessThan">
      <formula>10.237</formula>
    </cfRule>
  </conditionalFormatting>
  <conditionalFormatting sqref="AK216:AK230">
    <cfRule type="cellIs" priority="101" stopIfTrue="1" operator="lessThan">
      <formula>10.237</formula>
    </cfRule>
  </conditionalFormatting>
  <conditionalFormatting sqref="AL216:AL230">
    <cfRule type="cellIs" priority="100" stopIfTrue="1" operator="lessThan">
      <formula>10.237</formula>
    </cfRule>
  </conditionalFormatting>
  <conditionalFormatting sqref="AK234:AK248">
    <cfRule type="cellIs" priority="99" stopIfTrue="1" operator="lessThan">
      <formula>10.237</formula>
    </cfRule>
  </conditionalFormatting>
  <conditionalFormatting sqref="AL234:AL248">
    <cfRule type="cellIs" priority="98" stopIfTrue="1" operator="lessThan">
      <formula>10.237</formula>
    </cfRule>
  </conditionalFormatting>
  <conditionalFormatting sqref="AK252:AK266">
    <cfRule type="cellIs" priority="97" stopIfTrue="1" operator="lessThan">
      <formula>10.237</formula>
    </cfRule>
  </conditionalFormatting>
  <conditionalFormatting sqref="AL252:AL266">
    <cfRule type="cellIs" priority="96" stopIfTrue="1" operator="lessThan">
      <formula>10.237</formula>
    </cfRule>
  </conditionalFormatting>
  <conditionalFormatting sqref="L2">
    <cfRule type="cellIs" dxfId="880" priority="89" operator="lessThan">
      <formula>0</formula>
    </cfRule>
    <cfRule type="cellIs" dxfId="879" priority="90" operator="lessThan">
      <formula>0</formula>
    </cfRule>
  </conditionalFormatting>
  <conditionalFormatting sqref="L2">
    <cfRule type="cellIs" priority="91" stopIfTrue="1" operator="lessThan">
      <formula>10.237</formula>
    </cfRule>
  </conditionalFormatting>
  <conditionalFormatting sqref="L21:L35">
    <cfRule type="cellIs" dxfId="878" priority="40" operator="lessThan">
      <formula>0</formula>
    </cfRule>
    <cfRule type="cellIs" dxfId="877" priority="41" operator="lessThan">
      <formula>0</formula>
    </cfRule>
  </conditionalFormatting>
  <conditionalFormatting sqref="L21:L35">
    <cfRule type="cellIs" priority="42" stopIfTrue="1" operator="lessThan">
      <formula>10.237</formula>
    </cfRule>
  </conditionalFormatting>
  <conditionalFormatting sqref="L3">
    <cfRule type="cellIs" dxfId="876" priority="62" operator="lessThan">
      <formula>0</formula>
    </cfRule>
    <cfRule type="cellIs" dxfId="875" priority="63" operator="lessThan">
      <formula>0</formula>
    </cfRule>
  </conditionalFormatting>
  <conditionalFormatting sqref="L3">
    <cfRule type="cellIs" priority="64" stopIfTrue="1" operator="lessThan">
      <formula>10.237</formula>
    </cfRule>
  </conditionalFormatting>
  <conditionalFormatting sqref="L4:L5">
    <cfRule type="cellIs" dxfId="874" priority="59" operator="lessThan">
      <formula>0</formula>
    </cfRule>
    <cfRule type="cellIs" dxfId="873" priority="60" operator="lessThan">
      <formula>0</formula>
    </cfRule>
  </conditionalFormatting>
  <conditionalFormatting sqref="L4:L5">
    <cfRule type="cellIs" priority="61" stopIfTrue="1" operator="lessThan">
      <formula>10.237</formula>
    </cfRule>
  </conditionalFormatting>
  <conditionalFormatting sqref="L6:L11">
    <cfRule type="cellIs" dxfId="872" priority="56" operator="lessThan">
      <formula>0</formula>
    </cfRule>
    <cfRule type="cellIs" dxfId="871" priority="57" operator="lessThan">
      <formula>0</formula>
    </cfRule>
  </conditionalFormatting>
  <conditionalFormatting sqref="L6:L11">
    <cfRule type="cellIs" priority="58" stopIfTrue="1" operator="lessThan">
      <formula>10.237</formula>
    </cfRule>
  </conditionalFormatting>
  <conditionalFormatting sqref="L12">
    <cfRule type="cellIs" dxfId="870" priority="53" operator="lessThan">
      <formula>0</formula>
    </cfRule>
    <cfRule type="cellIs" dxfId="869" priority="54" operator="lessThan">
      <formula>0</formula>
    </cfRule>
  </conditionalFormatting>
  <conditionalFormatting sqref="L12">
    <cfRule type="cellIs" priority="55" stopIfTrue="1" operator="lessThan">
      <formula>10.237</formula>
    </cfRule>
  </conditionalFormatting>
  <conditionalFormatting sqref="L13">
    <cfRule type="cellIs" dxfId="868" priority="50" operator="lessThan">
      <formula>0</formula>
    </cfRule>
    <cfRule type="cellIs" dxfId="867" priority="51" operator="lessThan">
      <formula>0</formula>
    </cfRule>
  </conditionalFormatting>
  <conditionalFormatting sqref="L13">
    <cfRule type="cellIs" priority="52" stopIfTrue="1" operator="lessThan">
      <formula>10.237</formula>
    </cfRule>
  </conditionalFormatting>
  <conditionalFormatting sqref="L14">
    <cfRule type="cellIs" dxfId="866" priority="47" operator="lessThan">
      <formula>0</formula>
    </cfRule>
    <cfRule type="cellIs" dxfId="865" priority="48" operator="lessThan">
      <formula>0</formula>
    </cfRule>
  </conditionalFormatting>
  <conditionalFormatting sqref="L14">
    <cfRule type="cellIs" priority="49" stopIfTrue="1" operator="lessThan">
      <formula>10.237</formula>
    </cfRule>
  </conditionalFormatting>
  <conditionalFormatting sqref="L15:L17">
    <cfRule type="cellIs" dxfId="864" priority="44" operator="lessThan">
      <formula>0</formula>
    </cfRule>
    <cfRule type="cellIs" dxfId="863" priority="45" operator="lessThan">
      <formula>0</formula>
    </cfRule>
  </conditionalFormatting>
  <conditionalFormatting sqref="L15:L17">
    <cfRule type="cellIs" priority="46" stopIfTrue="1" operator="lessThan">
      <formula>10.237</formula>
    </cfRule>
  </conditionalFormatting>
  <conditionalFormatting sqref="Y3:Y17">
    <cfRule type="cellIs" priority="43" stopIfTrue="1" operator="lessThan">
      <formula>10.237</formula>
    </cfRule>
  </conditionalFormatting>
  <conditionalFormatting sqref="L39:L52">
    <cfRule type="cellIs" dxfId="862" priority="37" operator="lessThan">
      <formula>0</formula>
    </cfRule>
    <cfRule type="cellIs" dxfId="861" priority="38" operator="lessThan">
      <formula>0</formula>
    </cfRule>
  </conditionalFormatting>
  <conditionalFormatting sqref="L39:L52">
    <cfRule type="cellIs" priority="39" stopIfTrue="1" operator="lessThan">
      <formula>10.237</formula>
    </cfRule>
  </conditionalFormatting>
  <conditionalFormatting sqref="L56:L69">
    <cfRule type="cellIs" dxfId="860" priority="34" operator="lessThan">
      <formula>0</formula>
    </cfRule>
    <cfRule type="cellIs" dxfId="859" priority="35" operator="lessThan">
      <formula>0</formula>
    </cfRule>
  </conditionalFormatting>
  <conditionalFormatting sqref="L56:L69">
    <cfRule type="cellIs" priority="36" stopIfTrue="1" operator="lessThan">
      <formula>10.237</formula>
    </cfRule>
  </conditionalFormatting>
  <conditionalFormatting sqref="L73:L87">
    <cfRule type="cellIs" dxfId="858" priority="31" operator="lessThan">
      <formula>0</formula>
    </cfRule>
    <cfRule type="cellIs" dxfId="857" priority="32" operator="lessThan">
      <formula>0</formula>
    </cfRule>
  </conditionalFormatting>
  <conditionalFormatting sqref="L73:L87">
    <cfRule type="cellIs" priority="33" stopIfTrue="1" operator="lessThan">
      <formula>10.237</formula>
    </cfRule>
  </conditionalFormatting>
  <conditionalFormatting sqref="L91:L104">
    <cfRule type="cellIs" dxfId="856" priority="28" operator="lessThan">
      <formula>0</formula>
    </cfRule>
    <cfRule type="cellIs" dxfId="855" priority="29" operator="lessThan">
      <formula>0</formula>
    </cfRule>
  </conditionalFormatting>
  <conditionalFormatting sqref="L91:L104">
    <cfRule type="cellIs" priority="30" stopIfTrue="1" operator="lessThan">
      <formula>10.237</formula>
    </cfRule>
  </conditionalFormatting>
  <conditionalFormatting sqref="L108:L122">
    <cfRule type="cellIs" dxfId="854" priority="25" operator="lessThan">
      <formula>0</formula>
    </cfRule>
    <cfRule type="cellIs" dxfId="853" priority="26" operator="lessThan">
      <formula>0</formula>
    </cfRule>
  </conditionalFormatting>
  <conditionalFormatting sqref="L108:L122">
    <cfRule type="cellIs" priority="27" stopIfTrue="1" operator="lessThan">
      <formula>10.237</formula>
    </cfRule>
  </conditionalFormatting>
  <conditionalFormatting sqref="L126:L140">
    <cfRule type="cellIs" dxfId="852" priority="22" operator="lessThan">
      <formula>0</formula>
    </cfRule>
    <cfRule type="cellIs" dxfId="851" priority="23" operator="lessThan">
      <formula>0</formula>
    </cfRule>
  </conditionalFormatting>
  <conditionalFormatting sqref="L126:L140">
    <cfRule type="cellIs" priority="24" stopIfTrue="1" operator="lessThan">
      <formula>10.237</formula>
    </cfRule>
  </conditionalFormatting>
  <conditionalFormatting sqref="L144:L158">
    <cfRule type="cellIs" dxfId="850" priority="19" operator="lessThan">
      <formula>0</formula>
    </cfRule>
    <cfRule type="cellIs" dxfId="849" priority="20" operator="lessThan">
      <formula>0</formula>
    </cfRule>
  </conditionalFormatting>
  <conditionalFormatting sqref="L144:L158">
    <cfRule type="cellIs" priority="21" stopIfTrue="1" operator="lessThan">
      <formula>10.237</formula>
    </cfRule>
  </conditionalFormatting>
  <conditionalFormatting sqref="L162:L176">
    <cfRule type="cellIs" dxfId="848" priority="16" operator="lessThan">
      <formula>0</formula>
    </cfRule>
    <cfRule type="cellIs" dxfId="847" priority="17" operator="lessThan">
      <formula>0</formula>
    </cfRule>
  </conditionalFormatting>
  <conditionalFormatting sqref="L162:L176">
    <cfRule type="cellIs" priority="18" stopIfTrue="1" operator="lessThan">
      <formula>10.237</formula>
    </cfRule>
  </conditionalFormatting>
  <conditionalFormatting sqref="L180:L194">
    <cfRule type="cellIs" dxfId="846" priority="13" operator="lessThan">
      <formula>0</formula>
    </cfRule>
    <cfRule type="cellIs" dxfId="845" priority="14" operator="lessThan">
      <formula>0</formula>
    </cfRule>
  </conditionalFormatting>
  <conditionalFormatting sqref="L180:L194">
    <cfRule type="cellIs" priority="15" stopIfTrue="1" operator="lessThan">
      <formula>10.237</formula>
    </cfRule>
  </conditionalFormatting>
  <conditionalFormatting sqref="L198:L212">
    <cfRule type="cellIs" dxfId="844" priority="10" operator="lessThan">
      <formula>0</formula>
    </cfRule>
    <cfRule type="cellIs" dxfId="843" priority="11" operator="lessThan">
      <formula>0</formula>
    </cfRule>
  </conditionalFormatting>
  <conditionalFormatting sqref="L198:L212">
    <cfRule type="cellIs" priority="12" stopIfTrue="1" operator="lessThan">
      <formula>10.237</formula>
    </cfRule>
  </conditionalFormatting>
  <conditionalFormatting sqref="L216:L230">
    <cfRule type="cellIs" dxfId="842" priority="7" operator="lessThan">
      <formula>0</formula>
    </cfRule>
    <cfRule type="cellIs" dxfId="841" priority="8" operator="lessThan">
      <formula>0</formula>
    </cfRule>
  </conditionalFormatting>
  <conditionalFormatting sqref="L216:L230">
    <cfRule type="cellIs" priority="9" stopIfTrue="1" operator="lessThan">
      <formula>10.237</formula>
    </cfRule>
  </conditionalFormatting>
  <conditionalFormatting sqref="L234:L248">
    <cfRule type="cellIs" dxfId="840" priority="4" operator="lessThan">
      <formula>0</formula>
    </cfRule>
    <cfRule type="cellIs" dxfId="839" priority="5" operator="lessThan">
      <formula>0</formula>
    </cfRule>
  </conditionalFormatting>
  <conditionalFormatting sqref="L234:L248">
    <cfRule type="cellIs" priority="6" stopIfTrue="1" operator="lessThan">
      <formula>10.237</formula>
    </cfRule>
  </conditionalFormatting>
  <conditionalFormatting sqref="L252:L266">
    <cfRule type="cellIs" dxfId="838" priority="1" operator="lessThan">
      <formula>0</formula>
    </cfRule>
    <cfRule type="cellIs" dxfId="837" priority="2" operator="lessThan">
      <formula>0</formula>
    </cfRule>
  </conditionalFormatting>
  <conditionalFormatting sqref="L252:L266">
    <cfRule type="cellIs" priority="3" stopIfTrue="1" operator="lessThan">
      <formula>10.237</formula>
    </cfRule>
  </conditionalFormatting>
  <pageMargins left="0.75" right="0.75" top="1" bottom="1" header="0.5" footer="0.5"/>
  <pageSetup orientation="portrait" horizontalDpi="4294967293"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44"/>
  <sheetViews>
    <sheetView workbookViewId="0">
      <selection activeCell="A28" sqref="A28"/>
    </sheetView>
  </sheetViews>
  <sheetFormatPr defaultRowHeight="12.75" x14ac:dyDescent="0.2"/>
  <cols>
    <col min="1" max="1" width="11.85546875" style="24" bestFit="1" customWidth="1"/>
    <col min="2" max="2" width="5" style="24" bestFit="1" customWidth="1"/>
    <col min="3" max="3" width="6" style="24" bestFit="1" customWidth="1"/>
    <col min="4" max="4" width="5.5703125" style="24" bestFit="1" customWidth="1"/>
    <col min="5" max="5" width="6" style="24" bestFit="1" customWidth="1"/>
    <col min="6" max="6" width="7" style="24" bestFit="1" customWidth="1"/>
    <col min="7" max="7" width="8.5703125" style="25" bestFit="1" customWidth="1"/>
    <col min="8" max="8" width="6" style="24" bestFit="1" customWidth="1"/>
    <col min="9" max="9" width="11.42578125" style="25" bestFit="1" customWidth="1"/>
    <col min="10" max="10" width="9.140625" style="24"/>
    <col min="11" max="11" width="12" style="24" bestFit="1" customWidth="1"/>
    <col min="12" max="12" width="9.140625" style="30"/>
    <col min="13" max="15" width="10.28515625" style="24" bestFit="1" customWidth="1"/>
    <col min="16" max="16384" width="9.140625" style="24"/>
  </cols>
  <sheetData>
    <row r="1" spans="1:19" x14ac:dyDescent="0.2">
      <c r="A1" s="24" t="s">
        <v>1082</v>
      </c>
    </row>
    <row r="3" spans="1:19" x14ac:dyDescent="0.2">
      <c r="A3" s="24" t="s">
        <v>174</v>
      </c>
    </row>
    <row r="4" spans="1:19" x14ac:dyDescent="0.2">
      <c r="B4" s="31" t="s">
        <v>175</v>
      </c>
      <c r="C4" s="31" t="s">
        <v>176</v>
      </c>
      <c r="D4" s="31" t="s">
        <v>177</v>
      </c>
      <c r="E4" s="31" t="s">
        <v>178</v>
      </c>
      <c r="F4" s="31" t="s">
        <v>179</v>
      </c>
      <c r="G4" s="35" t="s">
        <v>180</v>
      </c>
      <c r="H4" s="31" t="s">
        <v>94</v>
      </c>
      <c r="I4" s="36" t="s">
        <v>181</v>
      </c>
      <c r="P4" s="31"/>
      <c r="Q4" s="31"/>
      <c r="R4" s="35"/>
      <c r="S4" s="31"/>
    </row>
    <row r="6" spans="1:19" x14ac:dyDescent="0.2">
      <c r="B6" s="139">
        <f>LeagueTotals!O19</f>
        <v>2934</v>
      </c>
      <c r="C6" s="139">
        <f>LeagueTotals!H38</f>
        <v>4154</v>
      </c>
      <c r="D6" s="139">
        <f>LeagueTotals!P19</f>
        <v>7280</v>
      </c>
      <c r="E6" s="139">
        <f>LeagueTotals!W19</f>
        <v>332</v>
      </c>
      <c r="F6" s="139">
        <f>LeagueTotals!AH19</f>
        <v>91956</v>
      </c>
      <c r="G6" s="25">
        <f>LeagueTotals!K19</f>
        <v>21611</v>
      </c>
      <c r="H6" s="139">
        <f>LeagueTotals!N19</f>
        <v>10089</v>
      </c>
      <c r="I6" s="37">
        <f>(H6*9)/G6</f>
        <v>4.2016102910554807</v>
      </c>
      <c r="P6"/>
      <c r="Q6"/>
      <c r="R6" s="3"/>
      <c r="S6"/>
    </row>
    <row r="7" spans="1:19" x14ac:dyDescent="0.2">
      <c r="P7"/>
      <c r="Q7"/>
      <c r="R7" s="3"/>
      <c r="S7"/>
    </row>
    <row r="8" spans="1:19" x14ac:dyDescent="0.2">
      <c r="J8" s="38" t="s">
        <v>183</v>
      </c>
      <c r="K8" s="39">
        <f>B6/(F6-E6)*100</f>
        <v>3.2022177595389856</v>
      </c>
      <c r="P8"/>
      <c r="Q8"/>
      <c r="R8" s="3"/>
      <c r="S8"/>
    </row>
    <row r="9" spans="1:19" x14ac:dyDescent="0.2">
      <c r="J9" s="38" t="s">
        <v>184</v>
      </c>
      <c r="K9" s="39">
        <f>C6/(F6-E6)*100</f>
        <v>4.5337466166070026</v>
      </c>
      <c r="P9"/>
      <c r="Q9"/>
      <c r="R9" s="3"/>
      <c r="S9"/>
    </row>
    <row r="10" spans="1:19" x14ac:dyDescent="0.2">
      <c r="J10" s="38" t="s">
        <v>185</v>
      </c>
      <c r="K10" s="39">
        <f>(D6-E6)/(F6-E6)*114.3</f>
        <v>8.6675587182397624</v>
      </c>
      <c r="P10"/>
      <c r="Q10"/>
      <c r="R10" s="3"/>
      <c r="S10"/>
    </row>
    <row r="11" spans="1:19" x14ac:dyDescent="0.2">
      <c r="J11" s="38" t="s">
        <v>186</v>
      </c>
      <c r="K11" s="39">
        <f>K9/36</f>
        <v>0.12593740601686118</v>
      </c>
      <c r="P11"/>
      <c r="Q11"/>
      <c r="R11" s="3"/>
      <c r="S11"/>
    </row>
    <row r="12" spans="1:19" x14ac:dyDescent="0.2">
      <c r="K12" s="40"/>
      <c r="P12"/>
      <c r="Q12"/>
      <c r="R12" s="3"/>
      <c r="S12"/>
    </row>
    <row r="13" spans="1:19" x14ac:dyDescent="0.2">
      <c r="K13" s="40"/>
      <c r="P13"/>
      <c r="Q13"/>
      <c r="R13" s="3"/>
      <c r="S13"/>
    </row>
    <row r="14" spans="1:19" x14ac:dyDescent="0.2">
      <c r="A14" s="24" t="s">
        <v>182</v>
      </c>
      <c r="K14" s="40"/>
      <c r="P14"/>
      <c r="Q14"/>
      <c r="R14" s="3"/>
      <c r="S14"/>
    </row>
    <row r="15" spans="1:19" x14ac:dyDescent="0.2">
      <c r="B15" s="31" t="s">
        <v>175</v>
      </c>
      <c r="C15" s="31" t="s">
        <v>176</v>
      </c>
      <c r="D15" s="31" t="s">
        <v>177</v>
      </c>
      <c r="E15" s="31" t="s">
        <v>178</v>
      </c>
      <c r="F15" s="31" t="s">
        <v>179</v>
      </c>
      <c r="G15" s="35" t="s">
        <v>180</v>
      </c>
      <c r="H15" s="31" t="s">
        <v>94</v>
      </c>
      <c r="I15" s="36" t="s">
        <v>181</v>
      </c>
      <c r="K15" s="40"/>
      <c r="P15"/>
      <c r="Q15"/>
      <c r="R15" s="3"/>
      <c r="S15"/>
    </row>
    <row r="16" spans="1:19" x14ac:dyDescent="0.2">
      <c r="K16" s="40"/>
      <c r="M16"/>
      <c r="N16" s="45"/>
      <c r="O16"/>
      <c r="P16"/>
      <c r="Q16"/>
      <c r="R16" s="3"/>
      <c r="S16"/>
    </row>
    <row r="17" spans="1:19" x14ac:dyDescent="0.2">
      <c r="B17" s="24">
        <f>LeagueTotals!O58</f>
        <v>2676</v>
      </c>
      <c r="C17" s="139">
        <f>LeagueTotals!H77</f>
        <v>4100</v>
      </c>
      <c r="D17" s="24">
        <f>LeagueTotals!P58</f>
        <v>7808</v>
      </c>
      <c r="E17" s="24">
        <f>LeagueTotals!W58</f>
        <v>600</v>
      </c>
      <c r="F17" s="24">
        <f>LeagueTotals!AH58</f>
        <v>92622</v>
      </c>
      <c r="G17" s="25">
        <f>LeagueTotals!K58</f>
        <v>21695.33</v>
      </c>
      <c r="H17" s="24">
        <f>LeagueTotals!N58</f>
        <v>10035</v>
      </c>
      <c r="I17" s="37">
        <f>(H17*9)/G17</f>
        <v>4.1628774487412725</v>
      </c>
      <c r="K17" s="40"/>
      <c r="M17"/>
      <c r="N17" s="45"/>
      <c r="O17"/>
      <c r="P17"/>
      <c r="Q17"/>
      <c r="R17" s="3"/>
      <c r="S17"/>
    </row>
    <row r="18" spans="1:19" x14ac:dyDescent="0.2">
      <c r="K18" s="40"/>
      <c r="M18"/>
      <c r="N18" s="45"/>
      <c r="O18"/>
      <c r="P18"/>
      <c r="Q18"/>
      <c r="R18" s="3"/>
      <c r="S18"/>
    </row>
    <row r="19" spans="1:19" x14ac:dyDescent="0.2">
      <c r="J19" s="38" t="s">
        <v>183</v>
      </c>
      <c r="K19" s="39">
        <f>B17/(F17-E17)*100</f>
        <v>2.9080002608071984</v>
      </c>
      <c r="M19"/>
      <c r="N19" s="45"/>
      <c r="O19"/>
      <c r="P19"/>
      <c r="Q19"/>
      <c r="R19" s="3"/>
      <c r="S19"/>
    </row>
    <row r="20" spans="1:19" x14ac:dyDescent="0.2">
      <c r="J20" s="38" t="s">
        <v>184</v>
      </c>
      <c r="K20" s="39">
        <f>C17/(F17-E17)*100</f>
        <v>4.4554563039273214</v>
      </c>
    </row>
    <row r="21" spans="1:19" x14ac:dyDescent="0.2">
      <c r="J21" s="38" t="s">
        <v>185</v>
      </c>
      <c r="K21" s="39">
        <f>(D17-E17)/(F17-E17)*114.3</f>
        <v>8.9530155832300977</v>
      </c>
    </row>
    <row r="22" spans="1:19" x14ac:dyDescent="0.2">
      <c r="J22" s="38" t="s">
        <v>186</v>
      </c>
      <c r="K22" s="39">
        <f>K20/36</f>
        <v>0.12376267510909227</v>
      </c>
    </row>
    <row r="25" spans="1:19" x14ac:dyDescent="0.2">
      <c r="A25" s="24" t="s">
        <v>0</v>
      </c>
      <c r="I25" s="139">
        <v>100</v>
      </c>
      <c r="J25" s="30" t="s">
        <v>744</v>
      </c>
      <c r="K25" s="24">
        <f>100/162</f>
        <v>0.61728395061728392</v>
      </c>
      <c r="M25" s="31"/>
      <c r="N25" s="31"/>
      <c r="O25" s="31"/>
      <c r="P25" s="31"/>
      <c r="Q25" s="31"/>
      <c r="R25" s="35"/>
      <c r="S25" s="31"/>
    </row>
    <row r="26" spans="1:19" x14ac:dyDescent="0.2">
      <c r="I26" s="139"/>
    </row>
    <row r="27" spans="1:19" x14ac:dyDescent="0.2">
      <c r="A27" s="24" t="s">
        <v>1606</v>
      </c>
      <c r="I27" s="139">
        <v>90</v>
      </c>
      <c r="J27" s="30" t="s">
        <v>744</v>
      </c>
      <c r="K27" s="24">
        <f>90/162</f>
        <v>0.55555555555555558</v>
      </c>
      <c r="M27"/>
      <c r="N27" s="45"/>
      <c r="O27"/>
      <c r="P27"/>
      <c r="Q27"/>
      <c r="R27" s="3"/>
      <c r="S27"/>
    </row>
    <row r="28" spans="1:19" x14ac:dyDescent="0.2">
      <c r="M28" s="24" t="s">
        <v>729</v>
      </c>
      <c r="P28"/>
      <c r="Q28"/>
      <c r="R28" s="3"/>
      <c r="S28"/>
    </row>
    <row r="29" spans="1:19" x14ac:dyDescent="0.2">
      <c r="P29"/>
      <c r="Q29"/>
      <c r="R29" s="3"/>
      <c r="S29"/>
    </row>
    <row r="30" spans="1:19" ht="18.75" x14ac:dyDescent="0.2">
      <c r="M30" s="173" t="s">
        <v>693</v>
      </c>
      <c r="N30" s="173" t="s">
        <v>694</v>
      </c>
      <c r="O30" s="173" t="s">
        <v>695</v>
      </c>
      <c r="P30"/>
      <c r="Q30"/>
      <c r="R30" s="3"/>
      <c r="S30"/>
    </row>
    <row r="31" spans="1:19" ht="18.75" x14ac:dyDescent="0.2">
      <c r="M31" s="173" t="s">
        <v>696</v>
      </c>
      <c r="N31" s="173" t="s">
        <v>697</v>
      </c>
      <c r="O31" s="173" t="s">
        <v>698</v>
      </c>
      <c r="P31"/>
      <c r="Q31"/>
      <c r="R31" s="3"/>
      <c r="S31"/>
    </row>
    <row r="32" spans="1:19" ht="18.75" x14ac:dyDescent="0.2">
      <c r="A32" s="25"/>
      <c r="M32" s="173" t="s">
        <v>699</v>
      </c>
      <c r="N32" s="173" t="s">
        <v>700</v>
      </c>
      <c r="O32" s="173" t="s">
        <v>701</v>
      </c>
      <c r="P32"/>
      <c r="Q32"/>
      <c r="R32" s="3"/>
      <c r="S32"/>
    </row>
    <row r="33" spans="1:19" ht="18.75" x14ac:dyDescent="0.2">
      <c r="A33" s="25"/>
      <c r="M33" s="173" t="s">
        <v>702</v>
      </c>
      <c r="N33" s="173" t="s">
        <v>703</v>
      </c>
      <c r="O33" s="173" t="s">
        <v>728</v>
      </c>
      <c r="P33"/>
      <c r="Q33"/>
      <c r="R33" s="3"/>
      <c r="S33"/>
    </row>
    <row r="34" spans="1:19" ht="18.75" x14ac:dyDescent="0.2">
      <c r="A34" s="25"/>
      <c r="M34" s="173" t="s">
        <v>704</v>
      </c>
      <c r="N34" s="173" t="s">
        <v>705</v>
      </c>
      <c r="O34" s="173" t="s">
        <v>706</v>
      </c>
      <c r="P34"/>
      <c r="Q34"/>
      <c r="R34" s="3"/>
      <c r="S34"/>
    </row>
    <row r="35" spans="1:19" ht="18.75" x14ac:dyDescent="0.2">
      <c r="M35" s="173" t="s">
        <v>707</v>
      </c>
      <c r="N35" s="173" t="s">
        <v>708</v>
      </c>
      <c r="O35" s="173" t="s">
        <v>709</v>
      </c>
      <c r="P35"/>
      <c r="Q35"/>
      <c r="R35" s="3"/>
      <c r="S35"/>
    </row>
    <row r="36" spans="1:19" ht="18.75" x14ac:dyDescent="0.2">
      <c r="M36" s="173" t="s">
        <v>710</v>
      </c>
      <c r="N36" s="173" t="s">
        <v>711</v>
      </c>
      <c r="O36" s="173" t="s">
        <v>712</v>
      </c>
      <c r="P36"/>
      <c r="Q36"/>
      <c r="R36" s="3"/>
      <c r="S36"/>
    </row>
    <row r="37" spans="1:19" ht="18.75" x14ac:dyDescent="0.2">
      <c r="M37" s="173" t="s">
        <v>713</v>
      </c>
      <c r="N37" s="173" t="s">
        <v>714</v>
      </c>
      <c r="O37" s="173" t="s">
        <v>715</v>
      </c>
      <c r="P37"/>
      <c r="Q37"/>
      <c r="R37" s="3"/>
      <c r="S37"/>
    </row>
    <row r="38" spans="1:19" ht="18.75" x14ac:dyDescent="0.2">
      <c r="M38" s="173" t="s">
        <v>716</v>
      </c>
      <c r="N38" s="173" t="s">
        <v>727</v>
      </c>
      <c r="O38" s="173" t="s">
        <v>717</v>
      </c>
      <c r="P38"/>
      <c r="Q38"/>
      <c r="R38" s="3"/>
      <c r="S38"/>
    </row>
    <row r="39" spans="1:19" ht="18.75" x14ac:dyDescent="0.2">
      <c r="M39" s="173" t="s">
        <v>718</v>
      </c>
      <c r="N39" s="173" t="s">
        <v>726</v>
      </c>
      <c r="O39" s="173" t="s">
        <v>719</v>
      </c>
      <c r="P39"/>
      <c r="Q39"/>
      <c r="R39" s="3"/>
      <c r="S39"/>
    </row>
    <row r="40" spans="1:19" ht="18.75" x14ac:dyDescent="0.2">
      <c r="M40" s="173" t="s">
        <v>720</v>
      </c>
      <c r="N40" s="173" t="s">
        <v>725</v>
      </c>
      <c r="O40" s="173" t="s">
        <v>721</v>
      </c>
      <c r="P40"/>
      <c r="Q40"/>
      <c r="R40" s="3"/>
      <c r="S40"/>
    </row>
    <row r="41" spans="1:19" ht="18.75" x14ac:dyDescent="0.2">
      <c r="M41" s="173" t="s">
        <v>724</v>
      </c>
      <c r="N41" s="173" t="s">
        <v>722</v>
      </c>
      <c r="O41" s="173" t="s">
        <v>723</v>
      </c>
      <c r="P41"/>
      <c r="Q41"/>
      <c r="R41" s="3"/>
      <c r="S41"/>
    </row>
    <row r="42" spans="1:19" x14ac:dyDescent="0.2">
      <c r="M42"/>
      <c r="N42" s="45"/>
      <c r="O42"/>
      <c r="P42"/>
      <c r="Q42"/>
      <c r="R42" s="3"/>
      <c r="S42"/>
    </row>
    <row r="43" spans="1:19" x14ac:dyDescent="0.2">
      <c r="R43" s="25"/>
    </row>
    <row r="44" spans="1:19" x14ac:dyDescent="0.2">
      <c r="R44" s="25"/>
    </row>
  </sheetData>
  <phoneticPr fontId="12" type="noConversion"/>
  <pageMargins left="0.75" right="0.7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U77"/>
  <sheetViews>
    <sheetView topLeftCell="A25" zoomScale="75" zoomScaleNormal="75" workbookViewId="0">
      <selection activeCell="K57" sqref="K57"/>
    </sheetView>
  </sheetViews>
  <sheetFormatPr defaultRowHeight="12.75" x14ac:dyDescent="0.2"/>
  <cols>
    <col min="1" max="1" width="4.7109375" style="61" bestFit="1" customWidth="1"/>
    <col min="2" max="2" width="18.85546875" style="19" bestFit="1" customWidth="1"/>
    <col min="3" max="3" width="7.42578125" bestFit="1" customWidth="1"/>
    <col min="4" max="4" width="8.140625" bestFit="1" customWidth="1"/>
    <col min="5" max="5" width="3.5703125" bestFit="1" customWidth="1"/>
    <col min="6" max="6" width="6" style="3" bestFit="1" customWidth="1"/>
    <col min="7" max="7" width="7.7109375" bestFit="1" customWidth="1"/>
    <col min="8" max="8" width="8.28515625" style="3" bestFit="1" customWidth="1"/>
    <col min="9" max="9" width="6.5703125" style="62" bestFit="1" customWidth="1"/>
    <col min="10" max="10" width="6.42578125" style="62" bestFit="1" customWidth="1"/>
    <col min="11" max="12" width="9.42578125" style="3" bestFit="1" customWidth="1"/>
    <col min="13" max="13" width="8.28515625" style="3" bestFit="1" customWidth="1"/>
    <col min="14" max="14" width="6.5703125" bestFit="1" customWidth="1"/>
    <col min="15" max="15" width="6.42578125" bestFit="1" customWidth="1"/>
    <col min="16" max="16" width="5.85546875" bestFit="1" customWidth="1"/>
    <col min="17" max="17" width="6.42578125" bestFit="1" customWidth="1"/>
    <col min="18" max="18" width="6.5703125" style="2" bestFit="1" customWidth="1"/>
    <col min="19" max="19" width="6.42578125" style="3" bestFit="1" customWidth="1"/>
    <col min="20" max="20" width="6.42578125" style="2" bestFit="1" customWidth="1"/>
    <col min="21" max="21" width="6.5703125" style="3" bestFit="1" customWidth="1"/>
    <col min="22" max="22" width="8.140625" bestFit="1" customWidth="1"/>
    <col min="23" max="23" width="4.7109375" style="62" bestFit="1" customWidth="1"/>
    <col min="24" max="24" width="7" style="62" bestFit="1" customWidth="1"/>
    <col min="25" max="25" width="4.7109375" bestFit="1" customWidth="1"/>
    <col min="26" max="26" width="4.85546875" bestFit="1" customWidth="1"/>
    <col min="27" max="28" width="5.42578125" bestFit="1" customWidth="1"/>
    <col min="29" max="29" width="6.5703125" bestFit="1" customWidth="1"/>
    <col min="30" max="30" width="6.85546875" bestFit="1" customWidth="1"/>
    <col min="31" max="31" width="6.42578125" bestFit="1" customWidth="1"/>
    <col min="32" max="33" width="4.7109375" bestFit="1" customWidth="1"/>
    <col min="34" max="34" width="6.5703125" bestFit="1" customWidth="1"/>
    <col min="35" max="35" width="7.5703125" bestFit="1" customWidth="1"/>
    <col min="36" max="36" width="7" bestFit="1" customWidth="1"/>
    <col min="37" max="37" width="6.5703125" style="2" bestFit="1" customWidth="1"/>
    <col min="38" max="38" width="8" style="2" bestFit="1" customWidth="1"/>
    <col min="39" max="39" width="8.140625" style="2" bestFit="1" customWidth="1"/>
    <col min="40" max="40" width="8" style="2" bestFit="1" customWidth="1"/>
    <col min="41" max="41" width="8.140625" style="2" bestFit="1" customWidth="1"/>
    <col min="42" max="42" width="7.5703125" style="2" bestFit="1" customWidth="1"/>
    <col min="43" max="43" width="9.140625" style="3"/>
    <col min="44" max="44" width="7.5703125" style="3" bestFit="1" customWidth="1"/>
    <col min="45" max="45" width="9.28515625" style="3" bestFit="1" customWidth="1"/>
    <col min="46" max="46" width="8.28515625" style="3" bestFit="1" customWidth="1"/>
    <col min="47" max="47" width="9.140625" style="3"/>
  </cols>
  <sheetData>
    <row r="1" spans="1:47" x14ac:dyDescent="0.2">
      <c r="A1" s="76"/>
      <c r="B1" s="95"/>
      <c r="C1" s="76"/>
      <c r="D1" s="76"/>
      <c r="E1" s="76"/>
      <c r="F1" s="76"/>
      <c r="G1" s="76"/>
      <c r="H1" s="97"/>
      <c r="I1" s="76"/>
      <c r="J1" s="76"/>
      <c r="K1" s="76"/>
      <c r="L1" s="97"/>
      <c r="M1" s="97"/>
      <c r="N1" s="76"/>
      <c r="O1" s="76"/>
      <c r="P1" s="76"/>
      <c r="Q1" s="76"/>
      <c r="R1" s="76"/>
      <c r="S1" s="76"/>
      <c r="T1" s="100"/>
      <c r="U1" s="97"/>
      <c r="V1" s="76"/>
      <c r="W1" s="76"/>
      <c r="X1" s="76"/>
      <c r="Y1" s="76"/>
      <c r="Z1" s="76"/>
      <c r="AA1" s="76"/>
      <c r="AB1" s="76"/>
      <c r="AC1" s="76"/>
      <c r="AD1" s="76"/>
      <c r="AE1" s="76"/>
      <c r="AF1" s="76"/>
      <c r="AG1" s="76"/>
      <c r="AH1" s="76"/>
      <c r="AI1" s="76"/>
      <c r="AJ1" s="76"/>
      <c r="AK1" s="100"/>
      <c r="AL1" s="100"/>
      <c r="AM1" s="100"/>
      <c r="AN1" s="100"/>
      <c r="AO1" s="100"/>
      <c r="AP1" s="100"/>
      <c r="AQ1" s="97"/>
      <c r="AR1" s="97"/>
      <c r="AS1" s="97"/>
      <c r="AT1" s="97"/>
    </row>
    <row r="2" spans="1:47" ht="25.5" x14ac:dyDescent="0.2">
      <c r="A2" s="225" t="s">
        <v>105</v>
      </c>
      <c r="B2" s="225" t="s">
        <v>157</v>
      </c>
      <c r="C2" s="225" t="s">
        <v>112</v>
      </c>
      <c r="D2" s="225" t="s">
        <v>85</v>
      </c>
      <c r="E2" s="225" t="s">
        <v>86</v>
      </c>
      <c r="F2" s="225" t="s">
        <v>107</v>
      </c>
      <c r="G2" s="225" t="s">
        <v>108</v>
      </c>
      <c r="H2" s="225" t="s">
        <v>88</v>
      </c>
      <c r="I2" s="225" t="s">
        <v>90</v>
      </c>
      <c r="J2" s="225" t="s">
        <v>158</v>
      </c>
      <c r="K2" s="225" t="s">
        <v>91</v>
      </c>
      <c r="L2" s="225" t="s">
        <v>92</v>
      </c>
      <c r="M2" s="225" t="s">
        <v>93</v>
      </c>
      <c r="N2" s="225" t="s">
        <v>94</v>
      </c>
      <c r="O2" s="225" t="s">
        <v>95</v>
      </c>
      <c r="P2" s="225" t="s">
        <v>96</v>
      </c>
      <c r="Q2" s="225" t="s">
        <v>97</v>
      </c>
      <c r="R2" s="225" t="s">
        <v>1071</v>
      </c>
      <c r="S2" s="225" t="s">
        <v>1072</v>
      </c>
      <c r="T2" s="225" t="s">
        <v>89</v>
      </c>
      <c r="U2" s="225" t="s">
        <v>1073</v>
      </c>
      <c r="V2" s="225" t="s">
        <v>1074</v>
      </c>
      <c r="W2" s="225" t="s">
        <v>98</v>
      </c>
      <c r="X2" s="225" t="s">
        <v>1075</v>
      </c>
      <c r="Y2" s="225" t="s">
        <v>1076</v>
      </c>
      <c r="Z2" s="225" t="s">
        <v>1077</v>
      </c>
      <c r="AA2" s="225" t="s">
        <v>1066</v>
      </c>
      <c r="AB2" s="225" t="s">
        <v>1067</v>
      </c>
      <c r="AC2" s="225" t="s">
        <v>1078</v>
      </c>
      <c r="AD2" s="225" t="s">
        <v>1079</v>
      </c>
      <c r="AE2" s="225" t="s">
        <v>1057</v>
      </c>
      <c r="AF2" s="225" t="s">
        <v>1058</v>
      </c>
      <c r="AG2" s="225" t="s">
        <v>1080</v>
      </c>
      <c r="AH2" s="225" t="s">
        <v>109</v>
      </c>
      <c r="AI2" s="225" t="s">
        <v>1069</v>
      </c>
      <c r="AJ2" s="201" t="s">
        <v>1060</v>
      </c>
      <c r="AK2" s="201" t="s">
        <v>1061</v>
      </c>
      <c r="AL2"/>
      <c r="AM2"/>
      <c r="AN2"/>
      <c r="AO2"/>
      <c r="AP2"/>
      <c r="AQ2"/>
      <c r="AR2"/>
      <c r="AS2"/>
      <c r="AT2"/>
      <c r="AU2"/>
    </row>
    <row r="3" spans="1:47" x14ac:dyDescent="0.2">
      <c r="A3" s="76">
        <v>1</v>
      </c>
      <c r="B3" s="77" t="s">
        <v>123</v>
      </c>
      <c r="C3" s="76" t="s">
        <v>174</v>
      </c>
      <c r="D3" s="76">
        <v>89</v>
      </c>
      <c r="E3" s="76">
        <v>73</v>
      </c>
      <c r="F3" s="76">
        <v>3.78</v>
      </c>
      <c r="G3" s="76">
        <v>162</v>
      </c>
      <c r="H3" s="76">
        <v>162</v>
      </c>
      <c r="I3" s="76">
        <v>43</v>
      </c>
      <c r="J3" s="76">
        <v>66</v>
      </c>
      <c r="K3" s="76">
        <v>1459.33</v>
      </c>
      <c r="L3" s="76">
        <v>1340</v>
      </c>
      <c r="M3" s="76">
        <v>666</v>
      </c>
      <c r="N3" s="76">
        <v>613</v>
      </c>
      <c r="O3" s="76">
        <v>183</v>
      </c>
      <c r="P3" s="76">
        <v>461</v>
      </c>
      <c r="Q3" s="76">
        <v>1314</v>
      </c>
      <c r="R3" s="76">
        <v>0.24199999999999999</v>
      </c>
      <c r="S3" s="76">
        <v>1.23</v>
      </c>
      <c r="T3" s="76">
        <v>0</v>
      </c>
      <c r="U3" s="76">
        <v>10</v>
      </c>
      <c r="V3" s="76">
        <v>59</v>
      </c>
      <c r="W3" s="76">
        <v>10</v>
      </c>
      <c r="X3" s="76">
        <v>162</v>
      </c>
      <c r="Y3" s="76">
        <v>74</v>
      </c>
      <c r="Z3" s="76">
        <v>127</v>
      </c>
      <c r="AA3" s="76">
        <v>1561</v>
      </c>
      <c r="AB3" s="76">
        <v>1377</v>
      </c>
      <c r="AC3" s="76">
        <v>50</v>
      </c>
      <c r="AD3" s="76">
        <v>7</v>
      </c>
      <c r="AE3" s="76">
        <v>84</v>
      </c>
      <c r="AF3" s="76">
        <v>20</v>
      </c>
      <c r="AG3" s="76">
        <v>5</v>
      </c>
      <c r="AH3" s="76">
        <v>6113</v>
      </c>
      <c r="AI3" s="76">
        <v>23244</v>
      </c>
      <c r="AJ3" s="76">
        <v>0.38200000000000001</v>
      </c>
      <c r="AK3" s="76">
        <v>0.68100000000000005</v>
      </c>
      <c r="AL3"/>
      <c r="AM3"/>
      <c r="AN3"/>
      <c r="AO3"/>
      <c r="AP3"/>
      <c r="AQ3"/>
      <c r="AR3"/>
      <c r="AS3"/>
      <c r="AT3"/>
      <c r="AU3"/>
    </row>
    <row r="4" spans="1:47" x14ac:dyDescent="0.2">
      <c r="A4" s="76">
        <v>2</v>
      </c>
      <c r="B4" s="77" t="s">
        <v>122</v>
      </c>
      <c r="C4" s="76" t="s">
        <v>174</v>
      </c>
      <c r="D4" s="76">
        <v>94</v>
      </c>
      <c r="E4" s="76">
        <v>67</v>
      </c>
      <c r="F4" s="76">
        <v>3.84</v>
      </c>
      <c r="G4" s="76">
        <v>161</v>
      </c>
      <c r="H4" s="76">
        <v>161</v>
      </c>
      <c r="I4" s="76">
        <v>37</v>
      </c>
      <c r="J4" s="76">
        <v>48</v>
      </c>
      <c r="K4" s="76">
        <v>1445</v>
      </c>
      <c r="L4" s="76">
        <v>1330</v>
      </c>
      <c r="M4" s="76">
        <v>676</v>
      </c>
      <c r="N4" s="76">
        <v>617</v>
      </c>
      <c r="O4" s="76">
        <v>186</v>
      </c>
      <c r="P4" s="76">
        <v>461</v>
      </c>
      <c r="Q4" s="76">
        <v>1398</v>
      </c>
      <c r="R4" s="76">
        <v>0.24299999999999999</v>
      </c>
      <c r="S4" s="76">
        <v>1.24</v>
      </c>
      <c r="T4" s="76">
        <v>5</v>
      </c>
      <c r="U4" s="76">
        <v>11</v>
      </c>
      <c r="V4" s="76">
        <v>34</v>
      </c>
      <c r="W4" s="76">
        <v>34</v>
      </c>
      <c r="X4" s="76">
        <v>156</v>
      </c>
      <c r="Y4" s="76">
        <v>54</v>
      </c>
      <c r="Z4" s="76">
        <v>103</v>
      </c>
      <c r="AA4" s="76">
        <v>1548</v>
      </c>
      <c r="AB4" s="76">
        <v>1262</v>
      </c>
      <c r="AC4" s="76">
        <v>49</v>
      </c>
      <c r="AD4" s="76">
        <v>7</v>
      </c>
      <c r="AE4" s="76">
        <v>51</v>
      </c>
      <c r="AF4" s="76">
        <v>32</v>
      </c>
      <c r="AG4" s="76">
        <v>5</v>
      </c>
      <c r="AH4" s="76">
        <v>6033</v>
      </c>
      <c r="AI4" s="76">
        <v>23297</v>
      </c>
      <c r="AJ4" s="76">
        <v>0.38600000000000001</v>
      </c>
      <c r="AK4" s="76">
        <v>0.68300000000000005</v>
      </c>
      <c r="AL4"/>
      <c r="AM4"/>
      <c r="AN4"/>
      <c r="AO4"/>
      <c r="AP4"/>
      <c r="AQ4"/>
      <c r="AR4"/>
      <c r="AS4"/>
      <c r="AT4"/>
      <c r="AU4"/>
    </row>
    <row r="5" spans="1:47" x14ac:dyDescent="0.2">
      <c r="A5" s="76">
        <v>3</v>
      </c>
      <c r="B5" s="77" t="s">
        <v>118</v>
      </c>
      <c r="C5" s="76" t="s">
        <v>174</v>
      </c>
      <c r="D5" s="76">
        <v>86</v>
      </c>
      <c r="E5" s="76">
        <v>76</v>
      </c>
      <c r="F5" s="76">
        <v>4</v>
      </c>
      <c r="G5" s="76">
        <v>162</v>
      </c>
      <c r="H5" s="76">
        <v>162</v>
      </c>
      <c r="I5" s="76">
        <v>49</v>
      </c>
      <c r="J5" s="76">
        <v>74</v>
      </c>
      <c r="K5" s="76">
        <v>1457</v>
      </c>
      <c r="L5" s="76">
        <v>1410</v>
      </c>
      <c r="M5" s="76">
        <v>707</v>
      </c>
      <c r="N5" s="76">
        <v>647</v>
      </c>
      <c r="O5" s="76">
        <v>213</v>
      </c>
      <c r="P5" s="76">
        <v>460</v>
      </c>
      <c r="Q5" s="76">
        <v>1318</v>
      </c>
      <c r="R5" s="76">
        <v>0.253</v>
      </c>
      <c r="S5" s="76">
        <v>1.28</v>
      </c>
      <c r="T5" s="76">
        <v>2</v>
      </c>
      <c r="U5" s="76">
        <v>8</v>
      </c>
      <c r="V5" s="76">
        <v>55</v>
      </c>
      <c r="W5" s="76">
        <v>30</v>
      </c>
      <c r="X5" s="76">
        <v>160</v>
      </c>
      <c r="Y5" s="76">
        <v>97</v>
      </c>
      <c r="Z5" s="76">
        <v>135</v>
      </c>
      <c r="AA5" s="76">
        <v>1447</v>
      </c>
      <c r="AB5" s="76">
        <v>1457</v>
      </c>
      <c r="AC5" s="76">
        <v>52</v>
      </c>
      <c r="AD5" s="76">
        <v>7</v>
      </c>
      <c r="AE5" s="76">
        <v>81</v>
      </c>
      <c r="AF5" s="76">
        <v>32</v>
      </c>
      <c r="AG5" s="76">
        <v>9</v>
      </c>
      <c r="AH5" s="76">
        <v>6147</v>
      </c>
      <c r="AI5" s="76">
        <v>23543</v>
      </c>
      <c r="AJ5" s="76">
        <v>0.39600000000000002</v>
      </c>
      <c r="AK5" s="76">
        <v>0.71</v>
      </c>
      <c r="AL5"/>
      <c r="AM5"/>
      <c r="AN5"/>
      <c r="AO5"/>
      <c r="AP5"/>
      <c r="AQ5"/>
      <c r="AR5"/>
      <c r="AS5"/>
      <c r="AT5"/>
      <c r="AU5"/>
    </row>
    <row r="6" spans="1:47" x14ac:dyDescent="0.2">
      <c r="A6" s="76">
        <v>4</v>
      </c>
      <c r="B6" s="77" t="s">
        <v>121</v>
      </c>
      <c r="C6" s="76" t="s">
        <v>174</v>
      </c>
      <c r="D6" s="76">
        <v>93</v>
      </c>
      <c r="E6" s="76">
        <v>69</v>
      </c>
      <c r="F6" s="76">
        <v>4</v>
      </c>
      <c r="G6" s="76">
        <v>162</v>
      </c>
      <c r="H6" s="76">
        <v>162</v>
      </c>
      <c r="I6" s="76">
        <v>43</v>
      </c>
      <c r="J6" s="76">
        <v>61</v>
      </c>
      <c r="K6" s="76">
        <v>1439.67</v>
      </c>
      <c r="L6" s="76">
        <v>1342</v>
      </c>
      <c r="M6" s="76">
        <v>694</v>
      </c>
      <c r="N6" s="76">
        <v>640</v>
      </c>
      <c r="O6" s="76">
        <v>176</v>
      </c>
      <c r="P6" s="76">
        <v>490</v>
      </c>
      <c r="Q6" s="76">
        <v>1362</v>
      </c>
      <c r="R6" s="76">
        <v>0.246</v>
      </c>
      <c r="S6" s="76">
        <v>1.27</v>
      </c>
      <c r="T6" s="76">
        <v>9</v>
      </c>
      <c r="U6" s="76">
        <v>5</v>
      </c>
      <c r="V6" s="76">
        <v>65</v>
      </c>
      <c r="W6" s="76">
        <v>16</v>
      </c>
      <c r="X6" s="76">
        <v>153</v>
      </c>
      <c r="Y6" s="76">
        <v>82</v>
      </c>
      <c r="Z6" s="76">
        <v>117</v>
      </c>
      <c r="AA6" s="76">
        <v>1342</v>
      </c>
      <c r="AB6" s="76">
        <v>1472</v>
      </c>
      <c r="AC6" s="76">
        <v>52</v>
      </c>
      <c r="AD6" s="76">
        <v>0</v>
      </c>
      <c r="AE6" s="76">
        <v>59</v>
      </c>
      <c r="AF6" s="76">
        <v>33</v>
      </c>
      <c r="AG6" s="76">
        <v>3</v>
      </c>
      <c r="AH6" s="76">
        <v>6073</v>
      </c>
      <c r="AI6" s="76">
        <v>23588</v>
      </c>
      <c r="AJ6" s="76">
        <v>0.38500000000000001</v>
      </c>
      <c r="AK6" s="76">
        <v>0.68899999999999995</v>
      </c>
      <c r="AL6"/>
      <c r="AM6"/>
      <c r="AN6"/>
      <c r="AO6"/>
      <c r="AP6"/>
      <c r="AQ6"/>
      <c r="AR6"/>
      <c r="AS6"/>
      <c r="AT6"/>
      <c r="AU6"/>
    </row>
    <row r="7" spans="1:47" x14ac:dyDescent="0.2">
      <c r="A7" s="76">
        <v>5</v>
      </c>
      <c r="B7" s="77" t="s">
        <v>141</v>
      </c>
      <c r="C7" s="76" t="s">
        <v>174</v>
      </c>
      <c r="D7" s="76">
        <v>84</v>
      </c>
      <c r="E7" s="76">
        <v>78</v>
      </c>
      <c r="F7" s="76">
        <v>4.0599999999999996</v>
      </c>
      <c r="G7" s="76">
        <v>162</v>
      </c>
      <c r="H7" s="76">
        <v>162</v>
      </c>
      <c r="I7" s="76">
        <v>44</v>
      </c>
      <c r="J7" s="76">
        <v>64</v>
      </c>
      <c r="K7" s="76">
        <v>1468</v>
      </c>
      <c r="L7" s="76">
        <v>1441</v>
      </c>
      <c r="M7" s="76">
        <v>701</v>
      </c>
      <c r="N7" s="76">
        <v>663</v>
      </c>
      <c r="O7" s="76">
        <v>181</v>
      </c>
      <c r="P7" s="76">
        <v>453</v>
      </c>
      <c r="Q7" s="76">
        <v>1396</v>
      </c>
      <c r="R7" s="76">
        <v>0.25600000000000001</v>
      </c>
      <c r="S7" s="76">
        <v>1.29</v>
      </c>
      <c r="T7" s="76">
        <v>2</v>
      </c>
      <c r="U7" s="76">
        <v>8</v>
      </c>
      <c r="V7" s="76">
        <v>39</v>
      </c>
      <c r="W7" s="76">
        <v>19</v>
      </c>
      <c r="X7" s="76">
        <v>160</v>
      </c>
      <c r="Y7" s="76">
        <v>102</v>
      </c>
      <c r="Z7" s="76">
        <v>113</v>
      </c>
      <c r="AA7" s="76">
        <v>1514</v>
      </c>
      <c r="AB7" s="76">
        <v>1335</v>
      </c>
      <c r="AC7" s="76">
        <v>98</v>
      </c>
      <c r="AD7" s="76">
        <v>2</v>
      </c>
      <c r="AE7" s="76">
        <v>67</v>
      </c>
      <c r="AF7" s="76">
        <v>31</v>
      </c>
      <c r="AG7" s="76">
        <v>5</v>
      </c>
      <c r="AH7" s="76">
        <v>6180</v>
      </c>
      <c r="AI7" s="76">
        <v>24039</v>
      </c>
      <c r="AJ7" s="76">
        <v>0.40300000000000002</v>
      </c>
      <c r="AK7" s="76">
        <v>0.70699999999999996</v>
      </c>
      <c r="AL7"/>
      <c r="AM7"/>
      <c r="AN7"/>
      <c r="AO7"/>
      <c r="AP7"/>
      <c r="AQ7"/>
      <c r="AR7"/>
      <c r="AS7"/>
      <c r="AT7"/>
      <c r="AU7"/>
    </row>
    <row r="8" spans="1:47" x14ac:dyDescent="0.2">
      <c r="A8" s="76">
        <v>6</v>
      </c>
      <c r="B8" s="77" t="s">
        <v>120</v>
      </c>
      <c r="C8" s="76" t="s">
        <v>174</v>
      </c>
      <c r="D8" s="76">
        <v>78</v>
      </c>
      <c r="E8" s="76">
        <v>84</v>
      </c>
      <c r="F8" s="76">
        <v>4.0999999999999996</v>
      </c>
      <c r="G8" s="76">
        <v>162</v>
      </c>
      <c r="H8" s="76">
        <v>162</v>
      </c>
      <c r="I8" s="76">
        <v>43</v>
      </c>
      <c r="J8" s="76">
        <v>71</v>
      </c>
      <c r="K8" s="76">
        <v>1446.67</v>
      </c>
      <c r="L8" s="76">
        <v>1422</v>
      </c>
      <c r="M8" s="76">
        <v>715</v>
      </c>
      <c r="N8" s="76">
        <v>659</v>
      </c>
      <c r="O8" s="76">
        <v>185</v>
      </c>
      <c r="P8" s="76">
        <v>521</v>
      </c>
      <c r="Q8" s="76">
        <v>1270</v>
      </c>
      <c r="R8" s="76">
        <v>0.25700000000000001</v>
      </c>
      <c r="S8" s="76">
        <v>1.34</v>
      </c>
      <c r="T8" s="76">
        <v>7</v>
      </c>
      <c r="U8" s="76">
        <v>10</v>
      </c>
      <c r="V8" s="76">
        <v>68</v>
      </c>
      <c r="W8" s="76">
        <v>30</v>
      </c>
      <c r="X8" s="76">
        <v>155</v>
      </c>
      <c r="Y8" s="76">
        <v>87</v>
      </c>
      <c r="Z8" s="76">
        <v>123</v>
      </c>
      <c r="AA8" s="76">
        <v>1432</v>
      </c>
      <c r="AB8" s="76">
        <v>1483</v>
      </c>
      <c r="AC8" s="76">
        <v>72</v>
      </c>
      <c r="AD8" s="76">
        <v>2</v>
      </c>
      <c r="AE8" s="76">
        <v>89</v>
      </c>
      <c r="AF8" s="76">
        <v>20</v>
      </c>
      <c r="AG8" s="76">
        <v>4</v>
      </c>
      <c r="AH8" s="76">
        <v>6195</v>
      </c>
      <c r="AI8" s="76">
        <v>23883</v>
      </c>
      <c r="AJ8" s="76">
        <v>0.39600000000000002</v>
      </c>
      <c r="AK8" s="76">
        <v>0.70799999999999996</v>
      </c>
      <c r="AL8"/>
      <c r="AM8"/>
      <c r="AN8"/>
      <c r="AO8"/>
      <c r="AP8"/>
      <c r="AQ8"/>
      <c r="AR8"/>
      <c r="AS8"/>
      <c r="AT8"/>
      <c r="AU8"/>
    </row>
    <row r="9" spans="1:47" x14ac:dyDescent="0.2">
      <c r="A9" s="76">
        <v>7</v>
      </c>
      <c r="B9" s="77" t="s">
        <v>116</v>
      </c>
      <c r="C9" s="76" t="s">
        <v>174</v>
      </c>
      <c r="D9" s="76">
        <v>84</v>
      </c>
      <c r="E9" s="76">
        <v>78</v>
      </c>
      <c r="F9" s="76">
        <v>4.16</v>
      </c>
      <c r="G9" s="76">
        <v>162</v>
      </c>
      <c r="H9" s="76">
        <v>162</v>
      </c>
      <c r="I9" s="76">
        <v>48</v>
      </c>
      <c r="J9" s="76">
        <v>64</v>
      </c>
      <c r="K9" s="76">
        <v>1428.33</v>
      </c>
      <c r="L9" s="76">
        <v>1358</v>
      </c>
      <c r="M9" s="76">
        <v>702</v>
      </c>
      <c r="N9" s="76">
        <v>660</v>
      </c>
      <c r="O9" s="76">
        <v>214</v>
      </c>
      <c r="P9" s="76">
        <v>444</v>
      </c>
      <c r="Q9" s="76">
        <v>1393</v>
      </c>
      <c r="R9" s="76">
        <v>0.248</v>
      </c>
      <c r="S9" s="76">
        <v>1.26</v>
      </c>
      <c r="T9" s="76">
        <v>0</v>
      </c>
      <c r="U9" s="76">
        <v>10</v>
      </c>
      <c r="V9" s="76">
        <v>57</v>
      </c>
      <c r="W9" s="76">
        <v>15</v>
      </c>
      <c r="X9" s="76">
        <v>162</v>
      </c>
      <c r="Y9" s="76">
        <v>80</v>
      </c>
      <c r="Z9" s="76">
        <v>100</v>
      </c>
      <c r="AA9" s="76">
        <v>1491</v>
      </c>
      <c r="AB9" s="76">
        <v>1279</v>
      </c>
      <c r="AC9" s="76">
        <v>52</v>
      </c>
      <c r="AD9" s="76">
        <v>2</v>
      </c>
      <c r="AE9" s="76">
        <v>86</v>
      </c>
      <c r="AF9" s="76">
        <v>31</v>
      </c>
      <c r="AG9" s="76">
        <v>5</v>
      </c>
      <c r="AH9" s="76">
        <v>6023</v>
      </c>
      <c r="AI9" s="76">
        <v>23518</v>
      </c>
      <c r="AJ9" s="76">
        <v>0.41</v>
      </c>
      <c r="AK9" s="76">
        <v>0.73299999999999998</v>
      </c>
      <c r="AL9"/>
      <c r="AM9"/>
      <c r="AN9"/>
      <c r="AO9"/>
      <c r="AP9"/>
      <c r="AQ9"/>
      <c r="AR9"/>
      <c r="AS9"/>
      <c r="AT9"/>
      <c r="AU9"/>
    </row>
    <row r="10" spans="1:47" x14ac:dyDescent="0.2">
      <c r="A10" s="76">
        <v>8</v>
      </c>
      <c r="B10" s="77" t="s">
        <v>114</v>
      </c>
      <c r="C10" s="76" t="s">
        <v>174</v>
      </c>
      <c r="D10" s="76">
        <v>68</v>
      </c>
      <c r="E10" s="76">
        <v>94</v>
      </c>
      <c r="F10" s="76">
        <v>4.2</v>
      </c>
      <c r="G10" s="76">
        <v>162</v>
      </c>
      <c r="H10" s="76">
        <v>162</v>
      </c>
      <c r="I10" s="76">
        <v>42</v>
      </c>
      <c r="J10" s="76">
        <v>60</v>
      </c>
      <c r="K10" s="76">
        <v>1426.33</v>
      </c>
      <c r="L10" s="76">
        <v>1395</v>
      </c>
      <c r="M10" s="76">
        <v>713</v>
      </c>
      <c r="N10" s="76">
        <v>665</v>
      </c>
      <c r="O10" s="76">
        <v>210</v>
      </c>
      <c r="P10" s="76">
        <v>491</v>
      </c>
      <c r="Q10" s="76">
        <v>1357</v>
      </c>
      <c r="R10" s="76">
        <v>0.255</v>
      </c>
      <c r="S10" s="76">
        <v>1.32</v>
      </c>
      <c r="T10" s="76">
        <v>1</v>
      </c>
      <c r="U10" s="76">
        <v>8</v>
      </c>
      <c r="V10" s="76">
        <v>32</v>
      </c>
      <c r="W10" s="76">
        <v>25</v>
      </c>
      <c r="X10" s="76">
        <v>161</v>
      </c>
      <c r="Y10" s="76">
        <v>75</v>
      </c>
      <c r="Z10" s="76">
        <v>109</v>
      </c>
      <c r="AA10" s="76">
        <v>1282</v>
      </c>
      <c r="AB10" s="76">
        <v>1516</v>
      </c>
      <c r="AC10" s="76">
        <v>61</v>
      </c>
      <c r="AD10" s="76">
        <v>7</v>
      </c>
      <c r="AE10" s="76">
        <v>91</v>
      </c>
      <c r="AF10" s="76">
        <v>31</v>
      </c>
      <c r="AG10" s="76">
        <v>10</v>
      </c>
      <c r="AH10" s="76">
        <v>6076</v>
      </c>
      <c r="AI10" s="76">
        <v>24117</v>
      </c>
      <c r="AJ10" s="76">
        <v>0.40699999999999997</v>
      </c>
      <c r="AK10" s="76">
        <v>0.72299999999999998</v>
      </c>
      <c r="AL10"/>
      <c r="AM10"/>
      <c r="AN10"/>
      <c r="AO10"/>
      <c r="AP10"/>
      <c r="AQ10"/>
      <c r="AR10"/>
      <c r="AS10"/>
      <c r="AT10"/>
      <c r="AU10"/>
    </row>
    <row r="11" spans="1:47" x14ac:dyDescent="0.2">
      <c r="A11" s="76">
        <v>9</v>
      </c>
      <c r="B11" s="77" t="s">
        <v>124</v>
      </c>
      <c r="C11" s="76" t="s">
        <v>174</v>
      </c>
      <c r="D11" s="76">
        <v>81</v>
      </c>
      <c r="E11" s="76">
        <v>81</v>
      </c>
      <c r="F11" s="76">
        <v>4.21</v>
      </c>
      <c r="G11" s="76">
        <v>162</v>
      </c>
      <c r="H11" s="76">
        <v>162</v>
      </c>
      <c r="I11" s="76">
        <v>41</v>
      </c>
      <c r="J11" s="76">
        <v>60</v>
      </c>
      <c r="K11" s="76">
        <v>1440</v>
      </c>
      <c r="L11" s="76">
        <v>1433</v>
      </c>
      <c r="M11" s="76">
        <v>712</v>
      </c>
      <c r="N11" s="76">
        <v>674</v>
      </c>
      <c r="O11" s="76">
        <v>206</v>
      </c>
      <c r="P11" s="76">
        <v>517</v>
      </c>
      <c r="Q11" s="76">
        <v>1287</v>
      </c>
      <c r="R11" s="76">
        <v>0.25900000000000001</v>
      </c>
      <c r="S11" s="76">
        <v>1.35</v>
      </c>
      <c r="T11" s="76">
        <v>3</v>
      </c>
      <c r="U11" s="76">
        <v>7</v>
      </c>
      <c r="V11" s="76">
        <v>60</v>
      </c>
      <c r="W11" s="76">
        <v>8</v>
      </c>
      <c r="X11" s="76">
        <v>159</v>
      </c>
      <c r="Y11" s="76">
        <v>81</v>
      </c>
      <c r="Z11" s="76">
        <v>117</v>
      </c>
      <c r="AA11" s="76">
        <v>1441</v>
      </c>
      <c r="AB11" s="76">
        <v>1443</v>
      </c>
      <c r="AC11" s="76">
        <v>55</v>
      </c>
      <c r="AD11" s="76">
        <v>7</v>
      </c>
      <c r="AE11" s="76">
        <v>55</v>
      </c>
      <c r="AF11" s="76">
        <v>42</v>
      </c>
      <c r="AG11" s="76">
        <v>13</v>
      </c>
      <c r="AH11" s="76">
        <v>6182</v>
      </c>
      <c r="AI11" s="76">
        <v>23961</v>
      </c>
      <c r="AJ11" s="76">
        <v>0.41799999999999998</v>
      </c>
      <c r="AK11" s="76">
        <v>0.73899999999999999</v>
      </c>
      <c r="AL11"/>
      <c r="AM11"/>
      <c r="AN11"/>
      <c r="AO11"/>
      <c r="AP11"/>
      <c r="AQ11"/>
      <c r="AR11"/>
      <c r="AS11"/>
      <c r="AT11"/>
      <c r="AU11"/>
    </row>
    <row r="12" spans="1:47" x14ac:dyDescent="0.2">
      <c r="A12" s="76">
        <v>10</v>
      </c>
      <c r="B12" s="77" t="s">
        <v>126</v>
      </c>
      <c r="C12" s="76" t="s">
        <v>174</v>
      </c>
      <c r="D12" s="76">
        <v>89</v>
      </c>
      <c r="E12" s="76">
        <v>73</v>
      </c>
      <c r="F12" s="76">
        <v>4.22</v>
      </c>
      <c r="G12" s="76">
        <v>162</v>
      </c>
      <c r="H12" s="76">
        <v>162</v>
      </c>
      <c r="I12" s="76">
        <v>54</v>
      </c>
      <c r="J12" s="76">
        <v>68</v>
      </c>
      <c r="K12" s="76">
        <v>1432</v>
      </c>
      <c r="L12" s="76">
        <v>1408</v>
      </c>
      <c r="M12" s="76">
        <v>715</v>
      </c>
      <c r="N12" s="76">
        <v>671</v>
      </c>
      <c r="O12" s="76">
        <v>183</v>
      </c>
      <c r="P12" s="76">
        <v>545</v>
      </c>
      <c r="Q12" s="76">
        <v>1248</v>
      </c>
      <c r="R12" s="76">
        <v>0.25800000000000001</v>
      </c>
      <c r="S12" s="76">
        <v>1.36</v>
      </c>
      <c r="T12" s="76">
        <v>1</v>
      </c>
      <c r="U12" s="76">
        <v>9</v>
      </c>
      <c r="V12" s="76">
        <v>51</v>
      </c>
      <c r="W12" s="76">
        <v>23</v>
      </c>
      <c r="X12" s="76">
        <v>161</v>
      </c>
      <c r="Y12" s="76">
        <v>60</v>
      </c>
      <c r="Z12" s="76">
        <v>145</v>
      </c>
      <c r="AA12" s="76">
        <v>1508</v>
      </c>
      <c r="AB12" s="76">
        <v>1358</v>
      </c>
      <c r="AC12" s="76">
        <v>59</v>
      </c>
      <c r="AD12" s="76">
        <v>3</v>
      </c>
      <c r="AE12" s="76">
        <v>69</v>
      </c>
      <c r="AF12" s="76">
        <v>37</v>
      </c>
      <c r="AG12" s="76">
        <v>3</v>
      </c>
      <c r="AH12" s="76">
        <v>6122</v>
      </c>
      <c r="AI12" s="76">
        <v>24317</v>
      </c>
      <c r="AJ12" s="76">
        <v>0.41799999999999998</v>
      </c>
      <c r="AK12" s="76">
        <v>0.73899999999999999</v>
      </c>
      <c r="AL12"/>
      <c r="AM12"/>
      <c r="AN12"/>
      <c r="AO12"/>
      <c r="AP12"/>
      <c r="AQ12"/>
      <c r="AR12"/>
      <c r="AS12"/>
      <c r="AT12"/>
      <c r="AU12"/>
    </row>
    <row r="13" spans="1:47" x14ac:dyDescent="0.2">
      <c r="A13" s="76">
        <v>11</v>
      </c>
      <c r="B13" s="77" t="s">
        <v>119</v>
      </c>
      <c r="C13" s="76" t="s">
        <v>174</v>
      </c>
      <c r="D13" s="76">
        <v>86</v>
      </c>
      <c r="E13" s="76">
        <v>75</v>
      </c>
      <c r="F13" s="76">
        <v>4.24</v>
      </c>
      <c r="G13" s="76">
        <v>161</v>
      </c>
      <c r="H13" s="76">
        <v>161</v>
      </c>
      <c r="I13" s="76">
        <v>47</v>
      </c>
      <c r="J13" s="76">
        <v>66</v>
      </c>
      <c r="K13" s="76">
        <v>1428</v>
      </c>
      <c r="L13" s="76">
        <v>1417</v>
      </c>
      <c r="M13" s="76">
        <v>721</v>
      </c>
      <c r="N13" s="76">
        <v>672</v>
      </c>
      <c r="O13" s="76">
        <v>182</v>
      </c>
      <c r="P13" s="76">
        <v>462</v>
      </c>
      <c r="Q13" s="76">
        <v>1232</v>
      </c>
      <c r="R13" s="76">
        <v>0.26</v>
      </c>
      <c r="S13" s="76">
        <v>1.32</v>
      </c>
      <c r="T13" s="76">
        <v>3</v>
      </c>
      <c r="U13" s="76">
        <v>8</v>
      </c>
      <c r="V13" s="76">
        <v>51</v>
      </c>
      <c r="W13" s="76">
        <v>25</v>
      </c>
      <c r="X13" s="76">
        <v>158</v>
      </c>
      <c r="Y13" s="76">
        <v>75</v>
      </c>
      <c r="Z13" s="76">
        <v>129</v>
      </c>
      <c r="AA13" s="76">
        <v>1436</v>
      </c>
      <c r="AB13" s="76">
        <v>1450</v>
      </c>
      <c r="AC13" s="76">
        <v>44</v>
      </c>
      <c r="AD13" s="76">
        <v>4</v>
      </c>
      <c r="AE13" s="76">
        <v>71</v>
      </c>
      <c r="AF13" s="76">
        <v>39</v>
      </c>
      <c r="AG13" s="76">
        <v>9</v>
      </c>
      <c r="AH13" s="76">
        <v>6048</v>
      </c>
      <c r="AI13" s="76">
        <v>23532</v>
      </c>
      <c r="AJ13" s="76">
        <v>0.4</v>
      </c>
      <c r="AK13" s="76">
        <v>0.71599999999999997</v>
      </c>
      <c r="AL13"/>
      <c r="AM13"/>
      <c r="AN13"/>
      <c r="AO13"/>
      <c r="AP13"/>
      <c r="AQ13"/>
      <c r="AR13"/>
      <c r="AS13"/>
      <c r="AT13"/>
      <c r="AU13"/>
    </row>
    <row r="14" spans="1:47" x14ac:dyDescent="0.2">
      <c r="A14" s="76">
        <v>12</v>
      </c>
      <c r="B14" s="77" t="s">
        <v>113</v>
      </c>
      <c r="C14" s="76" t="s">
        <v>174</v>
      </c>
      <c r="D14" s="76">
        <v>74</v>
      </c>
      <c r="E14" s="76">
        <v>88</v>
      </c>
      <c r="F14" s="76">
        <v>4.28</v>
      </c>
      <c r="G14" s="76">
        <v>162</v>
      </c>
      <c r="H14" s="76">
        <v>162</v>
      </c>
      <c r="I14" s="76">
        <v>29</v>
      </c>
      <c r="J14" s="76">
        <v>50</v>
      </c>
      <c r="K14" s="76">
        <v>1421.33</v>
      </c>
      <c r="L14" s="76">
        <v>1480</v>
      </c>
      <c r="M14" s="76">
        <v>727</v>
      </c>
      <c r="N14" s="76">
        <v>676</v>
      </c>
      <c r="O14" s="76">
        <v>208</v>
      </c>
      <c r="P14" s="76">
        <v>498</v>
      </c>
      <c r="Q14" s="76">
        <v>1136</v>
      </c>
      <c r="R14" s="76">
        <v>0.26900000000000002</v>
      </c>
      <c r="S14" s="76">
        <v>1.39</v>
      </c>
      <c r="T14" s="76">
        <v>4</v>
      </c>
      <c r="U14" s="76">
        <v>12</v>
      </c>
      <c r="V14" s="76">
        <v>56</v>
      </c>
      <c r="W14" s="76">
        <v>27</v>
      </c>
      <c r="X14" s="76">
        <v>158</v>
      </c>
      <c r="Y14" s="76">
        <v>85</v>
      </c>
      <c r="Z14" s="76">
        <v>126</v>
      </c>
      <c r="AA14" s="76">
        <v>1394</v>
      </c>
      <c r="AB14" s="76">
        <v>1555</v>
      </c>
      <c r="AC14" s="76">
        <v>47</v>
      </c>
      <c r="AD14" s="76">
        <v>10</v>
      </c>
      <c r="AE14" s="76">
        <v>93</v>
      </c>
      <c r="AF14" s="76">
        <v>47</v>
      </c>
      <c r="AG14" s="76">
        <v>20</v>
      </c>
      <c r="AH14" s="76">
        <v>6120</v>
      </c>
      <c r="AI14" s="76">
        <v>23705</v>
      </c>
      <c r="AJ14" s="76">
        <v>0.41199999999999998</v>
      </c>
      <c r="AK14" s="76">
        <v>0.73399999999999999</v>
      </c>
      <c r="AL14"/>
      <c r="AM14"/>
      <c r="AN14"/>
      <c r="AO14"/>
      <c r="AP14"/>
      <c r="AQ14"/>
      <c r="AR14"/>
      <c r="AS14"/>
      <c r="AT14"/>
      <c r="AU14"/>
    </row>
    <row r="15" spans="1:47" x14ac:dyDescent="0.2">
      <c r="A15" s="76">
        <v>13</v>
      </c>
      <c r="B15" s="77" t="s">
        <v>117</v>
      </c>
      <c r="C15" s="76" t="s">
        <v>174</v>
      </c>
      <c r="D15" s="76">
        <v>95</v>
      </c>
      <c r="E15" s="76">
        <v>67</v>
      </c>
      <c r="F15" s="76">
        <v>4.37</v>
      </c>
      <c r="G15" s="76">
        <v>162</v>
      </c>
      <c r="H15" s="76">
        <v>162</v>
      </c>
      <c r="I15" s="76">
        <v>56</v>
      </c>
      <c r="J15" s="76">
        <v>73</v>
      </c>
      <c r="K15" s="76">
        <v>1443</v>
      </c>
      <c r="L15" s="76">
        <v>1441</v>
      </c>
      <c r="M15" s="76">
        <v>757</v>
      </c>
      <c r="N15" s="76">
        <v>700</v>
      </c>
      <c r="O15" s="76">
        <v>201</v>
      </c>
      <c r="P15" s="76">
        <v>534</v>
      </c>
      <c r="Q15" s="76">
        <v>1154</v>
      </c>
      <c r="R15" s="76">
        <v>0.26</v>
      </c>
      <c r="S15" s="76">
        <v>1.37</v>
      </c>
      <c r="T15" s="76">
        <v>1</v>
      </c>
      <c r="U15" s="76">
        <v>6</v>
      </c>
      <c r="V15" s="76">
        <v>53</v>
      </c>
      <c r="W15" s="76">
        <v>16</v>
      </c>
      <c r="X15" s="76">
        <v>161</v>
      </c>
      <c r="Y15" s="76">
        <v>103</v>
      </c>
      <c r="Z15" s="76">
        <v>168</v>
      </c>
      <c r="AA15" s="76">
        <v>1573</v>
      </c>
      <c r="AB15" s="76">
        <v>1431</v>
      </c>
      <c r="AC15" s="76">
        <v>45</v>
      </c>
      <c r="AD15" s="76">
        <v>5</v>
      </c>
      <c r="AE15" s="76">
        <v>82</v>
      </c>
      <c r="AF15" s="76">
        <v>33</v>
      </c>
      <c r="AG15" s="76">
        <v>5</v>
      </c>
      <c r="AH15" s="76">
        <v>6186</v>
      </c>
      <c r="AI15" s="76">
        <v>23637</v>
      </c>
      <c r="AJ15" s="76">
        <v>0.41899999999999998</v>
      </c>
      <c r="AK15" s="76">
        <v>0.747</v>
      </c>
      <c r="AL15"/>
      <c r="AM15"/>
      <c r="AN15"/>
      <c r="AO15"/>
      <c r="AP15"/>
      <c r="AQ15"/>
      <c r="AR15"/>
      <c r="AS15"/>
      <c r="AT15"/>
      <c r="AU15"/>
    </row>
    <row r="16" spans="1:47" x14ac:dyDescent="0.2">
      <c r="A16" s="76">
        <v>14</v>
      </c>
      <c r="B16" s="77" t="s">
        <v>115</v>
      </c>
      <c r="C16" s="76" t="s">
        <v>174</v>
      </c>
      <c r="D16" s="76">
        <v>69</v>
      </c>
      <c r="E16" s="76">
        <v>93</v>
      </c>
      <c r="F16" s="76">
        <v>4.51</v>
      </c>
      <c r="G16" s="76">
        <v>162</v>
      </c>
      <c r="H16" s="76">
        <v>162</v>
      </c>
      <c r="I16" s="76">
        <v>42</v>
      </c>
      <c r="J16" s="76">
        <v>65</v>
      </c>
      <c r="K16" s="76">
        <v>1433.34</v>
      </c>
      <c r="L16" s="76">
        <v>1459</v>
      </c>
      <c r="M16" s="76">
        <v>761</v>
      </c>
      <c r="N16" s="76">
        <v>718</v>
      </c>
      <c r="O16" s="76">
        <v>185</v>
      </c>
      <c r="P16" s="76">
        <v>464</v>
      </c>
      <c r="Q16" s="76">
        <v>1188</v>
      </c>
      <c r="R16" s="76">
        <v>0.26300000000000001</v>
      </c>
      <c r="S16" s="76">
        <v>1.34</v>
      </c>
      <c r="T16" s="76">
        <v>2</v>
      </c>
      <c r="U16" s="76">
        <v>7</v>
      </c>
      <c r="V16" s="76">
        <v>50</v>
      </c>
      <c r="W16" s="76">
        <v>28</v>
      </c>
      <c r="X16" s="76">
        <v>160</v>
      </c>
      <c r="Y16" s="76">
        <v>66</v>
      </c>
      <c r="Z16" s="76">
        <v>125</v>
      </c>
      <c r="AA16" s="76">
        <v>1565</v>
      </c>
      <c r="AB16" s="76">
        <v>1416</v>
      </c>
      <c r="AC16" s="76">
        <v>70</v>
      </c>
      <c r="AD16" s="76">
        <v>3</v>
      </c>
      <c r="AE16" s="76">
        <v>75</v>
      </c>
      <c r="AF16" s="76">
        <v>22</v>
      </c>
      <c r="AG16" s="76">
        <v>11</v>
      </c>
      <c r="AH16" s="76">
        <v>6144</v>
      </c>
      <c r="AI16" s="76">
        <v>23471</v>
      </c>
      <c r="AJ16" s="76">
        <v>0.42399999999999999</v>
      </c>
      <c r="AK16" s="76">
        <v>0.751</v>
      </c>
      <c r="AL16"/>
      <c r="AM16"/>
      <c r="AN16"/>
      <c r="AO16"/>
      <c r="AP16"/>
      <c r="AQ16"/>
      <c r="AR16"/>
      <c r="AS16"/>
      <c r="AT16"/>
      <c r="AU16"/>
    </row>
    <row r="17" spans="1:47" x14ac:dyDescent="0.2">
      <c r="A17" s="76">
        <v>15</v>
      </c>
      <c r="B17" s="77" t="s">
        <v>125</v>
      </c>
      <c r="C17" s="76" t="s">
        <v>174</v>
      </c>
      <c r="D17" s="76">
        <v>59</v>
      </c>
      <c r="E17" s="76">
        <v>103</v>
      </c>
      <c r="F17" s="76">
        <v>5.08</v>
      </c>
      <c r="G17" s="76">
        <v>162</v>
      </c>
      <c r="H17" s="76">
        <v>162</v>
      </c>
      <c r="I17" s="76">
        <v>26</v>
      </c>
      <c r="J17" s="76">
        <v>46</v>
      </c>
      <c r="K17" s="76">
        <v>1443</v>
      </c>
      <c r="L17" s="76">
        <v>1617</v>
      </c>
      <c r="M17" s="76">
        <v>889</v>
      </c>
      <c r="N17" s="76">
        <v>814</v>
      </c>
      <c r="O17" s="76">
        <v>221</v>
      </c>
      <c r="P17" s="76">
        <v>479</v>
      </c>
      <c r="Q17" s="76">
        <v>1191</v>
      </c>
      <c r="R17" s="76">
        <v>0.28299999999999997</v>
      </c>
      <c r="S17" s="76">
        <v>1.45</v>
      </c>
      <c r="T17" s="76">
        <v>4</v>
      </c>
      <c r="U17" s="76">
        <v>3</v>
      </c>
      <c r="V17" s="76">
        <v>41</v>
      </c>
      <c r="W17" s="76">
        <v>26</v>
      </c>
      <c r="X17" s="76">
        <v>158</v>
      </c>
      <c r="Y17" s="76">
        <v>46</v>
      </c>
      <c r="Z17" s="76">
        <v>155</v>
      </c>
      <c r="AA17" s="76">
        <v>1505</v>
      </c>
      <c r="AB17" s="76">
        <v>1481</v>
      </c>
      <c r="AC17" s="76">
        <v>83</v>
      </c>
      <c r="AD17" s="76">
        <v>7</v>
      </c>
      <c r="AE17" s="76">
        <v>78</v>
      </c>
      <c r="AF17" s="76">
        <v>20</v>
      </c>
      <c r="AG17" s="76">
        <v>14</v>
      </c>
      <c r="AH17" s="76">
        <v>6314</v>
      </c>
      <c r="AI17" s="76">
        <v>24470</v>
      </c>
      <c r="AJ17" s="76">
        <v>0.44400000000000001</v>
      </c>
      <c r="AK17" s="76">
        <v>0.77400000000000002</v>
      </c>
      <c r="AL17"/>
      <c r="AM17"/>
      <c r="AN17"/>
      <c r="AO17"/>
      <c r="AP17"/>
      <c r="AQ17"/>
      <c r="AR17"/>
      <c r="AS17"/>
      <c r="AT17"/>
      <c r="AU17"/>
    </row>
    <row r="18" spans="1:47" x14ac:dyDescent="0.2">
      <c r="A18" s="76"/>
      <c r="B18" s="95"/>
      <c r="C18" s="76"/>
      <c r="D18" s="76"/>
      <c r="E18" s="76"/>
      <c r="F18" s="97"/>
      <c r="G18" s="97"/>
      <c r="H18" s="76"/>
      <c r="I18" s="76"/>
      <c r="J18" s="76"/>
      <c r="K18" s="97"/>
      <c r="L18" s="97"/>
      <c r="M18" s="76"/>
      <c r="N18" s="76"/>
      <c r="O18" s="76"/>
      <c r="P18" s="76"/>
      <c r="Q18" s="76"/>
      <c r="R18" s="76"/>
      <c r="S18" s="100"/>
      <c r="T18" s="144"/>
      <c r="U18" s="98"/>
      <c r="V18" s="98"/>
      <c r="W18" s="98"/>
      <c r="X18" s="98"/>
      <c r="Y18" s="98"/>
      <c r="Z18" s="98"/>
      <c r="AA18" s="98"/>
      <c r="AB18" s="98"/>
      <c r="AC18" s="98"/>
      <c r="AD18" s="98"/>
      <c r="AE18" s="98"/>
      <c r="AF18" s="98"/>
      <c r="AG18" s="98"/>
      <c r="AH18" s="98"/>
      <c r="AI18" s="98"/>
      <c r="AJ18" s="101"/>
      <c r="AK18" s="101"/>
      <c r="AL18" s="101"/>
      <c r="AM18" s="101"/>
      <c r="AN18" s="101"/>
      <c r="AO18"/>
      <c r="AP18"/>
      <c r="AQ18"/>
      <c r="AR18"/>
      <c r="AS18"/>
      <c r="AT18"/>
      <c r="AU18"/>
    </row>
    <row r="19" spans="1:47" x14ac:dyDescent="0.2">
      <c r="A19" s="76"/>
      <c r="B19" s="95"/>
      <c r="C19" s="76"/>
      <c r="D19" s="76"/>
      <c r="E19" s="76"/>
      <c r="F19" s="97">
        <f>(N19*9)/K19</f>
        <v>4.2016102910554807</v>
      </c>
      <c r="G19" s="97"/>
      <c r="H19" s="76"/>
      <c r="I19" s="76"/>
      <c r="J19" s="76"/>
      <c r="K19" s="97">
        <f>SUM(K3:K18)</f>
        <v>21611</v>
      </c>
      <c r="L19" s="97"/>
      <c r="M19" s="76"/>
      <c r="N19" s="76">
        <f>SUM(N3:N18)</f>
        <v>10089</v>
      </c>
      <c r="O19" s="76">
        <f>SUM(O3:O18)</f>
        <v>2934</v>
      </c>
      <c r="P19" s="145">
        <f>SUM(P3:P18)</f>
        <v>7280</v>
      </c>
      <c r="Q19" s="76"/>
      <c r="R19" s="76"/>
      <c r="S19" s="100"/>
      <c r="T19" s="144"/>
      <c r="U19" s="98"/>
      <c r="V19" s="98"/>
      <c r="W19" s="98">
        <f>SUM(W3:W18)</f>
        <v>332</v>
      </c>
      <c r="X19" s="98"/>
      <c r="Y19" s="98"/>
      <c r="Z19" s="98"/>
      <c r="AA19" s="98"/>
      <c r="AB19" s="98"/>
      <c r="AC19" s="98"/>
      <c r="AD19" s="98"/>
      <c r="AE19" s="98"/>
      <c r="AF19" s="98"/>
      <c r="AG19" s="98"/>
      <c r="AH19" s="98">
        <f>SUM(AH3:AH18)</f>
        <v>91956</v>
      </c>
      <c r="AI19" s="98"/>
      <c r="AJ19" s="101"/>
      <c r="AK19" s="101"/>
      <c r="AL19" s="101"/>
      <c r="AM19" s="101"/>
      <c r="AN19" s="101"/>
      <c r="AO19"/>
      <c r="AP19"/>
      <c r="AQ19"/>
      <c r="AR19"/>
      <c r="AS19"/>
      <c r="AT19"/>
      <c r="AU19"/>
    </row>
    <row r="20" spans="1:47" x14ac:dyDescent="0.2">
      <c r="E20" s="3"/>
      <c r="F20"/>
      <c r="G20" s="3"/>
      <c r="H20" s="62"/>
      <c r="J20" s="3"/>
      <c r="M20"/>
      <c r="Q20" s="2"/>
      <c r="R20" s="3"/>
      <c r="S20" s="2"/>
      <c r="T20" s="3"/>
      <c r="U20"/>
      <c r="V20" s="62"/>
      <c r="X20"/>
      <c r="AJ20" s="2"/>
      <c r="AP20" s="3"/>
      <c r="AU20"/>
    </row>
    <row r="21" spans="1:47" ht="25.5" x14ac:dyDescent="0.2">
      <c r="A21" s="225" t="s">
        <v>105</v>
      </c>
      <c r="B21" s="225" t="s">
        <v>157</v>
      </c>
      <c r="C21" s="225" t="s">
        <v>112</v>
      </c>
      <c r="D21" s="225" t="s">
        <v>108</v>
      </c>
      <c r="E21" s="225" t="s">
        <v>1053</v>
      </c>
      <c r="F21" s="225" t="s">
        <v>93</v>
      </c>
      <c r="G21" s="225" t="s">
        <v>92</v>
      </c>
      <c r="H21" s="225" t="s">
        <v>1054</v>
      </c>
      <c r="I21" s="225" t="s">
        <v>1055</v>
      </c>
      <c r="J21" s="225" t="s">
        <v>95</v>
      </c>
      <c r="K21" s="225" t="s">
        <v>1056</v>
      </c>
      <c r="L21" s="225" t="s">
        <v>96</v>
      </c>
      <c r="M21" s="225" t="s">
        <v>97</v>
      </c>
      <c r="N21" s="225" t="s">
        <v>1057</v>
      </c>
      <c r="O21" s="225" t="s">
        <v>1058</v>
      </c>
      <c r="P21" s="225" t="s">
        <v>289</v>
      </c>
      <c r="Q21" s="225" t="s">
        <v>1059</v>
      </c>
      <c r="R21" s="225" t="s">
        <v>1060</v>
      </c>
      <c r="S21" s="225" t="s">
        <v>1061</v>
      </c>
      <c r="T21" s="225" t="s">
        <v>98</v>
      </c>
      <c r="U21" s="225" t="s">
        <v>1062</v>
      </c>
      <c r="V21" s="225" t="s">
        <v>1063</v>
      </c>
      <c r="W21" s="225" t="s">
        <v>171</v>
      </c>
      <c r="X21" s="225" t="s">
        <v>144</v>
      </c>
      <c r="Y21" s="225" t="s">
        <v>1064</v>
      </c>
      <c r="Z21" s="225" t="s">
        <v>1065</v>
      </c>
      <c r="AA21" s="225" t="s">
        <v>1066</v>
      </c>
      <c r="AB21" s="225" t="s">
        <v>1067</v>
      </c>
      <c r="AC21" s="225" t="s">
        <v>1068</v>
      </c>
      <c r="AD21" s="225" t="s">
        <v>1069</v>
      </c>
      <c r="AE21" s="225" t="s">
        <v>1070</v>
      </c>
      <c r="AF21" s="2"/>
      <c r="AG21" s="2"/>
      <c r="AH21" s="2"/>
      <c r="AK21"/>
      <c r="AL21"/>
      <c r="AM21"/>
      <c r="AN21"/>
      <c r="AO21"/>
      <c r="AP21"/>
      <c r="AQ21"/>
      <c r="AR21"/>
      <c r="AS21"/>
      <c r="AT21"/>
      <c r="AU21"/>
    </row>
    <row r="22" spans="1:47" x14ac:dyDescent="0.2">
      <c r="A22" s="76">
        <v>1</v>
      </c>
      <c r="B22" s="77" t="s">
        <v>121</v>
      </c>
      <c r="C22" s="76" t="s">
        <v>174</v>
      </c>
      <c r="D22" s="76">
        <v>162</v>
      </c>
      <c r="E22" s="76">
        <v>5670</v>
      </c>
      <c r="F22" s="76">
        <v>878</v>
      </c>
      <c r="G22" s="76">
        <v>1598</v>
      </c>
      <c r="H22" s="76">
        <v>343</v>
      </c>
      <c r="I22" s="76">
        <v>25</v>
      </c>
      <c r="J22" s="76">
        <v>208</v>
      </c>
      <c r="K22" s="76">
        <v>836</v>
      </c>
      <c r="L22" s="76">
        <v>558</v>
      </c>
      <c r="M22" s="76">
        <v>1160</v>
      </c>
      <c r="N22" s="76">
        <v>83</v>
      </c>
      <c r="O22" s="76">
        <v>24</v>
      </c>
      <c r="P22" s="76">
        <v>0.28199999999999997</v>
      </c>
      <c r="Q22" s="76">
        <v>0.34799999999999998</v>
      </c>
      <c r="R22" s="76">
        <v>0.46100000000000002</v>
      </c>
      <c r="S22" s="76">
        <v>0.81</v>
      </c>
      <c r="T22" s="76">
        <v>34</v>
      </c>
      <c r="U22" s="76">
        <v>43</v>
      </c>
      <c r="V22" s="76">
        <v>8</v>
      </c>
      <c r="W22" s="76">
        <v>40</v>
      </c>
      <c r="X22" s="76">
        <v>2615</v>
      </c>
      <c r="Y22" s="76">
        <v>576</v>
      </c>
      <c r="Z22" s="76">
        <v>137</v>
      </c>
      <c r="AA22" s="76">
        <v>1637</v>
      </c>
      <c r="AB22" s="76">
        <v>1460</v>
      </c>
      <c r="AC22" s="76">
        <v>1.1200000000000001</v>
      </c>
      <c r="AD22" s="76">
        <v>24947</v>
      </c>
      <c r="AE22" s="76">
        <v>6320</v>
      </c>
      <c r="AF22" s="76"/>
      <c r="AG22" s="76"/>
      <c r="AH22" s="76"/>
      <c r="AK22"/>
      <c r="AL22"/>
      <c r="AM22"/>
      <c r="AN22"/>
      <c r="AO22"/>
      <c r="AP22"/>
      <c r="AQ22"/>
      <c r="AR22"/>
      <c r="AS22"/>
      <c r="AT22"/>
      <c r="AU22"/>
    </row>
    <row r="23" spans="1:47" x14ac:dyDescent="0.2">
      <c r="A23" s="76">
        <v>2</v>
      </c>
      <c r="B23" s="77" t="s">
        <v>119</v>
      </c>
      <c r="C23" s="76" t="s">
        <v>174</v>
      </c>
      <c r="D23" s="76">
        <v>161</v>
      </c>
      <c r="E23" s="76">
        <v>5526</v>
      </c>
      <c r="F23" s="76">
        <v>750</v>
      </c>
      <c r="G23" s="76">
        <v>1476</v>
      </c>
      <c r="H23" s="76">
        <v>252</v>
      </c>
      <c r="I23" s="76">
        <v>30</v>
      </c>
      <c r="J23" s="76">
        <v>211</v>
      </c>
      <c r="K23" s="76">
        <v>719</v>
      </c>
      <c r="L23" s="76">
        <v>493</v>
      </c>
      <c r="M23" s="76">
        <v>1303</v>
      </c>
      <c r="N23" s="76">
        <v>58</v>
      </c>
      <c r="O23" s="76">
        <v>29</v>
      </c>
      <c r="P23" s="76">
        <v>0.26700000000000002</v>
      </c>
      <c r="Q23" s="76">
        <v>0.33100000000000002</v>
      </c>
      <c r="R23" s="76">
        <v>0.438</v>
      </c>
      <c r="S23" s="76">
        <v>0.76900000000000002</v>
      </c>
      <c r="T23" s="76">
        <v>32</v>
      </c>
      <c r="U23" s="76">
        <v>53</v>
      </c>
      <c r="V23" s="76">
        <v>17</v>
      </c>
      <c r="W23" s="76">
        <v>38</v>
      </c>
      <c r="X23" s="76">
        <v>2421</v>
      </c>
      <c r="Y23" s="76">
        <v>493</v>
      </c>
      <c r="Z23" s="76">
        <v>135</v>
      </c>
      <c r="AA23" s="76">
        <v>1494</v>
      </c>
      <c r="AB23" s="76">
        <v>1443</v>
      </c>
      <c r="AC23" s="76">
        <v>1.04</v>
      </c>
      <c r="AD23" s="76">
        <v>23720</v>
      </c>
      <c r="AE23" s="76">
        <v>6127</v>
      </c>
      <c r="AF23" s="76"/>
      <c r="AG23" s="76"/>
      <c r="AH23" s="76"/>
      <c r="AK23"/>
      <c r="AL23"/>
      <c r="AM23"/>
      <c r="AN23"/>
      <c r="AO23"/>
      <c r="AP23"/>
      <c r="AQ23"/>
      <c r="AR23"/>
      <c r="AS23"/>
      <c r="AT23"/>
      <c r="AU23"/>
    </row>
    <row r="24" spans="1:47" x14ac:dyDescent="0.2">
      <c r="A24" s="76">
        <v>3</v>
      </c>
      <c r="B24" s="77" t="s">
        <v>117</v>
      </c>
      <c r="C24" s="76" t="s">
        <v>174</v>
      </c>
      <c r="D24" s="76">
        <v>162</v>
      </c>
      <c r="E24" s="76">
        <v>5525</v>
      </c>
      <c r="F24" s="76">
        <v>765</v>
      </c>
      <c r="G24" s="76">
        <v>1446</v>
      </c>
      <c r="H24" s="76">
        <v>257</v>
      </c>
      <c r="I24" s="76">
        <v>23</v>
      </c>
      <c r="J24" s="76">
        <v>215</v>
      </c>
      <c r="K24" s="76">
        <v>746</v>
      </c>
      <c r="L24" s="76">
        <v>436</v>
      </c>
      <c r="M24" s="76">
        <v>1220</v>
      </c>
      <c r="N24" s="76">
        <v>99</v>
      </c>
      <c r="O24" s="76">
        <v>36</v>
      </c>
      <c r="P24" s="76">
        <v>0.26200000000000001</v>
      </c>
      <c r="Q24" s="76">
        <v>0.32200000000000001</v>
      </c>
      <c r="R24" s="76">
        <v>0.433</v>
      </c>
      <c r="S24" s="76">
        <v>0.755</v>
      </c>
      <c r="T24" s="76">
        <v>23</v>
      </c>
      <c r="U24" s="76">
        <v>70</v>
      </c>
      <c r="V24" s="76">
        <v>18</v>
      </c>
      <c r="W24" s="76">
        <v>40</v>
      </c>
      <c r="X24" s="76">
        <v>2394</v>
      </c>
      <c r="Y24" s="76">
        <v>495</v>
      </c>
      <c r="Z24" s="76">
        <v>114</v>
      </c>
      <c r="AA24" s="76">
        <v>1604</v>
      </c>
      <c r="AB24" s="76">
        <v>1427</v>
      </c>
      <c r="AC24" s="76">
        <v>1.1200000000000001</v>
      </c>
      <c r="AD24" s="76">
        <v>23305</v>
      </c>
      <c r="AE24" s="76">
        <v>6089</v>
      </c>
      <c r="AF24" s="76"/>
      <c r="AG24" s="76"/>
      <c r="AH24" s="76"/>
      <c r="AK24"/>
      <c r="AL24"/>
      <c r="AM24"/>
      <c r="AN24"/>
      <c r="AO24"/>
      <c r="AP24"/>
      <c r="AQ24"/>
      <c r="AR24"/>
      <c r="AS24"/>
      <c r="AT24"/>
      <c r="AU24"/>
    </row>
    <row r="25" spans="1:47" x14ac:dyDescent="0.2">
      <c r="A25" s="76">
        <v>4</v>
      </c>
      <c r="B25" s="77" t="s">
        <v>122</v>
      </c>
      <c r="C25" s="76" t="s">
        <v>174</v>
      </c>
      <c r="D25" s="76">
        <v>161</v>
      </c>
      <c r="E25" s="76">
        <v>5484</v>
      </c>
      <c r="F25" s="76">
        <v>777</v>
      </c>
      <c r="G25" s="76">
        <v>1435</v>
      </c>
      <c r="H25" s="76">
        <v>308</v>
      </c>
      <c r="I25" s="76">
        <v>29</v>
      </c>
      <c r="J25" s="76">
        <v>185</v>
      </c>
      <c r="K25" s="76">
        <v>733</v>
      </c>
      <c r="L25" s="76">
        <v>531</v>
      </c>
      <c r="M25" s="76">
        <v>1246</v>
      </c>
      <c r="N25" s="76">
        <v>134</v>
      </c>
      <c r="O25" s="76">
        <v>31</v>
      </c>
      <c r="P25" s="76">
        <v>0.26200000000000001</v>
      </c>
      <c r="Q25" s="76">
        <v>0.32900000000000001</v>
      </c>
      <c r="R25" s="76">
        <v>0.43</v>
      </c>
      <c r="S25" s="76">
        <v>0.75900000000000001</v>
      </c>
      <c r="T25" s="76">
        <v>16</v>
      </c>
      <c r="U25" s="76">
        <v>49</v>
      </c>
      <c r="V25" s="76">
        <v>31</v>
      </c>
      <c r="W25" s="76">
        <v>60</v>
      </c>
      <c r="X25" s="76">
        <v>2356</v>
      </c>
      <c r="Y25" s="76">
        <v>522</v>
      </c>
      <c r="Z25" s="76">
        <v>137</v>
      </c>
      <c r="AA25" s="76">
        <v>1568</v>
      </c>
      <c r="AB25" s="76">
        <v>1463</v>
      </c>
      <c r="AC25" s="76">
        <v>1.07</v>
      </c>
      <c r="AD25" s="76">
        <v>24186</v>
      </c>
      <c r="AE25" s="76">
        <v>6155</v>
      </c>
      <c r="AF25" s="76"/>
      <c r="AG25" s="76"/>
      <c r="AH25" s="76"/>
      <c r="AK25"/>
      <c r="AL25"/>
      <c r="AM25"/>
      <c r="AN25"/>
      <c r="AO25"/>
      <c r="AP25"/>
      <c r="AQ25"/>
      <c r="AR25"/>
      <c r="AS25"/>
      <c r="AT25"/>
      <c r="AU25"/>
    </row>
    <row r="26" spans="1:47" x14ac:dyDescent="0.2">
      <c r="A26" s="76">
        <v>5</v>
      </c>
      <c r="B26" s="77" t="s">
        <v>124</v>
      </c>
      <c r="C26" s="76" t="s">
        <v>174</v>
      </c>
      <c r="D26" s="76">
        <v>162</v>
      </c>
      <c r="E26" s="76">
        <v>5552</v>
      </c>
      <c r="F26" s="76">
        <v>675</v>
      </c>
      <c r="G26" s="76">
        <v>1450</v>
      </c>
      <c r="H26" s="76">
        <v>264</v>
      </c>
      <c r="I26" s="76">
        <v>33</v>
      </c>
      <c r="J26" s="76">
        <v>147</v>
      </c>
      <c r="K26" s="76">
        <v>640</v>
      </c>
      <c r="L26" s="76">
        <v>382</v>
      </c>
      <c r="M26" s="76">
        <v>1224</v>
      </c>
      <c r="N26" s="76">
        <v>121</v>
      </c>
      <c r="O26" s="76">
        <v>35</v>
      </c>
      <c r="P26" s="76">
        <v>0.26100000000000001</v>
      </c>
      <c r="Q26" s="76">
        <v>0.312</v>
      </c>
      <c r="R26" s="76">
        <v>0.4</v>
      </c>
      <c r="S26" s="76">
        <v>0.71199999999999997</v>
      </c>
      <c r="T26" s="76">
        <v>23</v>
      </c>
      <c r="U26" s="76">
        <v>45</v>
      </c>
      <c r="V26" s="76">
        <v>38</v>
      </c>
      <c r="W26" s="76">
        <v>34</v>
      </c>
      <c r="X26" s="76">
        <v>2221</v>
      </c>
      <c r="Y26" s="76">
        <v>444</v>
      </c>
      <c r="Z26" s="76">
        <v>134</v>
      </c>
      <c r="AA26" s="76">
        <v>1715</v>
      </c>
      <c r="AB26" s="76">
        <v>1369</v>
      </c>
      <c r="AC26" s="76">
        <v>1.25</v>
      </c>
      <c r="AD26" s="76">
        <v>22931</v>
      </c>
      <c r="AE26" s="76">
        <v>6052</v>
      </c>
      <c r="AF26" s="76"/>
      <c r="AG26" s="76"/>
      <c r="AH26" s="76"/>
      <c r="AK26"/>
      <c r="AL26"/>
      <c r="AM26"/>
      <c r="AN26"/>
      <c r="AO26"/>
      <c r="AP26"/>
      <c r="AQ26"/>
      <c r="AR26"/>
      <c r="AS26"/>
      <c r="AT26"/>
      <c r="AU26"/>
    </row>
    <row r="27" spans="1:47" x14ac:dyDescent="0.2">
      <c r="A27" s="76">
        <v>6</v>
      </c>
      <c r="B27" s="77" t="s">
        <v>113</v>
      </c>
      <c r="C27" s="76" t="s">
        <v>174</v>
      </c>
      <c r="D27" s="76">
        <v>162</v>
      </c>
      <c r="E27" s="76">
        <v>5431</v>
      </c>
      <c r="F27" s="76">
        <v>717</v>
      </c>
      <c r="G27" s="76">
        <v>1410</v>
      </c>
      <c r="H27" s="76">
        <v>279</v>
      </c>
      <c r="I27" s="76">
        <v>20</v>
      </c>
      <c r="J27" s="76">
        <v>156</v>
      </c>
      <c r="K27" s="76">
        <v>686</v>
      </c>
      <c r="L27" s="76">
        <v>471</v>
      </c>
      <c r="M27" s="76">
        <v>991</v>
      </c>
      <c r="N27" s="76">
        <v>73</v>
      </c>
      <c r="O27" s="76">
        <v>34</v>
      </c>
      <c r="P27" s="76">
        <v>0.26</v>
      </c>
      <c r="Q27" s="76">
        <v>0.32200000000000001</v>
      </c>
      <c r="R27" s="76">
        <v>0.40500000000000003</v>
      </c>
      <c r="S27" s="76">
        <v>0.72599999999999998</v>
      </c>
      <c r="T27" s="76">
        <v>21</v>
      </c>
      <c r="U27" s="76">
        <v>51</v>
      </c>
      <c r="V27" s="76">
        <v>36</v>
      </c>
      <c r="W27" s="76">
        <v>49</v>
      </c>
      <c r="X27" s="76">
        <v>2197</v>
      </c>
      <c r="Y27" s="76">
        <v>455</v>
      </c>
      <c r="Z27" s="76">
        <v>147</v>
      </c>
      <c r="AA27" s="76">
        <v>1781</v>
      </c>
      <c r="AB27" s="76">
        <v>1481</v>
      </c>
      <c r="AC27" s="76">
        <v>1.2</v>
      </c>
      <c r="AD27" s="76">
        <v>22543</v>
      </c>
      <c r="AE27" s="76">
        <v>6041</v>
      </c>
      <c r="AF27" s="76"/>
      <c r="AG27" s="76"/>
      <c r="AH27" s="76"/>
      <c r="AK27"/>
      <c r="AL27"/>
      <c r="AM27"/>
      <c r="AN27"/>
      <c r="AO27"/>
      <c r="AP27"/>
      <c r="AQ27"/>
      <c r="AR27"/>
      <c r="AS27"/>
      <c r="AT27"/>
      <c r="AU27"/>
    </row>
    <row r="28" spans="1:47" x14ac:dyDescent="0.2">
      <c r="A28" s="76">
        <v>7</v>
      </c>
      <c r="B28" s="77" t="s">
        <v>118</v>
      </c>
      <c r="C28" s="76" t="s">
        <v>174</v>
      </c>
      <c r="D28" s="76">
        <v>162</v>
      </c>
      <c r="E28" s="76">
        <v>5583</v>
      </c>
      <c r="F28" s="76">
        <v>768</v>
      </c>
      <c r="G28" s="76">
        <v>1446</v>
      </c>
      <c r="H28" s="76">
        <v>251</v>
      </c>
      <c r="I28" s="76">
        <v>17</v>
      </c>
      <c r="J28" s="76">
        <v>223</v>
      </c>
      <c r="K28" s="76">
        <v>735</v>
      </c>
      <c r="L28" s="76">
        <v>506</v>
      </c>
      <c r="M28" s="76">
        <v>1288</v>
      </c>
      <c r="N28" s="76">
        <v>56</v>
      </c>
      <c r="O28" s="76">
        <v>28</v>
      </c>
      <c r="P28" s="76">
        <v>0.25900000000000001</v>
      </c>
      <c r="Q28" s="76">
        <v>0.32600000000000001</v>
      </c>
      <c r="R28" s="76">
        <v>0.43</v>
      </c>
      <c r="S28" s="76">
        <v>0.75600000000000001</v>
      </c>
      <c r="T28" s="76">
        <v>29</v>
      </c>
      <c r="U28" s="76">
        <v>72</v>
      </c>
      <c r="V28" s="76">
        <v>24</v>
      </c>
      <c r="W28" s="76">
        <v>41</v>
      </c>
      <c r="X28" s="76">
        <v>2400</v>
      </c>
      <c r="Y28" s="76">
        <v>491</v>
      </c>
      <c r="Z28" s="76">
        <v>138</v>
      </c>
      <c r="AA28" s="76">
        <v>1718</v>
      </c>
      <c r="AB28" s="76">
        <v>1334</v>
      </c>
      <c r="AC28" s="76">
        <v>1.29</v>
      </c>
      <c r="AD28" s="76">
        <v>24305</v>
      </c>
      <c r="AE28" s="76">
        <v>6227</v>
      </c>
      <c r="AF28" s="76"/>
      <c r="AG28" s="76"/>
      <c r="AH28" s="76"/>
      <c r="AK28"/>
      <c r="AL28"/>
      <c r="AM28"/>
      <c r="AN28"/>
      <c r="AO28"/>
      <c r="AP28"/>
      <c r="AQ28"/>
      <c r="AR28"/>
      <c r="AS28"/>
      <c r="AT28"/>
      <c r="AU28"/>
    </row>
    <row r="29" spans="1:47" x14ac:dyDescent="0.2">
      <c r="A29" s="76">
        <v>8</v>
      </c>
      <c r="B29" s="77" t="s">
        <v>120</v>
      </c>
      <c r="C29" s="76" t="s">
        <v>174</v>
      </c>
      <c r="D29" s="76">
        <v>162</v>
      </c>
      <c r="E29" s="76">
        <v>5550</v>
      </c>
      <c r="F29" s="76">
        <v>686</v>
      </c>
      <c r="G29" s="76">
        <v>1428</v>
      </c>
      <c r="H29" s="76">
        <v>277</v>
      </c>
      <c r="I29" s="76">
        <v>33</v>
      </c>
      <c r="J29" s="76">
        <v>168</v>
      </c>
      <c r="K29" s="76">
        <v>656</v>
      </c>
      <c r="L29" s="76">
        <v>455</v>
      </c>
      <c r="M29" s="76">
        <v>1285</v>
      </c>
      <c r="N29" s="76">
        <v>77</v>
      </c>
      <c r="O29" s="76">
        <v>36</v>
      </c>
      <c r="P29" s="76">
        <v>0.25700000000000001</v>
      </c>
      <c r="Q29" s="76">
        <v>0.317</v>
      </c>
      <c r="R29" s="76">
        <v>0.41</v>
      </c>
      <c r="S29" s="76">
        <v>0.72699999999999998</v>
      </c>
      <c r="T29" s="76">
        <v>16</v>
      </c>
      <c r="U29" s="76">
        <v>53</v>
      </c>
      <c r="V29" s="76">
        <v>29</v>
      </c>
      <c r="W29" s="76">
        <v>44</v>
      </c>
      <c r="X29" s="76">
        <v>2275</v>
      </c>
      <c r="Y29" s="76">
        <v>478</v>
      </c>
      <c r="Z29" s="76">
        <v>122</v>
      </c>
      <c r="AA29" s="76">
        <v>1669</v>
      </c>
      <c r="AB29" s="76">
        <v>1363</v>
      </c>
      <c r="AC29" s="76">
        <v>1.22</v>
      </c>
      <c r="AD29" s="76">
        <v>23739</v>
      </c>
      <c r="AE29" s="76">
        <v>6131</v>
      </c>
      <c r="AF29" s="76"/>
      <c r="AG29" s="76"/>
      <c r="AH29" s="76"/>
      <c r="AK29"/>
      <c r="AL29"/>
      <c r="AM29"/>
      <c r="AN29"/>
      <c r="AO29"/>
      <c r="AP29"/>
      <c r="AQ29"/>
      <c r="AR29"/>
      <c r="AS29"/>
      <c r="AT29"/>
      <c r="AU29"/>
    </row>
    <row r="30" spans="1:47" x14ac:dyDescent="0.2">
      <c r="A30" s="76">
        <v>9</v>
      </c>
      <c r="B30" s="77" t="s">
        <v>126</v>
      </c>
      <c r="C30" s="76" t="s">
        <v>174</v>
      </c>
      <c r="D30" s="76">
        <v>162</v>
      </c>
      <c r="E30" s="76">
        <v>5524</v>
      </c>
      <c r="F30" s="76">
        <v>744</v>
      </c>
      <c r="G30" s="76">
        <v>1413</v>
      </c>
      <c r="H30" s="76">
        <v>265</v>
      </c>
      <c r="I30" s="76">
        <v>6</v>
      </c>
      <c r="J30" s="76">
        <v>253</v>
      </c>
      <c r="K30" s="76">
        <v>710</v>
      </c>
      <c r="L30" s="76">
        <v>468</v>
      </c>
      <c r="M30" s="76">
        <v>1324</v>
      </c>
      <c r="N30" s="76">
        <v>19</v>
      </c>
      <c r="O30" s="76">
        <v>13</v>
      </c>
      <c r="P30" s="76">
        <v>0.25600000000000001</v>
      </c>
      <c r="Q30" s="76">
        <v>0.317</v>
      </c>
      <c r="R30" s="76">
        <v>0.443</v>
      </c>
      <c r="S30" s="76">
        <v>0.76</v>
      </c>
      <c r="T30" s="76">
        <v>19</v>
      </c>
      <c r="U30" s="76">
        <v>44</v>
      </c>
      <c r="V30" s="76">
        <v>17</v>
      </c>
      <c r="W30" s="76">
        <v>36</v>
      </c>
      <c r="X30" s="76">
        <v>2449</v>
      </c>
      <c r="Y30" s="76">
        <v>524</v>
      </c>
      <c r="Z30" s="76">
        <v>119</v>
      </c>
      <c r="AA30" s="76">
        <v>1491</v>
      </c>
      <c r="AB30" s="76">
        <v>1468</v>
      </c>
      <c r="AC30" s="76">
        <v>1.02</v>
      </c>
      <c r="AD30" s="76">
        <v>23525</v>
      </c>
      <c r="AE30" s="76">
        <v>6089</v>
      </c>
      <c r="AF30" s="76"/>
      <c r="AG30" s="76"/>
      <c r="AH30" s="76"/>
      <c r="AK30"/>
      <c r="AL30"/>
      <c r="AM30"/>
      <c r="AN30"/>
      <c r="AO30"/>
      <c r="AP30"/>
      <c r="AQ30"/>
      <c r="AR30"/>
      <c r="AS30"/>
      <c r="AT30"/>
      <c r="AU30"/>
    </row>
    <row r="31" spans="1:47" x14ac:dyDescent="0.2">
      <c r="A31" s="76">
        <v>10</v>
      </c>
      <c r="B31" s="77" t="s">
        <v>116</v>
      </c>
      <c r="C31" s="76" t="s">
        <v>174</v>
      </c>
      <c r="D31" s="76">
        <v>162</v>
      </c>
      <c r="E31" s="76">
        <v>5458</v>
      </c>
      <c r="F31" s="76">
        <v>680</v>
      </c>
      <c r="G31" s="76">
        <v>1378</v>
      </c>
      <c r="H31" s="76">
        <v>245</v>
      </c>
      <c r="I31" s="76">
        <v>20</v>
      </c>
      <c r="J31" s="76">
        <v>183</v>
      </c>
      <c r="K31" s="76">
        <v>647</v>
      </c>
      <c r="L31" s="76">
        <v>475</v>
      </c>
      <c r="M31" s="76">
        <v>1188</v>
      </c>
      <c r="N31" s="76">
        <v>72</v>
      </c>
      <c r="O31" s="76">
        <v>22</v>
      </c>
      <c r="P31" s="76">
        <v>0.252</v>
      </c>
      <c r="Q31" s="76">
        <v>0.315</v>
      </c>
      <c r="R31" s="76">
        <v>0.40500000000000003</v>
      </c>
      <c r="S31" s="76">
        <v>0.72</v>
      </c>
      <c r="T31" s="76">
        <v>19</v>
      </c>
      <c r="U31" s="76">
        <v>42</v>
      </c>
      <c r="V31" s="76">
        <v>21</v>
      </c>
      <c r="W31" s="76">
        <v>49</v>
      </c>
      <c r="X31" s="76">
        <v>2212</v>
      </c>
      <c r="Y31" s="76">
        <v>448</v>
      </c>
      <c r="Z31" s="76">
        <v>121</v>
      </c>
      <c r="AA31" s="76">
        <v>1637</v>
      </c>
      <c r="AB31" s="76">
        <v>1447</v>
      </c>
      <c r="AC31" s="76">
        <v>1.1299999999999999</v>
      </c>
      <c r="AD31" s="76">
        <v>23232</v>
      </c>
      <c r="AE31" s="76">
        <v>6058</v>
      </c>
      <c r="AF31" s="76"/>
      <c r="AG31" s="76"/>
      <c r="AH31" s="76"/>
      <c r="AK31"/>
      <c r="AL31"/>
      <c r="AM31"/>
      <c r="AN31"/>
      <c r="AO31"/>
      <c r="AP31"/>
      <c r="AQ31"/>
      <c r="AR31"/>
      <c r="AS31"/>
      <c r="AT31"/>
      <c r="AU31"/>
    </row>
    <row r="32" spans="1:47" x14ac:dyDescent="0.2">
      <c r="A32" s="76">
        <v>11</v>
      </c>
      <c r="B32" s="77" t="s">
        <v>125</v>
      </c>
      <c r="C32" s="76" t="s">
        <v>174</v>
      </c>
      <c r="D32" s="76">
        <v>162</v>
      </c>
      <c r="E32" s="76">
        <v>5618</v>
      </c>
      <c r="F32" s="76">
        <v>722</v>
      </c>
      <c r="G32" s="76">
        <v>1409</v>
      </c>
      <c r="H32" s="76">
        <v>288</v>
      </c>
      <c r="I32" s="76">
        <v>35</v>
      </c>
      <c r="J32" s="76">
        <v>200</v>
      </c>
      <c r="K32" s="76">
        <v>690</v>
      </c>
      <c r="L32" s="76">
        <v>513</v>
      </c>
      <c r="M32" s="76">
        <v>1426</v>
      </c>
      <c r="N32" s="76">
        <v>91</v>
      </c>
      <c r="O32" s="76">
        <v>32</v>
      </c>
      <c r="P32" s="76">
        <v>0.251</v>
      </c>
      <c r="Q32" s="76">
        <v>0.316</v>
      </c>
      <c r="R32" s="76">
        <v>0.42099999999999999</v>
      </c>
      <c r="S32" s="76">
        <v>0.73799999999999999</v>
      </c>
      <c r="T32" s="76">
        <v>24</v>
      </c>
      <c r="U32" s="76">
        <v>44</v>
      </c>
      <c r="V32" s="76">
        <v>27</v>
      </c>
      <c r="W32" s="76">
        <v>43</v>
      </c>
      <c r="X32" s="76">
        <v>2367</v>
      </c>
      <c r="Y32" s="76">
        <v>523</v>
      </c>
      <c r="Z32" s="76">
        <v>96</v>
      </c>
      <c r="AA32" s="76">
        <v>1497</v>
      </c>
      <c r="AB32" s="76">
        <v>1452</v>
      </c>
      <c r="AC32" s="76">
        <v>1.03</v>
      </c>
      <c r="AD32" s="76">
        <v>24633</v>
      </c>
      <c r="AE32" s="76">
        <v>6245</v>
      </c>
      <c r="AF32" s="76"/>
      <c r="AG32" s="76"/>
      <c r="AH32" s="76"/>
      <c r="AK32"/>
      <c r="AL32"/>
      <c r="AM32"/>
      <c r="AN32"/>
      <c r="AO32"/>
      <c r="AP32"/>
      <c r="AQ32"/>
      <c r="AR32"/>
      <c r="AS32"/>
      <c r="AT32"/>
      <c r="AU32"/>
    </row>
    <row r="33" spans="1:47" x14ac:dyDescent="0.2">
      <c r="A33" s="76">
        <v>12</v>
      </c>
      <c r="B33" s="77" t="s">
        <v>123</v>
      </c>
      <c r="C33" s="76" t="s">
        <v>174</v>
      </c>
      <c r="D33" s="76">
        <v>162</v>
      </c>
      <c r="E33" s="76">
        <v>5479</v>
      </c>
      <c r="F33" s="76">
        <v>759</v>
      </c>
      <c r="G33" s="76">
        <v>1358</v>
      </c>
      <c r="H33" s="76">
        <v>276</v>
      </c>
      <c r="I33" s="76">
        <v>18</v>
      </c>
      <c r="J33" s="76">
        <v>221</v>
      </c>
      <c r="K33" s="76">
        <v>728</v>
      </c>
      <c r="L33" s="76">
        <v>632</v>
      </c>
      <c r="M33" s="76">
        <v>1362</v>
      </c>
      <c r="N33" s="76">
        <v>54</v>
      </c>
      <c r="O33" s="76">
        <v>24</v>
      </c>
      <c r="P33" s="76">
        <v>0.248</v>
      </c>
      <c r="Q33" s="76">
        <v>0.33</v>
      </c>
      <c r="R33" s="76">
        <v>0.42599999999999999</v>
      </c>
      <c r="S33" s="76">
        <v>0.755</v>
      </c>
      <c r="T33" s="76">
        <v>16</v>
      </c>
      <c r="U33" s="76">
        <v>55</v>
      </c>
      <c r="V33" s="76">
        <v>26</v>
      </c>
      <c r="W33" s="76">
        <v>40</v>
      </c>
      <c r="X33" s="76">
        <v>2333</v>
      </c>
      <c r="Y33" s="76">
        <v>515</v>
      </c>
      <c r="Z33" s="76">
        <v>153</v>
      </c>
      <c r="AA33" s="76">
        <v>1578</v>
      </c>
      <c r="AB33" s="76">
        <v>1400</v>
      </c>
      <c r="AC33" s="76">
        <v>1.1299999999999999</v>
      </c>
      <c r="AD33" s="76">
        <v>25139</v>
      </c>
      <c r="AE33" s="76">
        <v>6233</v>
      </c>
      <c r="AF33" s="76"/>
      <c r="AG33" s="76"/>
      <c r="AH33" s="76"/>
      <c r="AK33"/>
      <c r="AL33"/>
      <c r="AM33"/>
      <c r="AN33"/>
      <c r="AO33"/>
      <c r="AP33"/>
      <c r="AQ33"/>
      <c r="AR33"/>
      <c r="AS33"/>
      <c r="AT33"/>
      <c r="AU33"/>
    </row>
    <row r="34" spans="1:47" x14ac:dyDescent="0.2">
      <c r="A34" s="76">
        <v>13</v>
      </c>
      <c r="B34" s="77" t="s">
        <v>141</v>
      </c>
      <c r="C34" s="76" t="s">
        <v>174</v>
      </c>
      <c r="D34" s="76">
        <v>162</v>
      </c>
      <c r="E34" s="76">
        <v>5545</v>
      </c>
      <c r="F34" s="76">
        <v>724</v>
      </c>
      <c r="G34" s="76">
        <v>1367</v>
      </c>
      <c r="H34" s="76">
        <v>291</v>
      </c>
      <c r="I34" s="76">
        <v>29</v>
      </c>
      <c r="J34" s="76">
        <v>198</v>
      </c>
      <c r="K34" s="76">
        <v>689</v>
      </c>
      <c r="L34" s="76">
        <v>554</v>
      </c>
      <c r="M34" s="76">
        <v>1452</v>
      </c>
      <c r="N34" s="76">
        <v>102</v>
      </c>
      <c r="O34" s="76">
        <v>44</v>
      </c>
      <c r="P34" s="76">
        <v>0.247</v>
      </c>
      <c r="Q34" s="76">
        <v>0.31900000000000001</v>
      </c>
      <c r="R34" s="76">
        <v>0.41699999999999998</v>
      </c>
      <c r="S34" s="76">
        <v>0.73499999999999999</v>
      </c>
      <c r="T34" s="76">
        <v>31</v>
      </c>
      <c r="U34" s="76">
        <v>47</v>
      </c>
      <c r="V34" s="76">
        <v>27</v>
      </c>
      <c r="W34" s="76">
        <v>31</v>
      </c>
      <c r="X34" s="76">
        <v>2310</v>
      </c>
      <c r="Y34" s="76">
        <v>518</v>
      </c>
      <c r="Z34" s="76">
        <v>134</v>
      </c>
      <c r="AA34" s="76">
        <v>1580</v>
      </c>
      <c r="AB34" s="76">
        <v>1340</v>
      </c>
      <c r="AC34" s="76">
        <v>1.18</v>
      </c>
      <c r="AD34" s="76">
        <v>23971</v>
      </c>
      <c r="AE34" s="76">
        <v>6204</v>
      </c>
      <c r="AF34" s="76"/>
      <c r="AG34" s="76"/>
      <c r="AH34" s="76"/>
      <c r="AK34"/>
      <c r="AL34"/>
      <c r="AM34"/>
      <c r="AN34"/>
      <c r="AO34"/>
      <c r="AP34"/>
      <c r="AQ34"/>
      <c r="AR34"/>
      <c r="AS34"/>
      <c r="AT34"/>
      <c r="AU34"/>
    </row>
    <row r="35" spans="1:47" x14ac:dyDescent="0.2">
      <c r="A35" s="76">
        <v>14</v>
      </c>
      <c r="B35" s="77" t="s">
        <v>115</v>
      </c>
      <c r="C35" s="76" t="s">
        <v>174</v>
      </c>
      <c r="D35" s="76">
        <v>162</v>
      </c>
      <c r="E35" s="76">
        <v>5500</v>
      </c>
      <c r="F35" s="76">
        <v>653</v>
      </c>
      <c r="G35" s="76">
        <v>1352</v>
      </c>
      <c r="H35" s="76">
        <v>270</v>
      </c>
      <c r="I35" s="76">
        <v>21</v>
      </c>
      <c r="J35" s="76">
        <v>169</v>
      </c>
      <c r="K35" s="76">
        <v>634</v>
      </c>
      <c r="L35" s="76">
        <v>442</v>
      </c>
      <c r="M35" s="76">
        <v>1145</v>
      </c>
      <c r="N35" s="76">
        <v>50</v>
      </c>
      <c r="O35" s="76">
        <v>23</v>
      </c>
      <c r="P35" s="76">
        <v>0.246</v>
      </c>
      <c r="Q35" s="76">
        <v>0.30399999999999999</v>
      </c>
      <c r="R35" s="76">
        <v>0.39500000000000002</v>
      </c>
      <c r="S35" s="76">
        <v>0.69899999999999995</v>
      </c>
      <c r="T35" s="76">
        <v>19</v>
      </c>
      <c r="U35" s="76">
        <v>33</v>
      </c>
      <c r="V35" s="76">
        <v>13</v>
      </c>
      <c r="W35" s="76">
        <v>34</v>
      </c>
      <c r="X35" s="76">
        <v>2171</v>
      </c>
      <c r="Y35" s="76">
        <v>460</v>
      </c>
      <c r="Z35" s="76">
        <v>142</v>
      </c>
      <c r="AA35" s="76">
        <v>1615</v>
      </c>
      <c r="AB35" s="76">
        <v>1577</v>
      </c>
      <c r="AC35" s="76">
        <v>1.02</v>
      </c>
      <c r="AD35" s="76">
        <v>23061</v>
      </c>
      <c r="AE35" s="76">
        <v>6022</v>
      </c>
      <c r="AF35" s="76"/>
      <c r="AG35" s="76"/>
      <c r="AH35" s="76"/>
      <c r="AK35"/>
      <c r="AL35"/>
      <c r="AM35"/>
      <c r="AN35"/>
      <c r="AO35"/>
      <c r="AP35"/>
      <c r="AQ35"/>
      <c r="AR35"/>
      <c r="AS35"/>
      <c r="AT35"/>
      <c r="AU35"/>
    </row>
    <row r="36" spans="1:47" x14ac:dyDescent="0.2">
      <c r="A36" s="76">
        <v>15</v>
      </c>
      <c r="B36" s="77" t="s">
        <v>114</v>
      </c>
      <c r="C36" s="76" t="s">
        <v>174</v>
      </c>
      <c r="D36" s="76">
        <v>162</v>
      </c>
      <c r="E36" s="76">
        <v>5481</v>
      </c>
      <c r="F36" s="76">
        <v>672</v>
      </c>
      <c r="G36" s="76">
        <v>1333</v>
      </c>
      <c r="H36" s="76">
        <v>288</v>
      </c>
      <c r="I36" s="76">
        <v>32</v>
      </c>
      <c r="J36" s="76">
        <v>216</v>
      </c>
      <c r="K36" s="76">
        <v>647</v>
      </c>
      <c r="L36" s="76">
        <v>449</v>
      </c>
      <c r="M36" s="76">
        <v>1482</v>
      </c>
      <c r="N36" s="76">
        <v>60</v>
      </c>
      <c r="O36" s="76">
        <v>37</v>
      </c>
      <c r="P36" s="76">
        <v>0.24299999999999999</v>
      </c>
      <c r="Q36" s="76">
        <v>0.307</v>
      </c>
      <c r="R36" s="76">
        <v>0.42599999999999999</v>
      </c>
      <c r="S36" s="76">
        <v>0.73299999999999998</v>
      </c>
      <c r="T36" s="76">
        <v>20</v>
      </c>
      <c r="U36" s="76">
        <v>69</v>
      </c>
      <c r="V36" s="76">
        <v>18</v>
      </c>
      <c r="W36" s="76">
        <v>28</v>
      </c>
      <c r="X36" s="76">
        <v>2333</v>
      </c>
      <c r="Y36" s="76">
        <v>536</v>
      </c>
      <c r="Z36" s="76">
        <v>88</v>
      </c>
      <c r="AA36" s="76">
        <v>1358</v>
      </c>
      <c r="AB36" s="76">
        <v>1442</v>
      </c>
      <c r="AC36" s="76">
        <v>0.94</v>
      </c>
      <c r="AD36" s="76">
        <v>23480</v>
      </c>
      <c r="AE36" s="76">
        <v>6046</v>
      </c>
      <c r="AF36" s="76"/>
      <c r="AG36" s="76"/>
      <c r="AH36" s="76"/>
      <c r="AK36"/>
      <c r="AL36"/>
      <c r="AM36"/>
      <c r="AN36"/>
      <c r="AO36"/>
      <c r="AP36"/>
      <c r="AQ36"/>
      <c r="AR36"/>
      <c r="AS36"/>
      <c r="AT36"/>
      <c r="AU36"/>
    </row>
    <row r="38" spans="1:47" x14ac:dyDescent="0.2">
      <c r="H38" s="62">
        <f>SUM(H22:H36)</f>
        <v>4154</v>
      </c>
      <c r="AP38"/>
      <c r="AQ38"/>
      <c r="AR38"/>
      <c r="AS38"/>
      <c r="AT38"/>
      <c r="AU38"/>
    </row>
    <row r="40" spans="1:47" x14ac:dyDescent="0.2">
      <c r="A40" s="42"/>
      <c r="C40" s="43"/>
      <c r="D40" s="43"/>
      <c r="E40" s="43"/>
      <c r="F40" s="17"/>
      <c r="G40" s="43"/>
      <c r="H40" s="17"/>
      <c r="I40" s="68"/>
      <c r="J40" s="68"/>
      <c r="K40" s="17"/>
      <c r="L40" s="17"/>
      <c r="M40" s="17"/>
      <c r="N40" s="43"/>
      <c r="O40" s="43"/>
      <c r="P40" s="43"/>
      <c r="Q40" s="43"/>
      <c r="R40" s="16"/>
      <c r="S40" s="17"/>
      <c r="T40" s="16"/>
      <c r="U40" s="17"/>
      <c r="V40" s="17"/>
      <c r="W40" s="68"/>
      <c r="X40" s="43"/>
      <c r="Y40" s="43"/>
      <c r="Z40" s="43"/>
      <c r="AA40" s="43"/>
      <c r="AB40" s="43"/>
      <c r="AC40" s="43"/>
      <c r="AD40" s="43"/>
      <c r="AE40" s="43"/>
      <c r="AF40" s="43"/>
      <c r="AG40" s="43"/>
      <c r="AH40" s="43"/>
      <c r="AI40" s="43"/>
      <c r="AJ40" s="43"/>
      <c r="AK40" s="16"/>
      <c r="AL40" s="16"/>
      <c r="AM40" s="16"/>
      <c r="AN40" s="16"/>
    </row>
    <row r="41" spans="1:47" ht="25.5" x14ac:dyDescent="0.2">
      <c r="A41" s="225" t="s">
        <v>105</v>
      </c>
      <c r="B41" s="225" t="s">
        <v>157</v>
      </c>
      <c r="C41" s="225" t="s">
        <v>112</v>
      </c>
      <c r="D41" s="225" t="s">
        <v>85</v>
      </c>
      <c r="E41" s="225" t="s">
        <v>86</v>
      </c>
      <c r="F41" s="225" t="s">
        <v>107</v>
      </c>
      <c r="G41" s="225" t="s">
        <v>108</v>
      </c>
      <c r="H41" s="225" t="s">
        <v>88</v>
      </c>
      <c r="I41" s="225" t="s">
        <v>90</v>
      </c>
      <c r="J41" s="225" t="s">
        <v>158</v>
      </c>
      <c r="K41" s="225" t="s">
        <v>91</v>
      </c>
      <c r="L41" s="225" t="s">
        <v>92</v>
      </c>
      <c r="M41" s="225" t="s">
        <v>93</v>
      </c>
      <c r="N41" s="225" t="s">
        <v>94</v>
      </c>
      <c r="O41" s="225" t="s">
        <v>95</v>
      </c>
      <c r="P41" s="225" t="s">
        <v>96</v>
      </c>
      <c r="Q41" s="225" t="s">
        <v>97</v>
      </c>
      <c r="R41" s="225" t="s">
        <v>1071</v>
      </c>
      <c r="S41" s="225" t="s">
        <v>1072</v>
      </c>
      <c r="T41" s="225" t="s">
        <v>89</v>
      </c>
      <c r="U41" s="225" t="s">
        <v>1073</v>
      </c>
      <c r="V41" s="225" t="s">
        <v>1074</v>
      </c>
      <c r="W41" s="225" t="s">
        <v>98</v>
      </c>
      <c r="X41" s="225" t="s">
        <v>1075</v>
      </c>
      <c r="Y41" s="225" t="s">
        <v>1076</v>
      </c>
      <c r="Z41" s="225" t="s">
        <v>1077</v>
      </c>
      <c r="AA41" s="225" t="s">
        <v>1066</v>
      </c>
      <c r="AB41" s="225" t="s">
        <v>1067</v>
      </c>
      <c r="AC41" s="225" t="s">
        <v>1078</v>
      </c>
      <c r="AD41" s="225" t="s">
        <v>1079</v>
      </c>
      <c r="AE41" s="225" t="s">
        <v>1057</v>
      </c>
      <c r="AF41" s="225" t="s">
        <v>1058</v>
      </c>
      <c r="AG41" s="225" t="s">
        <v>1080</v>
      </c>
      <c r="AH41" s="225" t="s">
        <v>109</v>
      </c>
      <c r="AI41" s="225" t="s">
        <v>1069</v>
      </c>
      <c r="AJ41" s="102" t="s">
        <v>1060</v>
      </c>
      <c r="AK41" s="102" t="s">
        <v>1061</v>
      </c>
      <c r="AN41" s="3"/>
      <c r="AO41" s="3"/>
      <c r="AP41" s="3"/>
      <c r="AS41"/>
      <c r="AT41"/>
      <c r="AU41"/>
    </row>
    <row r="42" spans="1:47" x14ac:dyDescent="0.2">
      <c r="A42" s="76">
        <v>1</v>
      </c>
      <c r="B42" s="77" t="s">
        <v>139</v>
      </c>
      <c r="C42" s="76" t="s">
        <v>182</v>
      </c>
      <c r="D42" s="76">
        <v>103</v>
      </c>
      <c r="E42" s="76">
        <v>58</v>
      </c>
      <c r="F42" s="76">
        <v>3.15</v>
      </c>
      <c r="G42" s="76">
        <v>162</v>
      </c>
      <c r="H42" s="76">
        <v>162</v>
      </c>
      <c r="I42" s="76">
        <v>38</v>
      </c>
      <c r="J42" s="76">
        <v>53</v>
      </c>
      <c r="K42" s="76">
        <v>1459.67</v>
      </c>
      <c r="L42" s="76">
        <v>1125</v>
      </c>
      <c r="M42" s="76">
        <v>556</v>
      </c>
      <c r="N42" s="76">
        <v>511</v>
      </c>
      <c r="O42" s="76">
        <v>163</v>
      </c>
      <c r="P42" s="76">
        <v>495</v>
      </c>
      <c r="Q42" s="76">
        <v>1441</v>
      </c>
      <c r="R42" s="76">
        <v>0.21199999999999999</v>
      </c>
      <c r="S42" s="76">
        <v>1.1100000000000001</v>
      </c>
      <c r="T42" s="76">
        <v>5</v>
      </c>
      <c r="U42" s="76">
        <v>15</v>
      </c>
      <c r="V42" s="76">
        <v>63</v>
      </c>
      <c r="W42" s="76">
        <v>24</v>
      </c>
      <c r="X42" s="76">
        <v>157</v>
      </c>
      <c r="Y42" s="76">
        <v>74</v>
      </c>
      <c r="Z42" s="76">
        <v>98</v>
      </c>
      <c r="AA42" s="76">
        <v>1525</v>
      </c>
      <c r="AB42" s="76">
        <v>1284</v>
      </c>
      <c r="AC42" s="76">
        <v>80</v>
      </c>
      <c r="AD42" s="76">
        <v>0</v>
      </c>
      <c r="AE42" s="76">
        <v>133</v>
      </c>
      <c r="AF42" s="76">
        <v>38</v>
      </c>
      <c r="AG42" s="76">
        <v>10</v>
      </c>
      <c r="AH42" s="76">
        <v>5933</v>
      </c>
      <c r="AI42" s="76">
        <v>23340</v>
      </c>
      <c r="AJ42" s="202">
        <v>0.36599999999999999</v>
      </c>
      <c r="AK42" s="202">
        <v>0.67600000000000005</v>
      </c>
      <c r="AN42" s="3"/>
      <c r="AO42" s="3"/>
      <c r="AP42" s="3"/>
      <c r="AS42"/>
      <c r="AT42"/>
      <c r="AU42"/>
    </row>
    <row r="43" spans="1:47" ht="25.5" x14ac:dyDescent="0.2">
      <c r="A43" s="76">
        <v>2</v>
      </c>
      <c r="B43" s="77" t="s">
        <v>132</v>
      </c>
      <c r="C43" s="76" t="s">
        <v>182</v>
      </c>
      <c r="D43" s="76">
        <v>95</v>
      </c>
      <c r="E43" s="76">
        <v>67</v>
      </c>
      <c r="F43" s="76">
        <v>3.51</v>
      </c>
      <c r="G43" s="76">
        <v>162</v>
      </c>
      <c r="H43" s="76">
        <v>162</v>
      </c>
      <c r="I43" s="76">
        <v>46</v>
      </c>
      <c r="J43" s="76">
        <v>60</v>
      </c>
      <c r="K43" s="76">
        <v>1459.67</v>
      </c>
      <c r="L43" s="76">
        <v>1272</v>
      </c>
      <c r="M43" s="76">
        <v>612</v>
      </c>
      <c r="N43" s="76">
        <v>570</v>
      </c>
      <c r="O43" s="76">
        <v>155</v>
      </c>
      <c r="P43" s="76">
        <v>468</v>
      </c>
      <c r="Q43" s="76">
        <v>1476</v>
      </c>
      <c r="R43" s="76">
        <v>0.23400000000000001</v>
      </c>
      <c r="S43" s="76">
        <v>1.19</v>
      </c>
      <c r="T43" s="76">
        <v>1</v>
      </c>
      <c r="U43" s="76">
        <v>12</v>
      </c>
      <c r="V43" s="76">
        <v>57</v>
      </c>
      <c r="W43" s="76">
        <v>43</v>
      </c>
      <c r="X43" s="76">
        <v>161</v>
      </c>
      <c r="Y43" s="76">
        <v>91</v>
      </c>
      <c r="Z43" s="76">
        <v>124</v>
      </c>
      <c r="AA43" s="76">
        <v>1380</v>
      </c>
      <c r="AB43" s="76">
        <v>1381</v>
      </c>
      <c r="AC43" s="76">
        <v>47</v>
      </c>
      <c r="AD43" s="76">
        <v>4</v>
      </c>
      <c r="AE43" s="76">
        <v>54</v>
      </c>
      <c r="AF43" s="76">
        <v>29</v>
      </c>
      <c r="AG43" s="76">
        <v>4</v>
      </c>
      <c r="AH43" s="76">
        <v>6036</v>
      </c>
      <c r="AI43" s="76">
        <v>23673</v>
      </c>
      <c r="AJ43" s="202">
        <v>0.36099999999999999</v>
      </c>
      <c r="AK43" s="202">
        <v>0.67200000000000004</v>
      </c>
      <c r="AN43" s="3"/>
      <c r="AO43" s="3"/>
      <c r="AP43" s="3"/>
      <c r="AS43"/>
      <c r="AT43"/>
      <c r="AU43"/>
    </row>
    <row r="44" spans="1:47" x14ac:dyDescent="0.2">
      <c r="A44" s="76">
        <v>3</v>
      </c>
      <c r="B44" s="77" t="s">
        <v>138</v>
      </c>
      <c r="C44" s="76" t="s">
        <v>182</v>
      </c>
      <c r="D44" s="76">
        <v>87</v>
      </c>
      <c r="E44" s="76">
        <v>75</v>
      </c>
      <c r="F44" s="76">
        <v>3.57</v>
      </c>
      <c r="G44" s="76">
        <v>162</v>
      </c>
      <c r="H44" s="76">
        <v>162</v>
      </c>
      <c r="I44" s="76">
        <v>55</v>
      </c>
      <c r="J44" s="76">
        <v>71</v>
      </c>
      <c r="K44" s="76">
        <v>1447</v>
      </c>
      <c r="L44" s="76">
        <v>1397</v>
      </c>
      <c r="M44" s="76">
        <v>617</v>
      </c>
      <c r="N44" s="76">
        <v>574</v>
      </c>
      <c r="O44" s="76">
        <v>152</v>
      </c>
      <c r="P44" s="76">
        <v>439</v>
      </c>
      <c r="Q44" s="76">
        <v>1396</v>
      </c>
      <c r="R44" s="76">
        <v>0.254</v>
      </c>
      <c r="S44" s="76">
        <v>1.27</v>
      </c>
      <c r="T44" s="76">
        <v>1</v>
      </c>
      <c r="U44" s="76">
        <v>13</v>
      </c>
      <c r="V44" s="76">
        <v>35</v>
      </c>
      <c r="W44" s="76">
        <v>39</v>
      </c>
      <c r="X44" s="76">
        <v>161</v>
      </c>
      <c r="Y44" s="76">
        <v>102</v>
      </c>
      <c r="Z44" s="76">
        <v>117</v>
      </c>
      <c r="AA44" s="76">
        <v>1436</v>
      </c>
      <c r="AB44" s="76">
        <v>1364</v>
      </c>
      <c r="AC44" s="76">
        <v>50</v>
      </c>
      <c r="AD44" s="76">
        <v>7</v>
      </c>
      <c r="AE44" s="76">
        <v>135</v>
      </c>
      <c r="AF44" s="76">
        <v>45</v>
      </c>
      <c r="AG44" s="76">
        <v>10</v>
      </c>
      <c r="AH44" s="76">
        <v>6067</v>
      </c>
      <c r="AI44" s="76">
        <v>23609</v>
      </c>
      <c r="AJ44" s="202">
        <v>0.372</v>
      </c>
      <c r="AK44" s="202">
        <v>0.66200000000000003</v>
      </c>
      <c r="AN44" s="3"/>
      <c r="AO44" s="3"/>
      <c r="AP44" s="3"/>
      <c r="AS44"/>
      <c r="AT44"/>
      <c r="AU44"/>
    </row>
    <row r="45" spans="1:47" ht="25.5" x14ac:dyDescent="0.2">
      <c r="A45" s="76">
        <v>4</v>
      </c>
      <c r="B45" s="77" t="s">
        <v>128</v>
      </c>
      <c r="C45" s="76" t="s">
        <v>182</v>
      </c>
      <c r="D45" s="76">
        <v>87</v>
      </c>
      <c r="E45" s="76">
        <v>75</v>
      </c>
      <c r="F45" s="76">
        <v>3.65</v>
      </c>
      <c r="G45" s="76">
        <v>162</v>
      </c>
      <c r="H45" s="76">
        <v>162</v>
      </c>
      <c r="I45" s="76">
        <v>43</v>
      </c>
      <c r="J45" s="76">
        <v>72</v>
      </c>
      <c r="K45" s="76">
        <v>1460.33</v>
      </c>
      <c r="L45" s="76">
        <v>1334</v>
      </c>
      <c r="M45" s="76">
        <v>631</v>
      </c>
      <c r="N45" s="76">
        <v>593</v>
      </c>
      <c r="O45" s="76">
        <v>158</v>
      </c>
      <c r="P45" s="76">
        <v>439</v>
      </c>
      <c r="Q45" s="76">
        <v>1309</v>
      </c>
      <c r="R45" s="76">
        <v>0.24299999999999999</v>
      </c>
      <c r="S45" s="76">
        <v>1.21</v>
      </c>
      <c r="T45" s="76">
        <v>10</v>
      </c>
      <c r="U45" s="76">
        <v>11</v>
      </c>
      <c r="V45" s="76">
        <v>46</v>
      </c>
      <c r="W45" s="76">
        <v>30</v>
      </c>
      <c r="X45" s="76">
        <v>152</v>
      </c>
      <c r="Y45" s="76">
        <v>125</v>
      </c>
      <c r="Z45" s="76">
        <v>120</v>
      </c>
      <c r="AA45" s="76">
        <v>1549</v>
      </c>
      <c r="AB45" s="76">
        <v>1372</v>
      </c>
      <c r="AC45" s="76">
        <v>40</v>
      </c>
      <c r="AD45" s="76">
        <v>6</v>
      </c>
      <c r="AE45" s="76">
        <v>71</v>
      </c>
      <c r="AF45" s="76">
        <v>35</v>
      </c>
      <c r="AG45" s="76">
        <v>11</v>
      </c>
      <c r="AH45" s="76">
        <v>6048</v>
      </c>
      <c r="AI45" s="76">
        <v>23350</v>
      </c>
      <c r="AJ45" s="202">
        <v>0.377</v>
      </c>
      <c r="AK45" s="202">
        <v>0.67200000000000004</v>
      </c>
      <c r="AN45" s="3"/>
      <c r="AO45" s="3"/>
      <c r="AP45" s="3"/>
      <c r="AS45"/>
      <c r="AT45"/>
      <c r="AU45"/>
    </row>
    <row r="46" spans="1:47" ht="25.5" x14ac:dyDescent="0.2">
      <c r="A46" s="76">
        <v>5</v>
      </c>
      <c r="B46" s="77" t="s">
        <v>131</v>
      </c>
      <c r="C46" s="76" t="s">
        <v>182</v>
      </c>
      <c r="D46" s="76">
        <v>91</v>
      </c>
      <c r="E46" s="76">
        <v>71</v>
      </c>
      <c r="F46" s="76">
        <v>3.7</v>
      </c>
      <c r="G46" s="76">
        <v>162</v>
      </c>
      <c r="H46" s="76">
        <v>162</v>
      </c>
      <c r="I46" s="76">
        <v>47</v>
      </c>
      <c r="J46" s="76">
        <v>69</v>
      </c>
      <c r="K46" s="76">
        <v>1453</v>
      </c>
      <c r="L46" s="76">
        <v>1266</v>
      </c>
      <c r="M46" s="76">
        <v>638</v>
      </c>
      <c r="N46" s="76">
        <v>598</v>
      </c>
      <c r="O46" s="76">
        <v>165</v>
      </c>
      <c r="P46" s="76">
        <v>464</v>
      </c>
      <c r="Q46" s="76">
        <v>1510</v>
      </c>
      <c r="R46" s="76">
        <v>0.23300000000000001</v>
      </c>
      <c r="S46" s="76">
        <v>1.19</v>
      </c>
      <c r="T46" s="76">
        <v>3</v>
      </c>
      <c r="U46" s="76">
        <v>15</v>
      </c>
      <c r="V46" s="76">
        <v>53</v>
      </c>
      <c r="W46" s="76">
        <v>51</v>
      </c>
      <c r="X46" s="76">
        <v>159</v>
      </c>
      <c r="Y46" s="76">
        <v>102</v>
      </c>
      <c r="Z46" s="76">
        <v>84</v>
      </c>
      <c r="AA46" s="76">
        <v>1365</v>
      </c>
      <c r="AB46" s="76">
        <v>1354</v>
      </c>
      <c r="AC46" s="76">
        <v>58</v>
      </c>
      <c r="AD46" s="76">
        <v>5</v>
      </c>
      <c r="AE46" s="76">
        <v>87</v>
      </c>
      <c r="AF46" s="76">
        <v>36</v>
      </c>
      <c r="AG46" s="76">
        <v>19</v>
      </c>
      <c r="AH46" s="76">
        <v>6014</v>
      </c>
      <c r="AI46" s="76">
        <v>24092</v>
      </c>
      <c r="AJ46" s="202">
        <v>0.372</v>
      </c>
      <c r="AK46" s="202">
        <v>0.66900000000000004</v>
      </c>
      <c r="AN46" s="3"/>
      <c r="AO46" s="3"/>
      <c r="AP46" s="3"/>
      <c r="AS46"/>
      <c r="AT46"/>
      <c r="AU46"/>
    </row>
    <row r="47" spans="1:47" x14ac:dyDescent="0.2">
      <c r="A47" s="76">
        <v>6</v>
      </c>
      <c r="B47" s="77" t="s">
        <v>245</v>
      </c>
      <c r="C47" s="76" t="s">
        <v>182</v>
      </c>
      <c r="D47" s="76">
        <v>79</v>
      </c>
      <c r="E47" s="76">
        <v>82</v>
      </c>
      <c r="F47" s="76">
        <v>4.05</v>
      </c>
      <c r="G47" s="76">
        <v>161</v>
      </c>
      <c r="H47" s="76">
        <v>161</v>
      </c>
      <c r="I47" s="76">
        <v>55</v>
      </c>
      <c r="J47" s="76">
        <v>84</v>
      </c>
      <c r="K47" s="76">
        <v>1435</v>
      </c>
      <c r="L47" s="76">
        <v>1358</v>
      </c>
      <c r="M47" s="76">
        <v>682</v>
      </c>
      <c r="N47" s="76">
        <v>646</v>
      </c>
      <c r="O47" s="76">
        <v>152</v>
      </c>
      <c r="P47" s="76">
        <v>595</v>
      </c>
      <c r="Q47" s="76">
        <v>1379</v>
      </c>
      <c r="R47" s="76">
        <v>0.251</v>
      </c>
      <c r="S47" s="76">
        <v>1.36</v>
      </c>
      <c r="T47" s="76">
        <v>0</v>
      </c>
      <c r="U47" s="76">
        <v>12</v>
      </c>
      <c r="V47" s="76">
        <v>61</v>
      </c>
      <c r="W47" s="76">
        <v>62</v>
      </c>
      <c r="X47" s="76">
        <v>161</v>
      </c>
      <c r="Y47" s="76">
        <v>97</v>
      </c>
      <c r="Z47" s="76">
        <v>119</v>
      </c>
      <c r="AA47" s="76">
        <v>1405</v>
      </c>
      <c r="AB47" s="76">
        <v>1364</v>
      </c>
      <c r="AC47" s="76">
        <v>66</v>
      </c>
      <c r="AD47" s="76">
        <v>3</v>
      </c>
      <c r="AE47" s="76">
        <v>76</v>
      </c>
      <c r="AF47" s="76">
        <v>38</v>
      </c>
      <c r="AG47" s="76">
        <v>10</v>
      </c>
      <c r="AH47" s="76">
        <v>6164</v>
      </c>
      <c r="AI47" s="76">
        <v>24244</v>
      </c>
      <c r="AJ47" s="202">
        <v>0.38400000000000001</v>
      </c>
      <c r="AK47" s="202">
        <v>0.68500000000000005</v>
      </c>
      <c r="AN47" s="3"/>
      <c r="AO47" s="3"/>
      <c r="AP47" s="3"/>
      <c r="AS47"/>
      <c r="AT47"/>
      <c r="AU47"/>
    </row>
    <row r="48" spans="1:47" x14ac:dyDescent="0.2">
      <c r="A48" s="76">
        <v>7</v>
      </c>
      <c r="B48" s="77" t="s">
        <v>134</v>
      </c>
      <c r="C48" s="76" t="s">
        <v>182</v>
      </c>
      <c r="D48" s="76">
        <v>86</v>
      </c>
      <c r="E48" s="76">
        <v>76</v>
      </c>
      <c r="F48" s="76">
        <v>4.08</v>
      </c>
      <c r="G48" s="76">
        <v>162</v>
      </c>
      <c r="H48" s="76">
        <v>162</v>
      </c>
      <c r="I48" s="76">
        <v>38</v>
      </c>
      <c r="J48" s="76">
        <v>55</v>
      </c>
      <c r="K48" s="76">
        <v>1448.33</v>
      </c>
      <c r="L48" s="76">
        <v>1432</v>
      </c>
      <c r="M48" s="76">
        <v>712</v>
      </c>
      <c r="N48" s="76">
        <v>656</v>
      </c>
      <c r="O48" s="76">
        <v>159</v>
      </c>
      <c r="P48" s="76">
        <v>475</v>
      </c>
      <c r="Q48" s="76">
        <v>1290</v>
      </c>
      <c r="R48" s="76">
        <v>0.25800000000000001</v>
      </c>
      <c r="S48" s="76">
        <v>1.32</v>
      </c>
      <c r="T48" s="76">
        <v>2</v>
      </c>
      <c r="U48" s="76">
        <v>10</v>
      </c>
      <c r="V48" s="76">
        <v>52</v>
      </c>
      <c r="W48" s="76">
        <v>35</v>
      </c>
      <c r="X48" s="76">
        <v>160</v>
      </c>
      <c r="Y48" s="76">
        <v>70</v>
      </c>
      <c r="Z48" s="76">
        <v>149</v>
      </c>
      <c r="AA48" s="76">
        <v>1686</v>
      </c>
      <c r="AB48" s="76">
        <v>1229</v>
      </c>
      <c r="AC48" s="76">
        <v>50</v>
      </c>
      <c r="AD48" s="76">
        <v>1</v>
      </c>
      <c r="AE48" s="76">
        <v>85</v>
      </c>
      <c r="AF48" s="76">
        <v>26</v>
      </c>
      <c r="AG48" s="76">
        <v>6</v>
      </c>
      <c r="AH48" s="76">
        <v>6164</v>
      </c>
      <c r="AI48" s="76">
        <v>23345</v>
      </c>
      <c r="AJ48" s="202">
        <v>0.39500000000000002</v>
      </c>
      <c r="AK48" s="202">
        <v>0.7</v>
      </c>
      <c r="AN48" s="3"/>
      <c r="AO48" s="3"/>
      <c r="AP48" s="3"/>
      <c r="AS48"/>
      <c r="AT48"/>
      <c r="AU48"/>
    </row>
    <row r="49" spans="1:47" x14ac:dyDescent="0.2">
      <c r="A49" s="76">
        <v>8</v>
      </c>
      <c r="B49" s="77" t="s">
        <v>133</v>
      </c>
      <c r="C49" s="76" t="s">
        <v>182</v>
      </c>
      <c r="D49" s="76">
        <v>73</v>
      </c>
      <c r="E49" s="76">
        <v>89</v>
      </c>
      <c r="F49" s="76">
        <v>4.08</v>
      </c>
      <c r="G49" s="76">
        <v>162</v>
      </c>
      <c r="H49" s="76">
        <v>162</v>
      </c>
      <c r="I49" s="76">
        <v>46</v>
      </c>
      <c r="J49" s="76">
        <v>69</v>
      </c>
      <c r="K49" s="76">
        <v>1434.33</v>
      </c>
      <c r="L49" s="76">
        <v>1450</v>
      </c>
      <c r="M49" s="76">
        <v>733</v>
      </c>
      <c r="N49" s="76">
        <v>650</v>
      </c>
      <c r="O49" s="76">
        <v>178</v>
      </c>
      <c r="P49" s="76">
        <v>532</v>
      </c>
      <c r="Q49" s="76">
        <v>1175</v>
      </c>
      <c r="R49" s="76">
        <v>0.26300000000000001</v>
      </c>
      <c r="S49" s="76">
        <v>1.38</v>
      </c>
      <c r="T49" s="76">
        <v>0</v>
      </c>
      <c r="U49" s="76">
        <v>7</v>
      </c>
      <c r="V49" s="76">
        <v>66</v>
      </c>
      <c r="W49" s="76">
        <v>33</v>
      </c>
      <c r="X49" s="76">
        <v>162</v>
      </c>
      <c r="Y49" s="76">
        <v>88</v>
      </c>
      <c r="Z49" s="76">
        <v>122</v>
      </c>
      <c r="AA49" s="76">
        <v>1606</v>
      </c>
      <c r="AB49" s="76">
        <v>1361</v>
      </c>
      <c r="AC49" s="76">
        <v>48</v>
      </c>
      <c r="AD49" s="76">
        <v>2</v>
      </c>
      <c r="AE49" s="76">
        <v>92</v>
      </c>
      <c r="AF49" s="76">
        <v>59</v>
      </c>
      <c r="AG49" s="76">
        <v>10</v>
      </c>
      <c r="AH49" s="76">
        <v>6188</v>
      </c>
      <c r="AI49" s="76">
        <v>23795</v>
      </c>
      <c r="AJ49" s="202">
        <v>0.39600000000000002</v>
      </c>
      <c r="AK49" s="202">
        <v>0.71799999999999997</v>
      </c>
      <c r="AN49" s="3"/>
      <c r="AO49" s="3"/>
      <c r="AP49" s="3"/>
      <c r="AS49"/>
      <c r="AT49"/>
      <c r="AU49"/>
    </row>
    <row r="50" spans="1:47" x14ac:dyDescent="0.2">
      <c r="A50" s="76">
        <v>9</v>
      </c>
      <c r="B50" s="77" t="s">
        <v>136</v>
      </c>
      <c r="C50" s="76" t="s">
        <v>182</v>
      </c>
      <c r="D50" s="76">
        <v>78</v>
      </c>
      <c r="E50" s="76">
        <v>83</v>
      </c>
      <c r="F50" s="76">
        <v>4.21</v>
      </c>
      <c r="G50" s="76">
        <v>162</v>
      </c>
      <c r="H50" s="76">
        <v>162</v>
      </c>
      <c r="I50" s="76">
        <v>51</v>
      </c>
      <c r="J50" s="76">
        <v>71</v>
      </c>
      <c r="K50" s="76">
        <v>1450.67</v>
      </c>
      <c r="L50" s="76">
        <v>1490</v>
      </c>
      <c r="M50" s="76">
        <v>758</v>
      </c>
      <c r="N50" s="76">
        <v>679</v>
      </c>
      <c r="O50" s="76">
        <v>180</v>
      </c>
      <c r="P50" s="76">
        <v>533</v>
      </c>
      <c r="Q50" s="76">
        <v>1232</v>
      </c>
      <c r="R50" s="76">
        <v>0.26700000000000002</v>
      </c>
      <c r="S50" s="76">
        <v>1.39</v>
      </c>
      <c r="T50" s="76">
        <v>5</v>
      </c>
      <c r="U50" s="76">
        <v>5</v>
      </c>
      <c r="V50" s="76">
        <v>68</v>
      </c>
      <c r="W50" s="76">
        <v>28</v>
      </c>
      <c r="X50" s="76">
        <v>157</v>
      </c>
      <c r="Y50" s="76">
        <v>89</v>
      </c>
      <c r="Z50" s="76">
        <v>150</v>
      </c>
      <c r="AA50" s="76">
        <v>1659</v>
      </c>
      <c r="AB50" s="76">
        <v>1308</v>
      </c>
      <c r="AC50" s="76">
        <v>71</v>
      </c>
      <c r="AD50" s="76">
        <v>7</v>
      </c>
      <c r="AE50" s="76">
        <v>102</v>
      </c>
      <c r="AF50" s="76">
        <v>28</v>
      </c>
      <c r="AG50" s="76">
        <v>7</v>
      </c>
      <c r="AH50" s="76">
        <v>6292</v>
      </c>
      <c r="AI50" s="76">
        <v>24068</v>
      </c>
      <c r="AJ50" s="202">
        <v>0.42299999999999999</v>
      </c>
      <c r="AK50" s="202">
        <v>0.74399999999999999</v>
      </c>
      <c r="AN50" s="3"/>
      <c r="AO50" s="3"/>
      <c r="AP50" s="3"/>
      <c r="AS50"/>
      <c r="AT50"/>
      <c r="AU50"/>
    </row>
    <row r="51" spans="1:47" x14ac:dyDescent="0.2">
      <c r="A51" s="76">
        <v>10</v>
      </c>
      <c r="B51" s="77" t="s">
        <v>129</v>
      </c>
      <c r="C51" s="76" t="s">
        <v>182</v>
      </c>
      <c r="D51" s="76">
        <v>68</v>
      </c>
      <c r="E51" s="76">
        <v>94</v>
      </c>
      <c r="F51" s="76">
        <v>4.43</v>
      </c>
      <c r="G51" s="76">
        <v>162</v>
      </c>
      <c r="H51" s="76">
        <v>162</v>
      </c>
      <c r="I51" s="76">
        <v>35</v>
      </c>
      <c r="J51" s="76">
        <v>53</v>
      </c>
      <c r="K51" s="76">
        <v>1440</v>
      </c>
      <c r="L51" s="76">
        <v>1425</v>
      </c>
      <c r="M51" s="76">
        <v>770</v>
      </c>
      <c r="N51" s="76">
        <v>708</v>
      </c>
      <c r="O51" s="76">
        <v>183</v>
      </c>
      <c r="P51" s="76">
        <v>569</v>
      </c>
      <c r="Q51" s="76">
        <v>1222</v>
      </c>
      <c r="R51" s="76">
        <v>0.25800000000000001</v>
      </c>
      <c r="S51" s="76">
        <v>1.38</v>
      </c>
      <c r="T51" s="76">
        <v>1</v>
      </c>
      <c r="U51" s="76">
        <v>9</v>
      </c>
      <c r="V51" s="76">
        <v>53</v>
      </c>
      <c r="W51" s="76">
        <v>44</v>
      </c>
      <c r="X51" s="76">
        <v>161</v>
      </c>
      <c r="Y51" s="76">
        <v>74</v>
      </c>
      <c r="Z51" s="76">
        <v>147</v>
      </c>
      <c r="AA51" s="76">
        <v>1553</v>
      </c>
      <c r="AB51" s="76">
        <v>1402</v>
      </c>
      <c r="AC51" s="76">
        <v>67</v>
      </c>
      <c r="AD51" s="76">
        <v>3</v>
      </c>
      <c r="AE51" s="76">
        <v>98</v>
      </c>
      <c r="AF51" s="76">
        <v>29</v>
      </c>
      <c r="AG51" s="76">
        <v>9</v>
      </c>
      <c r="AH51" s="76">
        <v>6228</v>
      </c>
      <c r="AI51" s="76">
        <v>24103</v>
      </c>
      <c r="AJ51" s="202">
        <v>0.41399999999999998</v>
      </c>
      <c r="AK51" s="202">
        <v>0.73499999999999999</v>
      </c>
      <c r="AN51" s="3"/>
      <c r="AO51" s="3"/>
      <c r="AP51" s="3"/>
      <c r="AS51"/>
      <c r="AT51"/>
      <c r="AU51"/>
    </row>
    <row r="52" spans="1:47" x14ac:dyDescent="0.2">
      <c r="A52" s="76">
        <v>11</v>
      </c>
      <c r="B52" s="77" t="s">
        <v>130</v>
      </c>
      <c r="C52" s="76" t="s">
        <v>182</v>
      </c>
      <c r="D52" s="76">
        <v>68</v>
      </c>
      <c r="E52" s="76">
        <v>93</v>
      </c>
      <c r="F52" s="76">
        <v>4.51</v>
      </c>
      <c r="G52" s="76">
        <v>161</v>
      </c>
      <c r="H52" s="76">
        <v>161</v>
      </c>
      <c r="I52" s="76">
        <v>39</v>
      </c>
      <c r="J52" s="76">
        <v>58</v>
      </c>
      <c r="K52" s="76">
        <v>1447.67</v>
      </c>
      <c r="L52" s="76">
        <v>1414</v>
      </c>
      <c r="M52" s="76">
        <v>779</v>
      </c>
      <c r="N52" s="76">
        <v>725</v>
      </c>
      <c r="O52" s="76">
        <v>177</v>
      </c>
      <c r="P52" s="76">
        <v>547</v>
      </c>
      <c r="Q52" s="76">
        <v>1227</v>
      </c>
      <c r="R52" s="76">
        <v>0.25600000000000001</v>
      </c>
      <c r="S52" s="76">
        <v>1.35</v>
      </c>
      <c r="T52" s="76">
        <v>1</v>
      </c>
      <c r="U52" s="76">
        <v>9</v>
      </c>
      <c r="V52" s="76">
        <v>70</v>
      </c>
      <c r="W52" s="76">
        <v>55</v>
      </c>
      <c r="X52" s="76">
        <v>160</v>
      </c>
      <c r="Y52" s="76">
        <v>64</v>
      </c>
      <c r="Z52" s="76">
        <v>106</v>
      </c>
      <c r="AA52" s="76">
        <v>1522</v>
      </c>
      <c r="AB52" s="76">
        <v>1470</v>
      </c>
      <c r="AC52" s="76">
        <v>83</v>
      </c>
      <c r="AD52" s="76">
        <v>4</v>
      </c>
      <c r="AE52" s="76">
        <v>132</v>
      </c>
      <c r="AF52" s="76">
        <v>25</v>
      </c>
      <c r="AG52" s="76">
        <v>14</v>
      </c>
      <c r="AH52" s="76">
        <v>6250</v>
      </c>
      <c r="AI52" s="76">
        <v>24341</v>
      </c>
      <c r="AJ52" s="202">
        <v>0.42199999999999999</v>
      </c>
      <c r="AK52" s="202">
        <v>0.75</v>
      </c>
      <c r="AN52" s="3"/>
      <c r="AO52" s="3"/>
      <c r="AP52" s="3"/>
      <c r="AS52"/>
      <c r="AT52"/>
      <c r="AU52"/>
    </row>
    <row r="53" spans="1:47" x14ac:dyDescent="0.2">
      <c r="A53" s="76">
        <v>12</v>
      </c>
      <c r="B53" s="77" t="s">
        <v>127</v>
      </c>
      <c r="C53" s="76" t="s">
        <v>182</v>
      </c>
      <c r="D53" s="76">
        <v>71</v>
      </c>
      <c r="E53" s="76">
        <v>91</v>
      </c>
      <c r="F53" s="76">
        <v>4.63</v>
      </c>
      <c r="G53" s="76">
        <v>162</v>
      </c>
      <c r="H53" s="76">
        <v>162</v>
      </c>
      <c r="I53" s="76">
        <v>43</v>
      </c>
      <c r="J53" s="76">
        <v>63</v>
      </c>
      <c r="K53" s="76">
        <v>1437</v>
      </c>
      <c r="L53" s="76">
        <v>1468</v>
      </c>
      <c r="M53" s="76">
        <v>796</v>
      </c>
      <c r="N53" s="76">
        <v>739</v>
      </c>
      <c r="O53" s="76">
        <v>213</v>
      </c>
      <c r="P53" s="76">
        <v>466</v>
      </c>
      <c r="Q53" s="76">
        <v>1299</v>
      </c>
      <c r="R53" s="76">
        <v>0.26500000000000001</v>
      </c>
      <c r="S53" s="76">
        <v>1.35</v>
      </c>
      <c r="T53" s="76">
        <v>4</v>
      </c>
      <c r="U53" s="76">
        <v>12</v>
      </c>
      <c r="V53" s="76">
        <v>51</v>
      </c>
      <c r="W53" s="76">
        <v>30</v>
      </c>
      <c r="X53" s="76">
        <v>158</v>
      </c>
      <c r="Y53" s="76">
        <v>81</v>
      </c>
      <c r="Z53" s="76">
        <v>120</v>
      </c>
      <c r="AA53" s="76">
        <v>1412</v>
      </c>
      <c r="AB53" s="76">
        <v>1468</v>
      </c>
      <c r="AC53" s="76">
        <v>57</v>
      </c>
      <c r="AD53" s="76">
        <v>9</v>
      </c>
      <c r="AE53" s="76">
        <v>70</v>
      </c>
      <c r="AF53" s="76">
        <v>32</v>
      </c>
      <c r="AG53" s="76">
        <v>8</v>
      </c>
      <c r="AH53" s="76">
        <v>6164</v>
      </c>
      <c r="AI53" s="76">
        <v>23836</v>
      </c>
      <c r="AJ53" s="202">
        <v>0.42</v>
      </c>
      <c r="AK53" s="202">
        <v>0.748</v>
      </c>
      <c r="AN53" s="3"/>
      <c r="AO53" s="3"/>
      <c r="AP53" s="3"/>
      <c r="AS53"/>
      <c r="AT53"/>
      <c r="AU53"/>
    </row>
    <row r="54" spans="1:47" x14ac:dyDescent="0.2">
      <c r="A54" s="76">
        <v>13</v>
      </c>
      <c r="B54" s="77" t="s">
        <v>140</v>
      </c>
      <c r="C54" s="76" t="s">
        <v>182</v>
      </c>
      <c r="D54" s="76">
        <v>75</v>
      </c>
      <c r="E54" s="76">
        <v>87</v>
      </c>
      <c r="F54" s="76">
        <v>4.91</v>
      </c>
      <c r="G54" s="76">
        <v>162</v>
      </c>
      <c r="H54" s="76">
        <v>162</v>
      </c>
      <c r="I54" s="76">
        <v>37</v>
      </c>
      <c r="J54" s="76">
        <v>65</v>
      </c>
      <c r="K54" s="76">
        <v>1429.33</v>
      </c>
      <c r="L54" s="76">
        <v>1532</v>
      </c>
      <c r="M54" s="76">
        <v>860</v>
      </c>
      <c r="N54" s="76">
        <v>779</v>
      </c>
      <c r="O54" s="76">
        <v>181</v>
      </c>
      <c r="P54" s="76">
        <v>547</v>
      </c>
      <c r="Q54" s="76">
        <v>1223</v>
      </c>
      <c r="R54" s="76">
        <v>0.27400000000000002</v>
      </c>
      <c r="S54" s="76">
        <v>1.45</v>
      </c>
      <c r="T54" s="76">
        <v>2</v>
      </c>
      <c r="U54" s="76">
        <v>9</v>
      </c>
      <c r="V54" s="76">
        <v>70</v>
      </c>
      <c r="W54" s="76">
        <v>38</v>
      </c>
      <c r="X54" s="76">
        <v>160</v>
      </c>
      <c r="Y54" s="76">
        <v>74</v>
      </c>
      <c r="Z54" s="76">
        <v>128</v>
      </c>
      <c r="AA54" s="76">
        <v>1693</v>
      </c>
      <c r="AB54" s="76">
        <v>1220</v>
      </c>
      <c r="AC54" s="76">
        <v>72</v>
      </c>
      <c r="AD54" s="76">
        <v>5</v>
      </c>
      <c r="AE54" s="76">
        <v>100</v>
      </c>
      <c r="AF54" s="76">
        <v>31</v>
      </c>
      <c r="AG54" s="76">
        <v>12</v>
      </c>
      <c r="AH54" s="76">
        <v>6289</v>
      </c>
      <c r="AI54" s="76">
        <v>24013</v>
      </c>
      <c r="AJ54" s="202">
        <v>0.42599999999999999</v>
      </c>
      <c r="AK54" s="202">
        <v>0.76500000000000001</v>
      </c>
      <c r="AN54" s="3"/>
      <c r="AO54" s="3"/>
      <c r="AP54" s="3"/>
      <c r="AS54"/>
      <c r="AT54"/>
      <c r="AU54"/>
    </row>
    <row r="55" spans="1:47" x14ac:dyDescent="0.2">
      <c r="A55" s="76">
        <v>14</v>
      </c>
      <c r="B55" s="77" t="s">
        <v>137</v>
      </c>
      <c r="C55" s="76" t="s">
        <v>182</v>
      </c>
      <c r="D55" s="76">
        <v>68</v>
      </c>
      <c r="E55" s="76">
        <v>94</v>
      </c>
      <c r="F55" s="76">
        <v>4.91</v>
      </c>
      <c r="G55" s="76">
        <v>162</v>
      </c>
      <c r="H55" s="76">
        <v>162</v>
      </c>
      <c r="I55" s="76">
        <v>28</v>
      </c>
      <c r="J55" s="76">
        <v>53</v>
      </c>
      <c r="K55" s="76">
        <v>1442</v>
      </c>
      <c r="L55" s="76">
        <v>1457</v>
      </c>
      <c r="M55" s="76">
        <v>854</v>
      </c>
      <c r="N55" s="76">
        <v>786</v>
      </c>
      <c r="O55" s="76">
        <v>258</v>
      </c>
      <c r="P55" s="76">
        <v>636</v>
      </c>
      <c r="Q55" s="76">
        <v>1241</v>
      </c>
      <c r="R55" s="76">
        <v>0.26300000000000001</v>
      </c>
      <c r="S55" s="76">
        <v>1.45</v>
      </c>
      <c r="T55" s="76">
        <v>2</v>
      </c>
      <c r="U55" s="76">
        <v>8</v>
      </c>
      <c r="V55" s="76">
        <v>78</v>
      </c>
      <c r="W55" s="76">
        <v>31</v>
      </c>
      <c r="X55" s="76">
        <v>160</v>
      </c>
      <c r="Y55" s="76">
        <v>57</v>
      </c>
      <c r="Z55" s="76">
        <v>118</v>
      </c>
      <c r="AA55" s="76">
        <v>1436</v>
      </c>
      <c r="AB55" s="76">
        <v>1498</v>
      </c>
      <c r="AC55" s="76">
        <v>61</v>
      </c>
      <c r="AD55" s="76">
        <v>12</v>
      </c>
      <c r="AE55" s="76">
        <v>108</v>
      </c>
      <c r="AF55" s="76">
        <v>45</v>
      </c>
      <c r="AG55" s="76">
        <v>17</v>
      </c>
      <c r="AH55" s="76">
        <v>6348</v>
      </c>
      <c r="AI55" s="76">
        <v>24903</v>
      </c>
      <c r="AJ55" s="202">
        <v>0.44500000000000001</v>
      </c>
      <c r="AK55" s="202">
        <v>0.78600000000000003</v>
      </c>
      <c r="AN55" s="3"/>
      <c r="AO55" s="3"/>
      <c r="AP55" s="3"/>
      <c r="AS55"/>
      <c r="AT55"/>
      <c r="AU55"/>
    </row>
    <row r="56" spans="1:47" ht="25.5" x14ac:dyDescent="0.2">
      <c r="A56" s="76">
        <v>15</v>
      </c>
      <c r="B56" s="77" t="s">
        <v>135</v>
      </c>
      <c r="C56" s="76" t="s">
        <v>182</v>
      </c>
      <c r="D56" s="76">
        <v>69</v>
      </c>
      <c r="E56" s="76">
        <v>93</v>
      </c>
      <c r="F56" s="76">
        <v>5.09</v>
      </c>
      <c r="G56" s="76">
        <v>162</v>
      </c>
      <c r="H56" s="76">
        <v>162</v>
      </c>
      <c r="I56" s="76">
        <v>31</v>
      </c>
      <c r="J56" s="76">
        <v>53</v>
      </c>
      <c r="K56" s="76">
        <v>1451.33</v>
      </c>
      <c r="L56" s="76">
        <v>1563</v>
      </c>
      <c r="M56" s="76">
        <v>890</v>
      </c>
      <c r="N56" s="76">
        <v>821</v>
      </c>
      <c r="O56" s="76">
        <v>202</v>
      </c>
      <c r="P56" s="76">
        <v>603</v>
      </c>
      <c r="Q56" s="76">
        <v>1318</v>
      </c>
      <c r="R56" s="76">
        <v>0.27500000000000002</v>
      </c>
      <c r="S56" s="76">
        <v>1.49</v>
      </c>
      <c r="T56" s="76">
        <v>2</v>
      </c>
      <c r="U56" s="76">
        <v>7</v>
      </c>
      <c r="V56" s="76">
        <v>57</v>
      </c>
      <c r="W56" s="76">
        <v>57</v>
      </c>
      <c r="X56" s="76">
        <v>160</v>
      </c>
      <c r="Y56" s="76">
        <v>69</v>
      </c>
      <c r="Z56" s="76">
        <v>125</v>
      </c>
      <c r="AA56" s="76">
        <v>1581</v>
      </c>
      <c r="AB56" s="76">
        <v>1315</v>
      </c>
      <c r="AC56" s="76">
        <v>69</v>
      </c>
      <c r="AD56" s="76">
        <v>7</v>
      </c>
      <c r="AE56" s="76">
        <v>63</v>
      </c>
      <c r="AF56" s="76">
        <v>35</v>
      </c>
      <c r="AG56" s="76">
        <v>4</v>
      </c>
      <c r="AH56" s="76">
        <v>6437</v>
      </c>
      <c r="AI56" s="76">
        <v>24789</v>
      </c>
      <c r="AJ56" s="202">
        <v>0.46100000000000002</v>
      </c>
      <c r="AK56" s="202">
        <v>0.81399999999999995</v>
      </c>
      <c r="AN56" s="3"/>
      <c r="AO56" s="3"/>
      <c r="AP56" s="3"/>
      <c r="AS56"/>
      <c r="AT56"/>
      <c r="AU56"/>
    </row>
    <row r="57" spans="1:47" x14ac:dyDescent="0.2">
      <c r="A57" s="76"/>
      <c r="B57" s="95"/>
      <c r="C57" s="76"/>
      <c r="D57" s="76"/>
      <c r="E57" s="76"/>
      <c r="F57" s="97"/>
      <c r="G57" s="97"/>
      <c r="H57" s="76"/>
      <c r="I57" s="76"/>
      <c r="J57" s="76"/>
      <c r="K57" s="97"/>
      <c r="L57" s="97"/>
      <c r="M57" s="76"/>
      <c r="N57" s="76"/>
      <c r="O57" s="76"/>
      <c r="P57" s="76"/>
      <c r="Q57" s="76"/>
      <c r="R57" s="76"/>
      <c r="S57" s="100"/>
      <c r="T57" s="144"/>
      <c r="U57" s="98"/>
      <c r="V57" s="98"/>
      <c r="W57" s="98"/>
      <c r="X57" s="98"/>
      <c r="Y57" s="98"/>
      <c r="Z57" s="98"/>
      <c r="AA57" s="98"/>
      <c r="AB57" s="98"/>
      <c r="AC57" s="98"/>
      <c r="AD57" s="98"/>
      <c r="AE57" s="98"/>
      <c r="AF57" s="98"/>
      <c r="AG57" s="98"/>
      <c r="AH57" s="98"/>
      <c r="AI57" s="98"/>
      <c r="AJ57" s="101"/>
      <c r="AK57" s="101"/>
      <c r="AL57" s="101"/>
      <c r="AM57" s="101"/>
      <c r="AN57" s="101"/>
    </row>
    <row r="58" spans="1:47" x14ac:dyDescent="0.2">
      <c r="A58" s="76"/>
      <c r="B58" s="95"/>
      <c r="C58" s="76"/>
      <c r="D58" s="76"/>
      <c r="E58" s="76"/>
      <c r="F58" s="97">
        <f>(N58*9)/K58</f>
        <v>4.1628774487412725</v>
      </c>
      <c r="G58" s="97"/>
      <c r="H58" s="76"/>
      <c r="I58" s="76"/>
      <c r="J58" s="76"/>
      <c r="K58" s="97">
        <f>SUM(K42:K57)</f>
        <v>21695.33</v>
      </c>
      <c r="L58" s="97"/>
      <c r="M58" s="76"/>
      <c r="N58" s="76">
        <f>SUM(N42:N57)</f>
        <v>10035</v>
      </c>
      <c r="O58" s="76">
        <f>SUM(O42:O57)</f>
        <v>2676</v>
      </c>
      <c r="P58" s="76">
        <f>SUM(P42:P57)</f>
        <v>7808</v>
      </c>
      <c r="Q58" s="76"/>
      <c r="R58" s="76"/>
      <c r="S58" s="100"/>
      <c r="T58" s="144"/>
      <c r="U58" s="98"/>
      <c r="V58" s="98"/>
      <c r="W58" s="98">
        <f>SUM(W42:W57)</f>
        <v>600</v>
      </c>
      <c r="X58" s="98"/>
      <c r="Y58" s="98"/>
      <c r="Z58" s="98"/>
      <c r="AA58" s="98"/>
      <c r="AB58" s="98"/>
      <c r="AC58" s="98"/>
      <c r="AD58" s="98"/>
      <c r="AE58" s="98"/>
      <c r="AF58" s="98"/>
      <c r="AG58" s="98"/>
      <c r="AH58" s="98">
        <f>SUM(AH42:AH57)</f>
        <v>92622</v>
      </c>
      <c r="AI58" s="98"/>
      <c r="AJ58" s="101"/>
      <c r="AK58" s="101"/>
      <c r="AL58" s="101"/>
      <c r="AM58" s="101"/>
      <c r="AN58" s="101"/>
    </row>
    <row r="59" spans="1:47" x14ac:dyDescent="0.2">
      <c r="A59" s="42"/>
      <c r="C59" s="43"/>
      <c r="D59" s="43"/>
      <c r="E59" s="17"/>
      <c r="F59" s="43"/>
      <c r="G59" s="17"/>
      <c r="H59" s="68"/>
      <c r="I59" s="68"/>
      <c r="J59" s="17"/>
      <c r="K59" s="17"/>
      <c r="L59" s="17"/>
      <c r="M59" s="43"/>
      <c r="N59" s="43"/>
      <c r="O59" s="43"/>
      <c r="P59" s="43"/>
      <c r="Q59" s="16"/>
      <c r="R59" s="17"/>
      <c r="S59" s="16"/>
      <c r="T59" s="17"/>
      <c r="U59" s="17"/>
      <c r="V59" s="68"/>
      <c r="W59" s="43"/>
      <c r="X59" s="43"/>
      <c r="Y59" s="43"/>
      <c r="Z59" s="43"/>
      <c r="AA59" s="43"/>
      <c r="AB59" s="43"/>
      <c r="AC59" s="43"/>
      <c r="AD59" s="43"/>
      <c r="AE59" s="43"/>
      <c r="AF59" s="43"/>
      <c r="AG59" s="43"/>
      <c r="AH59" s="43"/>
      <c r="AI59" s="43"/>
      <c r="AJ59" s="16"/>
      <c r="AK59" s="16"/>
      <c r="AL59" s="16"/>
      <c r="AM59" s="16"/>
      <c r="AN59" s="16"/>
    </row>
    <row r="60" spans="1:47" ht="25.5" x14ac:dyDescent="0.2">
      <c r="A60" s="225" t="s">
        <v>105</v>
      </c>
      <c r="B60" s="225" t="s">
        <v>157</v>
      </c>
      <c r="C60" s="225" t="s">
        <v>112</v>
      </c>
      <c r="D60" s="225" t="s">
        <v>108</v>
      </c>
      <c r="E60" s="225" t="s">
        <v>1053</v>
      </c>
      <c r="F60" s="225" t="s">
        <v>93</v>
      </c>
      <c r="G60" s="225" t="s">
        <v>92</v>
      </c>
      <c r="H60" s="225" t="s">
        <v>1054</v>
      </c>
      <c r="I60" s="225" t="s">
        <v>1055</v>
      </c>
      <c r="J60" s="225" t="s">
        <v>95</v>
      </c>
      <c r="K60" s="225" t="s">
        <v>1056</v>
      </c>
      <c r="L60" s="225" t="s">
        <v>96</v>
      </c>
      <c r="M60" s="225" t="s">
        <v>97</v>
      </c>
      <c r="N60" s="225" t="s">
        <v>1057</v>
      </c>
      <c r="O60" s="225" t="s">
        <v>1058</v>
      </c>
      <c r="P60" s="225" t="s">
        <v>289</v>
      </c>
      <c r="Q60" s="225" t="s">
        <v>1059</v>
      </c>
      <c r="R60" s="225" t="s">
        <v>1060</v>
      </c>
      <c r="S60" s="225" t="s">
        <v>1061</v>
      </c>
      <c r="T60" s="225" t="s">
        <v>98</v>
      </c>
      <c r="U60" s="225" t="s">
        <v>1062</v>
      </c>
      <c r="V60" s="225" t="s">
        <v>1063</v>
      </c>
      <c r="W60" s="225" t="s">
        <v>171</v>
      </c>
      <c r="X60" s="225" t="s">
        <v>144</v>
      </c>
      <c r="Y60" s="225" t="s">
        <v>1064</v>
      </c>
      <c r="Z60" s="225" t="s">
        <v>1065</v>
      </c>
      <c r="AA60" s="225" t="s">
        <v>1066</v>
      </c>
      <c r="AB60" s="225" t="s">
        <v>1067</v>
      </c>
      <c r="AC60" s="225" t="s">
        <v>1068</v>
      </c>
      <c r="AD60" s="225" t="s">
        <v>1069</v>
      </c>
      <c r="AE60" s="225" t="s">
        <v>1070</v>
      </c>
      <c r="AF60" s="43"/>
      <c r="AG60" s="43"/>
      <c r="AH60" s="43"/>
      <c r="AI60" s="43"/>
      <c r="AJ60" s="43"/>
      <c r="AK60" s="43"/>
      <c r="AN60" s="3"/>
      <c r="AO60" s="3"/>
      <c r="AP60" s="3"/>
      <c r="AS60"/>
      <c r="AT60"/>
      <c r="AU60"/>
    </row>
    <row r="61" spans="1:47" x14ac:dyDescent="0.2">
      <c r="A61" s="76">
        <v>1</v>
      </c>
      <c r="B61" s="77" t="s">
        <v>140</v>
      </c>
      <c r="C61" s="76" t="s">
        <v>182</v>
      </c>
      <c r="D61" s="76">
        <v>162</v>
      </c>
      <c r="E61" s="76">
        <v>5614</v>
      </c>
      <c r="F61" s="76">
        <v>845</v>
      </c>
      <c r="G61" s="76">
        <v>1544</v>
      </c>
      <c r="H61" s="76">
        <v>318</v>
      </c>
      <c r="I61" s="76">
        <v>47</v>
      </c>
      <c r="J61" s="76">
        <v>204</v>
      </c>
      <c r="K61" s="76">
        <v>805</v>
      </c>
      <c r="L61" s="76">
        <v>494</v>
      </c>
      <c r="M61" s="76">
        <v>1330</v>
      </c>
      <c r="N61" s="76">
        <v>66</v>
      </c>
      <c r="O61" s="76">
        <v>39</v>
      </c>
      <c r="P61" s="76">
        <v>0.27500000000000002</v>
      </c>
      <c r="Q61" s="76">
        <v>0.33600000000000002</v>
      </c>
      <c r="R61" s="76">
        <v>0.45700000000000002</v>
      </c>
      <c r="S61" s="76">
        <v>0.79400000000000004</v>
      </c>
      <c r="T61" s="76">
        <v>35</v>
      </c>
      <c r="U61" s="76">
        <v>40</v>
      </c>
      <c r="V61" s="76">
        <v>54</v>
      </c>
      <c r="W61" s="76">
        <v>34</v>
      </c>
      <c r="X61" s="76">
        <v>2568</v>
      </c>
      <c r="Y61" s="76">
        <v>569</v>
      </c>
      <c r="Z61" s="76">
        <v>113</v>
      </c>
      <c r="AA61" s="76">
        <v>1626</v>
      </c>
      <c r="AB61" s="76">
        <v>1315</v>
      </c>
      <c r="AC61" s="76">
        <v>1.24</v>
      </c>
      <c r="AD61" s="76">
        <v>24413</v>
      </c>
      <c r="AE61" s="76">
        <v>6236</v>
      </c>
      <c r="AF61" s="43"/>
      <c r="AG61" s="43"/>
      <c r="AH61" s="43"/>
      <c r="AI61" s="43"/>
      <c r="AJ61" s="43"/>
      <c r="AK61" s="43"/>
      <c r="AN61" s="3"/>
      <c r="AO61" s="3"/>
      <c r="AP61" s="3"/>
      <c r="AS61"/>
      <c r="AT61"/>
      <c r="AU61"/>
    </row>
    <row r="62" spans="1:47" x14ac:dyDescent="0.2">
      <c r="A62" s="76">
        <v>2</v>
      </c>
      <c r="B62" s="77" t="s">
        <v>245</v>
      </c>
      <c r="C62" s="76" t="s">
        <v>182</v>
      </c>
      <c r="D62" s="76">
        <v>161</v>
      </c>
      <c r="E62" s="76">
        <v>5547</v>
      </c>
      <c r="F62" s="76">
        <v>655</v>
      </c>
      <c r="G62" s="76">
        <v>1460</v>
      </c>
      <c r="H62" s="76">
        <v>259</v>
      </c>
      <c r="I62" s="76">
        <v>42</v>
      </c>
      <c r="J62" s="76">
        <v>128</v>
      </c>
      <c r="K62" s="76">
        <v>626</v>
      </c>
      <c r="L62" s="76">
        <v>447</v>
      </c>
      <c r="M62" s="76">
        <v>1213</v>
      </c>
      <c r="N62" s="76">
        <v>71</v>
      </c>
      <c r="O62" s="76">
        <v>28</v>
      </c>
      <c r="P62" s="76">
        <v>0.26300000000000001</v>
      </c>
      <c r="Q62" s="76">
        <v>0.32200000000000001</v>
      </c>
      <c r="R62" s="76">
        <v>0.39400000000000002</v>
      </c>
      <c r="S62" s="76">
        <v>0.71599999999999997</v>
      </c>
      <c r="T62" s="76">
        <v>40</v>
      </c>
      <c r="U62" s="76">
        <v>54</v>
      </c>
      <c r="V62" s="76">
        <v>46</v>
      </c>
      <c r="W62" s="76">
        <v>38</v>
      </c>
      <c r="X62" s="76">
        <v>2187</v>
      </c>
      <c r="Y62" s="76">
        <v>429</v>
      </c>
      <c r="Z62" s="76">
        <v>140</v>
      </c>
      <c r="AA62" s="76">
        <v>1802</v>
      </c>
      <c r="AB62" s="76">
        <v>1299</v>
      </c>
      <c r="AC62" s="76">
        <v>1.39</v>
      </c>
      <c r="AD62" s="76">
        <v>23661</v>
      </c>
      <c r="AE62" s="76">
        <v>6133</v>
      </c>
      <c r="AF62" s="43"/>
      <c r="AG62" s="43"/>
      <c r="AH62" s="43"/>
      <c r="AI62" s="43"/>
      <c r="AJ62" s="43"/>
      <c r="AK62" s="43"/>
      <c r="AN62" s="3"/>
      <c r="AO62" s="3"/>
      <c r="AP62" s="3"/>
      <c r="AS62"/>
      <c r="AT62"/>
      <c r="AU62"/>
    </row>
    <row r="63" spans="1:47" ht="25.5" x14ac:dyDescent="0.2">
      <c r="A63" s="76">
        <v>3</v>
      </c>
      <c r="B63" s="77" t="s">
        <v>135</v>
      </c>
      <c r="C63" s="76" t="s">
        <v>182</v>
      </c>
      <c r="D63" s="76">
        <v>162</v>
      </c>
      <c r="E63" s="76">
        <v>5665</v>
      </c>
      <c r="F63" s="76">
        <v>752</v>
      </c>
      <c r="G63" s="76">
        <v>1479</v>
      </c>
      <c r="H63" s="76">
        <v>285</v>
      </c>
      <c r="I63" s="76">
        <v>56</v>
      </c>
      <c r="J63" s="76">
        <v>190</v>
      </c>
      <c r="K63" s="76">
        <v>709</v>
      </c>
      <c r="L63" s="76">
        <v>463</v>
      </c>
      <c r="M63" s="76">
        <v>1427</v>
      </c>
      <c r="N63" s="76">
        <v>137</v>
      </c>
      <c r="O63" s="76">
        <v>31</v>
      </c>
      <c r="P63" s="76">
        <v>0.26100000000000001</v>
      </c>
      <c r="Q63" s="76">
        <v>0.32</v>
      </c>
      <c r="R63" s="76">
        <v>0.432</v>
      </c>
      <c r="S63" s="76">
        <v>0.752</v>
      </c>
      <c r="T63" s="76">
        <v>43</v>
      </c>
      <c r="U63" s="76">
        <v>50</v>
      </c>
      <c r="V63" s="76">
        <v>43</v>
      </c>
      <c r="W63" s="76">
        <v>38</v>
      </c>
      <c r="X63" s="76">
        <v>2446</v>
      </c>
      <c r="Y63" s="76">
        <v>531</v>
      </c>
      <c r="Z63" s="76">
        <v>117</v>
      </c>
      <c r="AA63" s="76">
        <v>1740</v>
      </c>
      <c r="AB63" s="76">
        <v>1217</v>
      </c>
      <c r="AC63" s="76">
        <v>1.43</v>
      </c>
      <c r="AD63" s="76">
        <v>24094</v>
      </c>
      <c r="AE63" s="76">
        <v>6260</v>
      </c>
      <c r="AF63" s="43"/>
      <c r="AG63" s="43"/>
      <c r="AH63" s="43"/>
      <c r="AI63" s="43"/>
      <c r="AJ63" s="43"/>
      <c r="AK63" s="43"/>
      <c r="AN63" s="3"/>
      <c r="AO63" s="3"/>
      <c r="AP63" s="3"/>
      <c r="AS63"/>
      <c r="AT63"/>
      <c r="AU63"/>
    </row>
    <row r="64" spans="1:47" ht="25.5" x14ac:dyDescent="0.2">
      <c r="A64" s="76">
        <v>4</v>
      </c>
      <c r="B64" s="77" t="s">
        <v>128</v>
      </c>
      <c r="C64" s="76" t="s">
        <v>182</v>
      </c>
      <c r="D64" s="76">
        <v>162</v>
      </c>
      <c r="E64" s="76">
        <v>5565</v>
      </c>
      <c r="F64" s="76">
        <v>715</v>
      </c>
      <c r="G64" s="76">
        <v>1437</v>
      </c>
      <c r="H64" s="76">
        <v>280</v>
      </c>
      <c r="I64" s="76">
        <v>54</v>
      </c>
      <c r="J64" s="76">
        <v>130</v>
      </c>
      <c r="K64" s="76">
        <v>675</v>
      </c>
      <c r="L64" s="76">
        <v>572</v>
      </c>
      <c r="M64" s="76">
        <v>1107</v>
      </c>
      <c r="N64" s="76">
        <v>79</v>
      </c>
      <c r="O64" s="76">
        <v>36</v>
      </c>
      <c r="P64" s="76">
        <v>0.25800000000000001</v>
      </c>
      <c r="Q64" s="76">
        <v>0.32900000000000001</v>
      </c>
      <c r="R64" s="76">
        <v>0.39800000000000002</v>
      </c>
      <c r="S64" s="76">
        <v>0.72799999999999998</v>
      </c>
      <c r="T64" s="76">
        <v>43</v>
      </c>
      <c r="U64" s="76">
        <v>42</v>
      </c>
      <c r="V64" s="76">
        <v>42</v>
      </c>
      <c r="W64" s="76">
        <v>46</v>
      </c>
      <c r="X64" s="76">
        <v>2215</v>
      </c>
      <c r="Y64" s="76">
        <v>464</v>
      </c>
      <c r="Z64" s="76">
        <v>120</v>
      </c>
      <c r="AA64" s="76">
        <v>1736</v>
      </c>
      <c r="AB64" s="76">
        <v>1493</v>
      </c>
      <c r="AC64" s="76">
        <v>1.1599999999999999</v>
      </c>
      <c r="AD64" s="76">
        <v>24003</v>
      </c>
      <c r="AE64" s="76">
        <v>6271</v>
      </c>
      <c r="AF64" s="43"/>
      <c r="AG64" s="43"/>
      <c r="AH64" s="43"/>
      <c r="AI64" s="43"/>
      <c r="AJ64" s="43"/>
      <c r="AK64" s="43"/>
      <c r="AN64" s="3"/>
      <c r="AO64" s="3"/>
      <c r="AP64" s="3"/>
      <c r="AS64"/>
      <c r="AT64"/>
      <c r="AU64"/>
    </row>
    <row r="65" spans="1:47" x14ac:dyDescent="0.2">
      <c r="A65" s="76">
        <v>5</v>
      </c>
      <c r="B65" s="77" t="s">
        <v>136</v>
      </c>
      <c r="C65" s="76" t="s">
        <v>182</v>
      </c>
      <c r="D65" s="76">
        <v>162</v>
      </c>
      <c r="E65" s="76">
        <v>5542</v>
      </c>
      <c r="F65" s="76">
        <v>729</v>
      </c>
      <c r="G65" s="76">
        <v>1426</v>
      </c>
      <c r="H65" s="76">
        <v>277</v>
      </c>
      <c r="I65" s="76">
        <v>32</v>
      </c>
      <c r="J65" s="76">
        <v>153</v>
      </c>
      <c r="K65" s="76">
        <v>696</v>
      </c>
      <c r="L65" s="76">
        <v>561</v>
      </c>
      <c r="M65" s="76">
        <v>1334</v>
      </c>
      <c r="N65" s="76">
        <v>110</v>
      </c>
      <c r="O65" s="76">
        <v>45</v>
      </c>
      <c r="P65" s="76">
        <v>0.25700000000000001</v>
      </c>
      <c r="Q65" s="76">
        <v>0.33200000000000002</v>
      </c>
      <c r="R65" s="76">
        <v>0.40200000000000002</v>
      </c>
      <c r="S65" s="76">
        <v>0.73399999999999999</v>
      </c>
      <c r="T65" s="76">
        <v>39</v>
      </c>
      <c r="U65" s="76">
        <v>81</v>
      </c>
      <c r="V65" s="76">
        <v>41</v>
      </c>
      <c r="W65" s="76">
        <v>36</v>
      </c>
      <c r="X65" s="76">
        <v>2226</v>
      </c>
      <c r="Y65" s="76">
        <v>462</v>
      </c>
      <c r="Z65" s="76">
        <v>133</v>
      </c>
      <c r="AA65" s="76">
        <v>1707</v>
      </c>
      <c r="AB65" s="76">
        <v>1285</v>
      </c>
      <c r="AC65" s="76">
        <v>1.33</v>
      </c>
      <c r="AD65" s="76">
        <v>24900</v>
      </c>
      <c r="AE65" s="76">
        <v>6261</v>
      </c>
      <c r="AF65" s="43"/>
      <c r="AG65" s="43"/>
      <c r="AH65" s="43"/>
      <c r="AI65" s="43"/>
      <c r="AJ65" s="43"/>
      <c r="AK65" s="43"/>
      <c r="AN65" s="3"/>
      <c r="AO65" s="3"/>
      <c r="AP65" s="3"/>
      <c r="AS65"/>
      <c r="AT65"/>
      <c r="AU65"/>
    </row>
    <row r="66" spans="1:47" x14ac:dyDescent="0.2">
      <c r="A66" s="76">
        <v>6</v>
      </c>
      <c r="B66" s="77" t="s">
        <v>139</v>
      </c>
      <c r="C66" s="76" t="s">
        <v>182</v>
      </c>
      <c r="D66" s="76">
        <v>162</v>
      </c>
      <c r="E66" s="76">
        <v>5503</v>
      </c>
      <c r="F66" s="76">
        <v>808</v>
      </c>
      <c r="G66" s="76">
        <v>1409</v>
      </c>
      <c r="H66" s="76">
        <v>293</v>
      </c>
      <c r="I66" s="76">
        <v>30</v>
      </c>
      <c r="J66" s="76">
        <v>199</v>
      </c>
      <c r="K66" s="76">
        <v>767</v>
      </c>
      <c r="L66" s="76">
        <v>656</v>
      </c>
      <c r="M66" s="76">
        <v>1339</v>
      </c>
      <c r="N66" s="76">
        <v>66</v>
      </c>
      <c r="O66" s="76">
        <v>34</v>
      </c>
      <c r="P66" s="76">
        <v>0.25600000000000001</v>
      </c>
      <c r="Q66" s="76">
        <v>0.34300000000000003</v>
      </c>
      <c r="R66" s="76">
        <v>0.42899999999999999</v>
      </c>
      <c r="S66" s="76">
        <v>0.77200000000000002</v>
      </c>
      <c r="T66" s="76">
        <v>45</v>
      </c>
      <c r="U66" s="76">
        <v>96</v>
      </c>
      <c r="V66" s="76">
        <v>42</v>
      </c>
      <c r="W66" s="76">
        <v>37</v>
      </c>
      <c r="X66" s="76">
        <v>2359</v>
      </c>
      <c r="Y66" s="76">
        <v>522</v>
      </c>
      <c r="Z66" s="76">
        <v>107</v>
      </c>
      <c r="AA66" s="76">
        <v>1521</v>
      </c>
      <c r="AB66" s="76">
        <v>1420</v>
      </c>
      <c r="AC66" s="76">
        <v>1.07</v>
      </c>
      <c r="AD66" s="76">
        <v>25160</v>
      </c>
      <c r="AE66" s="76">
        <v>6335</v>
      </c>
      <c r="AF66" s="43"/>
      <c r="AG66" s="43"/>
      <c r="AH66" s="43"/>
      <c r="AI66" s="43"/>
      <c r="AJ66" s="43"/>
      <c r="AK66" s="43"/>
      <c r="AN66" s="3"/>
      <c r="AO66" s="3"/>
      <c r="AP66" s="3"/>
      <c r="AS66"/>
      <c r="AT66"/>
      <c r="AU66"/>
    </row>
    <row r="67" spans="1:47" x14ac:dyDescent="0.2">
      <c r="A67" s="76">
        <v>7</v>
      </c>
      <c r="B67" s="77" t="s">
        <v>137</v>
      </c>
      <c r="C67" s="76" t="s">
        <v>182</v>
      </c>
      <c r="D67" s="76">
        <v>162</v>
      </c>
      <c r="E67" s="76">
        <v>5487</v>
      </c>
      <c r="F67" s="76">
        <v>716</v>
      </c>
      <c r="G67" s="76">
        <v>1403</v>
      </c>
      <c r="H67" s="76">
        <v>277</v>
      </c>
      <c r="I67" s="76">
        <v>33</v>
      </c>
      <c r="J67" s="76">
        <v>164</v>
      </c>
      <c r="K67" s="76">
        <v>678</v>
      </c>
      <c r="L67" s="76">
        <v>452</v>
      </c>
      <c r="M67" s="76">
        <v>1284</v>
      </c>
      <c r="N67" s="76">
        <v>139</v>
      </c>
      <c r="O67" s="76">
        <v>51</v>
      </c>
      <c r="P67" s="76">
        <v>0.25600000000000001</v>
      </c>
      <c r="Q67" s="76">
        <v>0.316</v>
      </c>
      <c r="R67" s="76">
        <v>0.40799999999999997</v>
      </c>
      <c r="S67" s="76">
        <v>0.72399999999999998</v>
      </c>
      <c r="T67" s="76">
        <v>37</v>
      </c>
      <c r="U67" s="76">
        <v>52</v>
      </c>
      <c r="V67" s="76">
        <v>58</v>
      </c>
      <c r="W67" s="76">
        <v>44</v>
      </c>
      <c r="X67" s="76">
        <v>2238</v>
      </c>
      <c r="Y67" s="76">
        <v>474</v>
      </c>
      <c r="Z67" s="76">
        <v>129</v>
      </c>
      <c r="AA67" s="76">
        <v>1638</v>
      </c>
      <c r="AB67" s="76">
        <v>1393</v>
      </c>
      <c r="AC67" s="76">
        <v>1.18</v>
      </c>
      <c r="AD67" s="76">
        <v>23320</v>
      </c>
      <c r="AE67" s="76">
        <v>6094</v>
      </c>
      <c r="AF67" s="43"/>
      <c r="AG67" s="43"/>
      <c r="AH67" s="43"/>
      <c r="AI67" s="43"/>
      <c r="AJ67" s="43"/>
      <c r="AK67" s="43"/>
      <c r="AN67" s="3"/>
      <c r="AO67" s="3"/>
      <c r="AP67" s="3"/>
      <c r="AS67"/>
      <c r="AT67"/>
      <c r="AU67"/>
    </row>
    <row r="68" spans="1:47" ht="25.5" x14ac:dyDescent="0.2">
      <c r="A68" s="76">
        <v>8</v>
      </c>
      <c r="B68" s="77" t="s">
        <v>132</v>
      </c>
      <c r="C68" s="76" t="s">
        <v>182</v>
      </c>
      <c r="D68" s="76">
        <v>162</v>
      </c>
      <c r="E68" s="76">
        <v>5490</v>
      </c>
      <c r="F68" s="76">
        <v>763</v>
      </c>
      <c r="G68" s="76">
        <v>1403</v>
      </c>
      <c r="H68" s="76">
        <v>268</v>
      </c>
      <c r="I68" s="76">
        <v>29</v>
      </c>
      <c r="J68" s="76">
        <v>203</v>
      </c>
      <c r="K68" s="76">
        <v>735</v>
      </c>
      <c r="L68" s="76">
        <v>536</v>
      </c>
      <c r="M68" s="76">
        <v>1252</v>
      </c>
      <c r="N68" s="76">
        <v>121</v>
      </c>
      <c r="O68" s="76">
        <v>39</v>
      </c>
      <c r="P68" s="76">
        <v>0.25600000000000001</v>
      </c>
      <c r="Q68" s="76">
        <v>0.32600000000000001</v>
      </c>
      <c r="R68" s="76">
        <v>0.42599999999999999</v>
      </c>
      <c r="S68" s="76">
        <v>0.751</v>
      </c>
      <c r="T68" s="76">
        <v>49</v>
      </c>
      <c r="U68" s="76">
        <v>64</v>
      </c>
      <c r="V68" s="76">
        <v>48</v>
      </c>
      <c r="W68" s="76">
        <v>63</v>
      </c>
      <c r="X68" s="76">
        <v>2338</v>
      </c>
      <c r="Y68" s="76">
        <v>500</v>
      </c>
      <c r="Z68" s="76">
        <v>102</v>
      </c>
      <c r="AA68" s="76">
        <v>1568</v>
      </c>
      <c r="AB68" s="76">
        <v>1480</v>
      </c>
      <c r="AC68" s="76">
        <v>1.06</v>
      </c>
      <c r="AD68" s="76">
        <v>24077</v>
      </c>
      <c r="AE68" s="76">
        <v>6201</v>
      </c>
      <c r="AF68" s="43"/>
      <c r="AG68" s="43"/>
      <c r="AH68" s="43"/>
      <c r="AI68" s="43"/>
      <c r="AJ68" s="43"/>
      <c r="AK68" s="43"/>
      <c r="AN68" s="3"/>
      <c r="AO68" s="3"/>
      <c r="AP68" s="3"/>
      <c r="AS68"/>
      <c r="AT68"/>
      <c r="AU68"/>
    </row>
    <row r="69" spans="1:47" x14ac:dyDescent="0.2">
      <c r="A69" s="76">
        <v>9</v>
      </c>
      <c r="B69" s="77" t="s">
        <v>134</v>
      </c>
      <c r="C69" s="76" t="s">
        <v>182</v>
      </c>
      <c r="D69" s="76">
        <v>162</v>
      </c>
      <c r="E69" s="76">
        <v>5548</v>
      </c>
      <c r="F69" s="76">
        <v>779</v>
      </c>
      <c r="G69" s="76">
        <v>1415</v>
      </c>
      <c r="H69" s="76">
        <v>299</v>
      </c>
      <c r="I69" s="76">
        <v>32</v>
      </c>
      <c r="J69" s="76">
        <v>225</v>
      </c>
      <c r="K69" s="76">
        <v>745</v>
      </c>
      <c r="L69" s="76">
        <v>526</v>
      </c>
      <c r="M69" s="76">
        <v>1318</v>
      </c>
      <c r="N69" s="76">
        <v>35</v>
      </c>
      <c r="O69" s="76">
        <v>26</v>
      </c>
      <c r="P69" s="76">
        <v>0.255</v>
      </c>
      <c r="Q69" s="76">
        <v>0.32500000000000001</v>
      </c>
      <c r="R69" s="76">
        <v>0.442</v>
      </c>
      <c r="S69" s="76">
        <v>0.76700000000000002</v>
      </c>
      <c r="T69" s="76">
        <v>28</v>
      </c>
      <c r="U69" s="76">
        <v>70</v>
      </c>
      <c r="V69" s="76">
        <v>37</v>
      </c>
      <c r="W69" s="76">
        <v>41</v>
      </c>
      <c r="X69" s="76">
        <v>2453</v>
      </c>
      <c r="Y69" s="76">
        <v>556</v>
      </c>
      <c r="Z69" s="76">
        <v>117</v>
      </c>
      <c r="AA69" s="76">
        <v>1563</v>
      </c>
      <c r="AB69" s="76">
        <v>1447</v>
      </c>
      <c r="AC69" s="76">
        <v>1.08</v>
      </c>
      <c r="AD69" s="76">
        <v>23917</v>
      </c>
      <c r="AE69" s="76">
        <v>6223</v>
      </c>
      <c r="AF69" s="43"/>
      <c r="AG69" s="43"/>
      <c r="AH69" s="43"/>
      <c r="AI69" s="43"/>
      <c r="AJ69" s="43"/>
      <c r="AK69" s="43"/>
      <c r="AN69" s="3"/>
      <c r="AO69" s="3"/>
      <c r="AP69" s="3"/>
      <c r="AS69"/>
      <c r="AT69"/>
      <c r="AU69"/>
    </row>
    <row r="70" spans="1:47" x14ac:dyDescent="0.2">
      <c r="A70" s="76">
        <v>10</v>
      </c>
      <c r="B70" s="77" t="s">
        <v>130</v>
      </c>
      <c r="C70" s="76" t="s">
        <v>182</v>
      </c>
      <c r="D70" s="76">
        <v>161</v>
      </c>
      <c r="E70" s="76">
        <v>5514</v>
      </c>
      <c r="F70" s="76">
        <v>649</v>
      </c>
      <c r="G70" s="76">
        <v>1404</v>
      </c>
      <c r="H70" s="76">
        <v>295</v>
      </c>
      <c r="I70" s="76">
        <v>27</v>
      </c>
      <c r="J70" s="76">
        <v>122</v>
      </c>
      <c r="K70" s="76">
        <v>615</v>
      </c>
      <c r="L70" s="76">
        <v>502</v>
      </c>
      <c r="M70" s="76">
        <v>1240</v>
      </c>
      <c r="N70" s="76">
        <v>75</v>
      </c>
      <c r="O70" s="76">
        <v>34</v>
      </c>
      <c r="P70" s="76">
        <v>0.255</v>
      </c>
      <c r="Q70" s="76">
        <v>0.32100000000000001</v>
      </c>
      <c r="R70" s="76">
        <v>0.38400000000000001</v>
      </c>
      <c r="S70" s="76">
        <v>0.70499999999999996</v>
      </c>
      <c r="T70" s="76">
        <v>60</v>
      </c>
      <c r="U70" s="76">
        <v>59</v>
      </c>
      <c r="V70" s="76">
        <v>64</v>
      </c>
      <c r="W70" s="76">
        <v>52</v>
      </c>
      <c r="X70" s="76">
        <v>2119</v>
      </c>
      <c r="Y70" s="76">
        <v>444</v>
      </c>
      <c r="Z70" s="76">
        <v>145</v>
      </c>
      <c r="AA70" s="76">
        <v>1822</v>
      </c>
      <c r="AB70" s="76">
        <v>1311</v>
      </c>
      <c r="AC70" s="76">
        <v>1.39</v>
      </c>
      <c r="AD70" s="76">
        <v>23246</v>
      </c>
      <c r="AE70" s="76">
        <v>6192</v>
      </c>
      <c r="AF70" s="43"/>
      <c r="AG70" s="43"/>
      <c r="AH70" s="43"/>
      <c r="AI70" s="43"/>
      <c r="AJ70" s="43"/>
      <c r="AK70" s="43"/>
      <c r="AN70" s="3"/>
      <c r="AO70" s="3"/>
      <c r="AP70" s="3"/>
      <c r="AS70"/>
      <c r="AT70"/>
      <c r="AU70"/>
    </row>
    <row r="71" spans="1:47" ht="25.5" x14ac:dyDescent="0.2">
      <c r="A71" s="76">
        <v>11</v>
      </c>
      <c r="B71" s="77" t="s">
        <v>131</v>
      </c>
      <c r="C71" s="76" t="s">
        <v>182</v>
      </c>
      <c r="D71" s="76">
        <v>162</v>
      </c>
      <c r="E71" s="76">
        <v>5518</v>
      </c>
      <c r="F71" s="76">
        <v>725</v>
      </c>
      <c r="G71" s="76">
        <v>1376</v>
      </c>
      <c r="H71" s="76">
        <v>272</v>
      </c>
      <c r="I71" s="76">
        <v>21</v>
      </c>
      <c r="J71" s="76">
        <v>189</v>
      </c>
      <c r="K71" s="76">
        <v>680</v>
      </c>
      <c r="L71" s="76">
        <v>525</v>
      </c>
      <c r="M71" s="76">
        <v>1321</v>
      </c>
      <c r="N71" s="76">
        <v>45</v>
      </c>
      <c r="O71" s="76">
        <v>26</v>
      </c>
      <c r="P71" s="76">
        <v>0.249</v>
      </c>
      <c r="Q71" s="76">
        <v>0.31900000000000001</v>
      </c>
      <c r="R71" s="76">
        <v>0.40899999999999997</v>
      </c>
      <c r="S71" s="76">
        <v>0.72799999999999998</v>
      </c>
      <c r="T71" s="76">
        <v>31</v>
      </c>
      <c r="U71" s="76">
        <v>58</v>
      </c>
      <c r="V71" s="76">
        <v>30</v>
      </c>
      <c r="W71" s="76">
        <v>32</v>
      </c>
      <c r="X71" s="76">
        <v>2257</v>
      </c>
      <c r="Y71" s="76">
        <v>482</v>
      </c>
      <c r="Z71" s="76">
        <v>120</v>
      </c>
      <c r="AA71" s="76">
        <v>1688</v>
      </c>
      <c r="AB71" s="76">
        <v>1315</v>
      </c>
      <c r="AC71" s="76">
        <v>1.28</v>
      </c>
      <c r="AD71" s="76">
        <v>23749</v>
      </c>
      <c r="AE71" s="76">
        <v>6164</v>
      </c>
      <c r="AF71" s="43"/>
      <c r="AG71" s="43"/>
      <c r="AH71" s="43"/>
      <c r="AI71" s="43"/>
      <c r="AJ71" s="43"/>
      <c r="AK71" s="43"/>
      <c r="AN71" s="3"/>
      <c r="AO71" s="3"/>
      <c r="AP71" s="3"/>
      <c r="AS71"/>
      <c r="AT71"/>
      <c r="AU71"/>
    </row>
    <row r="72" spans="1:47" x14ac:dyDescent="0.2">
      <c r="A72" s="76">
        <v>12</v>
      </c>
      <c r="B72" s="77" t="s">
        <v>138</v>
      </c>
      <c r="C72" s="76" t="s">
        <v>182</v>
      </c>
      <c r="D72" s="76">
        <v>162</v>
      </c>
      <c r="E72" s="76">
        <v>5459</v>
      </c>
      <c r="F72" s="76">
        <v>671</v>
      </c>
      <c r="G72" s="76">
        <v>1342</v>
      </c>
      <c r="H72" s="76">
        <v>240</v>
      </c>
      <c r="I72" s="76">
        <v>19</v>
      </c>
      <c r="J72" s="76">
        <v>218</v>
      </c>
      <c r="K72" s="76">
        <v>649</v>
      </c>
      <c r="L72" s="76">
        <v>517</v>
      </c>
      <c r="M72" s="76">
        <v>1302</v>
      </c>
      <c r="N72" s="76">
        <v>42</v>
      </c>
      <c r="O72" s="76">
        <v>18</v>
      </c>
      <c r="P72" s="76">
        <v>0.246</v>
      </c>
      <c r="Q72" s="76">
        <v>0.316</v>
      </c>
      <c r="R72" s="76">
        <v>0.41699999999999998</v>
      </c>
      <c r="S72" s="76">
        <v>0.73299999999999998</v>
      </c>
      <c r="T72" s="76">
        <v>43</v>
      </c>
      <c r="U72" s="76">
        <v>62</v>
      </c>
      <c r="V72" s="76">
        <v>35</v>
      </c>
      <c r="W72" s="76">
        <v>41</v>
      </c>
      <c r="X72" s="76">
        <v>2274</v>
      </c>
      <c r="Y72" s="76">
        <v>477</v>
      </c>
      <c r="Z72" s="76">
        <v>123</v>
      </c>
      <c r="AA72" s="76">
        <v>1475</v>
      </c>
      <c r="AB72" s="76">
        <v>1539</v>
      </c>
      <c r="AC72" s="76">
        <v>0.96</v>
      </c>
      <c r="AD72" s="76">
        <v>23980</v>
      </c>
      <c r="AE72" s="76">
        <v>6115</v>
      </c>
      <c r="AF72" s="43"/>
      <c r="AG72" s="43"/>
      <c r="AH72" s="43"/>
      <c r="AI72" s="43"/>
      <c r="AJ72" s="43"/>
      <c r="AK72" s="43"/>
      <c r="AN72" s="3"/>
      <c r="AO72" s="3"/>
      <c r="AP72" s="3"/>
      <c r="AS72"/>
      <c r="AT72"/>
      <c r="AU72"/>
    </row>
    <row r="73" spans="1:47" x14ac:dyDescent="0.2">
      <c r="A73" s="76">
        <v>13</v>
      </c>
      <c r="B73" s="77" t="s">
        <v>133</v>
      </c>
      <c r="C73" s="76" t="s">
        <v>182</v>
      </c>
      <c r="D73" s="76">
        <v>162</v>
      </c>
      <c r="E73" s="76">
        <v>5330</v>
      </c>
      <c r="F73" s="76">
        <v>671</v>
      </c>
      <c r="G73" s="76">
        <v>1299</v>
      </c>
      <c r="H73" s="76">
        <v>249</v>
      </c>
      <c r="I73" s="76">
        <v>19</v>
      </c>
      <c r="J73" s="76">
        <v>194</v>
      </c>
      <c r="K73" s="76">
        <v>641</v>
      </c>
      <c r="L73" s="76">
        <v>599</v>
      </c>
      <c r="M73" s="76">
        <v>1543</v>
      </c>
      <c r="N73" s="76">
        <v>181</v>
      </c>
      <c r="O73" s="76">
        <v>56</v>
      </c>
      <c r="P73" s="76">
        <v>0.24399999999999999</v>
      </c>
      <c r="Q73" s="76">
        <v>0.32200000000000001</v>
      </c>
      <c r="R73" s="76">
        <v>0.40699999999999997</v>
      </c>
      <c r="S73" s="76">
        <v>0.72899999999999998</v>
      </c>
      <c r="T73" s="76">
        <v>34</v>
      </c>
      <c r="U73" s="76">
        <v>37</v>
      </c>
      <c r="V73" s="76">
        <v>53</v>
      </c>
      <c r="W73" s="76">
        <v>39</v>
      </c>
      <c r="X73" s="76">
        <v>2168</v>
      </c>
      <c r="Y73" s="76">
        <v>462</v>
      </c>
      <c r="Z73" s="76">
        <v>131</v>
      </c>
      <c r="AA73" s="76">
        <v>1569</v>
      </c>
      <c r="AB73" s="76">
        <v>1141</v>
      </c>
      <c r="AC73" s="76">
        <v>1.38</v>
      </c>
      <c r="AD73" s="76">
        <v>24181</v>
      </c>
      <c r="AE73" s="76">
        <v>6061</v>
      </c>
      <c r="AF73" s="43"/>
      <c r="AG73" s="43"/>
      <c r="AH73" s="43"/>
      <c r="AI73" s="43"/>
      <c r="AJ73" s="43"/>
      <c r="AK73" s="43"/>
      <c r="AN73" s="3"/>
      <c r="AO73" s="3"/>
      <c r="AP73" s="3"/>
      <c r="AS73"/>
      <c r="AT73"/>
      <c r="AU73"/>
    </row>
    <row r="74" spans="1:47" x14ac:dyDescent="0.2">
      <c r="A74" s="76">
        <v>14</v>
      </c>
      <c r="B74" s="77" t="s">
        <v>127</v>
      </c>
      <c r="C74" s="76" t="s">
        <v>182</v>
      </c>
      <c r="D74" s="76">
        <v>162</v>
      </c>
      <c r="E74" s="76">
        <v>5434</v>
      </c>
      <c r="F74" s="76">
        <v>610</v>
      </c>
      <c r="G74" s="76">
        <v>1305</v>
      </c>
      <c r="H74" s="76">
        <v>231</v>
      </c>
      <c r="I74" s="76">
        <v>35</v>
      </c>
      <c r="J74" s="76">
        <v>161</v>
      </c>
      <c r="K74" s="76">
        <v>574</v>
      </c>
      <c r="L74" s="76">
        <v>424</v>
      </c>
      <c r="M74" s="76">
        <v>1376</v>
      </c>
      <c r="N74" s="76">
        <v>96</v>
      </c>
      <c r="O74" s="76">
        <v>45</v>
      </c>
      <c r="P74" s="76">
        <v>0.24</v>
      </c>
      <c r="Q74" s="76">
        <v>0.30099999999999999</v>
      </c>
      <c r="R74" s="76">
        <v>0.38400000000000001</v>
      </c>
      <c r="S74" s="76">
        <v>0.68500000000000005</v>
      </c>
      <c r="T74" s="76">
        <v>33</v>
      </c>
      <c r="U74" s="76">
        <v>58</v>
      </c>
      <c r="V74" s="76">
        <v>46</v>
      </c>
      <c r="W74" s="76">
        <v>30</v>
      </c>
      <c r="X74" s="76">
        <v>2089</v>
      </c>
      <c r="Y74" s="76">
        <v>427</v>
      </c>
      <c r="Z74" s="76">
        <v>112</v>
      </c>
      <c r="AA74" s="76">
        <v>1646</v>
      </c>
      <c r="AB74" s="76">
        <v>1295</v>
      </c>
      <c r="AC74" s="76">
        <v>1.27</v>
      </c>
      <c r="AD74" s="76">
        <v>22887</v>
      </c>
      <c r="AE74" s="76">
        <v>5992</v>
      </c>
      <c r="AF74" s="43"/>
      <c r="AG74" s="43"/>
      <c r="AH74" s="43"/>
      <c r="AI74" s="43"/>
      <c r="AJ74" s="43"/>
      <c r="AK74" s="43"/>
      <c r="AN74" s="3"/>
      <c r="AO74" s="3"/>
      <c r="AP74" s="3"/>
      <c r="AS74"/>
      <c r="AT74"/>
      <c r="AU74"/>
    </row>
    <row r="75" spans="1:47" x14ac:dyDescent="0.2">
      <c r="A75" s="76">
        <v>15</v>
      </c>
      <c r="B75" s="77" t="s">
        <v>129</v>
      </c>
      <c r="C75" s="76" t="s">
        <v>182</v>
      </c>
      <c r="D75" s="76">
        <v>162</v>
      </c>
      <c r="E75" s="76">
        <v>5419</v>
      </c>
      <c r="F75" s="76">
        <v>686</v>
      </c>
      <c r="G75" s="76">
        <v>1275</v>
      </c>
      <c r="H75" s="76">
        <v>257</v>
      </c>
      <c r="I75" s="76">
        <v>26</v>
      </c>
      <c r="J75" s="76">
        <v>177</v>
      </c>
      <c r="K75" s="76">
        <v>654</v>
      </c>
      <c r="L75" s="76">
        <v>449</v>
      </c>
      <c r="M75" s="76">
        <v>1500</v>
      </c>
      <c r="N75" s="76">
        <v>125</v>
      </c>
      <c r="O75" s="76">
        <v>45</v>
      </c>
      <c r="P75" s="76">
        <v>0.23499999999999999</v>
      </c>
      <c r="Q75" s="76">
        <v>0.29899999999999999</v>
      </c>
      <c r="R75" s="76">
        <v>0.39</v>
      </c>
      <c r="S75" s="76">
        <v>0.68899999999999995</v>
      </c>
      <c r="T75" s="76">
        <v>30</v>
      </c>
      <c r="U75" s="76">
        <v>58</v>
      </c>
      <c r="V75" s="76">
        <v>36</v>
      </c>
      <c r="W75" s="76">
        <v>36</v>
      </c>
      <c r="X75" s="76">
        <v>2115</v>
      </c>
      <c r="Y75" s="76">
        <v>460</v>
      </c>
      <c r="Z75" s="76">
        <v>93</v>
      </c>
      <c r="AA75" s="76">
        <v>1523</v>
      </c>
      <c r="AB75" s="76">
        <v>1289</v>
      </c>
      <c r="AC75" s="76">
        <v>1.18</v>
      </c>
      <c r="AD75" s="76">
        <v>23518</v>
      </c>
      <c r="AE75" s="76">
        <v>6000</v>
      </c>
      <c r="AF75" s="43"/>
      <c r="AG75" s="43"/>
      <c r="AH75" s="43"/>
      <c r="AI75" s="43"/>
      <c r="AJ75" s="43"/>
      <c r="AK75" s="43"/>
      <c r="AN75" s="3"/>
      <c r="AO75" s="3"/>
      <c r="AP75" s="3"/>
      <c r="AS75"/>
      <c r="AT75"/>
      <c r="AU75"/>
    </row>
    <row r="77" spans="1:47" x14ac:dyDescent="0.2">
      <c r="H77" s="68">
        <f>SUM(H61:H75)</f>
        <v>4100</v>
      </c>
    </row>
  </sheetData>
  <hyperlinks>
    <hyperlink ref="B61" r:id="rId1" location="game_type=%27R%27&amp;season=2016&amp;league_code=%27NL%27&amp;split=&amp;playerType=ALL&amp;sectionType=sp&amp;statType=hitting" display="http://mlb.mlb.com/stats/sortable.jsp?c_id=col - game_type=%27R%27&amp;season=2016&amp;league_code=%27NL%27&amp;split=&amp;playerType=ALL&amp;sectionType=sp&amp;statType=hitting"/>
    <hyperlink ref="B62" r:id="rId2" location="game_type=%27R%27&amp;season=2016&amp;league_code=%27NL%27&amp;split=&amp;playerType=ALL&amp;sectionType=sp&amp;statType=hitting" display="http://mlb.mlb.com/stats/sortable.jsp?c_id=mia - game_type=%27R%27&amp;season=2016&amp;league_code=%27NL%27&amp;split=&amp;playerType=ALL&amp;sectionType=sp&amp;statType=hitting"/>
    <hyperlink ref="B63" r:id="rId3" location="game_type=%27R%27&amp;season=2016&amp;league_code=%27NL%27&amp;split=&amp;playerType=ALL&amp;sectionType=sp&amp;statType=hitting" display="http://mlb.mlb.com/stats/sortable.jsp?c_id=ari - game_type=%27R%27&amp;season=2016&amp;league_code=%27NL%27&amp;split=&amp;playerType=ALL&amp;sectionType=sp&amp;statType=hitting"/>
    <hyperlink ref="B64" r:id="rId4" location="game_type=%27R%27&amp;season=2016&amp;league_code=%27NL%27&amp;split=&amp;playerType=ALL&amp;sectionType=sp&amp;statType=hitting" display="http://mlb.mlb.com/stats/sortable.jsp?c_id=sf - game_type=%27R%27&amp;season=2016&amp;league_code=%27NL%27&amp;split=&amp;playerType=ALL&amp;sectionType=sp&amp;statType=hitting"/>
    <hyperlink ref="B65" r:id="rId5" location="game_type=%27R%27&amp;season=2016&amp;league_code=%27NL%27&amp;split=&amp;playerType=ALL&amp;sectionType=sp&amp;statType=hitting" display="http://mlb.mlb.com/stats/sortable.jsp?c_id=pit - game_type=%27R%27&amp;season=2016&amp;league_code=%27NL%27&amp;split=&amp;playerType=ALL&amp;sectionType=sp&amp;statType=hitting"/>
    <hyperlink ref="B66" r:id="rId6" location="game_type=%27R%27&amp;season=2016&amp;league_code=%27NL%27&amp;split=&amp;playerType=ALL&amp;sectionType=sp&amp;statType=hitting" display="http://mlb.mlb.com/stats/sortable.jsp?c_id=chc - game_type=%27R%27&amp;season=2016&amp;league_code=%27NL%27&amp;split=&amp;playerType=ALL&amp;sectionType=sp&amp;statType=hitting"/>
    <hyperlink ref="B67" r:id="rId7" location="game_type=%27R%27&amp;season=2016&amp;league_code=%27NL%27&amp;split=&amp;playerType=ALL&amp;sectionType=sp&amp;statType=hitting" display="http://mlb.mlb.com/stats/sortable.jsp?c_id=cin - game_type=%27R%27&amp;season=2016&amp;league_code=%27NL%27&amp;split=&amp;playerType=ALL&amp;sectionType=sp&amp;statType=hitting"/>
    <hyperlink ref="B68" r:id="rId8" location="game_type=%27R%27&amp;season=2016&amp;league_code=%27NL%27&amp;split=&amp;playerType=ALL&amp;sectionType=sp&amp;statType=hitting" display="http://mlb.mlb.com/stats/sortable.jsp?c_id=was - game_type=%27R%27&amp;season=2016&amp;league_code=%27NL%27&amp;split=&amp;playerType=ALL&amp;sectionType=sp&amp;statType=hitting"/>
    <hyperlink ref="B69" r:id="rId9" location="game_type=%27R%27&amp;season=2016&amp;league_code=%27NL%27&amp;split=&amp;playerType=ALL&amp;sectionType=sp&amp;statType=hitting" display="http://mlb.mlb.com/stats/sortable.jsp?c_id=stl - game_type=%27R%27&amp;season=2016&amp;league_code=%27NL%27&amp;split=&amp;playerType=ALL&amp;sectionType=sp&amp;statType=hitting"/>
    <hyperlink ref="B70" r:id="rId10" location="game_type=%27R%27&amp;season=2016&amp;league_code=%27NL%27&amp;split=&amp;playerType=ALL&amp;sectionType=sp&amp;statType=hitting" display="http://mlb.mlb.com/stats/sortable.jsp?c_id=atl - game_type=%27R%27&amp;season=2016&amp;league_code=%27NL%27&amp;split=&amp;playerType=ALL&amp;sectionType=sp&amp;statType=hitting"/>
    <hyperlink ref="B71" r:id="rId11" location="game_type=%27R%27&amp;season=2016&amp;league_code=%27NL%27&amp;split=&amp;playerType=ALL&amp;sectionType=sp&amp;statType=hitting" display="http://mlb.mlb.com/stats/sortable.jsp?c_id=la - game_type=%27R%27&amp;season=2016&amp;league_code=%27NL%27&amp;split=&amp;playerType=ALL&amp;sectionType=sp&amp;statType=hitting"/>
    <hyperlink ref="B72" r:id="rId12" location="game_type=%27R%27&amp;season=2016&amp;league_code=%27NL%27&amp;split=&amp;playerType=ALL&amp;sectionType=sp&amp;statType=hitting" display="http://mlb.mlb.com/stats/sortable.jsp?c_id=nym - game_type=%27R%27&amp;season=2016&amp;league_code=%27NL%27&amp;split=&amp;playerType=ALL&amp;sectionType=sp&amp;statType=hitting"/>
    <hyperlink ref="B73" r:id="rId13" location="game_type=%27R%27&amp;season=2016&amp;league_code=%27NL%27&amp;split=&amp;playerType=ALL&amp;sectionType=sp&amp;statType=hitting" display="http://mlb.mlb.com/stats/sortable.jsp?c_id=mil - game_type=%27R%27&amp;season=2016&amp;league_code=%27NL%27&amp;split=&amp;playerType=ALL&amp;sectionType=sp&amp;statType=hitting"/>
    <hyperlink ref="B74" r:id="rId14" location="game_type=%27R%27&amp;season=2016&amp;league_code=%27NL%27&amp;split=&amp;playerType=ALL&amp;sectionType=sp&amp;statType=hitting" display="http://mlb.mlb.com/stats/sortable.jsp?c_id=phi - game_type=%27R%27&amp;season=2016&amp;league_code=%27NL%27&amp;split=&amp;playerType=ALL&amp;sectionType=sp&amp;statType=hitting"/>
    <hyperlink ref="B75" r:id="rId15" location="game_type=%27R%27&amp;season=2016&amp;league_code=%27NL%27&amp;split=&amp;playerType=ALL&amp;sectionType=sp&amp;statType=hitting" display="http://mlb.mlb.com/stats/sortable.jsp?c_id=sd - game_type=%27R%27&amp;season=2016&amp;league_code=%27NL%27&amp;split=&amp;playerType=ALL&amp;sectionType=sp&amp;statType=hitting"/>
    <hyperlink ref="B22" r:id="rId16" location="game_type=%27R%27&amp;season=2016&amp;league_code=%27AL%27&amp;split=&amp;playerType=ALL&amp;sectionType=sp&amp;statType=hitting" display="http://mlb.mlb.com/stats/sortable.jsp?c_id=bos - game_type=%27R%27&amp;season=2016&amp;league_code=%27AL%27&amp;split=&amp;playerType=ALL&amp;sectionType=sp&amp;statType=hitting"/>
    <hyperlink ref="B23" r:id="rId17" location="game_type=%27R%27&amp;season=2016&amp;league_code=%27AL%27&amp;split=&amp;playerType=ALL&amp;sectionType=sp&amp;statType=hitting" display="http://mlb.mlb.com/stats/sortable.jsp?c_id=det - game_type=%27R%27&amp;season=2016&amp;league_code=%27AL%27&amp;split=&amp;playerType=ALL&amp;sectionType=sp&amp;statType=hitting"/>
    <hyperlink ref="B24" r:id="rId18" location="game_type=%27R%27&amp;season=2016&amp;league_code=%27AL%27&amp;split=&amp;playerType=ALL&amp;sectionType=sp&amp;statType=hitting" display="http://mlb.mlb.com/stats/sortable.jsp?c_id=tex - game_type=%27R%27&amp;season=2016&amp;league_code=%27AL%27&amp;split=&amp;playerType=ALL&amp;sectionType=sp&amp;statType=hitting"/>
    <hyperlink ref="B25" r:id="rId19" location="game_type=%27R%27&amp;season=2016&amp;league_code=%27AL%27&amp;split=&amp;playerType=ALL&amp;sectionType=sp&amp;statType=hitting" display="http://mlb.mlb.com/stats/sortable.jsp?c_id=cle - game_type=%27R%27&amp;season=2016&amp;league_code=%27AL%27&amp;split=&amp;playerType=ALL&amp;sectionType=sp&amp;statType=hitting"/>
    <hyperlink ref="B26" r:id="rId20" location="game_type=%27R%27&amp;season=2016&amp;league_code=%27AL%27&amp;split=&amp;playerType=ALL&amp;sectionType=sp&amp;statType=hitting" display="http://mlb.mlb.com/stats/sortable.jsp?c_id=kc - game_type=%27R%27&amp;season=2016&amp;league_code=%27AL%27&amp;split=&amp;playerType=ALL&amp;sectionType=sp&amp;statType=hitting"/>
    <hyperlink ref="B27" r:id="rId21" location="game_type=%27R%27&amp;season=2016&amp;league_code=%27AL%27&amp;split=&amp;playerType=ALL&amp;sectionType=sp&amp;statType=hitting" display="http://mlb.mlb.com/stats/sortable.jsp?c_id=ana - game_type=%27R%27&amp;season=2016&amp;league_code=%27AL%27&amp;split=&amp;playerType=ALL&amp;sectionType=sp&amp;statType=hitting"/>
    <hyperlink ref="B28" r:id="rId22" location="game_type=%27R%27&amp;season=2016&amp;league_code=%27AL%27&amp;split=&amp;playerType=ALL&amp;sectionType=sp&amp;statType=hitting" display="http://mlb.mlb.com/stats/sortable.jsp?c_id=sea - game_type=%27R%27&amp;season=2016&amp;league_code=%27AL%27&amp;split=&amp;playerType=ALL&amp;sectionType=sp&amp;statType=hitting"/>
    <hyperlink ref="B29" r:id="rId23" location="game_type=%27R%27&amp;season=2016&amp;league_code=%27AL%27&amp;split=&amp;playerType=ALL&amp;sectionType=sp&amp;statType=hitting" display="http://mlb.mlb.com/stats/sortable.jsp?c_id=cws - game_type=%27R%27&amp;season=2016&amp;league_code=%27AL%27&amp;split=&amp;playerType=ALL&amp;sectionType=sp&amp;statType=hitting"/>
    <hyperlink ref="B30" r:id="rId24" location="game_type=%27R%27&amp;season=2016&amp;league_code=%27AL%27&amp;split=&amp;playerType=ALL&amp;sectionType=sp&amp;statType=hitting" display="http://mlb.mlb.com/stats/sortable.jsp?c_id=bal - game_type=%27R%27&amp;season=2016&amp;league_code=%27AL%27&amp;split=&amp;playerType=ALL&amp;sectionType=sp&amp;statType=hitting"/>
    <hyperlink ref="B31" r:id="rId25" location="game_type=%27R%27&amp;season=2016&amp;league_code=%27AL%27&amp;split=&amp;playerType=ALL&amp;sectionType=sp&amp;statType=hitting" display="http://mlb.mlb.com/stats/sortable.jsp?c_id=nyy - game_type=%27R%27&amp;season=2016&amp;league_code=%27AL%27&amp;split=&amp;playerType=ALL&amp;sectionType=sp&amp;statType=hitting"/>
    <hyperlink ref="B32" r:id="rId26" location="game_type=%27R%27&amp;season=2016&amp;league_code=%27AL%27&amp;split=&amp;playerType=ALL&amp;sectionType=sp&amp;statType=hitting" display="http://mlb.mlb.com/stats/sortable.jsp?c_id=min - game_type=%27R%27&amp;season=2016&amp;league_code=%27AL%27&amp;split=&amp;playerType=ALL&amp;sectionType=sp&amp;statType=hitting"/>
    <hyperlink ref="B33" r:id="rId27" location="game_type=%27R%27&amp;season=2016&amp;league_code=%27AL%27&amp;split=&amp;playerType=ALL&amp;sectionType=sp&amp;statType=hitting" display="http://mlb.mlb.com/stats/sortable.jsp?c_id=tor - game_type=%27R%27&amp;season=2016&amp;league_code=%27AL%27&amp;split=&amp;playerType=ALL&amp;sectionType=sp&amp;statType=hitting"/>
    <hyperlink ref="B34" r:id="rId28" location="game_type=%27R%27&amp;season=2016&amp;league_code=%27AL%27&amp;split=&amp;playerType=ALL&amp;sectionType=sp&amp;statType=hitting" display="http://mlb.mlb.com/stats/sortable.jsp?c_id=hou - game_type=%27R%27&amp;season=2016&amp;league_code=%27AL%27&amp;split=&amp;playerType=ALL&amp;sectionType=sp&amp;statType=hitting"/>
    <hyperlink ref="B35" r:id="rId29" location="game_type=%27R%27&amp;season=2016&amp;league_code=%27AL%27&amp;split=&amp;playerType=ALL&amp;sectionType=sp&amp;statType=hitting" display="http://mlb.mlb.com/stats/sortable.jsp?c_id=oak - game_type=%27R%27&amp;season=2016&amp;league_code=%27AL%27&amp;split=&amp;playerType=ALL&amp;sectionType=sp&amp;statType=hitting"/>
    <hyperlink ref="B36" r:id="rId30" location="game_type=%27R%27&amp;season=2016&amp;league_code=%27AL%27&amp;split=&amp;playerType=ALL&amp;sectionType=sp&amp;statType=hitting" display="http://mlb.mlb.com/stats/sortable.jsp?c_id=tb - game_type=%27R%27&amp;season=2016&amp;league_code=%27AL%27&amp;split=&amp;playerType=ALL&amp;sectionType=sp&amp;statType=hitting"/>
    <hyperlink ref="B3" r:id="rId31" location="game_type=%27R%27&amp;season=2016&amp;league_code=%27AL%27&amp;split=&amp;playerType=ALL&amp;sectionType=sp&amp;statType=pitching" display="http://mlb.mlb.com/stats/sortable.jsp?c_id=tor - game_type=%27R%27&amp;season=2016&amp;league_code=%27AL%27&amp;split=&amp;playerType=ALL&amp;sectionType=sp&amp;statType=pitching"/>
    <hyperlink ref="B4" r:id="rId32" location="game_type=%27R%27&amp;season=2016&amp;league_code=%27AL%27&amp;split=&amp;playerType=ALL&amp;sectionType=sp&amp;statType=pitching" display="http://mlb.mlb.com/stats/sortable.jsp?c_id=cle - game_type=%27R%27&amp;season=2016&amp;league_code=%27AL%27&amp;split=&amp;playerType=ALL&amp;sectionType=sp&amp;statType=pitching"/>
    <hyperlink ref="B5" r:id="rId33" location="game_type=%27R%27&amp;season=2016&amp;league_code=%27AL%27&amp;split=&amp;playerType=ALL&amp;sectionType=sp&amp;statType=pitching" display="http://mlb.mlb.com/stats/sortable.jsp?c_id=sea - game_type=%27R%27&amp;season=2016&amp;league_code=%27AL%27&amp;split=&amp;playerType=ALL&amp;sectionType=sp&amp;statType=pitching"/>
    <hyperlink ref="B6" r:id="rId34" location="game_type=%27R%27&amp;season=2016&amp;league_code=%27AL%27&amp;split=&amp;playerType=ALL&amp;sectionType=sp&amp;statType=pitching" display="http://mlb.mlb.com/stats/sortable.jsp?c_id=bos - game_type=%27R%27&amp;season=2016&amp;league_code=%27AL%27&amp;split=&amp;playerType=ALL&amp;sectionType=sp&amp;statType=pitching"/>
    <hyperlink ref="B7" r:id="rId35" location="game_type=%27R%27&amp;season=2016&amp;league_code=%27AL%27&amp;split=&amp;playerType=ALL&amp;sectionType=sp&amp;statType=pitching" display="http://mlb.mlb.com/stats/sortable.jsp?c_id=hou - game_type=%27R%27&amp;season=2016&amp;league_code=%27AL%27&amp;split=&amp;playerType=ALL&amp;sectionType=sp&amp;statType=pitching"/>
    <hyperlink ref="B8" r:id="rId36" location="game_type=%27R%27&amp;season=2016&amp;league_code=%27AL%27&amp;split=&amp;playerType=ALL&amp;sectionType=sp&amp;statType=pitching" display="http://mlb.mlb.com/stats/sortable.jsp?c_id=cws - game_type=%27R%27&amp;season=2016&amp;league_code=%27AL%27&amp;split=&amp;playerType=ALL&amp;sectionType=sp&amp;statType=pitching"/>
    <hyperlink ref="B9" r:id="rId37" location="game_type=%27R%27&amp;season=2016&amp;league_code=%27AL%27&amp;split=&amp;playerType=ALL&amp;sectionType=sp&amp;statType=pitching" display="http://mlb.mlb.com/stats/sortable.jsp?c_id=nyy - game_type=%27R%27&amp;season=2016&amp;league_code=%27AL%27&amp;split=&amp;playerType=ALL&amp;sectionType=sp&amp;statType=pitching"/>
    <hyperlink ref="B10" r:id="rId38" location="game_type=%27R%27&amp;season=2016&amp;league_code=%27AL%27&amp;split=&amp;playerType=ALL&amp;sectionType=sp&amp;statType=pitching" display="http://mlb.mlb.com/stats/sortable.jsp?c_id=tb - game_type=%27R%27&amp;season=2016&amp;league_code=%27AL%27&amp;split=&amp;playerType=ALL&amp;sectionType=sp&amp;statType=pitching"/>
    <hyperlink ref="B11" r:id="rId39" location="game_type=%27R%27&amp;season=2016&amp;league_code=%27AL%27&amp;split=&amp;playerType=ALL&amp;sectionType=sp&amp;statType=pitching" display="http://mlb.mlb.com/stats/sortable.jsp?c_id=kc - game_type=%27R%27&amp;season=2016&amp;league_code=%27AL%27&amp;split=&amp;playerType=ALL&amp;sectionType=sp&amp;statType=pitching"/>
    <hyperlink ref="B12" r:id="rId40" location="game_type=%27R%27&amp;season=2016&amp;league_code=%27AL%27&amp;split=&amp;playerType=ALL&amp;sectionType=sp&amp;statType=pitching" display="http://mlb.mlb.com/stats/sortable.jsp?c_id=bal - game_type=%27R%27&amp;season=2016&amp;league_code=%27AL%27&amp;split=&amp;playerType=ALL&amp;sectionType=sp&amp;statType=pitching"/>
    <hyperlink ref="B13" r:id="rId41" location="game_type=%27R%27&amp;season=2016&amp;league_code=%27AL%27&amp;split=&amp;playerType=ALL&amp;sectionType=sp&amp;statType=pitching" display="http://mlb.mlb.com/stats/sortable.jsp?c_id=det - game_type=%27R%27&amp;season=2016&amp;league_code=%27AL%27&amp;split=&amp;playerType=ALL&amp;sectionType=sp&amp;statType=pitching"/>
    <hyperlink ref="B14" r:id="rId42" location="game_type=%27R%27&amp;season=2016&amp;league_code=%27AL%27&amp;split=&amp;playerType=ALL&amp;sectionType=sp&amp;statType=pitching" display="http://mlb.mlb.com/stats/sortable.jsp?c_id=ana - game_type=%27R%27&amp;season=2016&amp;league_code=%27AL%27&amp;split=&amp;playerType=ALL&amp;sectionType=sp&amp;statType=pitching"/>
    <hyperlink ref="B15" r:id="rId43" location="game_type=%27R%27&amp;season=2016&amp;league_code=%27AL%27&amp;split=&amp;playerType=ALL&amp;sectionType=sp&amp;statType=pitching" display="http://mlb.mlb.com/stats/sortable.jsp?c_id=tex - game_type=%27R%27&amp;season=2016&amp;league_code=%27AL%27&amp;split=&amp;playerType=ALL&amp;sectionType=sp&amp;statType=pitching"/>
    <hyperlink ref="B16" r:id="rId44" location="game_type=%27R%27&amp;season=2016&amp;league_code=%27AL%27&amp;split=&amp;playerType=ALL&amp;sectionType=sp&amp;statType=pitching" display="http://mlb.mlb.com/stats/sortable.jsp?c_id=oak - game_type=%27R%27&amp;season=2016&amp;league_code=%27AL%27&amp;split=&amp;playerType=ALL&amp;sectionType=sp&amp;statType=pitching"/>
    <hyperlink ref="B17" r:id="rId45" location="game_type=%27R%27&amp;season=2016&amp;league_code=%27AL%27&amp;split=&amp;playerType=ALL&amp;sectionType=sp&amp;statType=pitching" display="http://mlb.mlb.com/stats/sortable.jsp?c_id=min - game_type=%27R%27&amp;season=2016&amp;league_code=%27AL%27&amp;split=&amp;playerType=ALL&amp;sectionType=sp&amp;statType=pitching"/>
    <hyperlink ref="B42" r:id="rId46" location="game_type=%27R%27&amp;season=2016&amp;league_code=%27NL%27&amp;split=&amp;playerType=ALL&amp;sectionType=sp&amp;statType=pitching" display="http://mlb.mlb.com/stats/sortable.jsp?c_id=chc - game_type=%27R%27&amp;season=2016&amp;league_code=%27NL%27&amp;split=&amp;playerType=ALL&amp;sectionType=sp&amp;statType=pitching"/>
    <hyperlink ref="B43" r:id="rId47" location="game_type=%27R%27&amp;season=2016&amp;league_code=%27NL%27&amp;split=&amp;playerType=ALL&amp;sectionType=sp&amp;statType=pitching" display="http://mlb.mlb.com/stats/sortable.jsp?c_id=was - game_type=%27R%27&amp;season=2016&amp;league_code=%27NL%27&amp;split=&amp;playerType=ALL&amp;sectionType=sp&amp;statType=pitching"/>
    <hyperlink ref="B44" r:id="rId48" location="game_type=%27R%27&amp;season=2016&amp;league_code=%27NL%27&amp;split=&amp;playerType=ALL&amp;sectionType=sp&amp;statType=pitching" display="http://mlb.mlb.com/stats/sortable.jsp?c_id=nym - game_type=%27R%27&amp;season=2016&amp;league_code=%27NL%27&amp;split=&amp;playerType=ALL&amp;sectionType=sp&amp;statType=pitching"/>
    <hyperlink ref="B45" r:id="rId49" location="game_type=%27R%27&amp;season=2016&amp;league_code=%27NL%27&amp;split=&amp;playerType=ALL&amp;sectionType=sp&amp;statType=pitching" display="http://mlb.mlb.com/stats/sortable.jsp?c_id=sf - game_type=%27R%27&amp;season=2016&amp;league_code=%27NL%27&amp;split=&amp;playerType=ALL&amp;sectionType=sp&amp;statType=pitching"/>
    <hyperlink ref="B46" r:id="rId50" location="game_type=%27R%27&amp;season=2016&amp;league_code=%27NL%27&amp;split=&amp;playerType=ALL&amp;sectionType=sp&amp;statType=pitching" display="http://mlb.mlb.com/stats/sortable.jsp?c_id=la - game_type=%27R%27&amp;season=2016&amp;league_code=%27NL%27&amp;split=&amp;playerType=ALL&amp;sectionType=sp&amp;statType=pitching"/>
    <hyperlink ref="B47" r:id="rId51" location="game_type=%27R%27&amp;season=2016&amp;league_code=%27NL%27&amp;split=&amp;playerType=ALL&amp;sectionType=sp&amp;statType=pitching" display="http://mlb.mlb.com/stats/sortable.jsp?c_id=mia - game_type=%27R%27&amp;season=2016&amp;league_code=%27NL%27&amp;split=&amp;playerType=ALL&amp;sectionType=sp&amp;statType=pitching"/>
    <hyperlink ref="B48" r:id="rId52" location="game_type=%27R%27&amp;season=2016&amp;league_code=%27NL%27&amp;split=&amp;playerType=ALL&amp;sectionType=sp&amp;statType=pitching" display="http://mlb.mlb.com/stats/sortable.jsp?c_id=stl - game_type=%27R%27&amp;season=2016&amp;league_code=%27NL%27&amp;split=&amp;playerType=ALL&amp;sectionType=sp&amp;statType=pitching"/>
    <hyperlink ref="B49" r:id="rId53" location="game_type=%27R%27&amp;season=2016&amp;league_code=%27NL%27&amp;split=&amp;playerType=ALL&amp;sectionType=sp&amp;statType=pitching" display="http://mlb.mlb.com/stats/sortable.jsp?c_id=mil - game_type=%27R%27&amp;season=2016&amp;league_code=%27NL%27&amp;split=&amp;playerType=ALL&amp;sectionType=sp&amp;statType=pitching"/>
    <hyperlink ref="B50" r:id="rId54" location="game_type=%27R%27&amp;season=2016&amp;league_code=%27NL%27&amp;split=&amp;playerType=ALL&amp;sectionType=sp&amp;statType=pitching" display="http://mlb.mlb.com/stats/sortable.jsp?c_id=pit - game_type=%27R%27&amp;season=2016&amp;league_code=%27NL%27&amp;split=&amp;playerType=ALL&amp;sectionType=sp&amp;statType=pitching"/>
    <hyperlink ref="B51" r:id="rId55" location="game_type=%27R%27&amp;season=2016&amp;league_code=%27NL%27&amp;split=&amp;playerType=ALL&amp;sectionType=sp&amp;statType=pitching" display="http://mlb.mlb.com/stats/sortable.jsp?c_id=sd - game_type=%27R%27&amp;season=2016&amp;league_code=%27NL%27&amp;split=&amp;playerType=ALL&amp;sectionType=sp&amp;statType=pitching"/>
    <hyperlink ref="B52" r:id="rId56" location="game_type=%27R%27&amp;season=2016&amp;league_code=%27NL%27&amp;split=&amp;playerType=ALL&amp;sectionType=sp&amp;statType=pitching" display="http://mlb.mlb.com/stats/sortable.jsp?c_id=atl - game_type=%27R%27&amp;season=2016&amp;league_code=%27NL%27&amp;split=&amp;playerType=ALL&amp;sectionType=sp&amp;statType=pitching"/>
    <hyperlink ref="B53" r:id="rId57" location="game_type=%27R%27&amp;season=2016&amp;league_code=%27NL%27&amp;split=&amp;playerType=ALL&amp;sectionType=sp&amp;statType=pitching" display="http://mlb.mlb.com/stats/sortable.jsp?c_id=phi - game_type=%27R%27&amp;season=2016&amp;league_code=%27NL%27&amp;split=&amp;playerType=ALL&amp;sectionType=sp&amp;statType=pitching"/>
    <hyperlink ref="B54" r:id="rId58" location="game_type=%27R%27&amp;season=2016&amp;league_code=%27NL%27&amp;split=&amp;playerType=ALL&amp;sectionType=sp&amp;statType=pitching" display="http://mlb.mlb.com/stats/sortable.jsp?c_id=col - game_type=%27R%27&amp;season=2016&amp;league_code=%27NL%27&amp;split=&amp;playerType=ALL&amp;sectionType=sp&amp;statType=pitching"/>
    <hyperlink ref="B55" r:id="rId59" location="game_type=%27R%27&amp;season=2016&amp;league_code=%27NL%27&amp;split=&amp;playerType=ALL&amp;sectionType=sp&amp;statType=pitching" display="http://mlb.mlb.com/stats/sortable.jsp?c_id=cin - game_type=%27R%27&amp;season=2016&amp;league_code=%27NL%27&amp;split=&amp;playerType=ALL&amp;sectionType=sp&amp;statType=pitching"/>
    <hyperlink ref="B56" r:id="rId60" location="game_type=%27R%27&amp;season=2016&amp;league_code=%27NL%27&amp;split=&amp;playerType=ALL&amp;sectionType=sp&amp;statType=pitching" display="http://mlb.mlb.com/stats/sortable.jsp?c_id=ari - game_type=%27R%27&amp;season=2016&amp;league_code=%27NL%27&amp;split=&amp;playerType=ALL&amp;sectionType=sp&amp;statType=pitching"/>
  </hyperlinks>
  <pageMargins left="0.75" right="0.75" top="1" bottom="1" header="0.5" footer="0.5"/>
  <pageSetup orientation="portrait" horizontalDpi="4294967293" verticalDpi="1200" r:id="rId6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election activeCell="B22" sqref="B22"/>
    </sheetView>
  </sheetViews>
  <sheetFormatPr defaultRowHeight="12.75" x14ac:dyDescent="0.2"/>
  <cols>
    <col min="1" max="1" width="17.7109375" style="15" customWidth="1"/>
    <col min="2" max="2" width="15.85546875" style="15" customWidth="1"/>
    <col min="3" max="3" width="16.140625" style="15" bestFit="1" customWidth="1"/>
    <col min="4" max="4" width="14.7109375" bestFit="1" customWidth="1"/>
    <col min="5" max="5" width="15" style="15" customWidth="1"/>
    <col min="6" max="6" width="13.7109375" style="15" bestFit="1" customWidth="1"/>
    <col min="7" max="7" width="17" bestFit="1" customWidth="1"/>
    <col min="8" max="8" width="14.85546875" style="15" bestFit="1" customWidth="1"/>
    <col min="9" max="9" width="12.28515625" bestFit="1" customWidth="1"/>
    <col min="10" max="10" width="11" style="15" bestFit="1" customWidth="1"/>
    <col min="11" max="11" width="10.140625" bestFit="1" customWidth="1"/>
  </cols>
  <sheetData>
    <row r="1" spans="1:12" x14ac:dyDescent="0.2">
      <c r="A1" s="73"/>
      <c r="B1" s="73"/>
      <c r="C1" s="73"/>
      <c r="D1" s="73"/>
      <c r="E1" s="73"/>
      <c r="F1" s="73"/>
      <c r="G1" s="73"/>
      <c r="H1" s="73"/>
      <c r="I1" s="73"/>
      <c r="J1" s="73"/>
    </row>
    <row r="2" spans="1:12" x14ac:dyDescent="0.2">
      <c r="A2" s="300" t="s">
        <v>1525</v>
      </c>
      <c r="B2" s="300"/>
      <c r="C2" s="73"/>
      <c r="D2" s="73"/>
      <c r="E2" s="73"/>
      <c r="F2" s="73"/>
      <c r="G2" s="73"/>
      <c r="H2" s="73"/>
      <c r="I2" s="73"/>
      <c r="J2" s="73"/>
    </row>
    <row r="3" spans="1:12" x14ac:dyDescent="0.2">
      <c r="A3" s="73"/>
      <c r="B3" s="73"/>
      <c r="C3" s="73"/>
      <c r="D3" s="73"/>
      <c r="E3" s="73"/>
      <c r="F3" s="73"/>
      <c r="G3" s="73"/>
      <c r="H3" s="73"/>
      <c r="I3" s="73"/>
      <c r="J3" s="73"/>
    </row>
    <row r="4" spans="1:12" s="41" customFormat="1" x14ac:dyDescent="0.2">
      <c r="A4" s="41" t="s">
        <v>645</v>
      </c>
      <c r="B4" s="265" t="s">
        <v>187</v>
      </c>
      <c r="C4" s="265" t="s">
        <v>100</v>
      </c>
      <c r="D4" s="41" t="s">
        <v>101</v>
      </c>
      <c r="E4" s="41" t="s">
        <v>103</v>
      </c>
      <c r="G4" s="74"/>
      <c r="I4" s="74"/>
      <c r="K4" s="74"/>
      <c r="L4" s="74"/>
    </row>
    <row r="5" spans="1:12" x14ac:dyDescent="0.2">
      <c r="B5" s="266"/>
      <c r="C5" s="266"/>
      <c r="D5" s="73"/>
      <c r="E5" s="73"/>
      <c r="G5" s="15"/>
      <c r="H5"/>
      <c r="I5" s="15"/>
      <c r="J5"/>
      <c r="K5" s="15"/>
    </row>
    <row r="6" spans="1:12" x14ac:dyDescent="0.2">
      <c r="A6" s="73" t="s">
        <v>1532</v>
      </c>
      <c r="B6" s="266" t="s">
        <v>647</v>
      </c>
      <c r="C6" s="266" t="s">
        <v>188</v>
      </c>
      <c r="D6" s="73" t="s">
        <v>924</v>
      </c>
      <c r="E6" s="73" t="s">
        <v>1577</v>
      </c>
      <c r="G6" s="15"/>
      <c r="H6"/>
      <c r="I6" s="15"/>
      <c r="J6"/>
      <c r="K6" s="15"/>
    </row>
    <row r="7" spans="1:12" x14ac:dyDescent="0.2">
      <c r="A7" s="199" t="s">
        <v>652</v>
      </c>
      <c r="B7" s="266" t="s">
        <v>1622</v>
      </c>
      <c r="C7" s="266" t="s">
        <v>995</v>
      </c>
      <c r="D7" s="73" t="s">
        <v>306</v>
      </c>
      <c r="E7" s="198"/>
      <c r="G7" s="15"/>
      <c r="H7"/>
      <c r="I7" s="15"/>
      <c r="J7"/>
      <c r="K7" s="15"/>
    </row>
    <row r="8" spans="1:12" x14ac:dyDescent="0.2">
      <c r="A8" s="198" t="s">
        <v>1533</v>
      </c>
      <c r="B8" s="266" t="s">
        <v>1623</v>
      </c>
      <c r="C8" s="266" t="s">
        <v>299</v>
      </c>
      <c r="D8" s="73" t="s">
        <v>189</v>
      </c>
      <c r="E8" s="73" t="s">
        <v>194</v>
      </c>
      <c r="G8" s="15"/>
      <c r="H8"/>
      <c r="I8" s="15"/>
      <c r="J8"/>
      <c r="K8" s="15"/>
    </row>
    <row r="9" spans="1:12" x14ac:dyDescent="0.2">
      <c r="A9" s="199" t="s">
        <v>1534</v>
      </c>
      <c r="B9" s="266" t="s">
        <v>882</v>
      </c>
      <c r="C9" s="266" t="s">
        <v>914</v>
      </c>
      <c r="D9" s="199" t="s">
        <v>1593</v>
      </c>
      <c r="E9" s="73" t="s">
        <v>1001</v>
      </c>
      <c r="G9" s="15"/>
      <c r="H9"/>
      <c r="I9" s="15"/>
      <c r="J9"/>
      <c r="K9" s="15"/>
    </row>
    <row r="10" spans="1:12" x14ac:dyDescent="0.2">
      <c r="A10" s="198" t="s">
        <v>1545</v>
      </c>
      <c r="B10" s="266" t="s">
        <v>1624</v>
      </c>
      <c r="C10" s="266"/>
      <c r="D10" s="73" t="s">
        <v>201</v>
      </c>
      <c r="E10" s="73" t="s">
        <v>1002</v>
      </c>
      <c r="G10" s="15"/>
      <c r="H10"/>
      <c r="I10" s="15"/>
      <c r="J10"/>
      <c r="K10" s="15"/>
    </row>
    <row r="11" spans="1:12" x14ac:dyDescent="0.2">
      <c r="B11" s="266" t="s">
        <v>906</v>
      </c>
      <c r="C11" s="266" t="s">
        <v>996</v>
      </c>
      <c r="D11" s="199" t="s">
        <v>1594</v>
      </c>
      <c r="E11" s="73" t="s">
        <v>1003</v>
      </c>
      <c r="G11" s="15"/>
      <c r="H11"/>
      <c r="I11" s="15"/>
      <c r="J11"/>
      <c r="K11" s="15"/>
    </row>
    <row r="12" spans="1:12" x14ac:dyDescent="0.2">
      <c r="A12" s="199" t="s">
        <v>1537</v>
      </c>
      <c r="C12" s="266" t="s">
        <v>997</v>
      </c>
      <c r="D12" s="199"/>
      <c r="E12" s="199" t="s">
        <v>1579</v>
      </c>
      <c r="G12" s="15"/>
      <c r="H12"/>
      <c r="I12" s="15"/>
      <c r="J12"/>
      <c r="K12" s="15"/>
    </row>
    <row r="13" spans="1:12" x14ac:dyDescent="0.2">
      <c r="A13" s="73" t="s">
        <v>200</v>
      </c>
      <c r="B13" s="266" t="s">
        <v>1625</v>
      </c>
      <c r="C13" s="266" t="s">
        <v>204</v>
      </c>
      <c r="D13" s="73" t="s">
        <v>927</v>
      </c>
      <c r="E13" s="198" t="s">
        <v>1580</v>
      </c>
      <c r="G13" s="15"/>
      <c r="H13"/>
      <c r="I13" s="15"/>
      <c r="J13"/>
      <c r="K13" s="15"/>
    </row>
    <row r="14" spans="1:12" x14ac:dyDescent="0.2">
      <c r="A14" s="199" t="s">
        <v>1538</v>
      </c>
      <c r="B14" s="266" t="s">
        <v>1626</v>
      </c>
      <c r="C14" s="266" t="s">
        <v>998</v>
      </c>
      <c r="D14" s="199" t="s">
        <v>1596</v>
      </c>
      <c r="E14" s="198" t="s">
        <v>946</v>
      </c>
      <c r="G14" s="15"/>
      <c r="H14"/>
      <c r="I14" s="15"/>
      <c r="J14"/>
      <c r="K14" s="15"/>
    </row>
    <row r="15" spans="1:12" x14ac:dyDescent="0.2">
      <c r="A15" s="199" t="s">
        <v>1544</v>
      </c>
      <c r="B15" s="266" t="s">
        <v>1627</v>
      </c>
      <c r="C15" s="266" t="s">
        <v>999</v>
      </c>
      <c r="D15" s="199" t="s">
        <v>1597</v>
      </c>
      <c r="E15" s="73" t="s">
        <v>941</v>
      </c>
      <c r="G15" s="15"/>
      <c r="H15"/>
      <c r="I15" s="15"/>
      <c r="J15"/>
      <c r="K15" s="15"/>
    </row>
    <row r="16" spans="1:12" x14ac:dyDescent="0.2">
      <c r="A16" s="199" t="s">
        <v>1539</v>
      </c>
      <c r="B16" s="266" t="s">
        <v>1628</v>
      </c>
      <c r="D16" s="73" t="s">
        <v>1598</v>
      </c>
      <c r="E16" s="199" t="s">
        <v>1581</v>
      </c>
      <c r="G16" s="15"/>
      <c r="H16"/>
      <c r="I16" s="15"/>
      <c r="J16"/>
      <c r="K16" s="15"/>
    </row>
    <row r="17" spans="1:11" x14ac:dyDescent="0.2">
      <c r="A17" s="199" t="s">
        <v>964</v>
      </c>
      <c r="B17" s="266" t="s">
        <v>1629</v>
      </c>
      <c r="C17" s="73"/>
      <c r="D17" s="199" t="s">
        <v>1599</v>
      </c>
      <c r="E17" s="199" t="s">
        <v>1582</v>
      </c>
      <c r="G17" s="15"/>
      <c r="H17"/>
      <c r="I17" s="15"/>
      <c r="J17"/>
      <c r="K17" s="15"/>
    </row>
    <row r="18" spans="1:11" x14ac:dyDescent="0.2">
      <c r="A18" s="73" t="s">
        <v>315</v>
      </c>
      <c r="B18" s="266" t="s">
        <v>1630</v>
      </c>
      <c r="C18" s="73"/>
      <c r="D18" s="199" t="s">
        <v>1600</v>
      </c>
      <c r="G18" s="15"/>
      <c r="H18"/>
      <c r="I18" s="15"/>
      <c r="J18"/>
      <c r="K18" s="15"/>
    </row>
    <row r="19" spans="1:11" x14ac:dyDescent="0.2">
      <c r="A19" s="198" t="s">
        <v>1546</v>
      </c>
      <c r="B19" s="266" t="s">
        <v>1632</v>
      </c>
      <c r="C19" s="73"/>
      <c r="D19" s="199" t="s">
        <v>951</v>
      </c>
      <c r="E19" s="199"/>
      <c r="G19" s="15"/>
      <c r="H19"/>
      <c r="I19" s="15"/>
      <c r="J19"/>
      <c r="K19" s="15"/>
    </row>
    <row r="20" spans="1:11" x14ac:dyDescent="0.2">
      <c r="A20" s="199" t="s">
        <v>1540</v>
      </c>
      <c r="B20" s="266" t="s">
        <v>1631</v>
      </c>
      <c r="C20" s="73"/>
      <c r="D20" s="199" t="s">
        <v>1601</v>
      </c>
      <c r="G20" s="15"/>
      <c r="H20"/>
      <c r="I20" s="15"/>
      <c r="J20"/>
      <c r="K20" s="15"/>
    </row>
    <row r="21" spans="1:11" x14ac:dyDescent="0.2">
      <c r="A21" s="199" t="s">
        <v>1541</v>
      </c>
      <c r="B21" s="266" t="s">
        <v>1633</v>
      </c>
      <c r="C21" s="73"/>
      <c r="D21" s="15"/>
      <c r="E21" s="73"/>
      <c r="G21" s="15"/>
      <c r="H21"/>
      <c r="I21" s="15"/>
      <c r="J21"/>
      <c r="K21" s="15"/>
    </row>
    <row r="22" spans="1:11" x14ac:dyDescent="0.2">
      <c r="A22" s="73" t="s">
        <v>1542</v>
      </c>
      <c r="B22" s="198"/>
      <c r="D22" s="15"/>
      <c r="E22" s="73"/>
      <c r="G22" s="15"/>
      <c r="H22"/>
      <c r="I22" s="15"/>
      <c r="J22"/>
      <c r="K22" s="15"/>
    </row>
    <row r="23" spans="1:11" x14ac:dyDescent="0.2">
      <c r="A23" s="199" t="s">
        <v>1543</v>
      </c>
      <c r="B23" s="199"/>
      <c r="D23" s="199"/>
      <c r="G23" s="15"/>
      <c r="H23"/>
      <c r="I23" s="15"/>
      <c r="J23"/>
      <c r="K23" s="15"/>
    </row>
    <row r="24" spans="1:11" x14ac:dyDescent="0.2">
      <c r="A24" s="199"/>
      <c r="D24" s="199"/>
      <c r="G24" s="15"/>
      <c r="H24"/>
      <c r="I24" s="15"/>
      <c r="J24"/>
      <c r="K24" s="15"/>
    </row>
    <row r="25" spans="1:11" x14ac:dyDescent="0.2">
      <c r="A25" s="199"/>
      <c r="D25" s="73"/>
      <c r="G25" s="15"/>
      <c r="H25"/>
      <c r="I25" s="15"/>
      <c r="J25"/>
      <c r="K25" s="15"/>
    </row>
    <row r="26" spans="1:11" x14ac:dyDescent="0.2">
      <c r="A26" s="199"/>
      <c r="G26" s="15"/>
      <c r="H26"/>
      <c r="I26" s="15"/>
      <c r="J26"/>
      <c r="K26" s="15"/>
    </row>
    <row r="27" spans="1:11" x14ac:dyDescent="0.2">
      <c r="A27" s="73" t="s">
        <v>1535</v>
      </c>
      <c r="B27" s="266" t="s">
        <v>1609</v>
      </c>
      <c r="C27" s="266" t="s">
        <v>1015</v>
      </c>
      <c r="D27" s="73" t="s">
        <v>1029</v>
      </c>
      <c r="E27" s="73" t="s">
        <v>1578</v>
      </c>
    </row>
    <row r="28" spans="1:11" x14ac:dyDescent="0.2">
      <c r="A28" s="73" t="s">
        <v>1536</v>
      </c>
      <c r="B28" s="266" t="s">
        <v>1012</v>
      </c>
      <c r="C28" s="266" t="s">
        <v>920</v>
      </c>
      <c r="D28" s="73" t="s">
        <v>1595</v>
      </c>
      <c r="E28" s="73" t="s">
        <v>1017</v>
      </c>
    </row>
    <row r="30" spans="1:11" x14ac:dyDescent="0.2">
      <c r="A30" s="73"/>
      <c r="B30" s="41" t="s">
        <v>1602</v>
      </c>
      <c r="C30" s="73"/>
      <c r="D30" s="73"/>
      <c r="E30" s="73"/>
      <c r="F30" s="41" t="s">
        <v>1604</v>
      </c>
      <c r="G30" s="73"/>
      <c r="H30" s="73"/>
      <c r="I30" s="73"/>
      <c r="J30" s="73"/>
    </row>
    <row r="31" spans="1:11" s="41" customFormat="1" x14ac:dyDescent="0.2">
      <c r="A31" s="41" t="s">
        <v>1</v>
      </c>
      <c r="B31" s="41" t="s">
        <v>1603</v>
      </c>
      <c r="C31" s="41" t="s">
        <v>195</v>
      </c>
      <c r="D31" s="41" t="s">
        <v>102</v>
      </c>
      <c r="E31" s="41" t="s">
        <v>104</v>
      </c>
      <c r="F31" s="41" t="s">
        <v>1605</v>
      </c>
      <c r="H31" s="74"/>
      <c r="J31" s="74"/>
    </row>
    <row r="32" spans="1:11" x14ac:dyDescent="0.2">
      <c r="A32" s="73"/>
      <c r="B32" s="73"/>
      <c r="C32" s="73"/>
      <c r="D32" s="73"/>
      <c r="E32" s="73"/>
    </row>
    <row r="33" spans="1:6" x14ac:dyDescent="0.2">
      <c r="A33" s="198" t="s">
        <v>1554</v>
      </c>
      <c r="B33" s="199" t="s">
        <v>1565</v>
      </c>
      <c r="C33" s="199" t="s">
        <v>1583</v>
      </c>
      <c r="D33" s="199" t="s">
        <v>1610</v>
      </c>
      <c r="E33" s="73" t="s">
        <v>1620</v>
      </c>
      <c r="F33" s="73" t="s">
        <v>663</v>
      </c>
    </row>
    <row r="34" spans="1:6" x14ac:dyDescent="0.2">
      <c r="A34" s="199" t="s">
        <v>1555</v>
      </c>
      <c r="B34" s="199" t="s">
        <v>1566</v>
      </c>
      <c r="C34" s="198" t="s">
        <v>1584</v>
      </c>
      <c r="D34" s="73" t="s">
        <v>301</v>
      </c>
      <c r="E34" s="73" t="s">
        <v>654</v>
      </c>
      <c r="F34" s="199" t="s">
        <v>1547</v>
      </c>
    </row>
    <row r="35" spans="1:6" x14ac:dyDescent="0.2">
      <c r="A35" s="73" t="s">
        <v>850</v>
      </c>
      <c r="B35" s="199" t="s">
        <v>1567</v>
      </c>
      <c r="C35" s="198" t="s">
        <v>1585</v>
      </c>
      <c r="D35" s="73" t="s">
        <v>206</v>
      </c>
      <c r="E35" s="73" t="s">
        <v>313</v>
      </c>
      <c r="F35" s="199" t="s">
        <v>1548</v>
      </c>
    </row>
    <row r="36" spans="1:6" x14ac:dyDescent="0.2">
      <c r="A36" s="199" t="s">
        <v>1556</v>
      </c>
      <c r="B36" s="199" t="s">
        <v>1568</v>
      </c>
      <c r="C36" s="73" t="s">
        <v>843</v>
      </c>
      <c r="D36" s="199" t="s">
        <v>1611</v>
      </c>
      <c r="E36" s="199" t="s">
        <v>1526</v>
      </c>
      <c r="F36" s="199" t="s">
        <v>1549</v>
      </c>
    </row>
    <row r="37" spans="1:6" x14ac:dyDescent="0.2">
      <c r="A37" s="73" t="s">
        <v>303</v>
      </c>
      <c r="B37" s="199" t="s">
        <v>1569</v>
      </c>
      <c r="C37" s="73" t="s">
        <v>302</v>
      </c>
      <c r="D37" s="199" t="s">
        <v>1612</v>
      </c>
      <c r="E37" s="199" t="s">
        <v>1527</v>
      </c>
      <c r="F37" s="73"/>
    </row>
    <row r="38" spans="1:6" x14ac:dyDescent="0.2">
      <c r="A38" s="73" t="s">
        <v>943</v>
      </c>
      <c r="B38" s="199" t="s">
        <v>1570</v>
      </c>
      <c r="C38" s="199" t="s">
        <v>1586</v>
      </c>
      <c r="D38" s="199" t="s">
        <v>1613</v>
      </c>
      <c r="E38"/>
      <c r="F38" s="73" t="s">
        <v>658</v>
      </c>
    </row>
    <row r="39" spans="1:6" x14ac:dyDescent="0.2">
      <c r="A39" s="199" t="s">
        <v>1557</v>
      </c>
      <c r="C39" s="73"/>
      <c r="D39" s="73" t="s">
        <v>962</v>
      </c>
      <c r="E39" s="73" t="s">
        <v>1037</v>
      </c>
      <c r="F39" s="198" t="s">
        <v>1550</v>
      </c>
    </row>
    <row r="40" spans="1:6" x14ac:dyDescent="0.2">
      <c r="A40" s="199" t="s">
        <v>1558</v>
      </c>
      <c r="B40" s="199" t="s">
        <v>1572</v>
      </c>
      <c r="C40" s="199" t="s">
        <v>1587</v>
      </c>
      <c r="D40" s="199"/>
      <c r="E40" s="199" t="s">
        <v>1528</v>
      </c>
      <c r="F40" s="73" t="s">
        <v>978</v>
      </c>
    </row>
    <row r="41" spans="1:6" x14ac:dyDescent="0.2">
      <c r="A41" s="73" t="s">
        <v>944</v>
      </c>
      <c r="B41" s="199" t="s">
        <v>1573</v>
      </c>
      <c r="C41" s="199" t="s">
        <v>1588</v>
      </c>
      <c r="D41" s="199" t="s">
        <v>1247</v>
      </c>
      <c r="E41" s="199" t="s">
        <v>1529</v>
      </c>
      <c r="F41" s="73" t="s">
        <v>207</v>
      </c>
    </row>
    <row r="42" spans="1:6" x14ac:dyDescent="0.2">
      <c r="A42" s="73"/>
      <c r="B42" s="199" t="s">
        <v>1574</v>
      </c>
      <c r="C42" s="199" t="s">
        <v>1589</v>
      </c>
      <c r="D42" s="199" t="s">
        <v>966</v>
      </c>
      <c r="E42" s="199"/>
      <c r="F42" s="199" t="s">
        <v>1551</v>
      </c>
    </row>
    <row r="43" spans="1:6" x14ac:dyDescent="0.2">
      <c r="A43" s="199" t="s">
        <v>1561</v>
      </c>
      <c r="B43" s="199" t="s">
        <v>1575</v>
      </c>
      <c r="C43" s="198" t="s">
        <v>1590</v>
      </c>
      <c r="D43" s="198" t="s">
        <v>1619</v>
      </c>
      <c r="E43" s="199" t="s">
        <v>1530</v>
      </c>
      <c r="F43" s="199"/>
    </row>
    <row r="44" spans="1:6" x14ac:dyDescent="0.2">
      <c r="A44" s="199" t="s">
        <v>1562</v>
      </c>
      <c r="B44" s="199" t="s">
        <v>1576</v>
      </c>
      <c r="C44" s="73" t="s">
        <v>1022</v>
      </c>
      <c r="D44" s="199" t="s">
        <v>1616</v>
      </c>
      <c r="E44" s="199" t="s">
        <v>1531</v>
      </c>
      <c r="F44" s="73"/>
    </row>
    <row r="45" spans="1:6" x14ac:dyDescent="0.2">
      <c r="A45" s="198" t="s">
        <v>1621</v>
      </c>
      <c r="B45" s="73" t="s">
        <v>1048</v>
      </c>
      <c r="C45" s="199" t="s">
        <v>1591</v>
      </c>
      <c r="D45" s="73" t="s">
        <v>871</v>
      </c>
      <c r="E45" s="73"/>
      <c r="F45" s="73"/>
    </row>
    <row r="46" spans="1:6" x14ac:dyDescent="0.2">
      <c r="A46" s="198" t="s">
        <v>1563</v>
      </c>
      <c r="B46" s="200"/>
      <c r="C46" s="199" t="s">
        <v>1592</v>
      </c>
      <c r="D46" s="198" t="s">
        <v>1617</v>
      </c>
      <c r="E46" s="73"/>
      <c r="F46" s="73"/>
    </row>
    <row r="47" spans="1:6" x14ac:dyDescent="0.2">
      <c r="A47" s="199" t="s">
        <v>1564</v>
      </c>
      <c r="B47" s="73"/>
      <c r="C47" s="200"/>
      <c r="D47" s="198" t="s">
        <v>1618</v>
      </c>
      <c r="E47" s="73"/>
    </row>
    <row r="48" spans="1:6" x14ac:dyDescent="0.2">
      <c r="B48" s="73"/>
      <c r="C48" s="73"/>
      <c r="E48" s="73"/>
    </row>
    <row r="49" spans="1:6" x14ac:dyDescent="0.2">
      <c r="A49" s="199"/>
      <c r="D49" s="73"/>
      <c r="E49" s="73"/>
    </row>
    <row r="50" spans="1:6" x14ac:dyDescent="0.2">
      <c r="A50" s="73"/>
      <c r="E50"/>
    </row>
    <row r="51" spans="1:6" x14ac:dyDescent="0.2">
      <c r="A51" s="73" t="s">
        <v>1559</v>
      </c>
      <c r="B51" s="73" t="s">
        <v>1571</v>
      </c>
      <c r="C51" s="73" t="s">
        <v>957</v>
      </c>
      <c r="D51" s="73" t="s">
        <v>1615</v>
      </c>
      <c r="E51" s="73" t="s">
        <v>969</v>
      </c>
      <c r="F51" s="73" t="s">
        <v>1552</v>
      </c>
    </row>
    <row r="52" spans="1:6" x14ac:dyDescent="0.2">
      <c r="A52" s="73" t="s">
        <v>1560</v>
      </c>
      <c r="B52" s="73" t="s">
        <v>921</v>
      </c>
      <c r="C52" s="73" t="s">
        <v>958</v>
      </c>
      <c r="D52" s="73" t="s">
        <v>1614</v>
      </c>
      <c r="E52" s="73" t="s">
        <v>1040</v>
      </c>
      <c r="F52" s="73" t="s">
        <v>1553</v>
      </c>
    </row>
  </sheetData>
  <mergeCells count="1">
    <mergeCell ref="A2:B2"/>
  </mergeCells>
  <pageMargins left="0.5" right="0.51" top="1" bottom="0.5"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52"/>
  <sheetViews>
    <sheetView workbookViewId="0">
      <selection activeCell="D28" sqref="D28"/>
    </sheetView>
  </sheetViews>
  <sheetFormatPr defaultRowHeight="12.75" x14ac:dyDescent="0.2"/>
  <cols>
    <col min="1" max="1" width="18.28515625" style="15" customWidth="1"/>
    <col min="2" max="2" width="18.28515625" style="15" bestFit="1" customWidth="1"/>
    <col min="3" max="3" width="16.140625" style="15" bestFit="1" customWidth="1"/>
    <col min="4" max="4" width="14.7109375" bestFit="1" customWidth="1"/>
    <col min="5" max="5" width="15" style="15" customWidth="1"/>
    <col min="6" max="6" width="12.7109375" style="15" bestFit="1" customWidth="1"/>
    <col min="7" max="7" width="17" bestFit="1" customWidth="1"/>
    <col min="8" max="8" width="14.85546875" style="15" bestFit="1" customWidth="1"/>
    <col min="9" max="9" width="12.28515625" bestFit="1" customWidth="1"/>
    <col min="10" max="10" width="11" style="15" bestFit="1" customWidth="1"/>
    <col min="11" max="11" width="10.140625" bestFit="1" customWidth="1"/>
  </cols>
  <sheetData>
    <row r="1" spans="1:12" x14ac:dyDescent="0.2">
      <c r="A1" s="73"/>
      <c r="B1" s="73"/>
      <c r="C1" s="73"/>
      <c r="D1" s="73"/>
      <c r="E1" s="73"/>
      <c r="F1" s="73"/>
      <c r="G1" s="73"/>
      <c r="H1" s="73"/>
      <c r="I1" s="73"/>
      <c r="J1" s="73"/>
    </row>
    <row r="2" spans="1:12" x14ac:dyDescent="0.2">
      <c r="A2" s="300" t="s">
        <v>1000</v>
      </c>
      <c r="B2" s="300"/>
      <c r="C2" s="73" t="s">
        <v>1042</v>
      </c>
      <c r="D2" s="73"/>
      <c r="E2" s="73"/>
      <c r="F2" s="73"/>
      <c r="G2" s="73"/>
      <c r="H2" s="73"/>
      <c r="I2" s="73"/>
      <c r="J2" s="73"/>
    </row>
    <row r="3" spans="1:12" x14ac:dyDescent="0.2">
      <c r="A3" s="73"/>
      <c r="B3" s="73"/>
      <c r="C3" s="73"/>
      <c r="D3" s="73"/>
      <c r="E3" s="73"/>
      <c r="F3" s="73"/>
      <c r="G3" s="73"/>
      <c r="H3" s="73"/>
      <c r="I3" s="73"/>
      <c r="J3" s="73"/>
    </row>
    <row r="4" spans="1:12" s="41" customFormat="1" x14ac:dyDescent="0.2">
      <c r="A4" s="41" t="s">
        <v>645</v>
      </c>
      <c r="B4" s="41" t="s">
        <v>187</v>
      </c>
      <c r="C4" s="41" t="s">
        <v>100</v>
      </c>
      <c r="D4" s="41" t="s">
        <v>659</v>
      </c>
      <c r="E4" s="41" t="s">
        <v>101</v>
      </c>
      <c r="F4" s="41" t="s">
        <v>103</v>
      </c>
      <c r="G4" s="74"/>
      <c r="I4" s="74"/>
      <c r="K4" s="74"/>
      <c r="L4" s="74"/>
    </row>
    <row r="5" spans="1:12" x14ac:dyDescent="0.2">
      <c r="B5" s="73"/>
      <c r="C5" s="73"/>
      <c r="E5" s="73"/>
      <c r="F5" s="73"/>
      <c r="G5" s="15"/>
      <c r="H5"/>
      <c r="I5" s="15"/>
      <c r="J5"/>
      <c r="K5" s="15"/>
    </row>
    <row r="6" spans="1:12" x14ac:dyDescent="0.2">
      <c r="A6" s="199" t="s">
        <v>989</v>
      </c>
      <c r="B6" s="73" t="s">
        <v>647</v>
      </c>
      <c r="C6" s="73" t="s">
        <v>188</v>
      </c>
      <c r="D6" s="73" t="s">
        <v>307</v>
      </c>
      <c r="E6" s="73" t="s">
        <v>924</v>
      </c>
      <c r="F6" s="199" t="s">
        <v>935</v>
      </c>
      <c r="G6" s="15"/>
      <c r="H6"/>
      <c r="I6" s="15"/>
      <c r="J6"/>
      <c r="K6" s="15"/>
    </row>
    <row r="7" spans="1:12" x14ac:dyDescent="0.2">
      <c r="A7" s="73" t="s">
        <v>649</v>
      </c>
      <c r="B7" s="73" t="s">
        <v>308</v>
      </c>
      <c r="C7" s="199" t="s">
        <v>995</v>
      </c>
      <c r="D7" s="73" t="s">
        <v>662</v>
      </c>
      <c r="E7" s="73" t="s">
        <v>306</v>
      </c>
      <c r="F7" s="198" t="s">
        <v>936</v>
      </c>
      <c r="G7" s="15"/>
      <c r="H7"/>
      <c r="I7" s="15"/>
      <c r="J7"/>
      <c r="K7" s="15"/>
    </row>
    <row r="8" spans="1:12" x14ac:dyDescent="0.2">
      <c r="A8" s="73" t="s">
        <v>990</v>
      </c>
      <c r="B8" s="73" t="s">
        <v>906</v>
      </c>
      <c r="C8" s="73" t="s">
        <v>299</v>
      </c>
      <c r="D8" s="73" t="s">
        <v>1047</v>
      </c>
      <c r="E8" s="199" t="s">
        <v>1027</v>
      </c>
      <c r="F8" s="73" t="s">
        <v>193</v>
      </c>
      <c r="G8" s="15"/>
      <c r="H8"/>
      <c r="I8" s="15"/>
      <c r="J8"/>
      <c r="K8" s="15"/>
    </row>
    <row r="9" spans="1:12" x14ac:dyDescent="0.2">
      <c r="A9" s="73" t="s">
        <v>650</v>
      </c>
      <c r="B9" s="198" t="s">
        <v>882</v>
      </c>
      <c r="C9" s="73" t="s">
        <v>914</v>
      </c>
      <c r="D9" s="73" t="s">
        <v>967</v>
      </c>
      <c r="E9" s="73" t="s">
        <v>189</v>
      </c>
      <c r="F9" s="199" t="s">
        <v>937</v>
      </c>
      <c r="G9" s="15"/>
      <c r="H9"/>
      <c r="I9" s="15"/>
      <c r="J9"/>
      <c r="K9" s="15"/>
    </row>
    <row r="10" spans="1:12" x14ac:dyDescent="0.2">
      <c r="A10" s="199" t="s">
        <v>991</v>
      </c>
      <c r="B10" s="73"/>
      <c r="D10" s="199" t="s">
        <v>1044</v>
      </c>
      <c r="E10" s="73" t="s">
        <v>201</v>
      </c>
      <c r="F10" s="73" t="s">
        <v>646</v>
      </c>
      <c r="G10" s="15"/>
      <c r="H10"/>
      <c r="I10" s="15"/>
      <c r="J10"/>
      <c r="K10" s="15"/>
    </row>
    <row r="11" spans="1:12" x14ac:dyDescent="0.2">
      <c r="A11" s="73" t="s">
        <v>190</v>
      </c>
      <c r="B11" s="73" t="s">
        <v>197</v>
      </c>
      <c r="C11" s="73" t="s">
        <v>996</v>
      </c>
      <c r="D11" s="199" t="s">
        <v>1045</v>
      </c>
      <c r="E11" s="73" t="s">
        <v>925</v>
      </c>
      <c r="G11" s="15"/>
      <c r="H11"/>
      <c r="I11" s="15"/>
      <c r="J11"/>
      <c r="K11" s="15"/>
    </row>
    <row r="12" spans="1:12" x14ac:dyDescent="0.2">
      <c r="B12" s="73" t="s">
        <v>199</v>
      </c>
      <c r="C12" s="199" t="s">
        <v>997</v>
      </c>
      <c r="D12" s="199" t="s">
        <v>1046</v>
      </c>
      <c r="E12" s="199" t="s">
        <v>1028</v>
      </c>
      <c r="F12" s="73" t="s">
        <v>1001</v>
      </c>
      <c r="G12" s="15"/>
      <c r="H12"/>
      <c r="I12" s="15"/>
      <c r="J12"/>
      <c r="K12" s="15"/>
    </row>
    <row r="13" spans="1:12" x14ac:dyDescent="0.2">
      <c r="A13" s="73" t="s">
        <v>200</v>
      </c>
      <c r="B13" s="198" t="s">
        <v>845</v>
      </c>
      <c r="C13" s="73" t="s">
        <v>204</v>
      </c>
      <c r="F13" s="73" t="s">
        <v>194</v>
      </c>
      <c r="G13" s="15"/>
      <c r="H13"/>
      <c r="I13" s="15"/>
      <c r="J13"/>
      <c r="K13" s="15"/>
    </row>
    <row r="14" spans="1:12" x14ac:dyDescent="0.2">
      <c r="A14" s="73" t="s">
        <v>982</v>
      </c>
      <c r="B14" s="73" t="s">
        <v>198</v>
      </c>
      <c r="C14" s="199" t="s">
        <v>998</v>
      </c>
      <c r="D14" s="73" t="s">
        <v>203</v>
      </c>
      <c r="E14" s="73" t="s">
        <v>927</v>
      </c>
      <c r="F14" s="199" t="s">
        <v>1002</v>
      </c>
      <c r="G14" s="15"/>
      <c r="H14"/>
      <c r="I14" s="15"/>
      <c r="J14"/>
      <c r="K14" s="15"/>
    </row>
    <row r="15" spans="1:12" x14ac:dyDescent="0.2">
      <c r="A15" s="73" t="s">
        <v>315</v>
      </c>
      <c r="C15" s="199" t="s">
        <v>999</v>
      </c>
      <c r="D15" s="73" t="s">
        <v>1048</v>
      </c>
      <c r="E15" s="199" t="s">
        <v>1030</v>
      </c>
      <c r="F15" s="199" t="s">
        <v>1003</v>
      </c>
      <c r="G15" s="15"/>
      <c r="H15"/>
      <c r="I15" s="15"/>
      <c r="J15"/>
      <c r="K15" s="15"/>
    </row>
    <row r="16" spans="1:12" x14ac:dyDescent="0.2">
      <c r="A16" s="199" t="s">
        <v>992</v>
      </c>
      <c r="B16" s="73" t="s">
        <v>993</v>
      </c>
      <c r="D16" s="73" t="s">
        <v>1050</v>
      </c>
      <c r="F16" s="199"/>
      <c r="G16" s="15"/>
      <c r="H16"/>
      <c r="I16" s="15"/>
      <c r="J16"/>
      <c r="K16" s="15"/>
    </row>
    <row r="17" spans="1:11" x14ac:dyDescent="0.2">
      <c r="A17" s="200" t="s">
        <v>1041</v>
      </c>
      <c r="B17" s="199" t="s">
        <v>886</v>
      </c>
      <c r="C17" s="73"/>
      <c r="D17" s="73" t="s">
        <v>1051</v>
      </c>
      <c r="E17" s="199" t="s">
        <v>1031</v>
      </c>
      <c r="F17" s="73" t="s">
        <v>1004</v>
      </c>
      <c r="G17" s="15"/>
      <c r="H17"/>
      <c r="I17" s="15"/>
      <c r="J17"/>
      <c r="K17" s="15"/>
    </row>
    <row r="18" spans="1:11" x14ac:dyDescent="0.2">
      <c r="B18" s="199" t="s">
        <v>884</v>
      </c>
      <c r="C18" s="73"/>
      <c r="D18" s="199" t="s">
        <v>1049</v>
      </c>
      <c r="E18" s="73" t="s">
        <v>1032</v>
      </c>
      <c r="F18" s="73" t="s">
        <v>941</v>
      </c>
      <c r="G18" s="15"/>
      <c r="H18"/>
      <c r="I18" s="15"/>
      <c r="J18"/>
      <c r="K18" s="15"/>
    </row>
    <row r="19" spans="1:11" x14ac:dyDescent="0.2">
      <c r="A19" s="73" t="s">
        <v>903</v>
      </c>
      <c r="B19" s="199" t="s">
        <v>994</v>
      </c>
      <c r="C19" s="73"/>
      <c r="D19" s="199"/>
      <c r="E19" s="73" t="s">
        <v>932</v>
      </c>
      <c r="F19" s="199" t="s">
        <v>1005</v>
      </c>
      <c r="G19" s="15"/>
      <c r="H19"/>
      <c r="I19" s="15"/>
      <c r="J19"/>
      <c r="K19" s="15"/>
    </row>
    <row r="20" spans="1:11" x14ac:dyDescent="0.2">
      <c r="A20" s="73" t="s">
        <v>902</v>
      </c>
      <c r="B20" s="199"/>
      <c r="C20" s="73"/>
      <c r="D20" s="73"/>
      <c r="E20" s="73" t="s">
        <v>1033</v>
      </c>
      <c r="G20" s="15"/>
      <c r="H20"/>
      <c r="I20" s="15"/>
      <c r="J20"/>
      <c r="K20" s="15"/>
    </row>
    <row r="21" spans="1:11" x14ac:dyDescent="0.2">
      <c r="A21" s="199" t="s">
        <v>112</v>
      </c>
      <c r="B21" s="199"/>
      <c r="C21" s="73"/>
      <c r="D21" s="73"/>
      <c r="F21" s="73"/>
      <c r="G21" s="15"/>
      <c r="H21"/>
      <c r="I21" s="15"/>
      <c r="J21"/>
      <c r="K21" s="15"/>
    </row>
    <row r="22" spans="1:11" x14ac:dyDescent="0.2">
      <c r="B22" s="198"/>
      <c r="D22" s="15"/>
      <c r="F22" s="73"/>
      <c r="G22" s="15"/>
      <c r="H22"/>
      <c r="I22" s="15"/>
      <c r="J22"/>
      <c r="K22" s="15"/>
    </row>
    <row r="23" spans="1:11" x14ac:dyDescent="0.2">
      <c r="B23" s="199"/>
      <c r="D23" s="15"/>
      <c r="E23" s="199"/>
      <c r="G23" s="15"/>
      <c r="H23"/>
      <c r="I23" s="15"/>
      <c r="J23"/>
      <c r="K23" s="15"/>
    </row>
    <row r="24" spans="1:11" x14ac:dyDescent="0.2">
      <c r="A24" s="199"/>
      <c r="D24" s="15"/>
      <c r="E24" s="199"/>
      <c r="G24" s="15"/>
      <c r="H24"/>
      <c r="I24" s="15"/>
      <c r="J24"/>
      <c r="K24" s="15"/>
    </row>
    <row r="25" spans="1:11" x14ac:dyDescent="0.2">
      <c r="A25" s="199"/>
      <c r="D25" s="15"/>
      <c r="E25" s="73"/>
      <c r="G25" s="15"/>
      <c r="H25"/>
      <c r="I25" s="15"/>
      <c r="J25"/>
      <c r="K25" s="15"/>
    </row>
    <row r="26" spans="1:11" x14ac:dyDescent="0.2">
      <c r="A26" s="199"/>
      <c r="D26" s="15"/>
      <c r="E26"/>
      <c r="G26" s="15"/>
      <c r="H26"/>
      <c r="I26" s="15"/>
      <c r="J26"/>
      <c r="K26" s="15"/>
    </row>
    <row r="27" spans="1:11" x14ac:dyDescent="0.2">
      <c r="A27" s="73" t="s">
        <v>1011</v>
      </c>
      <c r="B27" s="73" t="s">
        <v>859</v>
      </c>
      <c r="C27" s="73" t="s">
        <v>1015</v>
      </c>
      <c r="D27" s="73" t="s">
        <v>1052</v>
      </c>
      <c r="E27" s="73" t="s">
        <v>1029</v>
      </c>
      <c r="F27" s="73" t="s">
        <v>1016</v>
      </c>
    </row>
    <row r="28" spans="1:11" x14ac:dyDescent="0.2">
      <c r="A28" s="73" t="s">
        <v>904</v>
      </c>
      <c r="B28" s="73" t="s">
        <v>1012</v>
      </c>
      <c r="C28" s="73" t="s">
        <v>920</v>
      </c>
      <c r="D28" s="73" t="s">
        <v>921</v>
      </c>
      <c r="E28" s="73" t="s">
        <v>926</v>
      </c>
      <c r="F28" s="73" t="s">
        <v>1017</v>
      </c>
    </row>
    <row r="30" spans="1:11" x14ac:dyDescent="0.2">
      <c r="A30" s="73"/>
      <c r="B30" s="73"/>
      <c r="C30" s="73"/>
      <c r="D30" s="73"/>
      <c r="E30" s="73"/>
      <c r="F30" s="73"/>
      <c r="G30" s="73"/>
      <c r="H30" s="73"/>
      <c r="I30" s="73"/>
      <c r="J30" s="73"/>
    </row>
    <row r="31" spans="1:11" s="41" customFormat="1" x14ac:dyDescent="0.2">
      <c r="A31" s="41" t="s">
        <v>1</v>
      </c>
      <c r="B31" s="41" t="s">
        <v>195</v>
      </c>
      <c r="C31" s="41" t="s">
        <v>102</v>
      </c>
      <c r="D31" s="41" t="s">
        <v>104</v>
      </c>
      <c r="E31" s="41" t="s">
        <v>657</v>
      </c>
      <c r="F31" s="74"/>
      <c r="H31" s="74"/>
      <c r="J31" s="74"/>
    </row>
    <row r="32" spans="1:11" x14ac:dyDescent="0.2">
      <c r="A32" s="73"/>
      <c r="B32" s="73"/>
      <c r="C32" s="73"/>
      <c r="D32" s="73"/>
    </row>
    <row r="33" spans="1:5" x14ac:dyDescent="0.2">
      <c r="A33" s="73" t="s">
        <v>655</v>
      </c>
      <c r="B33" s="199" t="s">
        <v>869</v>
      </c>
      <c r="C33" s="73" t="s">
        <v>959</v>
      </c>
      <c r="D33" s="73" t="s">
        <v>313</v>
      </c>
      <c r="E33" s="73" t="s">
        <v>663</v>
      </c>
    </row>
    <row r="34" spans="1:5" x14ac:dyDescent="0.2">
      <c r="A34" s="199" t="s">
        <v>1006</v>
      </c>
      <c r="B34" s="199" t="s">
        <v>843</v>
      </c>
      <c r="C34" s="73" t="s">
        <v>301</v>
      </c>
      <c r="D34" s="73" t="s">
        <v>654</v>
      </c>
      <c r="E34" s="73" t="s">
        <v>986</v>
      </c>
    </row>
    <row r="35" spans="1:5" x14ac:dyDescent="0.2">
      <c r="A35" s="199" t="s">
        <v>850</v>
      </c>
      <c r="B35" s="73" t="s">
        <v>302</v>
      </c>
      <c r="C35" s="73" t="s">
        <v>206</v>
      </c>
      <c r="D35" s="199" t="s">
        <v>1034</v>
      </c>
      <c r="E35" s="199" t="s">
        <v>1023</v>
      </c>
    </row>
    <row r="36" spans="1:5" x14ac:dyDescent="0.2">
      <c r="A36" s="73" t="s">
        <v>303</v>
      </c>
      <c r="B36" s="73" t="s">
        <v>1018</v>
      </c>
      <c r="C36" s="73" t="s">
        <v>960</v>
      </c>
      <c r="E36" s="199" t="s">
        <v>653</v>
      </c>
    </row>
    <row r="37" spans="1:5" x14ac:dyDescent="0.2">
      <c r="A37" s="73" t="s">
        <v>943</v>
      </c>
      <c r="B37" s="73" t="s">
        <v>196</v>
      </c>
      <c r="C37" s="199" t="s">
        <v>961</v>
      </c>
      <c r="D37" s="199" t="s">
        <v>1035</v>
      </c>
      <c r="E37" s="73" t="s">
        <v>974</v>
      </c>
    </row>
    <row r="38" spans="1:5" x14ac:dyDescent="0.2">
      <c r="A38" s="199" t="s">
        <v>877</v>
      </c>
      <c r="B38" s="73"/>
      <c r="C38" s="199" t="s">
        <v>987</v>
      </c>
      <c r="D38" s="199" t="s">
        <v>1036</v>
      </c>
      <c r="E38" s="73" t="s">
        <v>976</v>
      </c>
    </row>
    <row r="39" spans="1:5" x14ac:dyDescent="0.2">
      <c r="A39" s="199" t="s">
        <v>875</v>
      </c>
      <c r="B39" s="199" t="s">
        <v>1019</v>
      </c>
      <c r="C39" s="73" t="s">
        <v>300</v>
      </c>
      <c r="D39" s="199" t="s">
        <v>1037</v>
      </c>
    </row>
    <row r="40" spans="1:5" x14ac:dyDescent="0.2">
      <c r="A40" s="73" t="s">
        <v>944</v>
      </c>
      <c r="B40" s="199" t="s">
        <v>1020</v>
      </c>
      <c r="C40" s="199"/>
      <c r="D40" s="199" t="s">
        <v>1038</v>
      </c>
      <c r="E40" s="73" t="s">
        <v>978</v>
      </c>
    </row>
    <row r="41" spans="1:5" x14ac:dyDescent="0.2">
      <c r="A41" s="73"/>
      <c r="B41" s="199" t="s">
        <v>1021</v>
      </c>
      <c r="C41" s="199" t="s">
        <v>871</v>
      </c>
      <c r="D41" s="199" t="s">
        <v>1039</v>
      </c>
      <c r="E41" s="199" t="s">
        <v>207</v>
      </c>
    </row>
    <row r="42" spans="1:5" x14ac:dyDescent="0.2">
      <c r="A42" s="199" t="s">
        <v>1007</v>
      </c>
      <c r="B42" s="73" t="s">
        <v>954</v>
      </c>
      <c r="C42" s="73" t="s">
        <v>310</v>
      </c>
      <c r="E42" s="73" t="s">
        <v>658</v>
      </c>
    </row>
    <row r="43" spans="1:5" x14ac:dyDescent="0.2">
      <c r="A43" s="199" t="s">
        <v>867</v>
      </c>
      <c r="B43" s="199"/>
      <c r="D43" s="73"/>
      <c r="E43" s="199" t="s">
        <v>1026</v>
      </c>
    </row>
    <row r="44" spans="1:5" x14ac:dyDescent="0.2">
      <c r="A44" s="73" t="s">
        <v>946</v>
      </c>
      <c r="B44" s="199" t="s">
        <v>1022</v>
      </c>
      <c r="C44" s="73" t="s">
        <v>965</v>
      </c>
      <c r="E44" s="73"/>
    </row>
    <row r="45" spans="1:5" x14ac:dyDescent="0.2">
      <c r="A45" s="199"/>
      <c r="B45" s="200" t="s">
        <v>1043</v>
      </c>
      <c r="C45" s="199" t="s">
        <v>988</v>
      </c>
      <c r="D45" s="73"/>
      <c r="E45" s="73"/>
    </row>
    <row r="46" spans="1:5" x14ac:dyDescent="0.2">
      <c r="A46" s="199" t="s">
        <v>1008</v>
      </c>
      <c r="B46" s="73"/>
      <c r="D46" s="73"/>
      <c r="E46" s="73"/>
    </row>
    <row r="47" spans="1:5" x14ac:dyDescent="0.2">
      <c r="A47" s="198" t="s">
        <v>1009</v>
      </c>
      <c r="B47" s="73"/>
      <c r="D47" s="73"/>
    </row>
    <row r="48" spans="1:5" x14ac:dyDescent="0.2">
      <c r="A48" s="199" t="s">
        <v>1010</v>
      </c>
      <c r="B48" s="73"/>
      <c r="D48" s="73"/>
    </row>
    <row r="49" spans="1:5" x14ac:dyDescent="0.2">
      <c r="A49" s="73" t="s">
        <v>950</v>
      </c>
      <c r="C49" s="73"/>
      <c r="D49" s="73"/>
    </row>
    <row r="50" spans="1:5" x14ac:dyDescent="0.2">
      <c r="C50" s="73"/>
    </row>
    <row r="51" spans="1:5" x14ac:dyDescent="0.2">
      <c r="A51" s="73" t="s">
        <v>1013</v>
      </c>
      <c r="B51" s="73" t="s">
        <v>957</v>
      </c>
      <c r="C51" s="73" t="s">
        <v>1014</v>
      </c>
      <c r="D51" s="73" t="s">
        <v>969</v>
      </c>
      <c r="E51" s="73" t="s">
        <v>1024</v>
      </c>
    </row>
    <row r="52" spans="1:5" x14ac:dyDescent="0.2">
      <c r="A52" s="73" t="s">
        <v>948</v>
      </c>
      <c r="B52" s="73" t="s">
        <v>958</v>
      </c>
      <c r="C52" s="73" t="s">
        <v>966</v>
      </c>
      <c r="D52" s="73" t="s">
        <v>1040</v>
      </c>
      <c r="E52" s="73" t="s">
        <v>1025</v>
      </c>
    </row>
  </sheetData>
  <mergeCells count="1">
    <mergeCell ref="A2:B2"/>
  </mergeCells>
  <pageMargins left="0.5" right="0.51" top="1"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52"/>
  <sheetViews>
    <sheetView topLeftCell="A28" workbookViewId="0">
      <selection activeCell="E35" sqref="E35"/>
    </sheetView>
  </sheetViews>
  <sheetFormatPr defaultRowHeight="12.75" x14ac:dyDescent="0.2"/>
  <cols>
    <col min="1" max="1" width="18.28515625" style="15" customWidth="1"/>
    <col min="2" max="2" width="18.28515625" style="15" bestFit="1" customWidth="1"/>
    <col min="3" max="3" width="16.140625" style="15" bestFit="1" customWidth="1"/>
    <col min="4" max="4" width="14.7109375" bestFit="1" customWidth="1"/>
    <col min="5" max="5" width="15" style="15" customWidth="1"/>
    <col min="6" max="6" width="12.7109375" style="15" bestFit="1" customWidth="1"/>
    <col min="7" max="7" width="17" bestFit="1" customWidth="1"/>
    <col min="8" max="8" width="14.85546875" style="15" bestFit="1" customWidth="1"/>
    <col min="9" max="9" width="12.28515625" bestFit="1" customWidth="1"/>
    <col min="10" max="10" width="11" style="15" bestFit="1" customWidth="1"/>
    <col min="11" max="11" width="10.140625" bestFit="1" customWidth="1"/>
  </cols>
  <sheetData>
    <row r="1" spans="1:12" x14ac:dyDescent="0.2">
      <c r="A1" s="73"/>
      <c r="B1" s="73"/>
      <c r="C1" s="73"/>
      <c r="D1" s="73"/>
      <c r="E1" s="73"/>
      <c r="F1" s="73"/>
      <c r="G1" s="73"/>
      <c r="H1" s="73"/>
      <c r="I1" s="73"/>
      <c r="J1" s="73"/>
    </row>
    <row r="2" spans="1:12" x14ac:dyDescent="0.2">
      <c r="A2" s="300" t="s">
        <v>899</v>
      </c>
      <c r="B2" s="300"/>
      <c r="C2" s="73"/>
      <c r="D2" s="73"/>
      <c r="E2" s="73"/>
      <c r="F2" s="73"/>
      <c r="G2" s="73"/>
      <c r="H2" s="73"/>
      <c r="I2" s="73"/>
      <c r="J2" s="73"/>
    </row>
    <row r="3" spans="1:12" x14ac:dyDescent="0.2">
      <c r="A3" s="73"/>
      <c r="B3" s="73"/>
      <c r="C3" s="73"/>
      <c r="D3" s="73"/>
      <c r="E3" s="73"/>
      <c r="F3" s="73"/>
      <c r="G3" s="73"/>
      <c r="H3" s="73"/>
      <c r="I3" s="73"/>
      <c r="J3" s="73"/>
    </row>
    <row r="4" spans="1:12" s="41" customFormat="1" x14ac:dyDescent="0.2">
      <c r="A4" s="41" t="s">
        <v>645</v>
      </c>
      <c r="B4" s="41" t="s">
        <v>187</v>
      </c>
      <c r="C4" s="41" t="s">
        <v>100</v>
      </c>
      <c r="D4" s="41" t="s">
        <v>659</v>
      </c>
      <c r="E4" s="41" t="s">
        <v>101</v>
      </c>
      <c r="F4" s="41" t="s">
        <v>103</v>
      </c>
      <c r="G4" s="74"/>
      <c r="I4" s="74"/>
      <c r="K4" s="74"/>
      <c r="L4" s="74"/>
    </row>
    <row r="5" spans="1:12" x14ac:dyDescent="0.2">
      <c r="B5" s="73"/>
      <c r="C5" s="73"/>
      <c r="E5" s="73"/>
      <c r="F5" s="73"/>
      <c r="G5" s="15"/>
      <c r="H5"/>
      <c r="I5" s="15"/>
      <c r="J5"/>
      <c r="K5" s="15"/>
    </row>
    <row r="6" spans="1:12" x14ac:dyDescent="0.2">
      <c r="A6" s="198" t="s">
        <v>844</v>
      </c>
      <c r="B6" s="73" t="s">
        <v>647</v>
      </c>
      <c r="C6" s="73" t="s">
        <v>188</v>
      </c>
      <c r="D6" s="73" t="s">
        <v>307</v>
      </c>
      <c r="E6" s="198" t="s">
        <v>924</v>
      </c>
      <c r="F6" s="199" t="s">
        <v>935</v>
      </c>
      <c r="G6" s="15"/>
      <c r="H6"/>
      <c r="I6" s="15"/>
      <c r="J6"/>
      <c r="K6" s="15"/>
    </row>
    <row r="7" spans="1:12" x14ac:dyDescent="0.2">
      <c r="A7" s="73" t="s">
        <v>649</v>
      </c>
      <c r="B7" s="73" t="s">
        <v>308</v>
      </c>
      <c r="C7" s="73" t="s">
        <v>299</v>
      </c>
      <c r="D7" s="73" t="s">
        <v>662</v>
      </c>
      <c r="E7" s="73" t="s">
        <v>306</v>
      </c>
      <c r="F7" s="198" t="s">
        <v>936</v>
      </c>
      <c r="G7" s="15"/>
      <c r="H7"/>
      <c r="I7" s="15"/>
      <c r="J7"/>
      <c r="K7" s="15"/>
    </row>
    <row r="8" spans="1:12" x14ac:dyDescent="0.2">
      <c r="A8" s="199" t="s">
        <v>981</v>
      </c>
      <c r="B8" s="199" t="s">
        <v>653</v>
      </c>
      <c r="C8" s="199" t="s">
        <v>914</v>
      </c>
      <c r="D8" s="199" t="s">
        <v>967</v>
      </c>
      <c r="E8" s="73" t="s">
        <v>189</v>
      </c>
      <c r="F8" s="73" t="s">
        <v>193</v>
      </c>
      <c r="G8" s="15"/>
      <c r="H8"/>
      <c r="I8" s="15"/>
      <c r="J8"/>
      <c r="K8" s="15"/>
    </row>
    <row r="9" spans="1:12" x14ac:dyDescent="0.2">
      <c r="A9" s="73" t="s">
        <v>650</v>
      </c>
      <c r="B9" s="199" t="s">
        <v>906</v>
      </c>
      <c r="E9" s="73" t="s">
        <v>202</v>
      </c>
      <c r="F9" s="199" t="s">
        <v>937</v>
      </c>
      <c r="G9" s="15"/>
      <c r="H9"/>
      <c r="I9" s="15"/>
      <c r="J9"/>
      <c r="K9" s="15"/>
    </row>
    <row r="10" spans="1:12" x14ac:dyDescent="0.2">
      <c r="A10" s="199" t="s">
        <v>652</v>
      </c>
      <c r="B10" s="73" t="s">
        <v>648</v>
      </c>
      <c r="C10" s="199" t="s">
        <v>915</v>
      </c>
      <c r="D10" s="73" t="s">
        <v>203</v>
      </c>
      <c r="E10" s="73" t="s">
        <v>201</v>
      </c>
      <c r="F10" s="73" t="s">
        <v>646</v>
      </c>
      <c r="G10" s="15"/>
      <c r="H10"/>
      <c r="I10" s="15"/>
      <c r="J10"/>
      <c r="K10" s="15"/>
    </row>
    <row r="11" spans="1:12" x14ac:dyDescent="0.2">
      <c r="A11" s="199" t="s">
        <v>900</v>
      </c>
      <c r="C11" s="199" t="s">
        <v>916</v>
      </c>
      <c r="D11" s="73" t="s">
        <v>316</v>
      </c>
      <c r="E11" s="73" t="s">
        <v>925</v>
      </c>
      <c r="G11" s="15"/>
      <c r="H11"/>
      <c r="I11" s="15"/>
      <c r="J11"/>
      <c r="K11" s="15"/>
    </row>
    <row r="12" spans="1:12" x14ac:dyDescent="0.2">
      <c r="A12" s="73" t="s">
        <v>190</v>
      </c>
      <c r="B12" s="73" t="s">
        <v>197</v>
      </c>
      <c r="C12" s="199" t="s">
        <v>917</v>
      </c>
      <c r="D12" s="199" t="s">
        <v>922</v>
      </c>
      <c r="F12" s="73" t="s">
        <v>194</v>
      </c>
      <c r="G12" s="15"/>
      <c r="H12"/>
      <c r="I12" s="15"/>
      <c r="J12"/>
      <c r="K12" s="15"/>
    </row>
    <row r="13" spans="1:12" x14ac:dyDescent="0.2">
      <c r="A13" s="199" t="s">
        <v>984</v>
      </c>
      <c r="B13" s="73" t="s">
        <v>907</v>
      </c>
      <c r="C13" s="199" t="s">
        <v>204</v>
      </c>
      <c r="D13" s="199" t="s">
        <v>923</v>
      </c>
      <c r="E13" s="199" t="s">
        <v>927</v>
      </c>
      <c r="F13" s="199" t="s">
        <v>938</v>
      </c>
      <c r="G13" s="15"/>
      <c r="H13"/>
      <c r="I13" s="15"/>
      <c r="J13"/>
      <c r="K13" s="15"/>
    </row>
    <row r="14" spans="1:12" x14ac:dyDescent="0.2">
      <c r="B14" s="73" t="s">
        <v>198</v>
      </c>
      <c r="C14" s="199" t="s">
        <v>918</v>
      </c>
      <c r="D14" s="73"/>
      <c r="E14" s="199" t="s">
        <v>928</v>
      </c>
      <c r="F14" s="73" t="s">
        <v>939</v>
      </c>
      <c r="G14" s="15"/>
      <c r="H14"/>
      <c r="I14" s="15"/>
      <c r="J14"/>
      <c r="K14" s="15"/>
    </row>
    <row r="15" spans="1:12" x14ac:dyDescent="0.2">
      <c r="A15" s="73" t="s">
        <v>200</v>
      </c>
      <c r="B15" s="73" t="s">
        <v>199</v>
      </c>
      <c r="C15" s="199" t="s">
        <v>919</v>
      </c>
      <c r="E15" s="199" t="s">
        <v>929</v>
      </c>
      <c r="F15" s="199" t="s">
        <v>940</v>
      </c>
      <c r="G15" s="15"/>
      <c r="H15"/>
      <c r="I15" s="15"/>
      <c r="J15"/>
      <c r="K15" s="15"/>
    </row>
    <row r="16" spans="1:12" x14ac:dyDescent="0.2">
      <c r="A16" s="199" t="s">
        <v>982</v>
      </c>
      <c r="B16" s="198" t="s">
        <v>908</v>
      </c>
      <c r="E16" s="199" t="s">
        <v>660</v>
      </c>
      <c r="F16" s="199" t="s">
        <v>941</v>
      </c>
      <c r="G16" s="15"/>
      <c r="H16"/>
      <c r="I16" s="15"/>
      <c r="J16"/>
      <c r="K16" s="15"/>
    </row>
    <row r="17" spans="1:11" x14ac:dyDescent="0.2">
      <c r="A17" s="73" t="s">
        <v>315</v>
      </c>
      <c r="B17" s="199" t="s">
        <v>909</v>
      </c>
      <c r="C17" s="73"/>
      <c r="D17" s="73"/>
      <c r="E17" s="199" t="s">
        <v>930</v>
      </c>
      <c r="F17" s="73" t="s">
        <v>312</v>
      </c>
      <c r="G17" s="15"/>
      <c r="H17"/>
      <c r="I17" s="15"/>
      <c r="J17"/>
      <c r="K17" s="15"/>
    </row>
    <row r="18" spans="1:11" x14ac:dyDescent="0.2">
      <c r="A18" s="73" t="s">
        <v>651</v>
      </c>
      <c r="B18" s="199" t="s">
        <v>910</v>
      </c>
      <c r="C18" s="73"/>
      <c r="E18" s="199" t="s">
        <v>931</v>
      </c>
      <c r="F18" s="199" t="s">
        <v>942</v>
      </c>
      <c r="G18" s="15"/>
      <c r="H18"/>
      <c r="I18" s="15"/>
      <c r="J18"/>
      <c r="K18" s="15"/>
    </row>
    <row r="19" spans="1:11" x14ac:dyDescent="0.2">
      <c r="A19" s="198" t="s">
        <v>304</v>
      </c>
      <c r="B19" s="73" t="s">
        <v>311</v>
      </c>
      <c r="C19" s="73"/>
      <c r="D19" s="73"/>
      <c r="E19" s="73" t="s">
        <v>932</v>
      </c>
      <c r="F19" s="73"/>
      <c r="G19" s="15"/>
      <c r="H19"/>
      <c r="I19" s="15"/>
      <c r="J19"/>
      <c r="K19" s="15"/>
    </row>
    <row r="20" spans="1:11" x14ac:dyDescent="0.2">
      <c r="A20" s="199" t="s">
        <v>983</v>
      </c>
      <c r="B20" s="199" t="s">
        <v>911</v>
      </c>
      <c r="C20" s="73"/>
      <c r="D20" s="73"/>
      <c r="E20" s="199" t="s">
        <v>933</v>
      </c>
      <c r="G20" s="15"/>
      <c r="H20"/>
      <c r="I20" s="15"/>
      <c r="J20"/>
      <c r="K20" s="15"/>
    </row>
    <row r="21" spans="1:11" x14ac:dyDescent="0.2">
      <c r="A21" s="199" t="s">
        <v>901</v>
      </c>
      <c r="B21" s="199" t="s">
        <v>912</v>
      </c>
      <c r="C21" s="73"/>
      <c r="D21" s="73"/>
      <c r="E21" s="199" t="s">
        <v>934</v>
      </c>
      <c r="F21" s="73"/>
      <c r="G21" s="15"/>
      <c r="H21"/>
      <c r="I21" s="15"/>
      <c r="J21"/>
      <c r="K21" s="15"/>
    </row>
    <row r="22" spans="1:11" x14ac:dyDescent="0.2">
      <c r="A22" s="199" t="s">
        <v>902</v>
      </c>
      <c r="B22" s="198" t="s">
        <v>913</v>
      </c>
      <c r="D22" s="15"/>
      <c r="E22" s="73" t="s">
        <v>661</v>
      </c>
      <c r="F22" s="73"/>
      <c r="G22" s="15"/>
      <c r="H22"/>
      <c r="I22" s="15"/>
      <c r="J22"/>
      <c r="K22" s="15"/>
    </row>
    <row r="23" spans="1:11" x14ac:dyDescent="0.2">
      <c r="A23" s="199" t="s">
        <v>903</v>
      </c>
      <c r="B23" s="199"/>
      <c r="D23" s="15"/>
      <c r="G23" s="15"/>
      <c r="H23"/>
      <c r="I23" s="15"/>
      <c r="J23"/>
      <c r="K23" s="15"/>
    </row>
    <row r="24" spans="1:11" x14ac:dyDescent="0.2">
      <c r="A24" s="199" t="s">
        <v>985</v>
      </c>
      <c r="D24" s="15"/>
      <c r="E24"/>
      <c r="G24" s="15"/>
      <c r="H24"/>
      <c r="I24" s="15"/>
      <c r="J24"/>
      <c r="K24" s="15"/>
    </row>
    <row r="25" spans="1:11" x14ac:dyDescent="0.2">
      <c r="A25" s="199"/>
      <c r="D25" s="15"/>
      <c r="E25"/>
      <c r="G25" s="15"/>
      <c r="H25"/>
      <c r="I25" s="15"/>
      <c r="J25"/>
      <c r="K25" s="15"/>
    </row>
    <row r="26" spans="1:11" x14ac:dyDescent="0.2">
      <c r="A26" s="199"/>
      <c r="D26" s="15"/>
      <c r="E26"/>
      <c r="G26" s="15"/>
      <c r="H26"/>
      <c r="I26" s="15"/>
      <c r="J26"/>
      <c r="K26" s="15"/>
    </row>
    <row r="27" spans="1:11" x14ac:dyDescent="0.2">
      <c r="A27" s="73" t="s">
        <v>898</v>
      </c>
      <c r="B27" s="73" t="s">
        <v>859</v>
      </c>
      <c r="C27" s="73" t="s">
        <v>842</v>
      </c>
      <c r="D27" s="73" t="s">
        <v>860</v>
      </c>
      <c r="E27" s="73" t="s">
        <v>926</v>
      </c>
      <c r="F27" s="73" t="s">
        <v>857</v>
      </c>
    </row>
    <row r="28" spans="1:11" x14ac:dyDescent="0.2">
      <c r="A28" s="73" t="s">
        <v>904</v>
      </c>
      <c r="B28" s="73" t="s">
        <v>905</v>
      </c>
      <c r="C28" s="73" t="s">
        <v>920</v>
      </c>
      <c r="D28" s="73" t="s">
        <v>921</v>
      </c>
      <c r="E28" s="73" t="s">
        <v>849</v>
      </c>
      <c r="F28" s="73" t="s">
        <v>848</v>
      </c>
    </row>
    <row r="30" spans="1:11" x14ac:dyDescent="0.2">
      <c r="A30" s="73"/>
      <c r="B30" s="73"/>
      <c r="C30" s="73"/>
      <c r="D30" s="73"/>
      <c r="E30" s="73"/>
      <c r="F30" s="73"/>
      <c r="G30" s="73"/>
      <c r="H30" s="73"/>
      <c r="I30" s="73"/>
      <c r="J30" s="73"/>
    </row>
    <row r="31" spans="1:11" s="41" customFormat="1" x14ac:dyDescent="0.2">
      <c r="A31" s="41" t="s">
        <v>1</v>
      </c>
      <c r="B31" s="41" t="s">
        <v>195</v>
      </c>
      <c r="C31" s="41" t="s">
        <v>102</v>
      </c>
      <c r="D31" s="41" t="s">
        <v>104</v>
      </c>
      <c r="E31" s="41" t="s">
        <v>657</v>
      </c>
      <c r="F31" s="74"/>
      <c r="H31" s="74"/>
      <c r="J31" s="74"/>
    </row>
    <row r="32" spans="1:11" x14ac:dyDescent="0.2">
      <c r="A32" s="73"/>
      <c r="B32" s="73"/>
      <c r="C32" s="73"/>
      <c r="D32" s="73"/>
    </row>
    <row r="33" spans="1:5" x14ac:dyDescent="0.2">
      <c r="A33" s="199" t="s">
        <v>655</v>
      </c>
      <c r="B33" s="73" t="s">
        <v>302</v>
      </c>
      <c r="C33" s="73" t="s">
        <v>205</v>
      </c>
      <c r="D33" s="73" t="s">
        <v>313</v>
      </c>
      <c r="E33" s="199" t="s">
        <v>663</v>
      </c>
    </row>
    <row r="34" spans="1:5" x14ac:dyDescent="0.2">
      <c r="A34" s="73" t="s">
        <v>303</v>
      </c>
      <c r="B34" s="73" t="s">
        <v>196</v>
      </c>
      <c r="C34" s="199" t="s">
        <v>959</v>
      </c>
      <c r="D34" s="199" t="s">
        <v>654</v>
      </c>
      <c r="E34" s="198" t="s">
        <v>986</v>
      </c>
    </row>
    <row r="35" spans="1:5" x14ac:dyDescent="0.2">
      <c r="A35" s="199" t="s">
        <v>943</v>
      </c>
      <c r="B35" s="73"/>
      <c r="C35" s="73" t="s">
        <v>301</v>
      </c>
      <c r="E35" s="199" t="s">
        <v>974</v>
      </c>
    </row>
    <row r="36" spans="1:5" x14ac:dyDescent="0.2">
      <c r="A36" s="199" t="s">
        <v>944</v>
      </c>
      <c r="B36" s="73" t="s">
        <v>952</v>
      </c>
      <c r="C36" s="73" t="s">
        <v>206</v>
      </c>
      <c r="D36" s="199" t="s">
        <v>970</v>
      </c>
      <c r="E36" s="199" t="s">
        <v>975</v>
      </c>
    </row>
    <row r="37" spans="1:5" x14ac:dyDescent="0.2">
      <c r="B37" s="73" t="s">
        <v>309</v>
      </c>
      <c r="C37" s="199" t="s">
        <v>960</v>
      </c>
      <c r="D37" s="199" t="s">
        <v>971</v>
      </c>
      <c r="E37" s="199" t="s">
        <v>976</v>
      </c>
    </row>
    <row r="38" spans="1:5" x14ac:dyDescent="0.2">
      <c r="A38" s="73" t="s">
        <v>656</v>
      </c>
      <c r="B38" s="199" t="s">
        <v>953</v>
      </c>
      <c r="C38" s="73" t="s">
        <v>664</v>
      </c>
      <c r="D38" s="199" t="s">
        <v>972</v>
      </c>
    </row>
    <row r="39" spans="1:5" x14ac:dyDescent="0.2">
      <c r="A39" s="199" t="s">
        <v>945</v>
      </c>
      <c r="B39" s="199" t="s">
        <v>954</v>
      </c>
      <c r="C39" s="199" t="s">
        <v>961</v>
      </c>
      <c r="D39" s="199" t="s">
        <v>973</v>
      </c>
      <c r="E39" s="198" t="s">
        <v>978</v>
      </c>
    </row>
    <row r="40" spans="1:5" x14ac:dyDescent="0.2">
      <c r="A40" s="199" t="s">
        <v>946</v>
      </c>
      <c r="B40" s="199" t="s">
        <v>955</v>
      </c>
      <c r="C40" s="199" t="s">
        <v>962</v>
      </c>
      <c r="D40" s="73"/>
      <c r="E40" s="73" t="s">
        <v>314</v>
      </c>
    </row>
    <row r="41" spans="1:5" x14ac:dyDescent="0.2">
      <c r="A41" s="199" t="s">
        <v>947</v>
      </c>
      <c r="B41" s="199" t="s">
        <v>956</v>
      </c>
      <c r="C41" s="73" t="s">
        <v>300</v>
      </c>
      <c r="D41" s="73"/>
      <c r="E41" s="199" t="s">
        <v>658</v>
      </c>
    </row>
    <row r="42" spans="1:5" x14ac:dyDescent="0.2">
      <c r="A42" s="199" t="s">
        <v>949</v>
      </c>
      <c r="B42" s="73"/>
      <c r="C42" s="73" t="s">
        <v>305</v>
      </c>
      <c r="D42" s="73"/>
    </row>
    <row r="43" spans="1:5" x14ac:dyDescent="0.2">
      <c r="A43" s="199" t="s">
        <v>979</v>
      </c>
      <c r="B43" s="73"/>
      <c r="D43" s="73"/>
      <c r="E43" s="73"/>
    </row>
    <row r="44" spans="1:5" x14ac:dyDescent="0.2">
      <c r="A44" s="199" t="s">
        <v>950</v>
      </c>
      <c r="B44" s="73"/>
      <c r="C44" s="199" t="s">
        <v>963</v>
      </c>
      <c r="E44" s="73"/>
    </row>
    <row r="45" spans="1:5" x14ac:dyDescent="0.2">
      <c r="A45" s="199" t="s">
        <v>980</v>
      </c>
      <c r="B45" s="73"/>
      <c r="C45" s="199" t="s">
        <v>964</v>
      </c>
      <c r="D45" s="73"/>
      <c r="E45" s="73"/>
    </row>
    <row r="46" spans="1:5" x14ac:dyDescent="0.2">
      <c r="A46" s="199" t="s">
        <v>951</v>
      </c>
      <c r="B46" s="73"/>
      <c r="C46" s="73" t="s">
        <v>207</v>
      </c>
      <c r="D46" s="73"/>
      <c r="E46" s="73"/>
    </row>
    <row r="47" spans="1:5" x14ac:dyDescent="0.2">
      <c r="A47" s="73"/>
      <c r="B47" s="73"/>
      <c r="C47" s="73" t="s">
        <v>310</v>
      </c>
      <c r="D47" s="73"/>
    </row>
    <row r="48" spans="1:5" x14ac:dyDescent="0.2">
      <c r="A48" s="73"/>
      <c r="B48" s="73"/>
      <c r="C48" s="73" t="s">
        <v>965</v>
      </c>
      <c r="D48" s="73"/>
    </row>
    <row r="49" spans="1:5" x14ac:dyDescent="0.2">
      <c r="C49" s="73"/>
    </row>
    <row r="50" spans="1:5" x14ac:dyDescent="0.2">
      <c r="C50" s="73"/>
    </row>
    <row r="51" spans="1:5" x14ac:dyDescent="0.2">
      <c r="A51" s="73" t="s">
        <v>875</v>
      </c>
      <c r="B51" s="73" t="s">
        <v>957</v>
      </c>
      <c r="C51" s="73" t="s">
        <v>874</v>
      </c>
      <c r="D51" s="73" t="s">
        <v>968</v>
      </c>
      <c r="E51" s="73" t="s">
        <v>861</v>
      </c>
    </row>
    <row r="52" spans="1:5" x14ac:dyDescent="0.2">
      <c r="A52" s="73" t="s">
        <v>948</v>
      </c>
      <c r="B52" s="73" t="s">
        <v>958</v>
      </c>
      <c r="C52" s="73" t="s">
        <v>966</v>
      </c>
      <c r="D52" s="73" t="s">
        <v>969</v>
      </c>
      <c r="E52" s="73" t="s">
        <v>977</v>
      </c>
    </row>
  </sheetData>
  <mergeCells count="1">
    <mergeCell ref="A2:B2"/>
  </mergeCells>
  <phoneticPr fontId="12" type="noConversion"/>
  <pageMargins left="0.5" right="0.51" top="1" bottom="1" header="0.5" footer="0.5"/>
  <pageSetup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57"/>
  </sheetPr>
  <dimension ref="A1:AU698"/>
  <sheetViews>
    <sheetView zoomScale="70" zoomScaleNormal="70" workbookViewId="0">
      <pane ySplit="4" topLeftCell="A5" activePane="bottomLeft" state="frozen"/>
      <selection pane="bottomLeft" activeCell="K2" sqref="K2"/>
    </sheetView>
  </sheetViews>
  <sheetFormatPr defaultRowHeight="12.75" x14ac:dyDescent="0.2"/>
  <cols>
    <col min="1" max="1" width="26.7109375" style="146" customWidth="1"/>
    <col min="2" max="2" width="5.5703125" style="146" bestFit="1" customWidth="1"/>
    <col min="3" max="4" width="3.28515625" style="146" bestFit="1" customWidth="1"/>
    <col min="5" max="5" width="6" style="157" bestFit="1" customWidth="1"/>
    <col min="6" max="6" width="3" style="146" bestFit="1" customWidth="1"/>
    <col min="7" max="8" width="3.7109375" style="146" bestFit="1" customWidth="1"/>
    <col min="9" max="9" width="4.7109375" style="146" bestFit="1" customWidth="1"/>
    <col min="10" max="10" width="3.5703125" style="146" bestFit="1" customWidth="1"/>
    <col min="11" max="11" width="5" style="146" bestFit="1" customWidth="1"/>
    <col min="12" max="12" width="7.140625" style="157" bestFit="1" customWidth="1"/>
    <col min="13" max="13" width="4.42578125" style="146" bestFit="1" customWidth="1"/>
    <col min="14" max="14" width="3" style="146" bestFit="1" customWidth="1"/>
    <col min="15" max="17" width="3.5703125" style="146" bestFit="1" customWidth="1"/>
    <col min="18" max="18" width="4" style="146" bestFit="1" customWidth="1"/>
    <col min="19" max="20" width="4.42578125" style="146" bestFit="1" customWidth="1"/>
    <col min="21" max="21" width="1.28515625" style="146" customWidth="1"/>
    <col min="22" max="22" width="7.7109375" style="146" bestFit="1" customWidth="1"/>
    <col min="23" max="23" width="10" style="146" bestFit="1" customWidth="1"/>
    <col min="24" max="24" width="9.7109375" style="146" bestFit="1" customWidth="1"/>
    <col min="25" max="25" width="7.140625" style="146" bestFit="1" customWidth="1"/>
    <col min="26" max="26" width="10" style="146" bestFit="1" customWidth="1"/>
    <col min="27" max="27" width="9.7109375" style="146" bestFit="1" customWidth="1"/>
    <col min="28" max="28" width="6.7109375" style="146" bestFit="1" customWidth="1"/>
    <col min="29" max="29" width="7.5703125" style="146" bestFit="1" customWidth="1"/>
    <col min="30" max="30" width="5.5703125" style="146" bestFit="1" customWidth="1"/>
    <col min="31" max="31" width="7.140625" style="146" bestFit="1" customWidth="1"/>
    <col min="32" max="32" width="15.5703125" style="168" bestFit="1" customWidth="1"/>
    <col min="33" max="33" width="5.5703125" style="146" bestFit="1" customWidth="1"/>
    <col min="34" max="34" width="7.5703125" style="146" bestFit="1" customWidth="1"/>
    <col min="35" max="35" width="6.85546875" style="146" bestFit="1" customWidth="1"/>
    <col min="36" max="36" width="8.5703125" style="157" bestFit="1" customWidth="1"/>
    <col min="37" max="37" width="8.140625" style="146" bestFit="1" customWidth="1"/>
    <col min="38" max="38" width="9.42578125" style="146" bestFit="1" customWidth="1"/>
    <col min="39" max="39" width="9.140625" style="146" bestFit="1" customWidth="1"/>
    <col min="40" max="40" width="1.28515625" style="146" customWidth="1"/>
    <col min="41" max="41" width="11.42578125" style="146" bestFit="1" customWidth="1"/>
    <col min="42" max="42" width="7.85546875" style="146" bestFit="1" customWidth="1"/>
    <col min="43" max="43" width="9.140625" style="146" bestFit="1" customWidth="1"/>
    <col min="44" max="44" width="9.5703125" style="146" bestFit="1" customWidth="1"/>
    <col min="45" max="45" width="9.140625" style="146"/>
    <col min="46" max="47" width="2.7109375" style="146" bestFit="1" customWidth="1"/>
    <col min="48" max="16384" width="9.140625" style="146"/>
  </cols>
  <sheetData>
    <row r="1" spans="1:47" x14ac:dyDescent="0.2">
      <c r="A1" s="58" t="s">
        <v>192</v>
      </c>
    </row>
    <row r="2" spans="1:47" x14ac:dyDescent="0.2">
      <c r="A2" s="170" t="s">
        <v>1221</v>
      </c>
      <c r="K2" s="146">
        <v>54</v>
      </c>
    </row>
    <row r="4" spans="1:47" s="122" customFormat="1" x14ac:dyDescent="0.2">
      <c r="A4" s="9" t="s">
        <v>106</v>
      </c>
      <c r="B4" s="129" t="s">
        <v>157</v>
      </c>
      <c r="C4" s="167" t="s">
        <v>85</v>
      </c>
      <c r="D4" s="129" t="s">
        <v>86</v>
      </c>
      <c r="E4" s="167" t="s">
        <v>87</v>
      </c>
      <c r="F4" s="129" t="s">
        <v>108</v>
      </c>
      <c r="G4" s="129" t="s">
        <v>88</v>
      </c>
      <c r="H4" s="129" t="s">
        <v>89</v>
      </c>
      <c r="I4" s="121" t="s">
        <v>317</v>
      </c>
      <c r="J4" s="121" t="s">
        <v>90</v>
      </c>
      <c r="K4" s="121" t="s">
        <v>158</v>
      </c>
      <c r="L4" s="167" t="s">
        <v>91</v>
      </c>
      <c r="M4" s="129" t="s">
        <v>92</v>
      </c>
      <c r="N4" s="129" t="s">
        <v>93</v>
      </c>
      <c r="O4" s="129" t="s">
        <v>94</v>
      </c>
      <c r="P4" s="129" t="s">
        <v>95</v>
      </c>
      <c r="Q4" s="129" t="s">
        <v>96</v>
      </c>
      <c r="R4" s="129" t="s">
        <v>98</v>
      </c>
      <c r="S4" s="129" t="s">
        <v>97</v>
      </c>
      <c r="T4" s="129" t="s">
        <v>109</v>
      </c>
      <c r="U4" s="70"/>
      <c r="V4" s="115" t="s">
        <v>2</v>
      </c>
      <c r="W4" s="116" t="s">
        <v>3</v>
      </c>
      <c r="X4" s="117" t="s">
        <v>4</v>
      </c>
      <c r="Y4" s="118" t="s">
        <v>5</v>
      </c>
      <c r="Z4" s="116" t="s">
        <v>6</v>
      </c>
      <c r="AA4" s="117" t="s">
        <v>7</v>
      </c>
      <c r="AB4" s="119" t="s">
        <v>8</v>
      </c>
      <c r="AC4" s="119" t="s">
        <v>81</v>
      </c>
      <c r="AD4" s="119" t="s">
        <v>9</v>
      </c>
      <c r="AE4" s="120" t="s">
        <v>10</v>
      </c>
      <c r="AF4" s="169" t="s">
        <v>106</v>
      </c>
      <c r="AG4" s="7" t="s">
        <v>11</v>
      </c>
      <c r="AH4" s="7" t="s">
        <v>12</v>
      </c>
      <c r="AI4" s="7" t="s">
        <v>13</v>
      </c>
      <c r="AJ4" s="167" t="s">
        <v>83</v>
      </c>
      <c r="AK4" s="121" t="s">
        <v>99</v>
      </c>
      <c r="AL4" s="121" t="s">
        <v>84</v>
      </c>
      <c r="AM4" s="121" t="s">
        <v>191</v>
      </c>
      <c r="AO4" s="112" t="s">
        <v>319</v>
      </c>
      <c r="AP4" s="123"/>
      <c r="AQ4" s="123"/>
      <c r="AR4" s="123"/>
      <c r="AT4" s="71" t="s">
        <v>91</v>
      </c>
      <c r="AU4" s="71" t="s">
        <v>91</v>
      </c>
    </row>
    <row r="5" spans="1:47" s="122" customFormat="1" x14ac:dyDescent="0.2">
      <c r="A5" s="146"/>
      <c r="B5" s="155"/>
      <c r="C5" s="205"/>
      <c r="D5" s="196"/>
      <c r="E5" s="205"/>
      <c r="F5" s="196"/>
      <c r="G5" s="196"/>
      <c r="H5" s="196"/>
      <c r="I5" s="206"/>
      <c r="J5" s="206"/>
      <c r="K5" s="206"/>
      <c r="L5" s="205"/>
      <c r="M5" s="196"/>
      <c r="N5" s="196"/>
      <c r="O5" s="196"/>
      <c r="P5" s="196"/>
      <c r="Q5" s="196"/>
      <c r="R5" s="196"/>
      <c r="S5" s="196"/>
      <c r="T5" s="196"/>
      <c r="U5" s="196"/>
      <c r="V5" s="207"/>
      <c r="W5" s="208"/>
      <c r="X5" s="209"/>
      <c r="Y5" s="210"/>
      <c r="Z5" s="208"/>
      <c r="AA5" s="209"/>
      <c r="AB5" s="211"/>
      <c r="AC5" s="211"/>
      <c r="AD5" s="211"/>
      <c r="AE5" s="212"/>
      <c r="AF5" s="213"/>
      <c r="AG5" s="214"/>
      <c r="AH5" s="214"/>
      <c r="AI5" s="214"/>
      <c r="AJ5" s="167"/>
      <c r="AK5" s="121"/>
      <c r="AL5" s="121"/>
      <c r="AM5" s="121"/>
      <c r="AO5" s="112"/>
      <c r="AP5" s="123"/>
      <c r="AQ5" s="123"/>
      <c r="AR5" s="123"/>
      <c r="AT5" s="71"/>
      <c r="AU5" s="71"/>
    </row>
    <row r="6" spans="1:47" s="122" customFormat="1" x14ac:dyDescent="0.2">
      <c r="A6" s="155" t="s">
        <v>888</v>
      </c>
      <c r="B6" s="155" t="s">
        <v>160</v>
      </c>
      <c r="C6" s="202">
        <v>2</v>
      </c>
      <c r="D6" s="202">
        <v>4</v>
      </c>
      <c r="E6" s="185">
        <v>3.58</v>
      </c>
      <c r="F6" s="202">
        <v>50</v>
      </c>
      <c r="G6" s="202">
        <v>0</v>
      </c>
      <c r="H6" s="202">
        <v>0</v>
      </c>
      <c r="I6" s="202">
        <v>0</v>
      </c>
      <c r="J6" s="202">
        <v>0</v>
      </c>
      <c r="K6" s="202">
        <v>3</v>
      </c>
      <c r="L6" s="185">
        <v>37.67</v>
      </c>
      <c r="M6" s="202">
        <v>35</v>
      </c>
      <c r="N6" s="202">
        <v>15</v>
      </c>
      <c r="O6" s="202">
        <v>15</v>
      </c>
      <c r="P6" s="202">
        <v>4</v>
      </c>
      <c r="Q6" s="202">
        <v>10</v>
      </c>
      <c r="R6" s="202">
        <v>2</v>
      </c>
      <c r="S6" s="202">
        <v>31</v>
      </c>
      <c r="T6" s="202">
        <v>154</v>
      </c>
      <c r="U6" s="196"/>
      <c r="V6" s="50">
        <f>+(Q6-R6)/(T6-R6)*100</f>
        <v>5.2631578947368416</v>
      </c>
      <c r="W6" s="6">
        <f>IF(V6&lt;LeagueRatings!$K$21,((LeagueRatings!$K$21-V6)/LeagueRatings!$K$21)*36,(LeagueRatings!$K$21-V6)*6.48)</f>
        <v>14.836886583172083</v>
      </c>
      <c r="X6" s="16">
        <f>INDEX('C-P-RollAdj'!$B$4:$B$76,MATCH(INT(W6),'C-P-RollAdj'!$A$4:$A$76,FALSE),0)</f>
        <v>-1.19</v>
      </c>
      <c r="Y6" s="16">
        <f>(P6/(T6-R6))*100</f>
        <v>2.6315789473684208</v>
      </c>
      <c r="Z6" s="6">
        <f>IF(Y6&lt;LeagueRatings!$K$19,((LeagueRatings!$K$19-Y6)/LeagueRatings!$K$19)*36,(LeagueRatings!$K$19-Y6)/LeagueRatings!$K$22)</f>
        <v>3.4219966957753174</v>
      </c>
      <c r="AA6" s="16">
        <f>INDEX('C-P-RollAdj'!$F$4:$F$76,MATCH(INT(Z6),'C-P-RollAdj'!$E$4:$E$76,FALSE),0)</f>
        <v>-0.21000000000000002</v>
      </c>
      <c r="AB6" s="17">
        <f>+((LeagueRatings!$I$17-E6)*5)+9.5</f>
        <v>12.414387243706361</v>
      </c>
      <c r="AC6" s="17">
        <f>IF(AB6&lt;4,4,AB6)</f>
        <v>12.414387243706361</v>
      </c>
      <c r="AD6" s="17">
        <f>IF(M6&lt;L6,((1-(M6/L6))*7)-0.07,(1-(M6/L6))*5)</f>
        <v>0.42615078311653881</v>
      </c>
      <c r="AE6" s="4">
        <f>+X6+AA6+AC6+AD6</f>
        <v>11.4405380268229</v>
      </c>
      <c r="AF6" s="213"/>
      <c r="AG6" s="7" t="s">
        <v>68</v>
      </c>
      <c r="AH6" s="219">
        <f>INDEX('C-P-RollAdj'!$J$4:$J$76,MATCH(INT(W6),'C-P-RollAdj'!$I$4:$I$76,FALSE),0)</f>
        <v>32</v>
      </c>
      <c r="AI6" s="219">
        <f>INDEX('C-P-RollAdj'!$J$4:$J$76,MATCH(INT(Z6),'C-P-RollAdj'!$I$4:$I$76,FALSE),0)</f>
        <v>13</v>
      </c>
      <c r="AJ6" s="14">
        <f>+AO6*LeagueRatings!$K$27</f>
        <v>21.111111111111111</v>
      </c>
      <c r="AK6" s="72">
        <f>F6*LeagueRatings!$K$27</f>
        <v>27.777777777777779</v>
      </c>
      <c r="AL6" s="72">
        <f>G6*LeagueRatings!$K$27</f>
        <v>0</v>
      </c>
      <c r="AM6" s="72">
        <f>T6*LeagueRatings!$K$27</f>
        <v>85.555555555555557</v>
      </c>
      <c r="AO6" s="14">
        <f>ROUNDUP(L6,0)</f>
        <v>38</v>
      </c>
      <c r="AP6" s="123"/>
      <c r="AQ6" s="123"/>
      <c r="AR6" s="123"/>
      <c r="AT6" s="71"/>
      <c r="AU6" s="71"/>
    </row>
    <row r="7" spans="1:47" s="24" customFormat="1" x14ac:dyDescent="0.2">
      <c r="A7" s="41" t="s">
        <v>333</v>
      </c>
      <c r="B7" s="202" t="s">
        <v>165</v>
      </c>
      <c r="C7" s="202">
        <v>0</v>
      </c>
      <c r="D7" s="202">
        <v>1</v>
      </c>
      <c r="E7" s="185">
        <v>5.17</v>
      </c>
      <c r="F7" s="202">
        <v>23</v>
      </c>
      <c r="G7" s="202">
        <v>0</v>
      </c>
      <c r="H7" s="202">
        <v>0</v>
      </c>
      <c r="I7" s="202">
        <v>0</v>
      </c>
      <c r="J7" s="202">
        <v>0</v>
      </c>
      <c r="K7" s="202">
        <v>0</v>
      </c>
      <c r="L7" s="185">
        <v>15.67</v>
      </c>
      <c r="M7" s="202">
        <v>13</v>
      </c>
      <c r="N7" s="202">
        <v>9</v>
      </c>
      <c r="O7" s="202">
        <v>9</v>
      </c>
      <c r="P7" s="202">
        <v>2</v>
      </c>
      <c r="Q7" s="202">
        <v>5</v>
      </c>
      <c r="R7" s="202">
        <v>0</v>
      </c>
      <c r="S7" s="202">
        <v>18</v>
      </c>
      <c r="T7" s="202">
        <v>66</v>
      </c>
      <c r="U7" s="76"/>
      <c r="V7" s="50">
        <f>+(Q7-R7)/(T7-R7)*100</f>
        <v>7.5757575757575761</v>
      </c>
      <c r="W7" s="6">
        <f>IF(V7&lt;LeagueRatings!$K$21,((LeagueRatings!$K$21-V7)/LeagueRatings!$K$21)*36,(LeagueRatings!$K$21-V7)*6.48)</f>
        <v>5.5379428091113274</v>
      </c>
      <c r="X7" s="16">
        <f>INDEX('C-P-RollAdj'!$B$4:$B$76,MATCH(INT(W7),'C-P-RollAdj'!$A$4:$A$76,FALSE),0)</f>
        <v>-0.4</v>
      </c>
      <c r="Y7" s="16">
        <f>(P7/(T7-R7))*100</f>
        <v>3.0303030303030303</v>
      </c>
      <c r="Z7" s="6">
        <f>IF(Y7&lt;LeagueRatings!$K$19,((LeagueRatings!$K$19-Y7)/LeagueRatings!$K$19)*36,(LeagueRatings!$K$19-Y7)/LeagueRatings!$K$22)</f>
        <v>-0.98820399113081903</v>
      </c>
      <c r="AA7" s="16">
        <f>INDEX('C-P-RollAdj'!$F$4:$F$76,MATCH(INT(Z7),'C-P-RollAdj'!$E$4:$E$76,FALSE),0)</f>
        <v>0.08</v>
      </c>
      <c r="AB7" s="17">
        <f>+((LeagueRatings!$I$17-E7)*5)+9.5</f>
        <v>4.464387243706363</v>
      </c>
      <c r="AC7" s="17">
        <f>IF(AB7&lt;4,4,AB7)</f>
        <v>4.464387243706363</v>
      </c>
      <c r="AD7" s="17">
        <f>IF(M7&lt;L7,((1-(M7/L7))*7)-0.07,(1-(M7/L7))*5)</f>
        <v>1.1227249521378433</v>
      </c>
      <c r="AE7" s="4">
        <f>+X7+AA7+AC7+AD7</f>
        <v>5.2671121958442058</v>
      </c>
      <c r="AG7" s="5" t="s">
        <v>24</v>
      </c>
      <c r="AH7" s="219">
        <f>INDEX('C-P-RollAdj'!$J$4:$J$76,MATCH(INT(W7),'C-P-RollAdj'!$I$4:$I$76,FALSE),0)</f>
        <v>15</v>
      </c>
      <c r="AI7" s="219">
        <f>INDEX('C-P-RollAdj'!$J$4:$J$76,MATCH(INT(Z7),'C-P-RollAdj'!$I$4:$I$76,FALSE),0)</f>
        <v>-11</v>
      </c>
      <c r="AJ7" s="14">
        <f>+AO7*LeagueRatings!$K$27</f>
        <v>8.8888888888888893</v>
      </c>
      <c r="AK7" s="72">
        <f>F7*LeagueRatings!$K$27</f>
        <v>12.777777777777779</v>
      </c>
      <c r="AL7" s="72">
        <f>G7*LeagueRatings!$K$27</f>
        <v>0</v>
      </c>
      <c r="AM7" s="72">
        <f>T7*LeagueRatings!$K$27</f>
        <v>36.666666666666671</v>
      </c>
      <c r="AO7" s="14">
        <f>ROUNDUP(L7,0)</f>
        <v>16</v>
      </c>
    </row>
    <row r="8" spans="1:47" s="122" customFormat="1" x14ac:dyDescent="0.2">
      <c r="A8" s="9"/>
      <c r="B8" s="129"/>
      <c r="C8" s="167"/>
      <c r="D8" s="129"/>
      <c r="E8" s="167"/>
      <c r="F8" s="129"/>
      <c r="G8" s="129"/>
      <c r="H8" s="129"/>
      <c r="I8" s="121"/>
      <c r="J8" s="121"/>
      <c r="K8" s="121"/>
      <c r="L8" s="157">
        <f>(L6/100)/((L6+L7)/100)</f>
        <v>0.70622422197225354</v>
      </c>
      <c r="M8" s="146"/>
      <c r="N8" s="146"/>
      <c r="O8" s="146"/>
      <c r="P8" s="146"/>
      <c r="Q8" s="146"/>
      <c r="R8" s="146"/>
      <c r="S8" s="146"/>
      <c r="T8" s="158"/>
      <c r="U8" s="158"/>
      <c r="V8" s="153"/>
      <c r="W8" s="152">
        <f>W6*L8</f>
        <v>10.478168683691271</v>
      </c>
      <c r="X8" s="153"/>
      <c r="Y8" s="153"/>
      <c r="Z8" s="152">
        <f>Z6*L8</f>
        <v>2.4166969540655461</v>
      </c>
      <c r="AA8" s="153"/>
      <c r="AB8" s="103"/>
      <c r="AC8" s="103"/>
      <c r="AD8" s="103"/>
      <c r="AE8" s="154">
        <f>AE6*L8</f>
        <v>8.0795850669369838</v>
      </c>
      <c r="AF8" s="168"/>
      <c r="AG8" s="5"/>
      <c r="AH8" s="5"/>
      <c r="AI8" s="5"/>
      <c r="AJ8" s="103"/>
      <c r="AK8" s="72"/>
      <c r="AL8" s="72"/>
      <c r="AM8" s="72"/>
      <c r="AN8" s="30"/>
      <c r="AO8" s="14"/>
      <c r="AP8" s="123"/>
      <c r="AQ8" s="123"/>
      <c r="AR8" s="123"/>
      <c r="AT8" s="71"/>
      <c r="AU8" s="71"/>
    </row>
    <row r="9" spans="1:47" s="122" customFormat="1" x14ac:dyDescent="0.2">
      <c r="A9" s="9"/>
      <c r="B9" s="129"/>
      <c r="C9" s="205"/>
      <c r="D9" s="196"/>
      <c r="E9" s="205"/>
      <c r="F9" s="196"/>
      <c r="G9" s="196"/>
      <c r="H9" s="196"/>
      <c r="I9" s="206"/>
      <c r="J9" s="206"/>
      <c r="K9" s="206"/>
      <c r="L9" s="157">
        <f>(L7/100)/((L6+L7)/100)</f>
        <v>0.29377577802774657</v>
      </c>
      <c r="M9" s="146"/>
      <c r="N9" s="146"/>
      <c r="O9" s="146"/>
      <c r="P9" s="146"/>
      <c r="Q9" s="146"/>
      <c r="R9" s="146"/>
      <c r="S9" s="146"/>
      <c r="T9" s="158"/>
      <c r="U9" s="158"/>
      <c r="V9" s="153"/>
      <c r="W9" s="152">
        <f>W7*L9</f>
        <v>1.6269134574198447</v>
      </c>
      <c r="X9" s="153"/>
      <c r="Y9" s="153"/>
      <c r="Z9" s="152">
        <f>Z7*L9</f>
        <v>-0.29031039634458072</v>
      </c>
      <c r="AA9" s="153"/>
      <c r="AB9" s="103"/>
      <c r="AC9" s="103"/>
      <c r="AD9" s="103"/>
      <c r="AE9" s="154">
        <f>AE7*L9</f>
        <v>1.5473499832935642</v>
      </c>
      <c r="AF9" s="168"/>
      <c r="AG9" s="5"/>
      <c r="AH9" s="5"/>
      <c r="AI9" s="5"/>
      <c r="AJ9" s="103"/>
      <c r="AK9" s="72"/>
      <c r="AL9" s="72"/>
      <c r="AM9" s="72"/>
      <c r="AN9" s="30"/>
      <c r="AO9" s="14"/>
      <c r="AP9" s="123"/>
      <c r="AQ9" s="123"/>
      <c r="AR9" s="123"/>
      <c r="AT9" s="71"/>
      <c r="AU9" s="71"/>
    </row>
    <row r="10" spans="1:47" s="122" customFormat="1" x14ac:dyDescent="0.2">
      <c r="A10" s="9"/>
      <c r="B10" s="129"/>
      <c r="C10" s="205"/>
      <c r="D10" s="196"/>
      <c r="E10" s="205"/>
      <c r="F10" s="196"/>
      <c r="G10" s="196"/>
      <c r="H10" s="196"/>
      <c r="I10" s="206"/>
      <c r="J10" s="206"/>
      <c r="K10" s="206"/>
      <c r="L10" s="157"/>
      <c r="M10" s="146"/>
      <c r="N10" s="146"/>
      <c r="O10" s="146"/>
      <c r="P10" s="146"/>
      <c r="Q10" s="146"/>
      <c r="R10" s="146"/>
      <c r="S10" s="146"/>
      <c r="T10" s="158"/>
      <c r="U10" s="158"/>
      <c r="V10" s="153"/>
      <c r="W10" s="152">
        <f>SUM(W8:W9)</f>
        <v>12.105082141111115</v>
      </c>
      <c r="X10" s="153"/>
      <c r="Y10" s="153"/>
      <c r="Z10" s="152">
        <f>SUM(Z8:Z9)</f>
        <v>2.1263865577209655</v>
      </c>
      <c r="AA10" s="153"/>
      <c r="AB10" s="103"/>
      <c r="AC10" s="103"/>
      <c r="AD10" s="103"/>
      <c r="AE10" s="153">
        <f>SUM(AE8:AE9)</f>
        <v>9.6269350502305482</v>
      </c>
      <c r="AF10" s="41" t="s">
        <v>333</v>
      </c>
      <c r="AG10" s="5" t="s">
        <v>34</v>
      </c>
      <c r="AH10" s="219">
        <f>INDEX('C-P-RollAdj'!$J$4:$J$76,MATCH(INT(W10),'C-P-RollAdj'!$I$4:$I$76,FALSE),0)</f>
        <v>26</v>
      </c>
      <c r="AI10" s="219">
        <f>INDEX('C-P-RollAdj'!$J$4:$J$76,MATCH(INT(Z10),'C-P-RollAdj'!$I$4:$I$76,FALSE),0)</f>
        <v>12</v>
      </c>
      <c r="AJ10" s="174">
        <f>SUM(AJ6:AJ9)</f>
        <v>30</v>
      </c>
      <c r="AK10" s="14">
        <f>SUM(AK6:AK9)</f>
        <v>40.555555555555557</v>
      </c>
      <c r="AL10" s="14">
        <f>SUM(AL6:AL9)</f>
        <v>0</v>
      </c>
      <c r="AM10" s="14">
        <f>SUM(AM6:AM9)</f>
        <v>122.22222222222223</v>
      </c>
      <c r="AN10" s="30"/>
      <c r="AO10" s="14"/>
      <c r="AP10" s="123"/>
      <c r="AQ10" s="123"/>
      <c r="AR10" s="123"/>
      <c r="AT10" s="71"/>
      <c r="AU10" s="71"/>
    </row>
    <row r="11" spans="1:47" s="122" customFormat="1" x14ac:dyDescent="0.2">
      <c r="A11" s="9"/>
      <c r="B11" s="129"/>
      <c r="C11" s="205"/>
      <c r="D11" s="196"/>
      <c r="E11" s="205"/>
      <c r="F11" s="196"/>
      <c r="G11" s="196"/>
      <c r="H11" s="196"/>
      <c r="I11" s="206"/>
      <c r="J11" s="206"/>
      <c r="K11" s="206"/>
      <c r="L11" s="167"/>
      <c r="M11" s="129"/>
      <c r="N11" s="129"/>
      <c r="O11" s="129"/>
      <c r="P11" s="129"/>
      <c r="Q11" s="129"/>
      <c r="R11" s="129"/>
      <c r="S11" s="129"/>
      <c r="T11" s="129"/>
      <c r="U11" s="70"/>
      <c r="V11" s="115"/>
      <c r="W11" s="116"/>
      <c r="X11" s="117"/>
      <c r="Y11" s="118"/>
      <c r="Z11" s="116"/>
      <c r="AA11" s="117"/>
      <c r="AB11" s="119"/>
      <c r="AC11" s="119"/>
      <c r="AD11" s="119"/>
      <c r="AE11" s="120"/>
      <c r="AF11" s="169"/>
      <c r="AG11" s="7"/>
      <c r="AH11" s="7"/>
      <c r="AI11" s="7"/>
      <c r="AJ11" s="167"/>
      <c r="AK11" s="121"/>
      <c r="AL11" s="121"/>
      <c r="AM11" s="121"/>
      <c r="AO11" s="112"/>
      <c r="AP11" s="123"/>
      <c r="AQ11" s="123"/>
      <c r="AR11" s="123"/>
      <c r="AT11" s="71"/>
      <c r="AU11" s="71"/>
    </row>
    <row r="12" spans="1:47" s="122" customFormat="1" x14ac:dyDescent="0.2">
      <c r="A12" s="204" t="s">
        <v>1247</v>
      </c>
      <c r="B12" s="196" t="s">
        <v>150</v>
      </c>
      <c r="C12" s="202">
        <v>2</v>
      </c>
      <c r="D12" s="202">
        <v>2</v>
      </c>
      <c r="E12" s="185">
        <v>3.89</v>
      </c>
      <c r="F12" s="202">
        <v>15</v>
      </c>
      <c r="G12" s="202">
        <v>4</v>
      </c>
      <c r="H12" s="202">
        <v>0</v>
      </c>
      <c r="I12" s="202">
        <v>0</v>
      </c>
      <c r="J12" s="202">
        <v>2</v>
      </c>
      <c r="K12" s="202">
        <v>2</v>
      </c>
      <c r="L12" s="185">
        <v>41.67</v>
      </c>
      <c r="M12" s="202">
        <v>43</v>
      </c>
      <c r="N12" s="202">
        <v>19</v>
      </c>
      <c r="O12" s="202">
        <v>18</v>
      </c>
      <c r="P12" s="202">
        <v>6</v>
      </c>
      <c r="Q12" s="202">
        <v>7</v>
      </c>
      <c r="R12" s="202">
        <v>1</v>
      </c>
      <c r="S12" s="202">
        <v>40</v>
      </c>
      <c r="T12" s="202">
        <v>172</v>
      </c>
      <c r="U12" s="196"/>
      <c r="V12" s="50">
        <f>+(Q12-R12)/(T12-R12)*100</f>
        <v>3.5087719298245612</v>
      </c>
      <c r="W12" s="6">
        <f>IF(V12&lt;LeagueRatings!$K$10,((LeagueRatings!$K$10-V12)/LeagueRatings!$K$10)*36,(LeagueRatings!$K$10-V12)*6.48)</f>
        <v>21.426601240339004</v>
      </c>
      <c r="X12" s="16">
        <f>INDEX('C-P-RollAdj'!$B$4:$B$76,MATCH(INT(W12),'C-P-RollAdj'!$A$4:$A$76,FALSE),0)</f>
        <v>-1.8900000000000001</v>
      </c>
      <c r="Y12" s="16">
        <f>(P12/(T12-R12))*100</f>
        <v>3.5087719298245612</v>
      </c>
      <c r="Z12" s="6">
        <f>IF(Y12&lt;LeagueRatings!$K$8,((LeagueRatings!$K$8-Y12)/LeagueRatings!$K$8)*36,(LeagueRatings!$K$8-Y12)/LeagueRatings!$K$11)</f>
        <v>-2.4341788510756883</v>
      </c>
      <c r="AA12" s="16">
        <f>INDEX('C-P-RollAdj'!$F$4:$F$76,MATCH(INT(Z12),'C-P-RollAdj'!$E$4:$E$76,FALSE),0)</f>
        <v>0.24</v>
      </c>
      <c r="AB12" s="17">
        <f>+((LeagueRatings!$I$17-E12)*5)+9.5</f>
        <v>10.864387243706362</v>
      </c>
      <c r="AC12" s="17">
        <f>IF(AB12&lt;4,4,AB12)</f>
        <v>10.864387243706362</v>
      </c>
      <c r="AD12" s="17">
        <f>IF(M12&lt;L12,((1-(M12/L12))*7)-0.07,(1-(M12/L12))*5)</f>
        <v>-0.15958723302135769</v>
      </c>
      <c r="AE12" s="4">
        <f>+X12+AA12+AC12+AD12</f>
        <v>9.0548000106850051</v>
      </c>
      <c r="AF12" s="213"/>
      <c r="AG12" s="7" t="s">
        <v>55</v>
      </c>
      <c r="AH12" s="219">
        <f>INDEX('C-P-RollAdj'!$J$4:$J$76,MATCH(INT(W12),'C-P-RollAdj'!$I$4:$I$76,FALSE),0)</f>
        <v>43</v>
      </c>
      <c r="AI12" s="219">
        <f>INDEX('C-P-RollAdj'!$J$4:$J$76,MATCH(INT(Z12),'C-P-RollAdj'!$I$4:$I$76,FALSE),0)</f>
        <v>-13</v>
      </c>
      <c r="AJ12" s="14">
        <f>+AO12*LeagueRatings!$K$27</f>
        <v>23.333333333333336</v>
      </c>
      <c r="AK12" s="72">
        <f>F12*LeagueRatings!$K$27</f>
        <v>8.3333333333333339</v>
      </c>
      <c r="AL12" s="72">
        <f>G12*LeagueRatings!$K$27</f>
        <v>2.2222222222222223</v>
      </c>
      <c r="AM12" s="72">
        <f>T12*LeagueRatings!$K$27</f>
        <v>95.555555555555557</v>
      </c>
      <c r="AN12" s="24"/>
      <c r="AO12" s="14">
        <f>ROUNDUP(L12,0)</f>
        <v>42</v>
      </c>
      <c r="AP12" s="123"/>
      <c r="AQ12" s="123"/>
      <c r="AR12" s="123"/>
      <c r="AT12" s="71"/>
      <c r="AU12" s="71"/>
    </row>
    <row r="13" spans="1:47" s="24" customFormat="1" x14ac:dyDescent="0.2">
      <c r="A13" s="41" t="s">
        <v>1151</v>
      </c>
      <c r="B13" s="202" t="s">
        <v>169</v>
      </c>
      <c r="C13" s="202">
        <v>5</v>
      </c>
      <c r="D13" s="202">
        <v>0</v>
      </c>
      <c r="E13" s="185">
        <v>1.57</v>
      </c>
      <c r="F13" s="202">
        <v>21</v>
      </c>
      <c r="G13" s="202">
        <v>0</v>
      </c>
      <c r="H13" s="202">
        <v>0</v>
      </c>
      <c r="I13" s="202">
        <v>0</v>
      </c>
      <c r="J13" s="202">
        <v>0</v>
      </c>
      <c r="K13" s="202">
        <v>0</v>
      </c>
      <c r="L13" s="185">
        <v>34.33</v>
      </c>
      <c r="M13" s="202">
        <v>26</v>
      </c>
      <c r="N13" s="202">
        <v>7</v>
      </c>
      <c r="O13" s="202">
        <v>6</v>
      </c>
      <c r="P13" s="202">
        <v>1</v>
      </c>
      <c r="Q13" s="202">
        <v>9</v>
      </c>
      <c r="R13" s="202">
        <v>4</v>
      </c>
      <c r="S13" s="202">
        <v>39</v>
      </c>
      <c r="T13" s="202">
        <v>137</v>
      </c>
      <c r="U13" s="76"/>
      <c r="V13" s="50">
        <f>+(Q13-R13)/(T13-R13)*100</f>
        <v>3.7593984962406015</v>
      </c>
      <c r="W13" s="6">
        <f>IF(V13&lt;LeagueRatings!$K$21,((LeagueRatings!$K$21-V13)/LeagueRatings!$K$21)*36,(LeagueRatings!$K$21-V13)*6.48)</f>
        <v>20.883490416551489</v>
      </c>
      <c r="X13" s="16">
        <f>INDEX('C-P-RollAdj'!$B$4:$B$76,MATCH(INT(W13),'C-P-RollAdj'!$A$4:$A$76,FALSE),0)</f>
        <v>-1.79</v>
      </c>
      <c r="Y13" s="16">
        <f>(P13/(T13-R13))*100</f>
        <v>0.75187969924812026</v>
      </c>
      <c r="Z13" s="6">
        <f>IF(Y13&lt;LeagueRatings!$K$19,((LeagueRatings!$K$19-Y13)/LeagueRatings!$K$19)*36,(LeagueRatings!$K$19-Y13)/LeagueRatings!$K$22)</f>
        <v>26.691999055935803</v>
      </c>
      <c r="AA13" s="16">
        <f>INDEX('C-P-RollAdj'!$F$4:$F$76,MATCH(INT(Z13),'C-P-RollAdj'!$E$4:$E$76,FALSE),0)</f>
        <v>-2.1799999999999997</v>
      </c>
      <c r="AB13" s="17">
        <f>+((LeagueRatings!$I$17-E13)*5)+9.5</f>
        <v>22.464387243706362</v>
      </c>
      <c r="AC13" s="17">
        <f>IF(AB13&lt;4,4,AB13)</f>
        <v>22.464387243706362</v>
      </c>
      <c r="AD13" s="17">
        <f>IF(M13&lt;L13,((1-(M13/L13))*7)-0.07,(1-(M13/L13))*5)</f>
        <v>1.6285144188756184</v>
      </c>
      <c r="AE13" s="4">
        <f>+X13+AA13+AC13+AD13</f>
        <v>20.122901662581981</v>
      </c>
      <c r="AF13" s="41"/>
      <c r="AG13" s="58">
        <v>19</v>
      </c>
      <c r="AH13" s="219">
        <f>INDEX('C-P-RollAdj'!$J$4:$J$76,MATCH(INT(W13),'C-P-RollAdj'!$I$4:$I$76,FALSE),0)</f>
        <v>42</v>
      </c>
      <c r="AI13" s="219">
        <f>INDEX('C-P-RollAdj'!$J$4:$J$76,MATCH(INT(Z13),'C-P-RollAdj'!$I$4:$I$76,FALSE),0)</f>
        <v>52</v>
      </c>
      <c r="AJ13" s="14">
        <f>+AO13*LeagueRatings!$K$27</f>
        <v>19.444444444444446</v>
      </c>
      <c r="AK13" s="72">
        <f>F13*LeagueRatings!$K$27</f>
        <v>11.666666666666668</v>
      </c>
      <c r="AL13" s="72">
        <f>G13*LeagueRatings!$K$27</f>
        <v>0</v>
      </c>
      <c r="AM13" s="72">
        <f>T13*LeagueRatings!$K$27</f>
        <v>76.111111111111114</v>
      </c>
      <c r="AO13" s="14">
        <f>ROUNDUP(L13,0)</f>
        <v>35</v>
      </c>
    </row>
    <row r="14" spans="1:47" s="122" customFormat="1" x14ac:dyDescent="0.2">
      <c r="A14" s="9"/>
      <c r="B14" s="129"/>
      <c r="C14" s="205"/>
      <c r="D14" s="196"/>
      <c r="E14" s="205"/>
      <c r="F14" s="196"/>
      <c r="G14" s="196"/>
      <c r="H14" s="196"/>
      <c r="I14" s="206"/>
      <c r="J14" s="206"/>
      <c r="K14" s="206"/>
      <c r="L14" s="157">
        <f>(L12/100)/((L12+L13)/100)</f>
        <v>0.54828947368421055</v>
      </c>
      <c r="M14" s="146"/>
      <c r="N14" s="146"/>
      <c r="O14" s="146"/>
      <c r="P14" s="146"/>
      <c r="Q14" s="146"/>
      <c r="R14" s="146"/>
      <c r="S14" s="146"/>
      <c r="T14" s="158"/>
      <c r="U14" s="158"/>
      <c r="V14" s="153"/>
      <c r="W14" s="152">
        <f>W12*L14</f>
        <v>11.747979916906925</v>
      </c>
      <c r="X14" s="153"/>
      <c r="Y14" s="153"/>
      <c r="Z14" s="152">
        <f>Z12*L14</f>
        <v>-1.3346346411095256</v>
      </c>
      <c r="AA14" s="153"/>
      <c r="AB14" s="103"/>
      <c r="AC14" s="103"/>
      <c r="AD14" s="103"/>
      <c r="AE14" s="154">
        <f>AE12*L14</f>
        <v>4.9646515321742655</v>
      </c>
      <c r="AF14" s="168"/>
      <c r="AG14" s="5"/>
      <c r="AH14" s="5"/>
      <c r="AI14" s="5"/>
      <c r="AJ14" s="103"/>
      <c r="AK14" s="72"/>
      <c r="AL14" s="72"/>
      <c r="AM14" s="72"/>
      <c r="AN14" s="30"/>
      <c r="AO14" s="14"/>
      <c r="AP14" s="123"/>
      <c r="AQ14" s="123"/>
      <c r="AR14" s="123"/>
      <c r="AT14" s="71"/>
      <c r="AU14" s="71"/>
    </row>
    <row r="15" spans="1:47" s="122" customFormat="1" x14ac:dyDescent="0.2">
      <c r="A15" s="9"/>
      <c r="B15" s="129"/>
      <c r="C15" s="205"/>
      <c r="D15" s="196"/>
      <c r="E15" s="205"/>
      <c r="F15" s="196"/>
      <c r="G15" s="196"/>
      <c r="H15" s="196"/>
      <c r="I15" s="206"/>
      <c r="J15" s="206"/>
      <c r="K15" s="206"/>
      <c r="L15" s="157">
        <f>(L13/100)/((L12+L13)/100)</f>
        <v>0.45171052631578945</v>
      </c>
      <c r="M15" s="146"/>
      <c r="N15" s="146"/>
      <c r="O15" s="146"/>
      <c r="P15" s="146"/>
      <c r="Q15" s="146"/>
      <c r="R15" s="146"/>
      <c r="S15" s="146"/>
      <c r="T15" s="158"/>
      <c r="U15" s="158"/>
      <c r="V15" s="153"/>
      <c r="W15" s="152">
        <f>W13*L15</f>
        <v>9.4332924473712172</v>
      </c>
      <c r="X15" s="153"/>
      <c r="Y15" s="153"/>
      <c r="Z15" s="152">
        <f>Z13*L15</f>
        <v>12.057056941977317</v>
      </c>
      <c r="AA15" s="153"/>
      <c r="AB15" s="103"/>
      <c r="AC15" s="103"/>
      <c r="AD15" s="103"/>
      <c r="AE15" s="154">
        <f>AE13*L15</f>
        <v>9.0897265010057815</v>
      </c>
      <c r="AF15" s="168"/>
      <c r="AG15" s="5"/>
      <c r="AH15" s="5"/>
      <c r="AI15" s="5"/>
      <c r="AJ15" s="103"/>
      <c r="AK15" s="72"/>
      <c r="AL15" s="72"/>
      <c r="AM15" s="72"/>
      <c r="AN15" s="30"/>
      <c r="AO15" s="14"/>
      <c r="AP15" s="123"/>
      <c r="AQ15" s="123"/>
      <c r="AR15" s="123"/>
      <c r="AT15" s="71"/>
      <c r="AU15" s="71"/>
    </row>
    <row r="16" spans="1:47" s="122" customFormat="1" x14ac:dyDescent="0.2">
      <c r="A16" s="9"/>
      <c r="B16" s="129"/>
      <c r="C16" s="205"/>
      <c r="D16" s="196"/>
      <c r="E16" s="205"/>
      <c r="F16" s="196"/>
      <c r="G16" s="196"/>
      <c r="H16" s="196"/>
      <c r="I16" s="206"/>
      <c r="J16" s="206"/>
      <c r="K16" s="206"/>
      <c r="L16" s="157"/>
      <c r="M16" s="146"/>
      <c r="N16" s="146"/>
      <c r="O16" s="146"/>
      <c r="P16" s="146"/>
      <c r="Q16" s="146"/>
      <c r="R16" s="146"/>
      <c r="S16" s="146"/>
      <c r="T16" s="158"/>
      <c r="U16" s="158"/>
      <c r="V16" s="153"/>
      <c r="W16" s="152">
        <f>SUM(W14:W15)</f>
        <v>21.181272364278144</v>
      </c>
      <c r="X16" s="153"/>
      <c r="Y16" s="153"/>
      <c r="Z16" s="152">
        <f>SUM(Z14:Z15)</f>
        <v>10.722422300867791</v>
      </c>
      <c r="AA16" s="153"/>
      <c r="AB16" s="103"/>
      <c r="AC16" s="103"/>
      <c r="AD16" s="103"/>
      <c r="AE16" s="153">
        <f>SUM(AE14:AE15)</f>
        <v>14.054378033180047</v>
      </c>
      <c r="AF16" s="41" t="s">
        <v>1151</v>
      </c>
      <c r="AG16" s="5" t="s">
        <v>16</v>
      </c>
      <c r="AH16" s="219">
        <f>INDEX('C-P-RollAdj'!$J$4:$J$76,MATCH(INT(W16),'C-P-RollAdj'!$I$4:$I$76,FALSE),0)</f>
        <v>43</v>
      </c>
      <c r="AI16" s="219">
        <f>INDEX('C-P-RollAdj'!$J$4:$J$76,MATCH(INT(Z16),'C-P-RollAdj'!$I$4:$I$76,FALSE),0)</f>
        <v>24</v>
      </c>
      <c r="AJ16" s="174">
        <f>SUM(AJ12:AJ15)</f>
        <v>42.777777777777786</v>
      </c>
      <c r="AK16" s="14">
        <f>SUM(AK12:AK15)</f>
        <v>20</v>
      </c>
      <c r="AL16" s="14">
        <f>SUM(AL12:AL15)</f>
        <v>2.2222222222222223</v>
      </c>
      <c r="AM16" s="14">
        <f>SUM(AM12:AM15)</f>
        <v>171.66666666666669</v>
      </c>
      <c r="AN16" s="30"/>
      <c r="AO16" s="14"/>
      <c r="AP16" s="123"/>
      <c r="AQ16" s="123"/>
      <c r="AR16" s="123"/>
      <c r="AT16" s="71"/>
      <c r="AU16" s="71"/>
    </row>
    <row r="17" spans="1:47" s="122" customFormat="1" x14ac:dyDescent="0.2">
      <c r="A17" s="146"/>
      <c r="B17" s="155"/>
      <c r="C17" s="205"/>
      <c r="D17" s="196"/>
      <c r="E17" s="205"/>
      <c r="F17" s="196"/>
      <c r="G17" s="196"/>
      <c r="H17" s="196"/>
      <c r="I17" s="206"/>
      <c r="J17" s="206"/>
      <c r="K17" s="206"/>
      <c r="L17" s="205"/>
      <c r="M17" s="196"/>
      <c r="N17" s="196"/>
      <c r="O17" s="196"/>
      <c r="P17" s="196"/>
      <c r="Q17" s="196"/>
      <c r="R17" s="196"/>
      <c r="S17" s="196"/>
      <c r="T17" s="196"/>
      <c r="U17" s="196"/>
      <c r="V17" s="207"/>
      <c r="W17" s="208"/>
      <c r="X17" s="209"/>
      <c r="Y17" s="210"/>
      <c r="Z17" s="208"/>
      <c r="AA17" s="209"/>
      <c r="AB17" s="211"/>
      <c r="AC17" s="211"/>
      <c r="AD17" s="211"/>
      <c r="AE17" s="212"/>
      <c r="AF17" s="213"/>
      <c r="AG17" s="214"/>
      <c r="AH17" s="214"/>
      <c r="AI17" s="214"/>
      <c r="AJ17" s="167"/>
      <c r="AK17" s="121"/>
      <c r="AL17" s="121"/>
      <c r="AM17" s="121"/>
      <c r="AO17" s="112"/>
      <c r="AP17" s="123"/>
      <c r="AQ17" s="123"/>
      <c r="AR17" s="123"/>
      <c r="AT17" s="71"/>
      <c r="AU17" s="71"/>
    </row>
    <row r="18" spans="1:47" s="122" customFormat="1" x14ac:dyDescent="0.2">
      <c r="A18" s="155" t="s">
        <v>1264</v>
      </c>
      <c r="B18" s="155" t="s">
        <v>156</v>
      </c>
      <c r="C18" s="202">
        <v>0</v>
      </c>
      <c r="D18" s="202">
        <v>2</v>
      </c>
      <c r="E18" s="185">
        <v>14.85</v>
      </c>
      <c r="F18" s="202">
        <v>2</v>
      </c>
      <c r="G18" s="202">
        <v>2</v>
      </c>
      <c r="H18" s="202">
        <v>0</v>
      </c>
      <c r="I18" s="202">
        <v>0</v>
      </c>
      <c r="J18" s="202">
        <v>0</v>
      </c>
      <c r="K18" s="202">
        <v>0</v>
      </c>
      <c r="L18" s="185">
        <v>6.67</v>
      </c>
      <c r="M18" s="202">
        <v>15</v>
      </c>
      <c r="N18" s="202">
        <v>11</v>
      </c>
      <c r="O18" s="202">
        <v>11</v>
      </c>
      <c r="P18" s="202">
        <v>5</v>
      </c>
      <c r="Q18" s="202">
        <v>1</v>
      </c>
      <c r="R18" s="202">
        <v>0</v>
      </c>
      <c r="S18" s="202">
        <v>7</v>
      </c>
      <c r="T18" s="202">
        <v>36</v>
      </c>
      <c r="U18" s="196"/>
      <c r="V18" s="50">
        <f>+(Q18-R18)/(T18-R18)*100</f>
        <v>2.7777777777777777</v>
      </c>
      <c r="W18" s="6">
        <f>IF(V18&lt;LeagueRatings!$K$10,((LeagueRatings!$K$10-V18)/LeagueRatings!$K$10)*36,(LeagueRatings!$K$10-V18)*6.48)</f>
        <v>24.462725981935044</v>
      </c>
      <c r="X18" s="16">
        <f>INDEX('C-P-RollAdj'!$B$4:$B$76,MATCH(INT(W18),'C-P-RollAdj'!$A$4:$A$76,FALSE),0)</f>
        <v>-2.2199999999999998</v>
      </c>
      <c r="Y18" s="16">
        <f>(P18/(T18-R18))*100</f>
        <v>13.888888888888889</v>
      </c>
      <c r="Z18" s="6">
        <f>IF(Y18&lt;LeagueRatings!$K$8,((LeagueRatings!$K$8-Y18)/LeagueRatings!$K$8)*36,(LeagueRatings!$K$8-Y18)/LeagueRatings!$K$11)</f>
        <v>-84.857005296100141</v>
      </c>
      <c r="AA18" s="16">
        <v>4.8600000000000003</v>
      </c>
      <c r="AB18" s="17">
        <f>+((LeagueRatings!$I$6-E18)*5)+9.5</f>
        <v>-43.741948544722597</v>
      </c>
      <c r="AC18" s="17">
        <f>IF(AB18&lt;4,4,AB18)</f>
        <v>4</v>
      </c>
      <c r="AD18" s="17">
        <f>IF(M18&lt;L18,((1-(M18/L18))*7)-0.07,(1-(M18/L18))*5)</f>
        <v>-6.2443778110944521</v>
      </c>
      <c r="AE18" s="4">
        <f>+X18+AA18+AC18+AD18</f>
        <v>0.39562218890554846</v>
      </c>
      <c r="AF18" s="213"/>
      <c r="AG18" s="7" t="s">
        <v>26</v>
      </c>
      <c r="AH18" s="219">
        <f>INDEX('C-P-RollAdj'!$J$4:$J$76,MATCH(INT(W18),'C-P-RollAdj'!$I$4:$I$76,FALSE),0)</f>
        <v>46</v>
      </c>
      <c r="AI18" s="219">
        <v>-66</v>
      </c>
      <c r="AJ18" s="14">
        <f>+AO18*LeagueRatings!$K$27</f>
        <v>3.8888888888888893</v>
      </c>
      <c r="AK18" s="72">
        <f>F18*LeagueRatings!$K$27</f>
        <v>1.1111111111111112</v>
      </c>
      <c r="AL18" s="72">
        <f>G18*LeagueRatings!$K$27</f>
        <v>1.1111111111111112</v>
      </c>
      <c r="AM18" s="72">
        <f>T18*LeagueRatings!$K$27</f>
        <v>20</v>
      </c>
      <c r="AN18" s="26"/>
      <c r="AO18" s="72">
        <f>ROUNDUP(L18,0)</f>
        <v>7</v>
      </c>
      <c r="AP18" s="123"/>
      <c r="AQ18" s="123"/>
      <c r="AR18" s="123"/>
      <c r="AT18" s="71"/>
      <c r="AU18" s="71"/>
    </row>
    <row r="19" spans="1:47" s="26" customFormat="1" x14ac:dyDescent="0.2">
      <c r="A19" s="41" t="s">
        <v>1182</v>
      </c>
      <c r="B19" s="202" t="s">
        <v>149</v>
      </c>
      <c r="C19" s="202">
        <v>1</v>
      </c>
      <c r="D19" s="202">
        <v>4</v>
      </c>
      <c r="E19" s="185">
        <v>6.57</v>
      </c>
      <c r="F19" s="202">
        <v>11</v>
      </c>
      <c r="G19" s="202">
        <v>10</v>
      </c>
      <c r="H19" s="202">
        <v>0</v>
      </c>
      <c r="I19" s="202">
        <v>0</v>
      </c>
      <c r="J19" s="202">
        <v>0</v>
      </c>
      <c r="K19" s="202">
        <v>0</v>
      </c>
      <c r="L19" s="185">
        <v>50.67</v>
      </c>
      <c r="M19" s="202">
        <v>56</v>
      </c>
      <c r="N19" s="202">
        <v>39</v>
      </c>
      <c r="O19" s="202">
        <v>37</v>
      </c>
      <c r="P19" s="202">
        <v>12</v>
      </c>
      <c r="Q19" s="202">
        <v>19</v>
      </c>
      <c r="R19" s="202">
        <v>0</v>
      </c>
      <c r="S19" s="202">
        <v>36</v>
      </c>
      <c r="T19" s="202">
        <v>216</v>
      </c>
      <c r="U19" s="76"/>
      <c r="V19" s="50">
        <f>+(Q19-R19)/(T19-R19)*100</f>
        <v>8.7962962962962958</v>
      </c>
      <c r="W19" s="6">
        <f>IF(V19&lt;LeagueRatings!$K$10,((LeagueRatings!$K$10-V19)/LeagueRatings!$K$10)*36,(LeagueRatings!$K$10-V19)*6.48)</f>
        <v>-0.83421950580633653</v>
      </c>
      <c r="X19" s="16">
        <f>INDEX('C-P-RollAdj'!$B$4:$B$76,MATCH(INT(W19),'C-P-RollAdj'!$A$4:$A$76,FALSE),0)</f>
        <v>0.09</v>
      </c>
      <c r="Y19" s="16">
        <f>(P19/(T19-R19))*100</f>
        <v>5.5555555555555554</v>
      </c>
      <c r="Z19" s="6">
        <f>IF(Y19&lt;LeagueRatings!$K$8,((LeagueRatings!$K$8-Y19)/LeagueRatings!$K$8)*36,(LeagueRatings!$K$8-Y19)/LeagueRatings!$K$11)</f>
        <v>-18.686567164179102</v>
      </c>
      <c r="AA19" s="16">
        <f>INDEX('C-P-RollAdj'!$F$4:$F$76,MATCH(INT(Z19),'C-P-RollAdj'!$E$4:$E$76,FALSE),0)</f>
        <v>2.0299999999999998</v>
      </c>
      <c r="AB19" s="17">
        <f>+((LeagueRatings!$I$6-E19)*5)+9.5</f>
        <v>-2.3419485447225981</v>
      </c>
      <c r="AC19" s="17">
        <f>IF(AB19&lt;4,4,AB19)</f>
        <v>4</v>
      </c>
      <c r="AD19" s="17">
        <f>IF(M19&lt;L19,((1-(M19/L19))*7)-0.07,(1-(M19/L19))*5)</f>
        <v>-0.52595223998421092</v>
      </c>
      <c r="AE19" s="4">
        <f>+X19+AA19+AC19+AD19</f>
        <v>5.5940477600157887</v>
      </c>
      <c r="AG19" s="7" t="s">
        <v>66</v>
      </c>
      <c r="AH19" s="219">
        <f>INDEX('C-P-RollAdj'!$J$4:$J$76,MATCH(INT(W19),'C-P-RollAdj'!$I$4:$I$76,FALSE),0)</f>
        <v>-11</v>
      </c>
      <c r="AI19" s="219">
        <f>INDEX('C-P-RollAdj'!$J$4:$J$76,MATCH(INT(Z19),'C-P-RollAdj'!$I$4:$I$76,FALSE),0)</f>
        <v>-41</v>
      </c>
      <c r="AJ19" s="14">
        <f>+AO19*LeagueRatings!$K$27</f>
        <v>28.333333333333336</v>
      </c>
      <c r="AK19" s="72">
        <f>F19*LeagueRatings!$K$27</f>
        <v>6.1111111111111116</v>
      </c>
      <c r="AL19" s="72">
        <f>G19*LeagueRatings!$K$27</f>
        <v>5.5555555555555554</v>
      </c>
      <c r="AM19" s="72">
        <f>T19*LeagueRatings!$K$27</f>
        <v>120</v>
      </c>
      <c r="AO19" s="72">
        <f>ROUNDUP(L19,0)</f>
        <v>51</v>
      </c>
      <c r="AP19" s="113"/>
      <c r="AQ19" s="113"/>
      <c r="AR19" s="113"/>
      <c r="AT19" s="97">
        <v>67</v>
      </c>
    </row>
    <row r="20" spans="1:47" s="122" customFormat="1" x14ac:dyDescent="0.2">
      <c r="A20" s="9"/>
      <c r="B20" s="129"/>
      <c r="C20" s="205"/>
      <c r="D20" s="196"/>
      <c r="E20" s="205"/>
      <c r="F20" s="196"/>
      <c r="G20" s="196"/>
      <c r="H20" s="196"/>
      <c r="I20" s="206"/>
      <c r="J20" s="206"/>
      <c r="K20" s="206"/>
      <c r="L20" s="157">
        <f>(L18/100)/((L18+L19)/100)</f>
        <v>0.11632368329264038</v>
      </c>
      <c r="M20" s="146"/>
      <c r="N20" s="146"/>
      <c r="O20" s="146"/>
      <c r="P20" s="146"/>
      <c r="Q20" s="146"/>
      <c r="R20" s="146"/>
      <c r="S20" s="146"/>
      <c r="T20" s="158"/>
      <c r="U20" s="158"/>
      <c r="V20" s="153"/>
      <c r="W20" s="152">
        <f>W18*L20</f>
        <v>2.8455943895972573</v>
      </c>
      <c r="X20" s="153"/>
      <c r="Y20" s="153"/>
      <c r="Z20" s="152">
        <f>Z18*L20</f>
        <v>-9.870879409225461</v>
      </c>
      <c r="AA20" s="153"/>
      <c r="AB20" s="103"/>
      <c r="AC20" s="103"/>
      <c r="AD20" s="103"/>
      <c r="AE20" s="154">
        <f>AE18*L20</f>
        <v>4.6020230205790165E-2</v>
      </c>
      <c r="AF20" s="168"/>
      <c r="AG20" s="5"/>
      <c r="AH20" s="5"/>
      <c r="AI20" s="5"/>
      <c r="AJ20" s="103"/>
      <c r="AK20" s="72"/>
      <c r="AL20" s="72"/>
      <c r="AM20" s="72"/>
      <c r="AN20" s="30"/>
      <c r="AO20" s="14"/>
      <c r="AP20" s="123"/>
      <c r="AQ20" s="123"/>
      <c r="AR20" s="123"/>
      <c r="AT20" s="71"/>
      <c r="AU20" s="71"/>
    </row>
    <row r="21" spans="1:47" s="122" customFormat="1" x14ac:dyDescent="0.2">
      <c r="A21" s="9"/>
      <c r="B21" s="129"/>
      <c r="C21" s="205"/>
      <c r="D21" s="196"/>
      <c r="E21" s="205"/>
      <c r="F21" s="196"/>
      <c r="G21" s="196"/>
      <c r="H21" s="196"/>
      <c r="I21" s="206"/>
      <c r="J21" s="206"/>
      <c r="K21" s="206"/>
      <c r="L21" s="157">
        <f>(L19/100)/((L18+L19)/100)</f>
        <v>0.88367631670735969</v>
      </c>
      <c r="M21" s="146"/>
      <c r="N21" s="146"/>
      <c r="O21" s="146"/>
      <c r="P21" s="146"/>
      <c r="Q21" s="146"/>
      <c r="R21" s="146"/>
      <c r="S21" s="146"/>
      <c r="T21" s="158"/>
      <c r="U21" s="158"/>
      <c r="V21" s="153"/>
      <c r="W21" s="152">
        <f>W19*L21</f>
        <v>-0.7371800202163773</v>
      </c>
      <c r="X21" s="153"/>
      <c r="Y21" s="153"/>
      <c r="Z21" s="152">
        <f>Z19*L21</f>
        <v>-16.512876843546479</v>
      </c>
      <c r="AA21" s="153"/>
      <c r="AB21" s="103"/>
      <c r="AC21" s="103"/>
      <c r="AD21" s="103"/>
      <c r="AE21" s="154">
        <f>AE19*L21</f>
        <v>4.9433275200558082</v>
      </c>
      <c r="AF21" s="168"/>
      <c r="AG21" s="5"/>
      <c r="AH21" s="5"/>
      <c r="AI21" s="5"/>
      <c r="AJ21" s="103"/>
      <c r="AK21" s="72"/>
      <c r="AL21" s="72"/>
      <c r="AM21" s="72"/>
      <c r="AN21" s="30"/>
      <c r="AO21" s="14"/>
      <c r="AP21" s="123"/>
      <c r="AQ21" s="123"/>
      <c r="AR21" s="123"/>
      <c r="AT21" s="71"/>
      <c r="AU21" s="71"/>
    </row>
    <row r="22" spans="1:47" s="122" customFormat="1" x14ac:dyDescent="0.2">
      <c r="A22" s="9"/>
      <c r="B22" s="129"/>
      <c r="C22" s="205"/>
      <c r="D22" s="196"/>
      <c r="E22" s="205"/>
      <c r="F22" s="196"/>
      <c r="G22" s="196"/>
      <c r="H22" s="196"/>
      <c r="I22" s="206"/>
      <c r="J22" s="206"/>
      <c r="K22" s="206"/>
      <c r="L22" s="157"/>
      <c r="M22" s="146"/>
      <c r="N22" s="146"/>
      <c r="O22" s="146"/>
      <c r="P22" s="146"/>
      <c r="Q22" s="146"/>
      <c r="R22" s="146"/>
      <c r="S22" s="146"/>
      <c r="T22" s="158"/>
      <c r="U22" s="158"/>
      <c r="V22" s="153"/>
      <c r="W22" s="152">
        <f>SUM(W20:W21)</f>
        <v>2.1084143693808799</v>
      </c>
      <c r="X22" s="153"/>
      <c r="Y22" s="153"/>
      <c r="Z22" s="152">
        <f>SUM(Z20:Z21)</f>
        <v>-26.383756252771938</v>
      </c>
      <c r="AA22" s="153"/>
      <c r="AB22" s="103"/>
      <c r="AC22" s="103"/>
      <c r="AD22" s="103"/>
      <c r="AE22" s="153">
        <f>SUM(AE20:AE21)</f>
        <v>4.9893477502615982</v>
      </c>
      <c r="AF22" s="41" t="s">
        <v>1182</v>
      </c>
      <c r="AG22" s="5" t="s">
        <v>24</v>
      </c>
      <c r="AH22" s="219">
        <f>INDEX('C-P-RollAdj'!$J$4:$J$76,MATCH(INT(W22),'C-P-RollAdj'!$I$4:$I$76,FALSE),0)</f>
        <v>12</v>
      </c>
      <c r="AI22" s="219">
        <f>INDEX('C-P-RollAdj'!$J$4:$J$76,MATCH(INT(Z22),'C-P-RollAdj'!$I$4:$I$76,FALSE),0)</f>
        <v>-53</v>
      </c>
      <c r="AJ22" s="174">
        <f>SUM(AJ18:AJ21)</f>
        <v>32.222222222222229</v>
      </c>
      <c r="AK22" s="14">
        <f>SUM(AK18:AK21)</f>
        <v>7.2222222222222232</v>
      </c>
      <c r="AL22" s="14">
        <f>SUM(AL18:AL21)</f>
        <v>6.6666666666666661</v>
      </c>
      <c r="AM22" s="14">
        <f>SUM(AM18:AM21)</f>
        <v>140</v>
      </c>
      <c r="AN22" s="30"/>
      <c r="AO22" s="14"/>
      <c r="AP22" s="123"/>
      <c r="AQ22" s="123"/>
      <c r="AR22" s="123"/>
      <c r="AT22" s="71"/>
      <c r="AU22" s="71"/>
    </row>
    <row r="23" spans="1:47" s="122" customFormat="1" x14ac:dyDescent="0.2">
      <c r="A23" s="146"/>
      <c r="B23" s="155"/>
      <c r="C23" s="205"/>
      <c r="D23" s="196"/>
      <c r="E23" s="205"/>
      <c r="F23" s="196"/>
      <c r="G23" s="196"/>
      <c r="H23" s="196"/>
      <c r="I23" s="206"/>
      <c r="J23" s="206"/>
      <c r="K23" s="206"/>
      <c r="L23" s="205"/>
      <c r="M23" s="196"/>
      <c r="N23" s="196"/>
      <c r="O23" s="196"/>
      <c r="P23" s="196"/>
      <c r="Q23" s="196"/>
      <c r="R23" s="196"/>
      <c r="S23" s="196"/>
      <c r="T23" s="196"/>
      <c r="U23" s="196"/>
      <c r="V23" s="207"/>
      <c r="W23" s="208"/>
      <c r="X23" s="209"/>
      <c r="Y23" s="210"/>
      <c r="Z23" s="208"/>
      <c r="AA23" s="209"/>
      <c r="AB23" s="211"/>
      <c r="AC23" s="211"/>
      <c r="AD23" s="211"/>
      <c r="AE23" s="212"/>
      <c r="AF23" s="213"/>
      <c r="AG23" s="214"/>
      <c r="AH23" s="214"/>
      <c r="AI23" s="214"/>
      <c r="AJ23" s="167"/>
      <c r="AK23" s="121"/>
      <c r="AL23" s="121"/>
      <c r="AM23" s="121"/>
      <c r="AO23" s="112"/>
      <c r="AP23" s="123"/>
      <c r="AQ23" s="123"/>
      <c r="AR23" s="123"/>
      <c r="AT23" s="71"/>
      <c r="AU23" s="71"/>
    </row>
    <row r="24" spans="1:47" s="122" customFormat="1" x14ac:dyDescent="0.2">
      <c r="A24" s="155" t="s">
        <v>1262</v>
      </c>
      <c r="B24" s="155" t="s">
        <v>150</v>
      </c>
      <c r="C24" s="202">
        <v>0</v>
      </c>
      <c r="D24" s="202">
        <v>0</v>
      </c>
      <c r="E24" s="185">
        <v>6.23</v>
      </c>
      <c r="F24" s="202">
        <v>2</v>
      </c>
      <c r="G24" s="202">
        <v>0</v>
      </c>
      <c r="H24" s="202">
        <v>0</v>
      </c>
      <c r="I24" s="202">
        <v>0</v>
      </c>
      <c r="J24" s="202">
        <v>0</v>
      </c>
      <c r="K24" s="202">
        <v>0</v>
      </c>
      <c r="L24" s="185">
        <v>4.33</v>
      </c>
      <c r="M24" s="202">
        <v>6</v>
      </c>
      <c r="N24" s="202">
        <v>3</v>
      </c>
      <c r="O24" s="202">
        <v>3</v>
      </c>
      <c r="P24" s="202">
        <v>0</v>
      </c>
      <c r="Q24" s="202">
        <v>0</v>
      </c>
      <c r="R24" s="202">
        <v>0</v>
      </c>
      <c r="S24" s="202">
        <v>3</v>
      </c>
      <c r="T24" s="202">
        <v>18</v>
      </c>
      <c r="U24" s="196"/>
      <c r="V24" s="50">
        <f>+(Q24-R24)/(T24-R24)*100</f>
        <v>0</v>
      </c>
      <c r="W24" s="6">
        <f>IF(V24&lt;LeagueRatings!$K$10,((LeagueRatings!$K$10-V24)/LeagueRatings!$K$10)*36,(LeagueRatings!$K$10-V24)*6.48)</f>
        <v>36</v>
      </c>
      <c r="X24" s="16">
        <f>INDEX('C-P-RollAdj'!$B$4:$B$76,MATCH(INT(W24),'C-P-RollAdj'!$A$4:$A$76,FALSE),0)</f>
        <v>-3.62</v>
      </c>
      <c r="Y24" s="16">
        <f>(P24/(T24-R24))*100</f>
        <v>0</v>
      </c>
      <c r="Z24" s="6">
        <f>IF(Y24&lt;LeagueRatings!$K$8,((LeagueRatings!$K$8-Y24)/LeagueRatings!$K$8)*36,(LeagueRatings!$K$8-Y24)/LeagueRatings!$K$11)</f>
        <v>36</v>
      </c>
      <c r="AA24" s="16">
        <f>INDEX('C-P-RollAdj'!$F$4:$F$76,MATCH(INT(Z24),'C-P-RollAdj'!$E$4:$E$76,FALSE),0)</f>
        <v>-3.26</v>
      </c>
      <c r="AB24" s="17">
        <f>+((LeagueRatings!$I$6-E24)*5)+9.5</f>
        <v>-0.64194854472259877</v>
      </c>
      <c r="AC24" s="17">
        <f>IF(AB24&lt;4,4,AB24)</f>
        <v>4</v>
      </c>
      <c r="AD24" s="17">
        <f>IF(M24&lt;L24,((1-(M24/L24))*7)-0.07,(1-(M24/L24))*5)</f>
        <v>-1.9284064665127021</v>
      </c>
      <c r="AE24" s="4">
        <f>+X24+AA24+AC24+AD24</f>
        <v>-4.808406466512702</v>
      </c>
      <c r="AF24" s="213"/>
      <c r="AG24" s="7" t="s">
        <v>26</v>
      </c>
      <c r="AH24" s="219">
        <f>INDEX('C-P-RollAdj'!$J$4:$J$76,MATCH(INT(W24),'C-P-RollAdj'!$I$4:$I$76,FALSE),0)</f>
        <v>66</v>
      </c>
      <c r="AI24" s="219">
        <f>INDEX('C-P-RollAdj'!$J$4:$J$76,MATCH(INT(Z24),'C-P-RollAdj'!$I$4:$I$76,FALSE),0)</f>
        <v>66</v>
      </c>
      <c r="AJ24" s="14">
        <f>+AO24*LeagueRatings!$K$27</f>
        <v>2.7777777777777777</v>
      </c>
      <c r="AK24" s="72">
        <f>F24*LeagueRatings!$K$27</f>
        <v>1.1111111111111112</v>
      </c>
      <c r="AL24" s="72">
        <f>G24*LeagueRatings!$K$27</f>
        <v>0</v>
      </c>
      <c r="AM24" s="72">
        <f>T24*LeagueRatings!$K$27</f>
        <v>10</v>
      </c>
      <c r="AN24" s="24"/>
      <c r="AO24" s="72">
        <f>ROUNDUP(L24,0)</f>
        <v>5</v>
      </c>
      <c r="AP24" s="123"/>
      <c r="AQ24" s="123"/>
      <c r="AR24" s="123"/>
      <c r="AT24" s="71"/>
      <c r="AU24" s="71"/>
    </row>
    <row r="25" spans="1:47" customFormat="1" ht="12.75" customHeight="1" x14ac:dyDescent="0.2">
      <c r="A25" s="41" t="s">
        <v>808</v>
      </c>
      <c r="B25" s="202" t="s">
        <v>153</v>
      </c>
      <c r="C25" s="202">
        <v>3</v>
      </c>
      <c r="D25" s="202">
        <v>4</v>
      </c>
      <c r="E25" s="185">
        <v>6.71</v>
      </c>
      <c r="F25" s="202">
        <v>11</v>
      </c>
      <c r="G25" s="202">
        <v>9</v>
      </c>
      <c r="H25" s="202">
        <v>0</v>
      </c>
      <c r="I25" s="202">
        <v>0</v>
      </c>
      <c r="J25" s="202">
        <v>0</v>
      </c>
      <c r="K25" s="202">
        <v>0</v>
      </c>
      <c r="L25" s="185">
        <v>51</v>
      </c>
      <c r="M25" s="202">
        <v>67</v>
      </c>
      <c r="N25" s="202">
        <v>38</v>
      </c>
      <c r="O25" s="202">
        <v>38</v>
      </c>
      <c r="P25" s="202">
        <v>9</v>
      </c>
      <c r="Q25" s="202">
        <v>14</v>
      </c>
      <c r="R25" s="202">
        <v>0</v>
      </c>
      <c r="S25" s="202">
        <v>35</v>
      </c>
      <c r="T25" s="202">
        <v>232</v>
      </c>
      <c r="U25" s="76"/>
      <c r="V25" s="50">
        <f>+(Q25-R25)/(T25-R25)*100</f>
        <v>6.0344827586206895</v>
      </c>
      <c r="W25" s="6">
        <f>IF(V25&lt;LeagueRatings!$K$10,((LeagueRatings!$K$10-V25)/LeagueRatings!$K$10)*36,(LeagueRatings!$K$10-V25)*6.48)</f>
        <v>10.93626678834165</v>
      </c>
      <c r="X25" s="16">
        <f>INDEX('C-P-RollAdj'!$B$4:$B$76,MATCH(INT(W25),'C-P-RollAdj'!$A$4:$A$76,FALSE),0)</f>
        <v>-0.83000000000000007</v>
      </c>
      <c r="Y25" s="16">
        <f>(P25/(T25-R25))*100</f>
        <v>3.8793103448275863</v>
      </c>
      <c r="Z25" s="6">
        <f>IF(Y25&lt;LeagueRatings!$K$8,((LeagueRatings!$K$8-Y25)/LeagueRatings!$K$8)*36,(LeagueRatings!$K$8-Y25)/LeagueRatings!$K$11)</f>
        <v>-5.3764215629306191</v>
      </c>
      <c r="AA25" s="16">
        <f>INDEX('C-P-RollAdj'!$F$4:$F$76,MATCH(INT(Z25),'C-P-RollAdj'!$E$4:$E$76,FALSE),0)</f>
        <v>0.51</v>
      </c>
      <c r="AB25" s="17">
        <f>+((LeagueRatings!$I$6-E25)*5)+9.5</f>
        <v>-3.0419485447225973</v>
      </c>
      <c r="AC25" s="17">
        <f>IF(AB25&lt;4,4,AB25)</f>
        <v>4</v>
      </c>
      <c r="AD25" s="17">
        <f>IF(M25&lt;L25,((1-(M25/L25))*7)-0.07,(1-(M25/L25))*5)</f>
        <v>-1.5686274509803921</v>
      </c>
      <c r="AE25" s="4">
        <f>+X25+AA25+AC25+AD25</f>
        <v>2.1113725490196078</v>
      </c>
      <c r="AF25" s="168"/>
      <c r="AG25" s="5" t="s">
        <v>78</v>
      </c>
      <c r="AH25" s="219">
        <f>INDEX('C-P-RollAdj'!$J$4:$J$76,MATCH(INT(W25),'C-P-RollAdj'!$I$4:$I$76,FALSE),0)</f>
        <v>24</v>
      </c>
      <c r="AI25" s="219">
        <f>INDEX('C-P-RollAdj'!$J$4:$J$76,MATCH(INT(Z25),'C-P-RollAdj'!$I$4:$I$76,FALSE),0)</f>
        <v>-16</v>
      </c>
      <c r="AJ25" s="14">
        <f>+AO25*LeagueRatings!$K$27</f>
        <v>28.333333333333336</v>
      </c>
      <c r="AK25" s="72">
        <f>F25*LeagueRatings!$K$27</f>
        <v>6.1111111111111116</v>
      </c>
      <c r="AL25" s="72">
        <f>G25*LeagueRatings!$K$27</f>
        <v>5</v>
      </c>
      <c r="AM25" s="72">
        <f>T25*LeagueRatings!$K$27</f>
        <v>128.88888888888889</v>
      </c>
      <c r="AN25" s="24"/>
      <c r="AO25" s="72">
        <f>ROUNDUP(L25,0)</f>
        <v>51</v>
      </c>
      <c r="AP25" s="113"/>
      <c r="AQ25" s="113"/>
      <c r="AR25" s="113"/>
      <c r="AS25" s="24"/>
      <c r="AT25" s="97">
        <v>57.33</v>
      </c>
      <c r="AU25" s="24"/>
    </row>
    <row r="26" spans="1:47" s="122" customFormat="1" x14ac:dyDescent="0.2">
      <c r="A26" s="9"/>
      <c r="B26" s="129"/>
      <c r="C26" s="205"/>
      <c r="D26" s="196"/>
      <c r="E26" s="205"/>
      <c r="F26" s="196"/>
      <c r="G26" s="196"/>
      <c r="H26" s="196"/>
      <c r="I26" s="206"/>
      <c r="J26" s="206"/>
      <c r="K26" s="206"/>
      <c r="L26" s="157">
        <f>(L24/100)/((L24+L25)/100)</f>
        <v>7.8257726369058367E-2</v>
      </c>
      <c r="M26" s="146"/>
      <c r="N26" s="146"/>
      <c r="O26" s="146"/>
      <c r="P26" s="146"/>
      <c r="Q26" s="146"/>
      <c r="R26" s="146"/>
      <c r="S26" s="146"/>
      <c r="T26" s="158"/>
      <c r="U26" s="158"/>
      <c r="V26" s="153"/>
      <c r="W26" s="152">
        <f>W24*L26</f>
        <v>2.8172781492861012</v>
      </c>
      <c r="X26" s="153"/>
      <c r="Y26" s="153"/>
      <c r="Z26" s="152">
        <f>Z24*L26</f>
        <v>2.8172781492861012</v>
      </c>
      <c r="AA26" s="153"/>
      <c r="AB26" s="103"/>
      <c r="AC26" s="103"/>
      <c r="AD26" s="103"/>
      <c r="AE26" s="154">
        <f>AE24*L26</f>
        <v>-0.37629495752756187</v>
      </c>
      <c r="AF26" s="168"/>
      <c r="AG26" s="5"/>
      <c r="AH26" s="5"/>
      <c r="AI26" s="5"/>
      <c r="AJ26" s="103"/>
      <c r="AK26" s="72"/>
      <c r="AL26" s="72"/>
      <c r="AM26" s="72"/>
      <c r="AN26" s="30"/>
      <c r="AO26" s="14"/>
      <c r="AP26" s="123"/>
      <c r="AQ26" s="123"/>
      <c r="AR26" s="123"/>
      <c r="AT26" s="71"/>
      <c r="AU26" s="71"/>
    </row>
    <row r="27" spans="1:47" s="122" customFormat="1" x14ac:dyDescent="0.2">
      <c r="A27" s="9"/>
      <c r="B27" s="129"/>
      <c r="C27" s="205"/>
      <c r="D27" s="196"/>
      <c r="E27" s="205"/>
      <c r="F27" s="196"/>
      <c r="G27" s="196"/>
      <c r="H27" s="196"/>
      <c r="I27" s="206"/>
      <c r="J27" s="206"/>
      <c r="K27" s="206"/>
      <c r="L27" s="157">
        <f>(L25/100)/((L24+L25)/100)</f>
        <v>0.92174227363094163</v>
      </c>
      <c r="M27" s="146"/>
      <c r="N27" s="146"/>
      <c r="O27" s="146"/>
      <c r="P27" s="146"/>
      <c r="Q27" s="146"/>
      <c r="R27" s="146"/>
      <c r="S27" s="146"/>
      <c r="T27" s="158"/>
      <c r="U27" s="158"/>
      <c r="V27" s="153"/>
      <c r="W27" s="152">
        <f>W25*L27</f>
        <v>10.080419414520588</v>
      </c>
      <c r="X27" s="153"/>
      <c r="Y27" s="153"/>
      <c r="Z27" s="152">
        <f>Z25*L27</f>
        <v>-4.9556750354140897</v>
      </c>
      <c r="AA27" s="153"/>
      <c r="AB27" s="103"/>
      <c r="AC27" s="103"/>
      <c r="AD27" s="103"/>
      <c r="AE27" s="154">
        <f>AE25*L27</f>
        <v>1.94614133381529</v>
      </c>
      <c r="AF27" s="168"/>
      <c r="AG27" s="5"/>
      <c r="AH27" s="5"/>
      <c r="AI27" s="5"/>
      <c r="AJ27" s="103"/>
      <c r="AK27" s="72"/>
      <c r="AL27" s="72"/>
      <c r="AM27" s="72"/>
      <c r="AN27" s="30"/>
      <c r="AO27" s="14"/>
      <c r="AP27" s="123"/>
      <c r="AQ27" s="123"/>
      <c r="AR27" s="123"/>
      <c r="AT27" s="71"/>
      <c r="AU27" s="71"/>
    </row>
    <row r="28" spans="1:47" s="122" customFormat="1" x14ac:dyDescent="0.2">
      <c r="A28" s="9"/>
      <c r="B28" s="129"/>
      <c r="C28" s="205"/>
      <c r="D28" s="196"/>
      <c r="E28" s="205"/>
      <c r="F28" s="196"/>
      <c r="G28" s="196"/>
      <c r="H28" s="196"/>
      <c r="I28" s="206"/>
      <c r="J28" s="206"/>
      <c r="K28" s="206"/>
      <c r="L28" s="157"/>
      <c r="M28" s="146"/>
      <c r="N28" s="146"/>
      <c r="O28" s="146"/>
      <c r="P28" s="146"/>
      <c r="Q28" s="146"/>
      <c r="R28" s="146"/>
      <c r="S28" s="146"/>
      <c r="T28" s="158"/>
      <c r="U28" s="158"/>
      <c r="V28" s="153"/>
      <c r="W28" s="152">
        <f>SUM(W26:W27)</f>
        <v>12.897697563806689</v>
      </c>
      <c r="X28" s="153"/>
      <c r="Y28" s="153"/>
      <c r="Z28" s="152">
        <f>SUM(Z26:Z27)</f>
        <v>-2.1383968861279885</v>
      </c>
      <c r="AA28" s="153"/>
      <c r="AB28" s="103"/>
      <c r="AC28" s="103"/>
      <c r="AD28" s="103"/>
      <c r="AE28" s="153">
        <f>SUM(AE26:AE27)</f>
        <v>1.5698463762877282</v>
      </c>
      <c r="AF28" s="41" t="s">
        <v>808</v>
      </c>
      <c r="AG28" s="5" t="s">
        <v>50</v>
      </c>
      <c r="AH28" s="219">
        <f>INDEX('C-P-RollAdj'!$J$4:$J$76,MATCH(INT(W28),'C-P-RollAdj'!$I$4:$I$76,FALSE),0)</f>
        <v>26</v>
      </c>
      <c r="AI28" s="219">
        <f>INDEX('C-P-RollAdj'!$J$4:$J$76,MATCH(INT(Z28),'C-P-RollAdj'!$I$4:$I$76,FALSE),0)</f>
        <v>-13</v>
      </c>
      <c r="AJ28" s="174">
        <f>SUM(AJ24:AJ27)</f>
        <v>31.111111111111114</v>
      </c>
      <c r="AK28" s="14">
        <f>SUM(AK24:AK27)</f>
        <v>7.2222222222222232</v>
      </c>
      <c r="AL28" s="14">
        <f>SUM(AL24:AL27)</f>
        <v>5</v>
      </c>
      <c r="AM28" s="14">
        <f>SUM(AM24:AM27)</f>
        <v>138.88888888888889</v>
      </c>
      <c r="AN28" s="30"/>
      <c r="AO28" s="14"/>
      <c r="AP28" s="123"/>
      <c r="AQ28" s="123"/>
      <c r="AR28" s="123"/>
      <c r="AT28" s="71"/>
      <c r="AU28" s="71"/>
    </row>
    <row r="29" spans="1:47" s="122" customFormat="1" x14ac:dyDescent="0.2">
      <c r="A29" s="146"/>
      <c r="B29" s="155"/>
      <c r="C29" s="205"/>
      <c r="D29" s="196"/>
      <c r="E29" s="205"/>
      <c r="F29" s="196"/>
      <c r="G29" s="196"/>
      <c r="H29" s="196"/>
      <c r="I29" s="206"/>
      <c r="J29" s="206"/>
      <c r="K29" s="206"/>
      <c r="L29" s="205"/>
      <c r="M29" s="196"/>
      <c r="N29" s="196"/>
      <c r="O29" s="196"/>
      <c r="P29" s="196"/>
      <c r="Q29" s="196"/>
      <c r="R29" s="196"/>
      <c r="S29" s="196"/>
      <c r="T29" s="196"/>
      <c r="U29" s="196"/>
      <c r="V29" s="207"/>
      <c r="W29" s="208"/>
      <c r="X29" s="209"/>
      <c r="Y29" s="210"/>
      <c r="Z29" s="208"/>
      <c r="AA29" s="209"/>
      <c r="AB29" s="211"/>
      <c r="AC29" s="211"/>
      <c r="AD29" s="211"/>
      <c r="AE29" s="212"/>
      <c r="AF29" s="213"/>
      <c r="AG29" s="214"/>
      <c r="AH29" s="214"/>
      <c r="AI29" s="214"/>
      <c r="AJ29" s="167"/>
      <c r="AK29" s="121"/>
      <c r="AL29" s="121"/>
      <c r="AM29" s="121"/>
      <c r="AO29" s="112"/>
      <c r="AP29" s="123"/>
      <c r="AQ29" s="123"/>
      <c r="AR29" s="123"/>
      <c r="AT29" s="71"/>
      <c r="AU29" s="71"/>
    </row>
    <row r="30" spans="1:47" s="122" customFormat="1" x14ac:dyDescent="0.2">
      <c r="A30" s="155" t="s">
        <v>1254</v>
      </c>
      <c r="B30" s="155" t="s">
        <v>166</v>
      </c>
      <c r="C30" s="202">
        <v>1</v>
      </c>
      <c r="D30" s="202">
        <v>2</v>
      </c>
      <c r="E30" s="185">
        <v>5.89</v>
      </c>
      <c r="F30" s="202">
        <v>40</v>
      </c>
      <c r="G30" s="202">
        <v>0</v>
      </c>
      <c r="H30" s="202">
        <v>0</v>
      </c>
      <c r="I30" s="202">
        <v>0</v>
      </c>
      <c r="J30" s="202">
        <v>0</v>
      </c>
      <c r="K30" s="202">
        <v>1</v>
      </c>
      <c r="L30" s="185">
        <v>36.67</v>
      </c>
      <c r="M30" s="202">
        <v>41</v>
      </c>
      <c r="N30" s="202">
        <v>24</v>
      </c>
      <c r="O30" s="202">
        <v>24</v>
      </c>
      <c r="P30" s="202">
        <v>5</v>
      </c>
      <c r="Q30" s="202">
        <v>10</v>
      </c>
      <c r="R30" s="202">
        <v>1</v>
      </c>
      <c r="S30" s="202">
        <v>37</v>
      </c>
      <c r="T30" s="202">
        <v>156</v>
      </c>
      <c r="U30" s="196"/>
      <c r="V30" s="50">
        <f>+(Q30-R30)/(T30-R30)*100</f>
        <v>5.806451612903226</v>
      </c>
      <c r="W30" s="6">
        <f>IF(V30&lt;LeagueRatings!$K$21,((LeagueRatings!$K$21-V30)/LeagueRatings!$K$21)*36,(LeagueRatings!$K$21-V30)*6.48)</f>
        <v>12.652307133693071</v>
      </c>
      <c r="X30" s="16">
        <f>INDEX('C-P-RollAdj'!$B$4:$B$76,MATCH(INT(W30),'C-P-RollAdj'!$A$4:$A$76,FALSE),0)</f>
        <v>-1.01</v>
      </c>
      <c r="Y30" s="16">
        <f>(P30/(T30-R30))*100</f>
        <v>3.225806451612903</v>
      </c>
      <c r="Z30" s="6">
        <f>IF(Y30&lt;LeagueRatings!$K$19,((LeagueRatings!$K$19-Y30)/LeagueRatings!$K$19)*36,(LeagueRatings!$K$19-Y30)/LeagueRatings!$K$22)</f>
        <v>-2.5678678206136873</v>
      </c>
      <c r="AA30" s="16">
        <f>INDEX('C-P-RollAdj'!$F$4:$F$76,MATCH(INT(Z30),'C-P-RollAdj'!$E$4:$E$76,FALSE),0)</f>
        <v>0.24</v>
      </c>
      <c r="AB30" s="17">
        <f>+((LeagueRatings!$I$17-E30)*5)+9.5</f>
        <v>0.86438724370636422</v>
      </c>
      <c r="AC30" s="17">
        <f>IF(AB30&lt;4,4,AB30)</f>
        <v>4</v>
      </c>
      <c r="AD30" s="17">
        <f>IF(M30&lt;L30,((1-(M30/L30))*7)-0.07,(1-(M30/L30))*5)</f>
        <v>-0.59040087264794039</v>
      </c>
      <c r="AE30" s="4">
        <f>+X30+AA30+AC30+AD30</f>
        <v>2.6395991273520596</v>
      </c>
      <c r="AF30" s="213"/>
      <c r="AG30" s="7" t="s">
        <v>60</v>
      </c>
      <c r="AH30" s="219">
        <f>INDEX('C-P-RollAdj'!$J$4:$J$76,MATCH(INT(W30),'C-P-RollAdj'!$I$4:$I$76,FALSE),0)</f>
        <v>26</v>
      </c>
      <c r="AI30" s="219">
        <f>INDEX('C-P-RollAdj'!$J$4:$J$76,MATCH(INT(Z30),'C-P-RollAdj'!$I$4:$I$76,FALSE),0)</f>
        <v>-13</v>
      </c>
      <c r="AJ30" s="14">
        <f>+AO30*LeagueRatings!$K$27</f>
        <v>20.555555555555557</v>
      </c>
      <c r="AK30" s="72">
        <f>F30*LeagueRatings!$K$27</f>
        <v>22.222222222222221</v>
      </c>
      <c r="AL30" s="72">
        <f>G30*LeagueRatings!$K$27</f>
        <v>0</v>
      </c>
      <c r="AM30" s="72">
        <f>T30*LeagueRatings!$K$27</f>
        <v>86.666666666666671</v>
      </c>
      <c r="AN30" s="24"/>
      <c r="AO30" s="14">
        <f>ROUNDUP(L30,0)</f>
        <v>37</v>
      </c>
      <c r="AP30" s="123"/>
      <c r="AQ30" s="123"/>
      <c r="AR30" s="123"/>
      <c r="AT30" s="71"/>
      <c r="AU30" s="71"/>
    </row>
    <row r="31" spans="1:47" s="24" customFormat="1" x14ac:dyDescent="0.2">
      <c r="A31" s="41" t="s">
        <v>363</v>
      </c>
      <c r="B31" s="202" t="s">
        <v>172</v>
      </c>
      <c r="C31" s="202">
        <v>3</v>
      </c>
      <c r="D31" s="202">
        <v>3</v>
      </c>
      <c r="E31" s="185">
        <v>2.66</v>
      </c>
      <c r="F31" s="202">
        <v>26</v>
      </c>
      <c r="G31" s="202">
        <v>0</v>
      </c>
      <c r="H31" s="202">
        <v>0</v>
      </c>
      <c r="I31" s="202">
        <v>0</v>
      </c>
      <c r="J31" s="202">
        <v>0</v>
      </c>
      <c r="K31" s="202">
        <v>2</v>
      </c>
      <c r="L31" s="185">
        <v>23.67</v>
      </c>
      <c r="M31" s="202">
        <v>20</v>
      </c>
      <c r="N31" s="202">
        <v>8</v>
      </c>
      <c r="O31" s="202">
        <v>7</v>
      </c>
      <c r="P31" s="202">
        <v>2</v>
      </c>
      <c r="Q31" s="202">
        <v>12</v>
      </c>
      <c r="R31" s="202">
        <v>0</v>
      </c>
      <c r="S31" s="202">
        <v>26</v>
      </c>
      <c r="T31" s="202">
        <v>101</v>
      </c>
      <c r="U31" s="76"/>
      <c r="V31" s="50">
        <f>+(Q31-R31)/(T31-R31)*100</f>
        <v>11.881188118811881</v>
      </c>
      <c r="W31" s="6">
        <f>IF(V31&lt;LeagueRatings!$K$21,((LeagueRatings!$K$21-V31)/LeagueRatings!$K$21)*36,(LeagueRatings!$K$21-V31)*6.48)</f>
        <v>-18.974558030569959</v>
      </c>
      <c r="X31" s="16">
        <f>INDEX('C-P-RollAdj'!$B$4:$B$76,MATCH(INT(W31),'C-P-RollAdj'!$A$4:$A$76,FALSE),0)</f>
        <v>2.23</v>
      </c>
      <c r="Y31" s="16">
        <f>(P31/(T31-R31))*100</f>
        <v>1.9801980198019802</v>
      </c>
      <c r="Z31" s="6">
        <f>IF(Y31&lt;LeagueRatings!$K$19,((LeagueRatings!$K$19-Y31)/LeagueRatings!$K$19)*36,(LeagueRatings!$K$19-Y31)/LeagueRatings!$K$22)</f>
        <v>11.485858899791326</v>
      </c>
      <c r="AA31" s="16">
        <f>INDEX('C-P-RollAdj'!$F$4:$F$76,MATCH(INT(Z31),'C-P-RollAdj'!$E$4:$E$76,FALSE),0)</f>
        <v>-0.81</v>
      </c>
      <c r="AB31" s="17">
        <f>+((LeagueRatings!$I$17-E31)*5)+9.5</f>
        <v>17.014387243706363</v>
      </c>
      <c r="AC31" s="17">
        <f>IF(AB31&lt;4,4,AB31)</f>
        <v>17.014387243706363</v>
      </c>
      <c r="AD31" s="17">
        <f>IF(M31&lt;L31,((1-(M31/L31))*7)-0.07,(1-(M31/L31))*5)</f>
        <v>1.0153400929446557</v>
      </c>
      <c r="AE31" s="4">
        <f>+X31+AA31+AC31+AD31</f>
        <v>19.449727336651016</v>
      </c>
      <c r="AG31" s="58">
        <v>19</v>
      </c>
      <c r="AH31" s="219">
        <f>INDEX('C-P-RollAdj'!$J$4:$J$76,MATCH(INT(W31),'C-P-RollAdj'!$I$4:$I$76,FALSE),0)</f>
        <v>-41</v>
      </c>
      <c r="AI31" s="219">
        <f>INDEX('C-P-RollAdj'!$J$4:$J$76,MATCH(INT(Z31),'C-P-RollAdj'!$I$4:$I$76,FALSE),0)</f>
        <v>25</v>
      </c>
      <c r="AJ31" s="14">
        <f>+AO31*LeagueRatings!$K$27</f>
        <v>13.333333333333334</v>
      </c>
      <c r="AK31" s="72">
        <f>F31*LeagueRatings!$K$27</f>
        <v>14.444444444444445</v>
      </c>
      <c r="AL31" s="72">
        <f>G31*LeagueRatings!$K$27</f>
        <v>0</v>
      </c>
      <c r="AM31" s="72">
        <f>T31*LeagueRatings!$K$27</f>
        <v>56.111111111111114</v>
      </c>
      <c r="AO31" s="14">
        <f>ROUNDUP(L31,0)</f>
        <v>24</v>
      </c>
    </row>
    <row r="32" spans="1:47" s="122" customFormat="1" x14ac:dyDescent="0.2">
      <c r="A32" s="9"/>
      <c r="B32" s="129"/>
      <c r="C32" s="205"/>
      <c r="D32" s="196"/>
      <c r="E32" s="205"/>
      <c r="F32" s="196"/>
      <c r="G32" s="196"/>
      <c r="H32" s="196"/>
      <c r="I32" s="206"/>
      <c r="J32" s="206"/>
      <c r="K32" s="206"/>
      <c r="L32" s="157">
        <f>(L30/100)/((L30+L31)/100)</f>
        <v>0.60772290354656944</v>
      </c>
      <c r="M32" s="146"/>
      <c r="N32" s="146"/>
      <c r="O32" s="146"/>
      <c r="P32" s="146"/>
      <c r="Q32" s="146"/>
      <c r="R32" s="146"/>
      <c r="S32" s="146"/>
      <c r="T32" s="158"/>
      <c r="U32" s="158"/>
      <c r="V32" s="153"/>
      <c r="W32" s="152">
        <f>W30*L32</f>
        <v>7.6890968278509266</v>
      </c>
      <c r="X32" s="153"/>
      <c r="Y32" s="153"/>
      <c r="Z32" s="152">
        <f>Z30*L32</f>
        <v>-1.5605520878671515</v>
      </c>
      <c r="AA32" s="153"/>
      <c r="AB32" s="103"/>
      <c r="AC32" s="103"/>
      <c r="AD32" s="103"/>
      <c r="AE32" s="154">
        <f>AE30*L32</f>
        <v>1.6041448458733845</v>
      </c>
      <c r="AF32" s="168"/>
      <c r="AG32" s="5"/>
      <c r="AH32" s="5"/>
      <c r="AI32" s="5"/>
      <c r="AJ32" s="103"/>
      <c r="AK32" s="72"/>
      <c r="AL32" s="72"/>
      <c r="AM32" s="72"/>
      <c r="AN32" s="30"/>
      <c r="AO32" s="14"/>
      <c r="AP32" s="123"/>
      <c r="AQ32" s="123"/>
      <c r="AR32" s="123"/>
      <c r="AT32" s="71"/>
      <c r="AU32" s="71"/>
    </row>
    <row r="33" spans="1:47" s="122" customFormat="1" x14ac:dyDescent="0.2">
      <c r="A33" s="9"/>
      <c r="B33" s="129"/>
      <c r="C33" s="205"/>
      <c r="D33" s="196"/>
      <c r="E33" s="205"/>
      <c r="F33" s="196"/>
      <c r="G33" s="196"/>
      <c r="H33" s="196"/>
      <c r="I33" s="206"/>
      <c r="J33" s="206"/>
      <c r="K33" s="206"/>
      <c r="L33" s="157">
        <f>(L31/100)/((L30+L31)/100)</f>
        <v>0.39227709645343056</v>
      </c>
      <c r="M33" s="146"/>
      <c r="N33" s="146"/>
      <c r="O33" s="146"/>
      <c r="P33" s="146"/>
      <c r="Q33" s="146"/>
      <c r="R33" s="146"/>
      <c r="S33" s="146"/>
      <c r="T33" s="158"/>
      <c r="U33" s="158"/>
      <c r="V33" s="153"/>
      <c r="W33" s="152">
        <f>W31*L33</f>
        <v>-7.4432845307191071</v>
      </c>
      <c r="X33" s="153"/>
      <c r="Y33" s="153"/>
      <c r="Z33" s="152">
        <f>Z31*L33</f>
        <v>4.5056393794839362</v>
      </c>
      <c r="AA33" s="153"/>
      <c r="AB33" s="103"/>
      <c r="AC33" s="103"/>
      <c r="AD33" s="103"/>
      <c r="AE33" s="154">
        <f>AE31*L33</f>
        <v>7.6296825664323755</v>
      </c>
      <c r="AF33" s="168"/>
      <c r="AG33" s="5"/>
      <c r="AH33" s="5"/>
      <c r="AI33" s="5"/>
      <c r="AJ33" s="103"/>
      <c r="AK33" s="72"/>
      <c r="AL33" s="72"/>
      <c r="AM33" s="72"/>
      <c r="AN33" s="30"/>
      <c r="AO33" s="14"/>
      <c r="AP33" s="123"/>
      <c r="AQ33" s="123"/>
      <c r="AR33" s="123"/>
      <c r="AT33" s="71"/>
      <c r="AU33" s="71"/>
    </row>
    <row r="34" spans="1:47" s="122" customFormat="1" x14ac:dyDescent="0.2">
      <c r="A34" s="9"/>
      <c r="B34" s="129"/>
      <c r="C34" s="205"/>
      <c r="D34" s="196"/>
      <c r="E34" s="205"/>
      <c r="F34" s="196"/>
      <c r="G34" s="196"/>
      <c r="H34" s="196"/>
      <c r="I34" s="206"/>
      <c r="J34" s="206"/>
      <c r="K34" s="206"/>
      <c r="L34" s="157"/>
      <c r="M34" s="146"/>
      <c r="N34" s="146"/>
      <c r="O34" s="146"/>
      <c r="P34" s="146"/>
      <c r="Q34" s="146"/>
      <c r="R34" s="146"/>
      <c r="S34" s="146"/>
      <c r="T34" s="158"/>
      <c r="U34" s="158"/>
      <c r="V34" s="153"/>
      <c r="W34" s="152">
        <f>SUM(W32:W33)</f>
        <v>0.24581229713181951</v>
      </c>
      <c r="X34" s="153"/>
      <c r="Y34" s="153"/>
      <c r="Z34" s="152">
        <f>SUM(Z32:Z33)</f>
        <v>2.945087291616785</v>
      </c>
      <c r="AA34" s="153"/>
      <c r="AB34" s="103"/>
      <c r="AC34" s="103"/>
      <c r="AD34" s="103"/>
      <c r="AE34" s="153">
        <f>SUM(AE32:AE33)</f>
        <v>9.2338274123057609</v>
      </c>
      <c r="AF34" s="41" t="s">
        <v>363</v>
      </c>
      <c r="AG34" s="5" t="s">
        <v>39</v>
      </c>
      <c r="AH34" s="219">
        <f>INDEX('C-P-RollAdj'!$J$4:$J$76,MATCH(INT(W34),'C-P-RollAdj'!$I$4:$I$76,FALSE),0)</f>
        <v>0</v>
      </c>
      <c r="AI34" s="219">
        <f>INDEX('C-P-RollAdj'!$J$4:$J$76,MATCH(INT(Z34),'C-P-RollAdj'!$I$4:$I$76,FALSE),0)</f>
        <v>12</v>
      </c>
      <c r="AJ34" s="174">
        <f>SUM(AJ30:AJ33)</f>
        <v>33.888888888888893</v>
      </c>
      <c r="AK34" s="14">
        <f>SUM(AK30:AK33)</f>
        <v>36.666666666666664</v>
      </c>
      <c r="AL34" s="14">
        <f>SUM(AL30:AL33)</f>
        <v>0</v>
      </c>
      <c r="AM34" s="14">
        <f>SUM(AM30:AM33)</f>
        <v>142.77777777777777</v>
      </c>
      <c r="AN34" s="30"/>
      <c r="AO34" s="14"/>
      <c r="AP34" s="123"/>
      <c r="AQ34" s="123"/>
      <c r="AR34" s="123"/>
      <c r="AT34" s="71"/>
      <c r="AU34" s="71"/>
    </row>
    <row r="35" spans="1:47" s="122" customFormat="1" x14ac:dyDescent="0.2">
      <c r="A35" s="146"/>
      <c r="B35" s="155"/>
      <c r="C35" s="205"/>
      <c r="D35" s="196"/>
      <c r="E35" s="205"/>
      <c r="F35" s="196"/>
      <c r="G35" s="196"/>
      <c r="H35" s="196"/>
      <c r="I35" s="206"/>
      <c r="J35" s="206"/>
      <c r="K35" s="206"/>
      <c r="L35" s="205"/>
      <c r="M35" s="196"/>
      <c r="N35" s="196"/>
      <c r="O35" s="196"/>
      <c r="P35" s="196"/>
      <c r="Q35" s="196"/>
      <c r="R35" s="196"/>
      <c r="S35" s="196"/>
      <c r="T35" s="196"/>
      <c r="U35" s="196"/>
      <c r="V35" s="207"/>
      <c r="W35" s="208"/>
      <c r="X35" s="209"/>
      <c r="Y35" s="210"/>
      <c r="Z35" s="208"/>
      <c r="AA35" s="209"/>
      <c r="AB35" s="211"/>
      <c r="AC35" s="211"/>
      <c r="AD35" s="211"/>
      <c r="AE35" s="212"/>
      <c r="AF35" s="213"/>
      <c r="AG35" s="214"/>
      <c r="AH35" s="214"/>
      <c r="AI35" s="214"/>
      <c r="AJ35" s="167"/>
      <c r="AK35" s="121"/>
      <c r="AL35" s="121"/>
      <c r="AM35" s="121"/>
      <c r="AO35" s="112"/>
      <c r="AP35" s="123"/>
      <c r="AQ35" s="123"/>
      <c r="AR35" s="123"/>
      <c r="AT35" s="71"/>
      <c r="AU35" s="71"/>
    </row>
    <row r="36" spans="1:47" s="122" customFormat="1" x14ac:dyDescent="0.2">
      <c r="A36" s="155" t="s">
        <v>890</v>
      </c>
      <c r="B36" s="155" t="s">
        <v>152</v>
      </c>
      <c r="C36" s="202">
        <v>0</v>
      </c>
      <c r="D36" s="202">
        <v>1</v>
      </c>
      <c r="E36" s="185">
        <v>4.82</v>
      </c>
      <c r="F36" s="202">
        <v>22</v>
      </c>
      <c r="G36" s="202">
        <v>0</v>
      </c>
      <c r="H36" s="202">
        <v>0</v>
      </c>
      <c r="I36" s="202">
        <v>0</v>
      </c>
      <c r="J36" s="202">
        <v>0</v>
      </c>
      <c r="K36" s="202">
        <v>2</v>
      </c>
      <c r="L36" s="185">
        <v>18.670000000000002</v>
      </c>
      <c r="M36" s="202">
        <v>20</v>
      </c>
      <c r="N36" s="202">
        <v>11</v>
      </c>
      <c r="O36" s="202">
        <v>10</v>
      </c>
      <c r="P36" s="202">
        <v>3</v>
      </c>
      <c r="Q36" s="202">
        <v>7</v>
      </c>
      <c r="R36" s="202">
        <v>1</v>
      </c>
      <c r="S36" s="202">
        <v>11</v>
      </c>
      <c r="T36" s="202">
        <v>82</v>
      </c>
      <c r="U36" s="196"/>
      <c r="V36" s="50">
        <f>+(Q36-R36)/(T36-R36)*100</f>
        <v>7.4074074074074066</v>
      </c>
      <c r="W36" s="6">
        <f>IF(V36&lt;LeagueRatings!$K$10,((LeagueRatings!$K$10-V36)/LeagueRatings!$K$10)*36,(LeagueRatings!$K$10-V36)*6.48)</f>
        <v>5.2339359518267887</v>
      </c>
      <c r="X36" s="16">
        <f>INDEX('C-P-RollAdj'!$B$4:$B$76,MATCH(INT(W36),'C-P-RollAdj'!$A$4:$A$76,FALSE),0)</f>
        <v>-0.4</v>
      </c>
      <c r="Y36" s="16">
        <f>(P36/(T36-R36))*100</f>
        <v>3.7037037037037033</v>
      </c>
      <c r="Z36" s="6">
        <f>IF(Y36&lt;LeagueRatings!$K$8,((LeagueRatings!$K$8-Y36)/LeagueRatings!$K$8)*36,(LeagueRatings!$K$8-Y36)/LeagueRatings!$K$11)</f>
        <v>-3.9820253570855355</v>
      </c>
      <c r="AA36" s="16">
        <f>INDEX('C-P-RollAdj'!$F$4:$F$76,MATCH(INT(Z36),'C-P-RollAdj'!$E$4:$E$76,FALSE),0)</f>
        <v>0.32999999999999996</v>
      </c>
      <c r="AB36" s="17">
        <f>+((LeagueRatings!$I$6-E36)*5)+9.5</f>
        <v>6.4080514552774019</v>
      </c>
      <c r="AC36" s="17">
        <f>IF(AB36&lt;4,4,AB36)</f>
        <v>6.4080514552774019</v>
      </c>
      <c r="AD36" s="17">
        <f>IF(M36&lt;L36,((1-(M36/L36))*7)-0.07,(1-(M36/L36))*5)</f>
        <v>-0.35618639528655516</v>
      </c>
      <c r="AE36" s="4">
        <f>+X36+AA36+AC36+AD36</f>
        <v>5.9818650599908469</v>
      </c>
      <c r="AF36" s="213"/>
      <c r="AG36" s="7" t="s">
        <v>24</v>
      </c>
      <c r="AH36" s="219">
        <f>INDEX('C-P-RollAdj'!$J$4:$J$76,MATCH(INT(W36),'C-P-RollAdj'!$I$4:$I$76,FALSE),0)</f>
        <v>15</v>
      </c>
      <c r="AI36" s="219">
        <f>INDEX('C-P-RollAdj'!$J$4:$J$76,MATCH(INT(Z36),'C-P-RollAdj'!$I$4:$I$76,FALSE),0)</f>
        <v>-14</v>
      </c>
      <c r="AJ36" s="14">
        <f>+AO36*LeagueRatings!$K$27</f>
        <v>10.555555555555555</v>
      </c>
      <c r="AK36" s="72">
        <f>F36*LeagueRatings!$K$27</f>
        <v>12.222222222222223</v>
      </c>
      <c r="AL36" s="72">
        <f>G36*LeagueRatings!$K$27</f>
        <v>0</v>
      </c>
      <c r="AM36" s="72">
        <f>T36*LeagueRatings!$K$27</f>
        <v>45.555555555555557</v>
      </c>
      <c r="AN36" s="24"/>
      <c r="AO36" s="72">
        <f>ROUNDUP(L36,0)</f>
        <v>19</v>
      </c>
      <c r="AP36" s="123"/>
      <c r="AQ36" s="123"/>
      <c r="AR36" s="123"/>
      <c r="AT36" s="71"/>
      <c r="AU36" s="71"/>
    </row>
    <row r="37" spans="1:47" s="24" customFormat="1" x14ac:dyDescent="0.2">
      <c r="A37" s="41" t="s">
        <v>334</v>
      </c>
      <c r="B37" s="202" t="s">
        <v>173</v>
      </c>
      <c r="C37" s="202">
        <v>0</v>
      </c>
      <c r="D37" s="202">
        <v>0</v>
      </c>
      <c r="E37" s="185">
        <v>1.5</v>
      </c>
      <c r="F37" s="202">
        <v>8</v>
      </c>
      <c r="G37" s="202">
        <v>0</v>
      </c>
      <c r="H37" s="202">
        <v>0</v>
      </c>
      <c r="I37" s="202">
        <v>0</v>
      </c>
      <c r="J37" s="202">
        <v>0</v>
      </c>
      <c r="K37" s="202">
        <v>0</v>
      </c>
      <c r="L37" s="185">
        <v>6</v>
      </c>
      <c r="M37" s="202">
        <v>5</v>
      </c>
      <c r="N37" s="202">
        <v>1</v>
      </c>
      <c r="O37" s="202">
        <v>1</v>
      </c>
      <c r="P37" s="202">
        <v>1</v>
      </c>
      <c r="Q37" s="202">
        <v>2</v>
      </c>
      <c r="R37" s="202">
        <v>0</v>
      </c>
      <c r="S37" s="202">
        <v>4</v>
      </c>
      <c r="T37" s="202">
        <v>25</v>
      </c>
      <c r="U37" s="76"/>
      <c r="V37" s="50">
        <f>+(Q37-R37)/(T37-R37)*100</f>
        <v>8</v>
      </c>
      <c r="W37" s="6">
        <f>IF(V37&lt;LeagueRatings!$K$21,((LeagueRatings!$K$21-V37)/LeagueRatings!$K$21)*36,(LeagueRatings!$K$21-V37)*6.48)</f>
        <v>3.8320676064215631</v>
      </c>
      <c r="X37" s="16">
        <f>INDEX('C-P-RollAdj'!$B$4:$B$76,MATCH(INT(W37),'C-P-RollAdj'!$A$4:$A$76,FALSE),0)</f>
        <v>-0.24</v>
      </c>
      <c r="Y37" s="16">
        <f>(P37/(T37-R37))*100</f>
        <v>4</v>
      </c>
      <c r="Z37" s="6">
        <f>IF(Y37&lt;LeagueRatings!$K$19,((LeagueRatings!$K$19-Y37)/LeagueRatings!$K$19)*36,(LeagueRatings!$K$19-Y37)/LeagueRatings!$K$22)</f>
        <v>-8.823336585365853</v>
      </c>
      <c r="AA37" s="16">
        <f>INDEX('C-P-RollAdj'!$F$4:$F$76,MATCH(INT(Z37),'C-P-RollAdj'!$E$4:$E$76,FALSE),0)</f>
        <v>0.81</v>
      </c>
      <c r="AB37" s="17">
        <f>+((LeagueRatings!$I$17-E37)*5)+9.5</f>
        <v>22.814387243706364</v>
      </c>
      <c r="AC37" s="17">
        <f>IF(AB37&lt;4,4,AB37)</f>
        <v>22.814387243706364</v>
      </c>
      <c r="AD37" s="17">
        <f>IF(M37&lt;L37,((1-(M37/L37))*7)-0.07,(1-(M37/L37))*5)</f>
        <v>1.0966666666666665</v>
      </c>
      <c r="AE37" s="4">
        <f>+X37+AA37+AC37+AD37</f>
        <v>24.481053910373031</v>
      </c>
      <c r="AG37" s="58">
        <v>24</v>
      </c>
      <c r="AH37" s="219">
        <f>INDEX('C-P-RollAdj'!$J$4:$J$76,MATCH(INT(W37),'C-P-RollAdj'!$I$4:$I$76,FALSE),0)</f>
        <v>13</v>
      </c>
      <c r="AI37" s="219">
        <f>INDEX('C-P-RollAdj'!$J$4:$J$76,MATCH(INT(Z37),'C-P-RollAdj'!$I$4:$I$76,FALSE),0)</f>
        <v>-23</v>
      </c>
      <c r="AJ37" s="14">
        <f>+AO37*LeagueRatings!$K$27</f>
        <v>3.3333333333333335</v>
      </c>
      <c r="AK37" s="72">
        <f>F37*LeagueRatings!$K$27</f>
        <v>4.4444444444444446</v>
      </c>
      <c r="AL37" s="72">
        <f>G37*LeagueRatings!$K$27</f>
        <v>0</v>
      </c>
      <c r="AM37" s="72">
        <f>T37*LeagueRatings!$K$27</f>
        <v>13.888888888888889</v>
      </c>
      <c r="AO37" s="14">
        <f>ROUNDUP(L37,0)</f>
        <v>6</v>
      </c>
    </row>
    <row r="38" spans="1:47" s="122" customFormat="1" x14ac:dyDescent="0.2">
      <c r="A38" s="9"/>
      <c r="B38" s="129"/>
      <c r="C38" s="205"/>
      <c r="D38" s="196"/>
      <c r="E38" s="205"/>
      <c r="F38" s="196"/>
      <c r="G38" s="196"/>
      <c r="H38" s="196"/>
      <c r="I38" s="206"/>
      <c r="J38" s="206"/>
      <c r="K38" s="206"/>
      <c r="L38" s="157">
        <f>(L36/100)/((L36+L37)/100)</f>
        <v>0.75678962302391561</v>
      </c>
      <c r="M38" s="146"/>
      <c r="N38" s="146"/>
      <c r="O38" s="146"/>
      <c r="P38" s="146"/>
      <c r="Q38" s="146"/>
      <c r="R38" s="146"/>
      <c r="S38" s="146"/>
      <c r="T38" s="158"/>
      <c r="U38" s="158"/>
      <c r="V38" s="153"/>
      <c r="W38" s="152">
        <f>W36*L38</f>
        <v>3.9609884159143145</v>
      </c>
      <c r="X38" s="153"/>
      <c r="Y38" s="153"/>
      <c r="Z38" s="152">
        <f>Z36*L38</f>
        <v>-3.0135554688604356</v>
      </c>
      <c r="AA38" s="153"/>
      <c r="AB38" s="103"/>
      <c r="AC38" s="103"/>
      <c r="AD38" s="103"/>
      <c r="AE38" s="154">
        <f>AE36*L38</f>
        <v>4.5270134037304057</v>
      </c>
      <c r="AF38" s="168"/>
      <c r="AG38" s="5"/>
      <c r="AH38" s="5"/>
      <c r="AI38" s="5"/>
      <c r="AJ38" s="103"/>
      <c r="AK38" s="72"/>
      <c r="AL38" s="72"/>
      <c r="AM38" s="72"/>
      <c r="AN38" s="30"/>
      <c r="AO38" s="14"/>
      <c r="AP38" s="123"/>
      <c r="AQ38" s="123"/>
      <c r="AR38" s="123"/>
      <c r="AT38" s="71"/>
      <c r="AU38" s="71"/>
    </row>
    <row r="39" spans="1:47" s="122" customFormat="1" x14ac:dyDescent="0.2">
      <c r="A39" s="9"/>
      <c r="B39" s="129"/>
      <c r="C39" s="205"/>
      <c r="D39" s="196"/>
      <c r="E39" s="205"/>
      <c r="F39" s="196"/>
      <c r="G39" s="196"/>
      <c r="H39" s="196"/>
      <c r="I39" s="206"/>
      <c r="J39" s="206"/>
      <c r="K39" s="206"/>
      <c r="L39" s="157">
        <f>(L37/100)/((L36+L37)/100)</f>
        <v>0.24321037697608427</v>
      </c>
      <c r="M39" s="146"/>
      <c r="N39" s="146"/>
      <c r="O39" s="146"/>
      <c r="P39" s="146"/>
      <c r="Q39" s="146"/>
      <c r="R39" s="146"/>
      <c r="S39" s="146"/>
      <c r="T39" s="158"/>
      <c r="U39" s="158"/>
      <c r="V39" s="153"/>
      <c r="W39" s="152">
        <f>W37*L39</f>
        <v>0.93199860715562932</v>
      </c>
      <c r="X39" s="153"/>
      <c r="Y39" s="153"/>
      <c r="Z39" s="152">
        <f>Z37*L39</f>
        <v>-2.1459270171137055</v>
      </c>
      <c r="AA39" s="153"/>
      <c r="AB39" s="103"/>
      <c r="AC39" s="103"/>
      <c r="AD39" s="103"/>
      <c r="AE39" s="154">
        <f>AE37*L39</f>
        <v>5.9540463503136669</v>
      </c>
      <c r="AF39" s="168"/>
      <c r="AG39" s="5"/>
      <c r="AH39" s="5"/>
      <c r="AI39" s="5"/>
      <c r="AJ39" s="103"/>
      <c r="AK39" s="72"/>
      <c r="AL39" s="72"/>
      <c r="AM39" s="72"/>
      <c r="AN39" s="30"/>
      <c r="AO39" s="14"/>
      <c r="AP39" s="123"/>
      <c r="AQ39" s="123"/>
      <c r="AR39" s="123"/>
      <c r="AT39" s="71"/>
      <c r="AU39" s="71"/>
    </row>
    <row r="40" spans="1:47" s="122" customFormat="1" x14ac:dyDescent="0.2">
      <c r="A40" s="9"/>
      <c r="B40" s="129"/>
      <c r="C40" s="205"/>
      <c r="D40" s="196"/>
      <c r="E40" s="205"/>
      <c r="F40" s="196"/>
      <c r="G40" s="196"/>
      <c r="H40" s="196"/>
      <c r="I40" s="206"/>
      <c r="J40" s="206"/>
      <c r="K40" s="206"/>
      <c r="L40" s="157"/>
      <c r="M40" s="146"/>
      <c r="N40" s="146"/>
      <c r="O40" s="146"/>
      <c r="P40" s="146"/>
      <c r="Q40" s="146"/>
      <c r="R40" s="146"/>
      <c r="S40" s="146"/>
      <c r="T40" s="158"/>
      <c r="U40" s="158"/>
      <c r="V40" s="153"/>
      <c r="W40" s="152">
        <f>SUM(W38:W39)</f>
        <v>4.8929870230699439</v>
      </c>
      <c r="X40" s="153"/>
      <c r="Y40" s="153"/>
      <c r="Z40" s="152">
        <f>SUM(Z38:Z39)</f>
        <v>-5.1594824859741415</v>
      </c>
      <c r="AA40" s="153"/>
      <c r="AB40" s="103"/>
      <c r="AC40" s="103"/>
      <c r="AD40" s="103"/>
      <c r="AE40" s="153">
        <f>SUM(AE38:AE39)</f>
        <v>10.481059754044072</v>
      </c>
      <c r="AF40" s="41" t="s">
        <v>334</v>
      </c>
      <c r="AG40" s="5" t="s">
        <v>39</v>
      </c>
      <c r="AH40" s="219">
        <f>INDEX('C-P-RollAdj'!$J$4:$J$76,MATCH(INT(W40),'C-P-RollAdj'!$I$4:$I$76,FALSE),0)</f>
        <v>14</v>
      </c>
      <c r="AI40" s="219">
        <f>INDEX('C-P-RollAdj'!$J$4:$J$76,MATCH(INT(Z40),'C-P-RollAdj'!$I$4:$I$76,FALSE),0)</f>
        <v>-16</v>
      </c>
      <c r="AJ40" s="174">
        <f>SUM(AJ36:AJ39)</f>
        <v>13.888888888888889</v>
      </c>
      <c r="AK40" s="14">
        <f>SUM(AK36:AK39)</f>
        <v>16.666666666666668</v>
      </c>
      <c r="AL40" s="14">
        <f>SUM(AL36:AL39)</f>
        <v>0</v>
      </c>
      <c r="AM40" s="14">
        <f>SUM(AM36:AM39)</f>
        <v>59.444444444444443</v>
      </c>
      <c r="AN40" s="30"/>
      <c r="AO40" s="14"/>
      <c r="AP40" s="123"/>
      <c r="AQ40" s="123"/>
      <c r="AR40" s="123"/>
      <c r="AT40" s="71"/>
      <c r="AU40" s="71"/>
    </row>
    <row r="41" spans="1:47" s="122" customFormat="1" x14ac:dyDescent="0.2">
      <c r="A41" s="204"/>
      <c r="B41" s="196"/>
      <c r="C41" s="205"/>
      <c r="D41" s="196"/>
      <c r="E41" s="205"/>
      <c r="F41" s="196"/>
      <c r="G41" s="196"/>
      <c r="H41" s="196"/>
      <c r="I41" s="206"/>
      <c r="J41" s="206"/>
      <c r="K41" s="206"/>
      <c r="L41" s="205"/>
      <c r="M41" s="196"/>
      <c r="N41" s="196"/>
      <c r="O41" s="196"/>
      <c r="P41" s="196"/>
      <c r="Q41" s="196"/>
      <c r="R41" s="196"/>
      <c r="S41" s="196"/>
      <c r="T41" s="196"/>
      <c r="U41" s="196"/>
      <c r="V41" s="207"/>
      <c r="W41" s="208"/>
      <c r="X41" s="209"/>
      <c r="Y41" s="210"/>
      <c r="Z41" s="208"/>
      <c r="AA41" s="209"/>
      <c r="AB41" s="211"/>
      <c r="AC41" s="211"/>
      <c r="AD41" s="211"/>
      <c r="AE41" s="212"/>
      <c r="AF41" s="213"/>
      <c r="AG41" s="214"/>
      <c r="AH41" s="214"/>
      <c r="AI41" s="214"/>
      <c r="AJ41" s="167"/>
      <c r="AK41" s="121"/>
      <c r="AL41" s="121"/>
      <c r="AM41" s="121"/>
      <c r="AO41" s="112"/>
      <c r="AP41" s="123"/>
      <c r="AQ41" s="123"/>
      <c r="AR41" s="123"/>
      <c r="AT41" s="71"/>
      <c r="AU41" s="71"/>
    </row>
    <row r="42" spans="1:47" s="122" customFormat="1" x14ac:dyDescent="0.2">
      <c r="A42" s="204" t="s">
        <v>1246</v>
      </c>
      <c r="B42" s="196" t="s">
        <v>665</v>
      </c>
      <c r="C42" s="202">
        <v>0</v>
      </c>
      <c r="D42" s="202">
        <v>0</v>
      </c>
      <c r="E42" s="185">
        <v>6</v>
      </c>
      <c r="F42" s="202">
        <v>5</v>
      </c>
      <c r="G42" s="202">
        <v>0</v>
      </c>
      <c r="H42" s="202">
        <v>0</v>
      </c>
      <c r="I42" s="202">
        <v>0</v>
      </c>
      <c r="J42" s="202">
        <v>0</v>
      </c>
      <c r="K42" s="202">
        <v>2</v>
      </c>
      <c r="L42" s="185">
        <v>3</v>
      </c>
      <c r="M42" s="202">
        <v>3</v>
      </c>
      <c r="N42" s="202">
        <v>2</v>
      </c>
      <c r="O42" s="202">
        <v>2</v>
      </c>
      <c r="P42" s="202">
        <v>1</v>
      </c>
      <c r="Q42" s="202">
        <v>2</v>
      </c>
      <c r="R42" s="202">
        <v>0</v>
      </c>
      <c r="S42" s="202">
        <v>4</v>
      </c>
      <c r="T42" s="202">
        <v>15</v>
      </c>
      <c r="U42" s="196"/>
      <c r="V42" s="50">
        <f>+(Q42-R42)/(T42-R42)*100</f>
        <v>13.333333333333334</v>
      </c>
      <c r="W42" s="6">
        <f>IF(V42&lt;LeagueRatings!$K$21,((LeagueRatings!$K$21-V42)/LeagueRatings!$K$21)*36,(LeagueRatings!$K$21-V42)*6.48)</f>
        <v>-28.384459020668974</v>
      </c>
      <c r="X42" s="16">
        <f>INDEX('C-P-RollAdj'!$B$4:$B$76,MATCH(INT(W42),'C-P-RollAdj'!$A$4:$A$76,FALSE),0)</f>
        <v>3.99</v>
      </c>
      <c r="Y42" s="16">
        <f>(P42/(T42-R42))*100</f>
        <v>6.666666666666667</v>
      </c>
      <c r="Z42" s="6">
        <f>IF(Y42&lt;LeagueRatings!$K$19,((LeagueRatings!$K$19-Y42)/LeagueRatings!$K$19)*36,(LeagueRatings!$K$19-Y42)/LeagueRatings!$K$22)</f>
        <v>-30.369951219512199</v>
      </c>
      <c r="AA42" s="16">
        <f>INDEX('C-P-RollAdj'!$F$4:$F$76,MATCH(INT(Z42),'C-P-RollAdj'!$E$4:$E$76,FALSE),0)</f>
        <v>3.93</v>
      </c>
      <c r="AB42" s="17">
        <f>+((LeagueRatings!$I$17-E42)*5)+9.5</f>
        <v>0.31438724370636351</v>
      </c>
      <c r="AC42" s="17">
        <f>IF(AB42&lt;4,4,AB42)</f>
        <v>4</v>
      </c>
      <c r="AD42" s="17">
        <f>IF(M42&lt;L42,((1-(M42/L42))*7)-0.07,(1-(M42/L42))*5)</f>
        <v>0</v>
      </c>
      <c r="AE42" s="4">
        <f>+X42+AA42+AC42+AD42</f>
        <v>11.92</v>
      </c>
      <c r="AF42" s="24"/>
      <c r="AG42" s="58">
        <v>13</v>
      </c>
      <c r="AH42" s="219">
        <f>INDEX('C-P-RollAdj'!$J$4:$J$76,MATCH(INT(W42),'C-P-RollAdj'!$I$4:$I$76,FALSE),0)</f>
        <v>-55</v>
      </c>
      <c r="AI42" s="219">
        <f>INDEX('C-P-RollAdj'!$J$4:$J$76,MATCH(INT(Z42),'C-P-RollAdj'!$I$4:$I$76,FALSE),0)</f>
        <v>-61</v>
      </c>
      <c r="AJ42" s="14">
        <f>+AO42*LeagueRatings!$K$27</f>
        <v>1.6666666666666667</v>
      </c>
      <c r="AK42" s="72">
        <f>F42*LeagueRatings!$K$27</f>
        <v>2.7777777777777777</v>
      </c>
      <c r="AL42" s="72">
        <f>G42*LeagueRatings!$K$27</f>
        <v>0</v>
      </c>
      <c r="AM42" s="72">
        <f>T42*LeagueRatings!$K$27</f>
        <v>8.3333333333333339</v>
      </c>
      <c r="AN42" s="24"/>
      <c r="AO42" s="14">
        <f>ROUNDUP(L42,0)</f>
        <v>3</v>
      </c>
      <c r="AP42" s="123"/>
      <c r="AQ42" s="123"/>
      <c r="AR42" s="123"/>
      <c r="AT42" s="71"/>
      <c r="AU42" s="71"/>
    </row>
    <row r="43" spans="1:47" s="24" customFormat="1" x14ac:dyDescent="0.2">
      <c r="A43" s="41" t="s">
        <v>472</v>
      </c>
      <c r="B43" s="202" t="s">
        <v>144</v>
      </c>
      <c r="C43" s="202">
        <v>4</v>
      </c>
      <c r="D43" s="202">
        <v>1</v>
      </c>
      <c r="E43" s="185">
        <v>2.09</v>
      </c>
      <c r="F43" s="202">
        <v>61</v>
      </c>
      <c r="G43" s="202">
        <v>0</v>
      </c>
      <c r="H43" s="202">
        <v>0</v>
      </c>
      <c r="I43" s="202">
        <v>0</v>
      </c>
      <c r="J43" s="202">
        <v>1</v>
      </c>
      <c r="K43" s="202">
        <v>1</v>
      </c>
      <c r="L43" s="185">
        <v>43</v>
      </c>
      <c r="M43" s="202">
        <v>37</v>
      </c>
      <c r="N43" s="202">
        <v>11</v>
      </c>
      <c r="O43" s="202">
        <v>10</v>
      </c>
      <c r="P43" s="202">
        <v>3</v>
      </c>
      <c r="Q43" s="202">
        <v>12</v>
      </c>
      <c r="R43" s="202">
        <v>2</v>
      </c>
      <c r="S43" s="202">
        <v>43</v>
      </c>
      <c r="T43" s="202">
        <v>174</v>
      </c>
      <c r="U43" s="76"/>
      <c r="V43" s="50">
        <f>+(Q43-R43)/(T43-R43)*100</f>
        <v>5.8139534883720927</v>
      </c>
      <c r="W43" s="6">
        <f>IF(V43&lt;LeagueRatings!$K$10,((LeagueRatings!$K$10-V43)/LeagueRatings!$K$10)*36,(LeagueRatings!$K$10-V43)*6.48)</f>
        <v>11.852217171491954</v>
      </c>
      <c r="X43" s="16">
        <f>INDEX('C-P-RollAdj'!$B$4:$B$76,MATCH(INT(W43),'C-P-RollAdj'!$A$4:$A$76,FALSE),0)</f>
        <v>-0.92</v>
      </c>
      <c r="Y43" s="16">
        <f>(P43/(T43-R43))*100</f>
        <v>1.7441860465116279</v>
      </c>
      <c r="Z43" s="6">
        <f>IF(Y43&lt;LeagueRatings!$K$8,((LeagueRatings!$K$8-Y43)/LeagueRatings!$K$8)*36,(LeagueRatings!$K$8-Y43)/LeagueRatings!$K$11)</f>
        <v>16.391496647167926</v>
      </c>
      <c r="AA43" s="16">
        <f>INDEX('C-P-RollAdj'!$F$4:$F$76,MATCH(INT(Z43),'C-P-RollAdj'!$E$4:$E$76,FALSE),0)</f>
        <v>-1.23</v>
      </c>
      <c r="AB43" s="17">
        <f>+((LeagueRatings!$I$6-E43)*5)+9.5</f>
        <v>20.058051455277404</v>
      </c>
      <c r="AC43" s="17">
        <f>IF(AB43&lt;4,4,AB43)</f>
        <v>20.058051455277404</v>
      </c>
      <c r="AD43" s="17">
        <f>IF(M43&lt;L43,((1-(M43/L43))*7)-0.07,(1-(M43/L43))*5)</f>
        <v>0.90674418604651175</v>
      </c>
      <c r="AE43" s="4">
        <f>+X43+AA43+AC43+AD43</f>
        <v>18.814795641323919</v>
      </c>
      <c r="AG43" s="94" t="s">
        <v>63</v>
      </c>
      <c r="AH43" s="219">
        <f>INDEX('C-P-RollAdj'!$J$4:$J$76,MATCH(INT(W43),'C-P-RollAdj'!$I$4:$I$76,FALSE),0)</f>
        <v>25</v>
      </c>
      <c r="AI43" s="219">
        <f>INDEX('C-P-RollAdj'!$J$4:$J$76,MATCH(INT(Z43),'C-P-RollAdj'!$I$4:$I$76,FALSE),0)</f>
        <v>34</v>
      </c>
      <c r="AJ43" s="14">
        <f>+AO43*LeagueRatings!$K$27</f>
        <v>23.888888888888889</v>
      </c>
      <c r="AK43" s="72">
        <f>F43*LeagueRatings!$K$27</f>
        <v>33.888888888888893</v>
      </c>
      <c r="AL43" s="72">
        <f>G43*LeagueRatings!$K$27</f>
        <v>0</v>
      </c>
      <c r="AM43" s="72">
        <f>T43*LeagueRatings!$K$27</f>
        <v>96.666666666666671</v>
      </c>
      <c r="AN43" s="76"/>
      <c r="AO43" s="72">
        <f>ROUNDUP(L43,0)</f>
        <v>43</v>
      </c>
      <c r="AP43" s="113"/>
      <c r="AQ43" s="113"/>
      <c r="AR43" s="113"/>
      <c r="AS43" s="76"/>
      <c r="AT43" s="97">
        <v>174</v>
      </c>
      <c r="AU43" s="23"/>
    </row>
    <row r="44" spans="1:47" s="122" customFormat="1" x14ac:dyDescent="0.2">
      <c r="A44" s="9"/>
      <c r="B44" s="129"/>
      <c r="C44" s="205"/>
      <c r="D44" s="196"/>
      <c r="E44" s="205"/>
      <c r="F44" s="196"/>
      <c r="G44" s="196"/>
      <c r="H44" s="196"/>
      <c r="I44" s="206"/>
      <c r="J44" s="206"/>
      <c r="K44" s="206"/>
      <c r="L44" s="157">
        <f>(L42/100)/((L42+L43)/100)</f>
        <v>6.5217391304347824E-2</v>
      </c>
      <c r="M44" s="146"/>
      <c r="N44" s="146"/>
      <c r="O44" s="146"/>
      <c r="P44" s="146"/>
      <c r="Q44" s="146"/>
      <c r="R44" s="146"/>
      <c r="S44" s="146"/>
      <c r="T44" s="158"/>
      <c r="U44" s="158"/>
      <c r="V44" s="153"/>
      <c r="W44" s="152">
        <f>W42*L44</f>
        <v>-1.8511603709131939</v>
      </c>
      <c r="X44" s="153"/>
      <c r="Y44" s="153"/>
      <c r="Z44" s="152">
        <f>Z42*L44</f>
        <v>-1.9806489925768824</v>
      </c>
      <c r="AA44" s="153"/>
      <c r="AB44" s="103"/>
      <c r="AC44" s="103"/>
      <c r="AD44" s="103"/>
      <c r="AE44" s="154">
        <f>AE42*L44</f>
        <v>0.77739130434782611</v>
      </c>
      <c r="AF44" s="168"/>
      <c r="AG44" s="5"/>
      <c r="AH44" s="5"/>
      <c r="AI44" s="5"/>
      <c r="AJ44" s="103"/>
      <c r="AK44" s="72"/>
      <c r="AL44" s="72"/>
      <c r="AM44" s="72"/>
      <c r="AN44" s="30"/>
      <c r="AO44" s="14"/>
      <c r="AP44" s="123"/>
      <c r="AQ44" s="123"/>
      <c r="AR44" s="123"/>
      <c r="AT44" s="71"/>
      <c r="AU44" s="71"/>
    </row>
    <row r="45" spans="1:47" s="122" customFormat="1" x14ac:dyDescent="0.2">
      <c r="A45" s="9"/>
      <c r="B45" s="129"/>
      <c r="C45" s="205"/>
      <c r="D45" s="196"/>
      <c r="E45" s="205"/>
      <c r="F45" s="196"/>
      <c r="G45" s="196"/>
      <c r="H45" s="196"/>
      <c r="I45" s="206"/>
      <c r="J45" s="206"/>
      <c r="K45" s="206"/>
      <c r="L45" s="157">
        <f>(L43/100)/((L42+L43)/100)</f>
        <v>0.93478260869565211</v>
      </c>
      <c r="M45" s="146"/>
      <c r="N45" s="146"/>
      <c r="O45" s="146"/>
      <c r="P45" s="146"/>
      <c r="Q45" s="146"/>
      <c r="R45" s="146"/>
      <c r="S45" s="146"/>
      <c r="T45" s="158"/>
      <c r="U45" s="158"/>
      <c r="V45" s="153"/>
      <c r="W45" s="152">
        <f>W43*L45</f>
        <v>11.079246486394652</v>
      </c>
      <c r="X45" s="153"/>
      <c r="Y45" s="153"/>
      <c r="Z45" s="152">
        <f>Z43*L45</f>
        <v>15.322485996265669</v>
      </c>
      <c r="AA45" s="153"/>
      <c r="AB45" s="103"/>
      <c r="AC45" s="103"/>
      <c r="AD45" s="103"/>
      <c r="AE45" s="154">
        <f>AE43*L45</f>
        <v>17.587743751672356</v>
      </c>
      <c r="AF45" s="168"/>
      <c r="AG45" s="5"/>
      <c r="AH45" s="5"/>
      <c r="AI45" s="5"/>
      <c r="AJ45" s="103"/>
      <c r="AK45" s="72"/>
      <c r="AL45" s="72"/>
      <c r="AM45" s="72"/>
      <c r="AN45" s="30"/>
      <c r="AO45" s="14"/>
      <c r="AP45" s="123"/>
      <c r="AQ45" s="123"/>
      <c r="AR45" s="123"/>
      <c r="AT45" s="71"/>
      <c r="AU45" s="71"/>
    </row>
    <row r="46" spans="1:47" s="122" customFormat="1" x14ac:dyDescent="0.2">
      <c r="A46" s="9"/>
      <c r="B46" s="129"/>
      <c r="C46" s="205"/>
      <c r="D46" s="196"/>
      <c r="E46" s="205"/>
      <c r="F46" s="196"/>
      <c r="G46" s="196"/>
      <c r="H46" s="196"/>
      <c r="I46" s="206"/>
      <c r="J46" s="206"/>
      <c r="K46" s="206"/>
      <c r="L46" s="157"/>
      <c r="M46" s="146"/>
      <c r="N46" s="146"/>
      <c r="O46" s="146"/>
      <c r="P46" s="146"/>
      <c r="Q46" s="146"/>
      <c r="R46" s="146"/>
      <c r="S46" s="146"/>
      <c r="T46" s="158"/>
      <c r="U46" s="158"/>
      <c r="V46" s="153"/>
      <c r="W46" s="152">
        <f>SUM(W44:W45)</f>
        <v>9.2280861154814584</v>
      </c>
      <c r="X46" s="153"/>
      <c r="Y46" s="153"/>
      <c r="Z46" s="152">
        <f>SUM(Z44:Z45)</f>
        <v>13.341837003688788</v>
      </c>
      <c r="AA46" s="153"/>
      <c r="AB46" s="103"/>
      <c r="AC46" s="103"/>
      <c r="AD46" s="103"/>
      <c r="AE46" s="153">
        <f>SUM(AE44:AE45)</f>
        <v>18.365135056020183</v>
      </c>
      <c r="AF46" s="41" t="s">
        <v>472</v>
      </c>
      <c r="AG46" s="5" t="s">
        <v>63</v>
      </c>
      <c r="AH46" s="219">
        <f>INDEX('C-P-RollAdj'!$J$4:$J$76,MATCH(INT(W46),'C-P-RollAdj'!$I$4:$I$76,FALSE),0)</f>
        <v>23</v>
      </c>
      <c r="AI46" s="219">
        <f>INDEX('C-P-RollAdj'!$J$4:$J$76,MATCH(INT(Z46),'C-P-RollAdj'!$I$4:$I$76,FALSE),0)</f>
        <v>31</v>
      </c>
      <c r="AJ46" s="174">
        <f>SUM(AJ42:AJ45)</f>
        <v>25.555555555555557</v>
      </c>
      <c r="AK46" s="14">
        <f>SUM(AK42:AK45)</f>
        <v>36.666666666666671</v>
      </c>
      <c r="AL46" s="14">
        <f>SUM(AL42:AL45)</f>
        <v>0</v>
      </c>
      <c r="AM46" s="14">
        <f>SUM(AM42:AM45)</f>
        <v>105</v>
      </c>
      <c r="AN46" s="30"/>
      <c r="AO46" s="14"/>
      <c r="AP46" s="123"/>
      <c r="AQ46" s="123"/>
      <c r="AR46" s="123"/>
      <c r="AT46" s="71"/>
      <c r="AU46" s="71"/>
    </row>
    <row r="47" spans="1:47" s="122" customFormat="1" x14ac:dyDescent="0.2">
      <c r="A47" s="146"/>
      <c r="B47" s="155"/>
      <c r="C47" s="205"/>
      <c r="D47" s="196"/>
      <c r="E47" s="205"/>
      <c r="F47" s="196"/>
      <c r="G47" s="196"/>
      <c r="H47" s="196"/>
      <c r="I47" s="206"/>
      <c r="J47" s="206"/>
      <c r="K47" s="206"/>
      <c r="L47" s="205"/>
      <c r="M47" s="196"/>
      <c r="N47" s="196"/>
      <c r="O47" s="196"/>
      <c r="P47" s="196"/>
      <c r="Q47" s="196"/>
      <c r="R47" s="196"/>
      <c r="S47" s="196"/>
      <c r="T47" s="196"/>
      <c r="U47" s="196"/>
      <c r="V47" s="207"/>
      <c r="W47" s="208"/>
      <c r="X47" s="209"/>
      <c r="Y47" s="210"/>
      <c r="Z47" s="208"/>
      <c r="AA47" s="209"/>
      <c r="AB47" s="211"/>
      <c r="AC47" s="211"/>
      <c r="AD47" s="211"/>
      <c r="AE47" s="212"/>
      <c r="AF47" s="213"/>
      <c r="AG47" s="214"/>
      <c r="AH47" s="214"/>
      <c r="AI47" s="214"/>
      <c r="AJ47" s="167"/>
      <c r="AK47" s="121"/>
      <c r="AL47" s="121"/>
      <c r="AM47" s="121"/>
      <c r="AO47" s="112"/>
      <c r="AP47" s="123"/>
      <c r="AQ47" s="123"/>
      <c r="AR47" s="123"/>
      <c r="AT47" s="71"/>
      <c r="AU47" s="71"/>
    </row>
    <row r="48" spans="1:47" s="122" customFormat="1" x14ac:dyDescent="0.2">
      <c r="A48" s="155" t="s">
        <v>855</v>
      </c>
      <c r="B48" s="155" t="s">
        <v>149</v>
      </c>
      <c r="C48" s="202">
        <v>0</v>
      </c>
      <c r="D48" s="202">
        <v>2</v>
      </c>
      <c r="E48" s="185">
        <v>4.09</v>
      </c>
      <c r="F48" s="202">
        <v>30</v>
      </c>
      <c r="G48" s="202">
        <v>0</v>
      </c>
      <c r="H48" s="202">
        <v>0</v>
      </c>
      <c r="I48" s="202">
        <v>0</v>
      </c>
      <c r="J48" s="202">
        <v>0</v>
      </c>
      <c r="K48" s="202">
        <v>2</v>
      </c>
      <c r="L48" s="185">
        <v>22</v>
      </c>
      <c r="M48" s="202">
        <v>32</v>
      </c>
      <c r="N48" s="202">
        <v>15</v>
      </c>
      <c r="O48" s="202">
        <v>10</v>
      </c>
      <c r="P48" s="202">
        <v>5</v>
      </c>
      <c r="Q48" s="202">
        <v>5</v>
      </c>
      <c r="R48" s="202">
        <v>0</v>
      </c>
      <c r="S48" s="202">
        <v>15</v>
      </c>
      <c r="T48" s="202">
        <v>101</v>
      </c>
      <c r="U48" s="196"/>
      <c r="V48" s="50">
        <f>+(Q48-R48)/(T48-R48)*100</f>
        <v>4.9504950495049505</v>
      </c>
      <c r="W48" s="6">
        <f>IF(V48&lt;LeagueRatings!$K$10,((LeagueRatings!$K$10-V48)/LeagueRatings!$K$10)*36,(LeagueRatings!$K$10-V48)*6.48)</f>
        <v>15.438521551963445</v>
      </c>
      <c r="X48" s="16">
        <v>4.4400000000000004</v>
      </c>
      <c r="Y48" s="16">
        <f>(P48/(T48-R48))*100</f>
        <v>4.9504950495049505</v>
      </c>
      <c r="Z48" s="6">
        <f>IF(Y48&lt;LeagueRatings!$K$8,((LeagueRatings!$K$8-Y48)/LeagueRatings!$K$8)*36,(LeagueRatings!$K$8-Y48)/LeagueRatings!$K$11)</f>
        <v>-13.882112910376255</v>
      </c>
      <c r="AA48" s="16">
        <f>INDEX('C-P-RollAdj'!$F$4:$F$76,MATCH(INT(Z48),'C-P-RollAdj'!$E$4:$E$76,FALSE),0)</f>
        <v>1.38</v>
      </c>
      <c r="AB48" s="17">
        <f>+((LeagueRatings!$I$6-E48)*5)+9.5</f>
        <v>10.058051455277404</v>
      </c>
      <c r="AC48" s="17">
        <f>IF(AB48&lt;4,4,AB48)</f>
        <v>10.058051455277404</v>
      </c>
      <c r="AD48" s="17">
        <f>IF(M48&lt;L48,((1-(M48/L48))*7)-0.07,(1-(M48/L48))*5)</f>
        <v>-2.2727272727272729</v>
      </c>
      <c r="AE48" s="4">
        <f>+X48+AA48+AC48+AD48</f>
        <v>13.605324182550131</v>
      </c>
      <c r="AF48" s="213"/>
      <c r="AG48" s="7" t="s">
        <v>16</v>
      </c>
      <c r="AH48" s="219">
        <v>-67</v>
      </c>
      <c r="AI48" s="219">
        <f>INDEX('C-P-RollAdj'!$J$4:$J$76,MATCH(INT(Z48),'C-P-RollAdj'!$I$4:$I$76,FALSE),0)</f>
        <v>-32</v>
      </c>
      <c r="AJ48" s="14">
        <f>+AO48*LeagueRatings!$K$27</f>
        <v>12.222222222222223</v>
      </c>
      <c r="AK48" s="72">
        <f>F48*LeagueRatings!$K$27</f>
        <v>16.666666666666668</v>
      </c>
      <c r="AL48" s="72">
        <f>G48*LeagueRatings!$K$27</f>
        <v>0</v>
      </c>
      <c r="AM48" s="72">
        <f>T48*LeagueRatings!$K$27</f>
        <v>56.111111111111114</v>
      </c>
      <c r="AN48" s="26"/>
      <c r="AO48" s="72">
        <f>ROUNDUP(L48,0)</f>
        <v>22</v>
      </c>
      <c r="AP48" s="123"/>
      <c r="AQ48" s="123"/>
      <c r="AR48" s="123"/>
      <c r="AT48" s="71"/>
      <c r="AU48" s="71"/>
    </row>
    <row r="49" spans="1:47" s="122" customFormat="1" x14ac:dyDescent="0.2">
      <c r="A49" s="41" t="s">
        <v>589</v>
      </c>
      <c r="B49" s="202" t="s">
        <v>150</v>
      </c>
      <c r="C49" s="202">
        <v>0</v>
      </c>
      <c r="D49" s="202">
        <v>0</v>
      </c>
      <c r="E49" s="185">
        <v>7.94</v>
      </c>
      <c r="F49" s="202">
        <v>6</v>
      </c>
      <c r="G49" s="202">
        <v>0</v>
      </c>
      <c r="H49" s="202">
        <v>0</v>
      </c>
      <c r="I49" s="202">
        <v>0</v>
      </c>
      <c r="J49" s="202">
        <v>0</v>
      </c>
      <c r="K49" s="202">
        <v>0</v>
      </c>
      <c r="L49" s="185">
        <v>5.67</v>
      </c>
      <c r="M49" s="202">
        <v>6</v>
      </c>
      <c r="N49" s="202">
        <v>5</v>
      </c>
      <c r="O49" s="202">
        <v>5</v>
      </c>
      <c r="P49" s="202">
        <v>1</v>
      </c>
      <c r="Q49" s="202">
        <v>4</v>
      </c>
      <c r="R49" s="202">
        <v>0</v>
      </c>
      <c r="S49" s="202">
        <v>8</v>
      </c>
      <c r="T49" s="202">
        <v>27</v>
      </c>
      <c r="U49" s="76"/>
      <c r="V49" s="50">
        <f>+(Q49-R49)/(T49-R49)*100</f>
        <v>14.814814814814813</v>
      </c>
      <c r="W49" s="6">
        <f>IF(V49&lt;LeagueRatings!$K$10,((LeagueRatings!$K$10-V49)/LeagueRatings!$K$10)*36,(LeagueRatings!$K$10-V49)*6.48)</f>
        <v>-39.834219505806331</v>
      </c>
      <c r="X49" s="16">
        <v>5.44</v>
      </c>
      <c r="Y49" s="16">
        <f>(P49/(T49-R49))*100</f>
        <v>3.7037037037037033</v>
      </c>
      <c r="Z49" s="6">
        <f>IF(Y49&lt;LeagueRatings!$K$8,((LeagueRatings!$K$8-Y49)/LeagueRatings!$K$8)*36,(LeagueRatings!$K$8-Y49)/LeagueRatings!$K$11)</f>
        <v>-3.9820253570855355</v>
      </c>
      <c r="AA49" s="16">
        <f>INDEX('C-P-RollAdj'!$F$4:$F$76,MATCH(INT(Z49),'C-P-RollAdj'!$E$4:$E$76,FALSE),0)</f>
        <v>0.32999999999999996</v>
      </c>
      <c r="AB49" s="17">
        <f>+((LeagueRatings!$I$6-E49)*5)+9.5</f>
        <v>-9.1919485447225995</v>
      </c>
      <c r="AC49" s="17">
        <f>IF(AB49&lt;4,4,AB49)</f>
        <v>4</v>
      </c>
      <c r="AD49" s="17">
        <f>IF(M49&lt;L49,((1-(M49/L49))*7)-0.07,(1-(M49/L49))*5)</f>
        <v>-0.29100529100529071</v>
      </c>
      <c r="AE49" s="4">
        <f>+X49+AA49+AC49+AD49</f>
        <v>9.4789947089947084</v>
      </c>
      <c r="AG49" s="5" t="s">
        <v>39</v>
      </c>
      <c r="AH49" s="219">
        <v>-66</v>
      </c>
      <c r="AI49" s="219">
        <f>INDEX('C-P-RollAdj'!$J$4:$J$76,MATCH(INT(Z49),'C-P-RollAdj'!$I$4:$I$76,FALSE),0)</f>
        <v>-14</v>
      </c>
      <c r="AJ49" s="14">
        <f>+AO49*LeagueRatings!$K$27</f>
        <v>3.3333333333333335</v>
      </c>
      <c r="AK49" s="72">
        <f>F49*LeagueRatings!$K$27</f>
        <v>3.3333333333333335</v>
      </c>
      <c r="AL49" s="72">
        <f>G49*LeagueRatings!$K$27</f>
        <v>0</v>
      </c>
      <c r="AM49" s="72">
        <f>T49*LeagueRatings!$K$27</f>
        <v>15</v>
      </c>
      <c r="AN49" s="26"/>
      <c r="AO49" s="72">
        <f>ROUNDUP(L49,0)</f>
        <v>6</v>
      </c>
      <c r="AP49" s="113"/>
      <c r="AQ49" s="113"/>
      <c r="AR49" s="113"/>
      <c r="AS49" s="26"/>
      <c r="AT49" s="97">
        <v>121</v>
      </c>
      <c r="AU49" s="26"/>
    </row>
    <row r="50" spans="1:47" s="122" customFormat="1" x14ac:dyDescent="0.2">
      <c r="A50" s="9"/>
      <c r="B50" s="129"/>
      <c r="C50" s="205"/>
      <c r="D50" s="196"/>
      <c r="E50" s="205"/>
      <c r="F50" s="196"/>
      <c r="G50" s="196"/>
      <c r="H50" s="196"/>
      <c r="I50" s="206"/>
      <c r="J50" s="206"/>
      <c r="K50" s="206"/>
      <c r="L50" s="157">
        <f>(L48/100)/((L48+L49)/100)</f>
        <v>0.79508492952656307</v>
      </c>
      <c r="M50" s="146"/>
      <c r="N50" s="146"/>
      <c r="O50" s="146"/>
      <c r="P50" s="146"/>
      <c r="Q50" s="146"/>
      <c r="R50" s="146"/>
      <c r="S50" s="146"/>
      <c r="T50" s="158"/>
      <c r="U50" s="158"/>
      <c r="V50" s="153"/>
      <c r="W50" s="152">
        <f>W48*L50</f>
        <v>12.274935820137181</v>
      </c>
      <c r="X50" s="153"/>
      <c r="Y50" s="153"/>
      <c r="Z50" s="152">
        <f>Z48*L50</f>
        <v>-11.037458765026296</v>
      </c>
      <c r="AA50" s="153"/>
      <c r="AB50" s="103"/>
      <c r="AC50" s="103"/>
      <c r="AD50" s="103"/>
      <c r="AE50" s="154">
        <f>AE48*L50</f>
        <v>10.817388218868915</v>
      </c>
      <c r="AF50" s="168"/>
      <c r="AG50" s="5"/>
      <c r="AH50" s="5"/>
      <c r="AI50" s="5"/>
      <c r="AJ50" s="103"/>
      <c r="AK50" s="72"/>
      <c r="AL50" s="72"/>
      <c r="AM50" s="72"/>
      <c r="AN50" s="30"/>
      <c r="AO50" s="14"/>
      <c r="AP50" s="123"/>
      <c r="AQ50" s="123"/>
      <c r="AR50" s="123"/>
      <c r="AT50" s="71"/>
      <c r="AU50" s="71"/>
    </row>
    <row r="51" spans="1:47" s="122" customFormat="1" x14ac:dyDescent="0.2">
      <c r="A51" s="9"/>
      <c r="B51" s="129"/>
      <c r="C51" s="205"/>
      <c r="D51" s="196"/>
      <c r="E51" s="205"/>
      <c r="F51" s="196"/>
      <c r="G51" s="196"/>
      <c r="H51" s="196"/>
      <c r="I51" s="206"/>
      <c r="J51" s="206"/>
      <c r="K51" s="206"/>
      <c r="L51" s="157">
        <f>(L49/100)/((L48+L49)/100)</f>
        <v>0.20491507047343693</v>
      </c>
      <c r="M51" s="146"/>
      <c r="N51" s="146"/>
      <c r="O51" s="146"/>
      <c r="P51" s="146"/>
      <c r="Q51" s="146"/>
      <c r="R51" s="146"/>
      <c r="S51" s="146"/>
      <c r="T51" s="158"/>
      <c r="U51" s="158"/>
      <c r="V51" s="153"/>
      <c r="W51" s="152">
        <f>W49*L51</f>
        <v>-8.1626318972866603</v>
      </c>
      <c r="X51" s="153"/>
      <c r="Y51" s="153"/>
      <c r="Z51" s="152">
        <f>Z49*L51</f>
        <v>-0.81597700667419537</v>
      </c>
      <c r="AA51" s="153"/>
      <c r="AB51" s="103"/>
      <c r="AC51" s="103"/>
      <c r="AD51" s="103"/>
      <c r="AE51" s="154">
        <f>AE49*L51</f>
        <v>1.9423888688109865</v>
      </c>
      <c r="AF51" s="168"/>
      <c r="AG51" s="5"/>
      <c r="AH51" s="5"/>
      <c r="AI51" s="5"/>
      <c r="AJ51" s="103"/>
      <c r="AK51" s="72"/>
      <c r="AL51" s="72"/>
      <c r="AM51" s="72"/>
      <c r="AN51" s="30"/>
      <c r="AO51" s="14"/>
      <c r="AP51" s="123"/>
      <c r="AQ51" s="123"/>
      <c r="AR51" s="123"/>
      <c r="AT51" s="71"/>
      <c r="AU51" s="71"/>
    </row>
    <row r="52" spans="1:47" s="122" customFormat="1" x14ac:dyDescent="0.2">
      <c r="A52" s="9"/>
      <c r="B52" s="129"/>
      <c r="C52" s="205"/>
      <c r="D52" s="196"/>
      <c r="E52" s="205"/>
      <c r="F52" s="196"/>
      <c r="G52" s="196"/>
      <c r="H52" s="196"/>
      <c r="I52" s="206"/>
      <c r="J52" s="206"/>
      <c r="K52" s="206"/>
      <c r="L52" s="157"/>
      <c r="M52" s="146"/>
      <c r="N52" s="146"/>
      <c r="O52" s="146"/>
      <c r="P52" s="146"/>
      <c r="Q52" s="146"/>
      <c r="R52" s="146"/>
      <c r="S52" s="146"/>
      <c r="T52" s="158"/>
      <c r="U52" s="158"/>
      <c r="V52" s="153"/>
      <c r="W52" s="152">
        <f>SUM(W50:W51)</f>
        <v>4.1123039228505203</v>
      </c>
      <c r="X52" s="153"/>
      <c r="Y52" s="153"/>
      <c r="Z52" s="152">
        <f>SUM(Z50:Z51)</f>
        <v>-11.853435771700491</v>
      </c>
      <c r="AA52" s="153"/>
      <c r="AB52" s="103"/>
      <c r="AC52" s="103"/>
      <c r="AD52" s="103"/>
      <c r="AE52" s="153">
        <f>SUM(AE50:AE51)</f>
        <v>12.759777087679902</v>
      </c>
      <c r="AF52" s="41" t="s">
        <v>589</v>
      </c>
      <c r="AG52" s="5" t="s">
        <v>16</v>
      </c>
      <c r="AH52" s="219">
        <f>INDEX('C-P-RollAdj'!$J$4:$J$76,MATCH(INT(W52),'C-P-RollAdj'!$I$4:$I$76,FALSE),0)</f>
        <v>14</v>
      </c>
      <c r="AI52" s="219">
        <f>INDEX('C-P-RollAdj'!$J$4:$J$76,MATCH(INT(Z52),'C-P-RollAdj'!$I$4:$I$76,FALSE),0)</f>
        <v>-26</v>
      </c>
      <c r="AJ52" s="174">
        <f>SUM(AJ48:AJ51)</f>
        <v>15.555555555555557</v>
      </c>
      <c r="AK52" s="14">
        <f>SUM(AK48:AK51)</f>
        <v>20</v>
      </c>
      <c r="AL52" s="14">
        <f>SUM(AL48:AL51)</f>
        <v>0</v>
      </c>
      <c r="AM52" s="14">
        <f>SUM(AM48:AM51)</f>
        <v>71.111111111111114</v>
      </c>
      <c r="AN52" s="30"/>
      <c r="AO52" s="14"/>
      <c r="AP52" s="123"/>
      <c r="AQ52" s="123"/>
      <c r="AR52" s="123"/>
      <c r="AT52" s="71"/>
      <c r="AU52" s="71"/>
    </row>
    <row r="53" spans="1:47" s="122" customFormat="1" x14ac:dyDescent="0.2">
      <c r="A53" s="146"/>
      <c r="B53" s="155"/>
      <c r="C53" s="205"/>
      <c r="D53" s="196"/>
      <c r="E53" s="205"/>
      <c r="F53" s="196"/>
      <c r="G53" s="196"/>
      <c r="H53" s="196"/>
      <c r="I53" s="206"/>
      <c r="J53" s="206"/>
      <c r="K53" s="206"/>
      <c r="L53" s="205"/>
      <c r="M53" s="196"/>
      <c r="N53" s="196"/>
      <c r="O53" s="196"/>
      <c r="P53" s="196"/>
      <c r="Q53" s="196"/>
      <c r="R53" s="196"/>
      <c r="S53" s="196"/>
      <c r="T53" s="196"/>
      <c r="U53" s="196"/>
      <c r="V53" s="207"/>
      <c r="W53" s="208"/>
      <c r="X53" s="209"/>
      <c r="Y53" s="210"/>
      <c r="Z53" s="208"/>
      <c r="AA53" s="209"/>
      <c r="AB53" s="211"/>
      <c r="AC53" s="211"/>
      <c r="AD53" s="211"/>
      <c r="AE53" s="212"/>
      <c r="AF53" s="213"/>
      <c r="AG53" s="214"/>
      <c r="AH53" s="214"/>
      <c r="AI53" s="214"/>
      <c r="AJ53" s="167"/>
      <c r="AK53" s="121"/>
      <c r="AL53" s="121"/>
      <c r="AM53" s="121"/>
      <c r="AO53" s="112"/>
      <c r="AP53" s="123"/>
      <c r="AQ53" s="123"/>
      <c r="AR53" s="123"/>
      <c r="AT53" s="71"/>
      <c r="AU53" s="71"/>
    </row>
    <row r="54" spans="1:47" s="122" customFormat="1" x14ac:dyDescent="0.2">
      <c r="A54" s="155" t="s">
        <v>879</v>
      </c>
      <c r="B54" s="155" t="s">
        <v>244</v>
      </c>
      <c r="C54" s="202">
        <v>2</v>
      </c>
      <c r="D54" s="202">
        <v>6</v>
      </c>
      <c r="E54" s="185">
        <v>4.5</v>
      </c>
      <c r="F54" s="202">
        <v>32</v>
      </c>
      <c r="G54" s="202">
        <v>0</v>
      </c>
      <c r="H54" s="202">
        <v>0</v>
      </c>
      <c r="I54" s="202">
        <v>0</v>
      </c>
      <c r="J54" s="202">
        <v>3</v>
      </c>
      <c r="K54" s="202">
        <v>7</v>
      </c>
      <c r="L54" s="185">
        <v>32</v>
      </c>
      <c r="M54" s="202">
        <v>37</v>
      </c>
      <c r="N54" s="202">
        <v>19</v>
      </c>
      <c r="O54" s="202">
        <v>16</v>
      </c>
      <c r="P54" s="202">
        <v>2</v>
      </c>
      <c r="Q54" s="202">
        <v>14</v>
      </c>
      <c r="R54" s="202">
        <v>3</v>
      </c>
      <c r="S54" s="202">
        <v>28</v>
      </c>
      <c r="T54" s="202">
        <v>144</v>
      </c>
      <c r="U54" s="196"/>
      <c r="V54" s="50">
        <f>+(Q54-R54)/(T54-R54)*100</f>
        <v>7.8014184397163122</v>
      </c>
      <c r="W54" s="6">
        <f>IF(V54&lt;LeagueRatings!$K$21,((LeagueRatings!$K$21-V54)/LeagueRatings!$K$21)*36,(LeagueRatings!$K$21-V54)*6.48)</f>
        <v>4.6305623821486872</v>
      </c>
      <c r="X54" s="16">
        <f>INDEX('C-P-RollAdj'!$B$4:$B$76,MATCH(INT(W54),'C-P-RollAdj'!$A$4:$A$76,FALSE),0)</f>
        <v>-0.32</v>
      </c>
      <c r="Y54" s="16">
        <f>(P54/(T54-R54))*100</f>
        <v>1.4184397163120568</v>
      </c>
      <c r="Z54" s="6">
        <f>IF(Y54&lt;LeagueRatings!$K$19,((LeagueRatings!$K$19-Y54)/LeagueRatings!$K$19)*36,(LeagueRatings!$K$19-Y54)/LeagueRatings!$K$22)</f>
        <v>18.440225169354072</v>
      </c>
      <c r="AA54" s="16">
        <f>INDEX('C-P-RollAdj'!$F$4:$F$76,MATCH(INT(Z54),'C-P-RollAdj'!$E$4:$E$76,FALSE),0)</f>
        <v>-1.4100000000000001</v>
      </c>
      <c r="AB54" s="17">
        <f>+((LeagueRatings!$I$17-E54)*5)+9.5</f>
        <v>7.8143872437063626</v>
      </c>
      <c r="AC54" s="17">
        <f>IF(AB54&lt;4,4,AB54)</f>
        <v>7.8143872437063626</v>
      </c>
      <c r="AD54" s="17">
        <f>IF(M54&lt;L54,((1-(M54/L54))*7)-0.07,(1-(M54/L54))*5)</f>
        <v>-0.78125</v>
      </c>
      <c r="AE54" s="4">
        <f>+X54+AA54+AC54+AD54</f>
        <v>5.3031372437063622</v>
      </c>
      <c r="AF54" s="213"/>
      <c r="AG54" s="58">
        <v>5</v>
      </c>
      <c r="AH54" s="219">
        <f>INDEX('C-P-RollAdj'!$J$4:$J$76,MATCH(INT(W54),'C-P-RollAdj'!$I$4:$I$76,FALSE),0)</f>
        <v>14</v>
      </c>
      <c r="AI54" s="219">
        <f>INDEX('C-P-RollAdj'!$J$4:$J$76,MATCH(INT(Z54),'C-P-RollAdj'!$I$4:$I$76,FALSE),0)</f>
        <v>36</v>
      </c>
      <c r="AJ54" s="14">
        <f>+AO54*LeagueRatings!$K$27</f>
        <v>17.777777777777779</v>
      </c>
      <c r="AK54" s="72">
        <f>F54*LeagueRatings!$K$27</f>
        <v>17.777777777777779</v>
      </c>
      <c r="AL54" s="72">
        <f>G54*LeagueRatings!$K$27</f>
        <v>0</v>
      </c>
      <c r="AM54" s="72">
        <f>T54*LeagueRatings!$K$27</f>
        <v>80</v>
      </c>
      <c r="AN54" s="24"/>
      <c r="AO54" s="14">
        <f>ROUNDUP(L54,0)</f>
        <v>32</v>
      </c>
      <c r="AP54" s="123"/>
      <c r="AQ54" s="123"/>
      <c r="AR54" s="123"/>
      <c r="AT54" s="71"/>
      <c r="AU54" s="71"/>
    </row>
    <row r="55" spans="1:47" s="24" customFormat="1" x14ac:dyDescent="0.2">
      <c r="A55" s="41" t="s">
        <v>386</v>
      </c>
      <c r="B55" s="202" t="s">
        <v>172</v>
      </c>
      <c r="C55" s="202">
        <v>0</v>
      </c>
      <c r="D55" s="202">
        <v>0</v>
      </c>
      <c r="E55" s="185">
        <v>2.31</v>
      </c>
      <c r="F55" s="202">
        <v>27</v>
      </c>
      <c r="G55" s="202">
        <v>0</v>
      </c>
      <c r="H55" s="202">
        <v>0</v>
      </c>
      <c r="I55" s="202">
        <v>0</v>
      </c>
      <c r="J55" s="202">
        <v>1</v>
      </c>
      <c r="K55" s="202">
        <v>2</v>
      </c>
      <c r="L55" s="185">
        <v>23.33</v>
      </c>
      <c r="M55" s="202">
        <v>18</v>
      </c>
      <c r="N55" s="202">
        <v>7</v>
      </c>
      <c r="O55" s="202">
        <v>6</v>
      </c>
      <c r="P55" s="202">
        <v>2</v>
      </c>
      <c r="Q55" s="202">
        <v>13</v>
      </c>
      <c r="R55" s="202">
        <v>0</v>
      </c>
      <c r="S55" s="202">
        <v>20</v>
      </c>
      <c r="T55" s="202">
        <v>99</v>
      </c>
      <c r="U55" s="76"/>
      <c r="V55" s="50">
        <f>+(Q55-R55)/(T55-R55)*100</f>
        <v>13.131313131313133</v>
      </c>
      <c r="W55" s="6">
        <f>IF(V55&lt;LeagueRatings!$K$21,((LeagueRatings!$K$21-V55)/LeagueRatings!$K$21)*36,(LeagueRatings!$K$21-V55)*6.48)</f>
        <v>-27.075368111578072</v>
      </c>
      <c r="X55" s="16">
        <f>INDEX('C-P-RollAdj'!$B$4:$B$76,MATCH(INT(W55),'C-P-RollAdj'!$A$4:$A$76,FALSE),0)</f>
        <v>3.8</v>
      </c>
      <c r="Y55" s="16">
        <f>(P55/(T55-R55))*100</f>
        <v>2.0202020202020203</v>
      </c>
      <c r="Z55" s="6">
        <f>IF(Y55&lt;LeagueRatings!$K$19,((LeagueRatings!$K$19-Y55)/LeagueRatings!$K$19)*36,(LeagueRatings!$K$19-Y55)/LeagueRatings!$K$22)</f>
        <v>10.990623726049733</v>
      </c>
      <c r="AA55" s="16">
        <f>INDEX('C-P-RollAdj'!$F$4:$F$76,MATCH(INT(Z55),'C-P-RollAdj'!$E$4:$E$76,FALSE),0)</f>
        <v>-0.73</v>
      </c>
      <c r="AB55" s="17">
        <f>+((LeagueRatings!$I$17-E55)*5)+9.5</f>
        <v>18.764387243706363</v>
      </c>
      <c r="AC55" s="17">
        <f>IF(AB55&lt;4,4,AB55)</f>
        <v>18.764387243706363</v>
      </c>
      <c r="AD55" s="17">
        <f>IF(M55&lt;L55,((1-(M55/L55))*7)-0.07,(1-(M55/L55))*5)</f>
        <v>1.5292284612087437</v>
      </c>
      <c r="AE55" s="4">
        <f>+X55+AA55+AC55+AD55</f>
        <v>23.363615704915105</v>
      </c>
      <c r="AG55" s="58">
        <v>23</v>
      </c>
      <c r="AH55" s="219">
        <f>INDEX('C-P-RollAdj'!$J$4:$J$76,MATCH(INT(W55),'C-P-RollAdj'!$I$4:$I$76,FALSE),0)</f>
        <v>-54</v>
      </c>
      <c r="AI55" s="219">
        <f>INDEX('C-P-RollAdj'!$J$4:$J$76,MATCH(INT(Z55),'C-P-RollAdj'!$I$4:$I$76,FALSE),0)</f>
        <v>24</v>
      </c>
      <c r="AJ55" s="14">
        <f>+AO55*LeagueRatings!$K$27</f>
        <v>13.333333333333334</v>
      </c>
      <c r="AK55" s="72">
        <f>F55*LeagueRatings!$K$27</f>
        <v>15</v>
      </c>
      <c r="AL55" s="72">
        <f>G55*LeagueRatings!$K$27</f>
        <v>0</v>
      </c>
      <c r="AM55" s="72">
        <f>T55*LeagueRatings!$K$27</f>
        <v>55</v>
      </c>
      <c r="AO55" s="14">
        <f>ROUNDUP(L55,0)</f>
        <v>24</v>
      </c>
    </row>
    <row r="56" spans="1:47" s="122" customFormat="1" x14ac:dyDescent="0.2">
      <c r="A56" s="9"/>
      <c r="B56" s="129"/>
      <c r="C56" s="205"/>
      <c r="D56" s="196"/>
      <c r="E56" s="205"/>
      <c r="F56" s="196"/>
      <c r="G56" s="196"/>
      <c r="H56" s="196"/>
      <c r="I56" s="206"/>
      <c r="J56" s="206"/>
      <c r="K56" s="206"/>
      <c r="L56" s="157">
        <f>(L54/100)/((L54+L55)/100)</f>
        <v>0.57834809325863001</v>
      </c>
      <c r="M56" s="146"/>
      <c r="N56" s="146"/>
      <c r="O56" s="146"/>
      <c r="P56" s="146"/>
      <c r="Q56" s="146"/>
      <c r="R56" s="146"/>
      <c r="S56" s="146"/>
      <c r="T56" s="158"/>
      <c r="U56" s="158"/>
      <c r="V56" s="153"/>
      <c r="W56" s="152">
        <f>W54*L56</f>
        <v>2.6780769244308331</v>
      </c>
      <c r="X56" s="153"/>
      <c r="Y56" s="153"/>
      <c r="Z56" s="152">
        <f>Z54*L56</f>
        <v>10.664869065955726</v>
      </c>
      <c r="AA56" s="153"/>
      <c r="AB56" s="103"/>
      <c r="AC56" s="103"/>
      <c r="AD56" s="103"/>
      <c r="AE56" s="154">
        <f>AE54*L56</f>
        <v>3.0670593131864012</v>
      </c>
      <c r="AF56" s="168"/>
      <c r="AG56" s="5"/>
      <c r="AH56" s="5"/>
      <c r="AI56" s="5"/>
      <c r="AJ56" s="103"/>
      <c r="AK56" s="72"/>
      <c r="AL56" s="72"/>
      <c r="AM56" s="72"/>
      <c r="AN56" s="30"/>
      <c r="AO56" s="14"/>
      <c r="AP56" s="123"/>
      <c r="AQ56" s="123"/>
      <c r="AR56" s="123"/>
      <c r="AT56" s="71"/>
      <c r="AU56" s="71"/>
    </row>
    <row r="57" spans="1:47" s="122" customFormat="1" x14ac:dyDescent="0.2">
      <c r="A57" s="9"/>
      <c r="B57" s="129"/>
      <c r="C57" s="205"/>
      <c r="D57" s="196"/>
      <c r="E57" s="205"/>
      <c r="F57" s="196"/>
      <c r="G57" s="196"/>
      <c r="H57" s="196"/>
      <c r="I57" s="206"/>
      <c r="J57" s="206"/>
      <c r="K57" s="206"/>
      <c r="L57" s="157">
        <f>(L55/100)/((L54+L55)/100)</f>
        <v>0.42165190674136993</v>
      </c>
      <c r="M57" s="146"/>
      <c r="N57" s="146"/>
      <c r="O57" s="146"/>
      <c r="P57" s="146"/>
      <c r="Q57" s="146"/>
      <c r="R57" s="146"/>
      <c r="S57" s="146"/>
      <c r="T57" s="158"/>
      <c r="U57" s="158"/>
      <c r="V57" s="153"/>
      <c r="W57" s="152">
        <f>W55*L57</f>
        <v>-11.416380589971379</v>
      </c>
      <c r="X57" s="153"/>
      <c r="Y57" s="153"/>
      <c r="Z57" s="152">
        <f>Z55*L57</f>
        <v>4.63421745036581</v>
      </c>
      <c r="AA57" s="153"/>
      <c r="AB57" s="103"/>
      <c r="AC57" s="103"/>
      <c r="AD57" s="103"/>
      <c r="AE57" s="154">
        <f>AE55*L57</f>
        <v>9.8513131103500697</v>
      </c>
      <c r="AF57" s="168"/>
      <c r="AG57" s="5"/>
      <c r="AH57" s="5"/>
      <c r="AI57" s="5"/>
      <c r="AJ57" s="103"/>
      <c r="AK57" s="72"/>
      <c r="AL57" s="72"/>
      <c r="AM57" s="72"/>
      <c r="AN57" s="30"/>
      <c r="AO57" s="14"/>
      <c r="AP57" s="123"/>
      <c r="AQ57" s="123"/>
      <c r="AR57" s="123"/>
      <c r="AT57" s="71"/>
      <c r="AU57" s="71"/>
    </row>
    <row r="58" spans="1:47" s="122" customFormat="1" x14ac:dyDescent="0.2">
      <c r="A58" s="9"/>
      <c r="B58" s="129"/>
      <c r="C58" s="205"/>
      <c r="D58" s="196"/>
      <c r="E58" s="205"/>
      <c r="F58" s="196"/>
      <c r="G58" s="196"/>
      <c r="H58" s="196"/>
      <c r="I58" s="206"/>
      <c r="J58" s="206"/>
      <c r="K58" s="206"/>
      <c r="L58" s="157"/>
      <c r="M58" s="146"/>
      <c r="N58" s="146"/>
      <c r="O58" s="146"/>
      <c r="P58" s="146"/>
      <c r="Q58" s="146"/>
      <c r="R58" s="146"/>
      <c r="S58" s="146"/>
      <c r="T58" s="158"/>
      <c r="U58" s="158"/>
      <c r="V58" s="153"/>
      <c r="W58" s="152">
        <f>SUM(W56:W57)</f>
        <v>-8.7383036655405455</v>
      </c>
      <c r="X58" s="153"/>
      <c r="Y58" s="153"/>
      <c r="Z58" s="152">
        <f>SUM(Z56:Z57)</f>
        <v>15.299086516321536</v>
      </c>
      <c r="AA58" s="153"/>
      <c r="AB58" s="103"/>
      <c r="AC58" s="103"/>
      <c r="AD58" s="103"/>
      <c r="AE58" s="153">
        <f>SUM(AE56:AE57)</f>
        <v>12.918372423536471</v>
      </c>
      <c r="AF58" s="41" t="s">
        <v>386</v>
      </c>
      <c r="AG58" s="5" t="s">
        <v>16</v>
      </c>
      <c r="AH58" s="219">
        <f>INDEX('C-P-RollAdj'!$J$4:$J$76,MATCH(INT(W58),'C-P-RollAdj'!$I$4:$I$76,FALSE),0)</f>
        <v>-23</v>
      </c>
      <c r="AI58" s="219">
        <f>INDEX('C-P-RollAdj'!$J$4:$J$76,MATCH(INT(Z58),'C-P-RollAdj'!$I$4:$I$76,FALSE),0)</f>
        <v>33</v>
      </c>
      <c r="AJ58" s="174">
        <f>SUM(AJ54:AJ57)</f>
        <v>31.111111111111114</v>
      </c>
      <c r="AK58" s="14">
        <f>SUM(AK54:AK57)</f>
        <v>32.777777777777779</v>
      </c>
      <c r="AL58" s="14">
        <f>SUM(AL54:AL57)</f>
        <v>0</v>
      </c>
      <c r="AM58" s="14">
        <f>SUM(AM54:AM57)</f>
        <v>135</v>
      </c>
      <c r="AN58" s="30"/>
      <c r="AO58" s="14"/>
      <c r="AP58" s="123"/>
      <c r="AQ58" s="123"/>
      <c r="AR58" s="123"/>
      <c r="AT58" s="71"/>
      <c r="AU58" s="71"/>
    </row>
    <row r="59" spans="1:47" s="122" customFormat="1" x14ac:dyDescent="0.2">
      <c r="A59" s="204"/>
      <c r="B59" s="196"/>
      <c r="C59" s="205"/>
      <c r="D59" s="196"/>
      <c r="E59" s="205"/>
      <c r="F59" s="196"/>
      <c r="G59" s="196"/>
      <c r="H59" s="196"/>
      <c r="I59" s="206"/>
      <c r="J59" s="206"/>
      <c r="K59" s="206"/>
      <c r="L59" s="205"/>
      <c r="M59" s="196"/>
      <c r="N59" s="196"/>
      <c r="O59" s="196"/>
      <c r="P59" s="196"/>
      <c r="Q59" s="196"/>
      <c r="R59" s="196"/>
      <c r="S59" s="196"/>
      <c r="T59" s="196"/>
      <c r="U59" s="196"/>
      <c r="V59" s="207"/>
      <c r="W59" s="208"/>
      <c r="X59" s="209"/>
      <c r="Y59" s="210"/>
      <c r="Z59" s="208"/>
      <c r="AA59" s="209"/>
      <c r="AB59" s="211"/>
      <c r="AC59" s="211"/>
      <c r="AD59" s="211"/>
      <c r="AE59" s="212"/>
      <c r="AF59" s="213"/>
      <c r="AG59" s="214"/>
      <c r="AH59" s="214"/>
      <c r="AI59" s="214"/>
      <c r="AJ59" s="167"/>
      <c r="AK59" s="121"/>
      <c r="AL59" s="121"/>
      <c r="AM59" s="121"/>
      <c r="AO59" s="112"/>
      <c r="AP59" s="123"/>
      <c r="AQ59" s="123"/>
      <c r="AR59" s="123"/>
      <c r="AT59" s="71"/>
      <c r="AU59" s="71"/>
    </row>
    <row r="60" spans="1:47" s="122" customFormat="1" x14ac:dyDescent="0.2">
      <c r="A60" s="204" t="s">
        <v>865</v>
      </c>
      <c r="B60" s="196" t="s">
        <v>153</v>
      </c>
      <c r="C60" s="202">
        <v>1</v>
      </c>
      <c r="D60" s="202">
        <v>3</v>
      </c>
      <c r="E60" s="185">
        <v>2.79</v>
      </c>
      <c r="F60" s="202">
        <v>37</v>
      </c>
      <c r="G60" s="202">
        <v>0</v>
      </c>
      <c r="H60" s="202">
        <v>0</v>
      </c>
      <c r="I60" s="202">
        <v>0</v>
      </c>
      <c r="J60" s="202">
        <v>17</v>
      </c>
      <c r="K60" s="202">
        <v>21</v>
      </c>
      <c r="L60" s="185">
        <v>38.67</v>
      </c>
      <c r="M60" s="202">
        <v>25</v>
      </c>
      <c r="N60" s="202">
        <v>12</v>
      </c>
      <c r="O60" s="202">
        <v>12</v>
      </c>
      <c r="P60" s="202">
        <v>3</v>
      </c>
      <c r="Q60" s="202">
        <v>21</v>
      </c>
      <c r="R60" s="202">
        <v>1</v>
      </c>
      <c r="S60" s="202">
        <v>38</v>
      </c>
      <c r="T60" s="202">
        <v>167</v>
      </c>
      <c r="U60" s="196"/>
      <c r="V60" s="50">
        <f>+(Q60-R60)/(T60-R60)*100</f>
        <v>12.048192771084338</v>
      </c>
      <c r="W60" s="6">
        <f>IF(V60&lt;LeagueRatings!$K$21,((LeagueRatings!$K$21-V60)/LeagueRatings!$K$21)*36,(LeagueRatings!$K$21-V60)*6.48)</f>
        <v>-20.056748177295479</v>
      </c>
      <c r="X60" s="16">
        <f>INDEX('C-P-RollAdj'!$B$4:$B$76,MATCH(INT(W60),'C-P-RollAdj'!$A$4:$A$76,FALSE),0)</f>
        <v>2.5499999999999998</v>
      </c>
      <c r="Y60" s="16">
        <f>(P60/(T60-R60))*100</f>
        <v>1.8072289156626504</v>
      </c>
      <c r="Z60" s="6">
        <f>IF(Y60&lt;LeagueRatings!$K$19,((LeagueRatings!$K$19-Y60)/LeagueRatings!$K$19)*36,(LeagueRatings!$K$19-Y60)/LeagueRatings!$K$22)</f>
        <v>13.627154357339677</v>
      </c>
      <c r="AA60" s="16">
        <f>INDEX('C-P-RollAdj'!$F$4:$F$76,MATCH(INT(Z60),'C-P-RollAdj'!$E$4:$E$76,FALSE),0)</f>
        <v>-0.97</v>
      </c>
      <c r="AB60" s="17">
        <f>+((LeagueRatings!$I$17-E60)*5)+9.5</f>
        <v>16.364387243706361</v>
      </c>
      <c r="AC60" s="17">
        <f>IF(AB60&lt;4,4,AB60)</f>
        <v>16.364387243706361</v>
      </c>
      <c r="AD60" s="17">
        <f>IF(M60&lt;L60,((1-(M60/L60))*7)-0.07,(1-(M60/L60))*5)</f>
        <v>2.4045280579260413</v>
      </c>
      <c r="AE60" s="4">
        <f>+X60+AA60+AC60+AD60</f>
        <v>20.348915301632399</v>
      </c>
      <c r="AF60" s="213"/>
      <c r="AG60" s="7" t="s">
        <v>72</v>
      </c>
      <c r="AH60" s="219">
        <f>INDEX('C-P-RollAdj'!$J$4:$J$76,MATCH(INT(W60),'C-P-RollAdj'!$I$4:$I$76,FALSE),0)</f>
        <v>-43</v>
      </c>
      <c r="AI60" s="219">
        <f>INDEX('C-P-RollAdj'!$J$4:$J$76,MATCH(INT(Z60),'C-P-RollAdj'!$I$4:$I$76,FALSE),0)</f>
        <v>31</v>
      </c>
      <c r="AJ60" s="14">
        <f>+AO60*LeagueRatings!$K$27</f>
        <v>21.666666666666668</v>
      </c>
      <c r="AK60" s="72">
        <f>F60*LeagueRatings!$K$27</f>
        <v>20.555555555555557</v>
      </c>
      <c r="AL60" s="72">
        <f>G60*LeagueRatings!$K$27</f>
        <v>0</v>
      </c>
      <c r="AM60" s="72">
        <f>T60*LeagueRatings!$K$27</f>
        <v>92.777777777777786</v>
      </c>
      <c r="AO60" s="14">
        <f>ROUNDUP(L60,0)</f>
        <v>39</v>
      </c>
      <c r="AP60" s="123"/>
      <c r="AQ60" s="123"/>
      <c r="AR60" s="123"/>
      <c r="AT60" s="71"/>
      <c r="AU60" s="71"/>
    </row>
    <row r="61" spans="1:47" s="24" customFormat="1" x14ac:dyDescent="0.2">
      <c r="A61" s="41" t="s">
        <v>474</v>
      </c>
      <c r="B61" s="202" t="s">
        <v>167</v>
      </c>
      <c r="C61" s="202">
        <v>4</v>
      </c>
      <c r="D61" s="202">
        <v>1</v>
      </c>
      <c r="E61" s="185">
        <v>3.06</v>
      </c>
      <c r="F61" s="202">
        <v>32</v>
      </c>
      <c r="G61" s="202">
        <v>0</v>
      </c>
      <c r="H61" s="202">
        <v>0</v>
      </c>
      <c r="I61" s="202">
        <v>0</v>
      </c>
      <c r="J61" s="202">
        <v>2</v>
      </c>
      <c r="K61" s="202">
        <v>4</v>
      </c>
      <c r="L61" s="185">
        <v>32.33</v>
      </c>
      <c r="M61" s="202">
        <v>24</v>
      </c>
      <c r="N61" s="202">
        <v>13</v>
      </c>
      <c r="O61" s="202">
        <v>11</v>
      </c>
      <c r="P61" s="202">
        <v>5</v>
      </c>
      <c r="Q61" s="202">
        <v>10</v>
      </c>
      <c r="R61" s="202">
        <v>1</v>
      </c>
      <c r="S61" s="202">
        <v>26</v>
      </c>
      <c r="T61" s="202">
        <v>134</v>
      </c>
      <c r="U61" s="76"/>
      <c r="V61" s="50">
        <f>+(Q61-R61)/(T61-R61)*100</f>
        <v>6.7669172932330826</v>
      </c>
      <c r="W61" s="6">
        <f>IF(V61&lt;LeagueRatings!$K$21,((LeagueRatings!$K$21-V61)/LeagueRatings!$K$21)*36,(LeagueRatings!$K$21-V61)*6.48)</f>
        <v>8.7902827497926772</v>
      </c>
      <c r="X61" s="16">
        <f>INDEX('C-P-RollAdj'!$B$4:$B$76,MATCH(INT(W61),'C-P-RollAdj'!$A$4:$A$76,FALSE),0)</f>
        <v>-0.65</v>
      </c>
      <c r="Y61" s="16">
        <f>(P61/(T61-R61))*100</f>
        <v>3.7593984962406015</v>
      </c>
      <c r="Z61" s="6">
        <f>IF(Y61&lt;LeagueRatings!$K$19,((LeagueRatings!$K$19-Y61)/LeagueRatings!$K$19)*36,(LeagueRatings!$K$19-Y61)/LeagueRatings!$K$22)</f>
        <v>-6.8792811296534007</v>
      </c>
      <c r="AA61" s="16">
        <f>INDEX('C-P-RollAdj'!$F$4:$F$76,MATCH(INT(Z61),'C-P-RollAdj'!$E$4:$E$76,FALSE),0)</f>
        <v>0.61</v>
      </c>
      <c r="AB61" s="17">
        <f>+((LeagueRatings!$I$17-E61)*5)+9.5</f>
        <v>15.014387243706363</v>
      </c>
      <c r="AC61" s="17">
        <f>IF(AB61&lt;4,4,AB61)</f>
        <v>15.014387243706363</v>
      </c>
      <c r="AD61" s="17">
        <f>IF(M61&lt;L61,((1-(M61/L61))*7)-0.07,(1-(M61/L61))*5)</f>
        <v>1.7335879987627585</v>
      </c>
      <c r="AE61" s="4">
        <f>+X61+AA61+AC61+AD61</f>
        <v>16.707975242469121</v>
      </c>
      <c r="AG61" s="5" t="s">
        <v>31</v>
      </c>
      <c r="AH61" s="219">
        <f>INDEX('C-P-RollAdj'!$J$4:$J$76,MATCH(INT(W61),'C-P-RollAdj'!$I$4:$I$76,FALSE),0)</f>
        <v>22</v>
      </c>
      <c r="AI61" s="219">
        <f>INDEX('C-P-RollAdj'!$J$4:$J$76,MATCH(INT(Z61),'C-P-RollAdj'!$I$4:$I$76,FALSE),0)</f>
        <v>-21</v>
      </c>
      <c r="AJ61" s="14">
        <f>+AO61*LeagueRatings!$K$27</f>
        <v>18.333333333333336</v>
      </c>
      <c r="AK61" s="72">
        <f>F61*LeagueRatings!$K$27</f>
        <v>17.777777777777779</v>
      </c>
      <c r="AL61" s="72">
        <f>G61*LeagueRatings!$K$27</f>
        <v>0</v>
      </c>
      <c r="AM61" s="72">
        <f>T61*LeagueRatings!$K$27</f>
        <v>74.444444444444443</v>
      </c>
      <c r="AO61" s="14">
        <f>ROUNDUP(L61,0)</f>
        <v>33</v>
      </c>
    </row>
    <row r="62" spans="1:47" s="122" customFormat="1" x14ac:dyDescent="0.2">
      <c r="A62" s="9"/>
      <c r="B62" s="129"/>
      <c r="C62" s="205"/>
      <c r="D62" s="196"/>
      <c r="E62" s="205"/>
      <c r="F62" s="196"/>
      <c r="G62" s="196"/>
      <c r="H62" s="196"/>
      <c r="I62" s="206"/>
      <c r="J62" s="206"/>
      <c r="K62" s="206"/>
      <c r="L62" s="157">
        <f>(L60/100)/((L60+L61)/100)</f>
        <v>0.54464788732394376</v>
      </c>
      <c r="M62" s="146"/>
      <c r="N62" s="146"/>
      <c r="O62" s="146"/>
      <c r="P62" s="146"/>
      <c r="Q62" s="146"/>
      <c r="R62" s="146"/>
      <c r="S62" s="146"/>
      <c r="T62" s="158"/>
      <c r="U62" s="158"/>
      <c r="V62" s="153"/>
      <c r="W62" s="152">
        <f>W60*L62</f>
        <v>-10.923865521352342</v>
      </c>
      <c r="X62" s="153"/>
      <c r="Y62" s="153"/>
      <c r="Z62" s="152">
        <f>Z60*L62</f>
        <v>7.4220008309623298</v>
      </c>
      <c r="AA62" s="153"/>
      <c r="AB62" s="103"/>
      <c r="AC62" s="103"/>
      <c r="AD62" s="103"/>
      <c r="AE62" s="154">
        <f>AE60*L62</f>
        <v>11.082993728367958</v>
      </c>
      <c r="AF62" s="168"/>
      <c r="AG62" s="5"/>
      <c r="AH62" s="5"/>
      <c r="AI62" s="5"/>
      <c r="AJ62" s="103"/>
      <c r="AK62" s="72"/>
      <c r="AL62" s="72"/>
      <c r="AM62" s="72"/>
      <c r="AO62" s="112"/>
      <c r="AP62" s="123"/>
      <c r="AQ62" s="123"/>
      <c r="AR62" s="123"/>
      <c r="AT62" s="71"/>
      <c r="AU62" s="71"/>
    </row>
    <row r="63" spans="1:47" s="122" customFormat="1" x14ac:dyDescent="0.2">
      <c r="A63" s="9"/>
      <c r="B63" s="129"/>
      <c r="C63" s="205"/>
      <c r="D63" s="196"/>
      <c r="E63" s="205"/>
      <c r="F63" s="196"/>
      <c r="G63" s="196"/>
      <c r="H63" s="196"/>
      <c r="I63" s="206"/>
      <c r="J63" s="206"/>
      <c r="K63" s="206"/>
      <c r="L63" s="157">
        <f>(L61/100)/((L60+L61)/100)</f>
        <v>0.45535211267605635</v>
      </c>
      <c r="M63" s="146"/>
      <c r="N63" s="146"/>
      <c r="O63" s="146"/>
      <c r="P63" s="146"/>
      <c r="Q63" s="146"/>
      <c r="R63" s="146"/>
      <c r="S63" s="146"/>
      <c r="T63" s="158"/>
      <c r="U63" s="158"/>
      <c r="V63" s="153"/>
      <c r="W63" s="152">
        <f>W61*L63</f>
        <v>4.0026738211379893</v>
      </c>
      <c r="X63" s="153"/>
      <c r="Y63" s="153"/>
      <c r="Z63" s="152">
        <f>Z61*L63</f>
        <v>-3.1324951960802037</v>
      </c>
      <c r="AA63" s="153"/>
      <c r="AB63" s="103"/>
      <c r="AC63" s="103"/>
      <c r="AD63" s="103"/>
      <c r="AE63" s="154">
        <f>AE61*L63</f>
        <v>7.6080118251975595</v>
      </c>
      <c r="AF63" s="168"/>
      <c r="AG63" s="5"/>
      <c r="AH63" s="5"/>
      <c r="AI63" s="5"/>
      <c r="AJ63" s="103"/>
      <c r="AK63" s="72"/>
      <c r="AL63" s="72"/>
      <c r="AM63" s="72"/>
      <c r="AO63" s="112"/>
      <c r="AP63" s="123"/>
      <c r="AQ63" s="123"/>
      <c r="AR63" s="123"/>
      <c r="AT63" s="71"/>
      <c r="AU63" s="71"/>
    </row>
    <row r="64" spans="1:47" s="122" customFormat="1" x14ac:dyDescent="0.2">
      <c r="A64" s="9"/>
      <c r="B64" s="129"/>
      <c r="C64" s="205"/>
      <c r="D64" s="196"/>
      <c r="E64" s="205"/>
      <c r="F64" s="196"/>
      <c r="G64" s="196"/>
      <c r="H64" s="196"/>
      <c r="I64" s="206"/>
      <c r="J64" s="206"/>
      <c r="K64" s="206"/>
      <c r="L64" s="157"/>
      <c r="M64" s="146"/>
      <c r="N64" s="146"/>
      <c r="O64" s="146"/>
      <c r="P64" s="146"/>
      <c r="Q64" s="146"/>
      <c r="R64" s="146"/>
      <c r="S64" s="146"/>
      <c r="T64" s="158"/>
      <c r="U64" s="158"/>
      <c r="V64" s="153"/>
      <c r="W64" s="152">
        <f>SUM(W62:W63)</f>
        <v>-6.9211917002143526</v>
      </c>
      <c r="X64" s="153"/>
      <c r="Y64" s="153"/>
      <c r="Z64" s="152">
        <f>SUM(Z62:Z63)</f>
        <v>4.2895056348821257</v>
      </c>
      <c r="AA64" s="153"/>
      <c r="AB64" s="103"/>
      <c r="AC64" s="103"/>
      <c r="AD64" s="103"/>
      <c r="AE64" s="153">
        <f>SUM(AE62:AE63)</f>
        <v>18.691005553565518</v>
      </c>
      <c r="AF64" s="41" t="s">
        <v>474</v>
      </c>
      <c r="AG64" s="5" t="s">
        <v>63</v>
      </c>
      <c r="AH64" s="219">
        <f>INDEX('C-P-RollAdj'!$J$4:$J$76,MATCH(INT(W64),'C-P-RollAdj'!$I$4:$I$76,FALSE),0)</f>
        <v>-21</v>
      </c>
      <c r="AI64" s="219">
        <f>INDEX('C-P-RollAdj'!$J$4:$J$76,MATCH(INT(Z64),'C-P-RollAdj'!$I$4:$I$76,FALSE),0)</f>
        <v>14</v>
      </c>
      <c r="AJ64" s="174">
        <f>SUM(AJ60:AJ63)</f>
        <v>40</v>
      </c>
      <c r="AK64" s="14">
        <f>SUM(AK60:AK63)</f>
        <v>38.333333333333336</v>
      </c>
      <c r="AL64" s="14">
        <f>SUM(AL60:AL63)</f>
        <v>0</v>
      </c>
      <c r="AM64" s="14">
        <f>SUM(AM60:AM63)</f>
        <v>167.22222222222223</v>
      </c>
      <c r="AO64" s="112"/>
      <c r="AP64" s="123"/>
      <c r="AQ64" s="123"/>
      <c r="AR64" s="123"/>
      <c r="AT64" s="71"/>
      <c r="AU64" s="71"/>
    </row>
    <row r="65" spans="1:47" s="122" customFormat="1" x14ac:dyDescent="0.2">
      <c r="A65" s="204"/>
      <c r="B65" s="196"/>
      <c r="C65" s="205"/>
      <c r="D65" s="196"/>
      <c r="E65" s="205"/>
      <c r="F65" s="196"/>
      <c r="G65" s="196"/>
      <c r="H65" s="196"/>
      <c r="I65" s="206"/>
      <c r="J65" s="206"/>
      <c r="K65" s="206"/>
      <c r="L65" s="205"/>
      <c r="M65" s="196"/>
      <c r="N65" s="196"/>
      <c r="O65" s="196"/>
      <c r="P65" s="196"/>
      <c r="Q65" s="196"/>
      <c r="R65" s="196"/>
      <c r="S65" s="196"/>
      <c r="T65" s="196"/>
      <c r="U65" s="196"/>
      <c r="V65" s="207"/>
      <c r="W65" s="208"/>
      <c r="X65" s="209"/>
      <c r="Y65" s="210"/>
      <c r="Z65" s="208"/>
      <c r="AA65" s="209"/>
      <c r="AB65" s="211"/>
      <c r="AC65" s="211"/>
      <c r="AD65" s="211"/>
      <c r="AE65" s="212"/>
      <c r="AF65" s="213"/>
      <c r="AG65" s="214"/>
      <c r="AH65" s="214"/>
      <c r="AI65" s="214"/>
      <c r="AJ65" s="167"/>
      <c r="AK65" s="121"/>
      <c r="AL65" s="121"/>
      <c r="AM65" s="121"/>
      <c r="AO65" s="112"/>
      <c r="AP65" s="123"/>
      <c r="AQ65" s="123"/>
      <c r="AR65" s="123"/>
      <c r="AT65" s="71"/>
      <c r="AU65" s="71"/>
    </row>
    <row r="66" spans="1:47" s="122" customFormat="1" x14ac:dyDescent="0.2">
      <c r="A66" s="204" t="s">
        <v>835</v>
      </c>
      <c r="B66" s="196" t="s">
        <v>166</v>
      </c>
      <c r="C66" s="202">
        <v>1</v>
      </c>
      <c r="D66" s="202">
        <v>0</v>
      </c>
      <c r="E66" s="185">
        <v>3.26</v>
      </c>
      <c r="F66" s="202">
        <v>51</v>
      </c>
      <c r="G66" s="202">
        <v>0</v>
      </c>
      <c r="H66" s="202">
        <v>0</v>
      </c>
      <c r="I66" s="202">
        <v>0</v>
      </c>
      <c r="J66" s="202">
        <v>0</v>
      </c>
      <c r="K66" s="202">
        <v>0</v>
      </c>
      <c r="L66" s="185">
        <v>49.67</v>
      </c>
      <c r="M66" s="202">
        <v>44</v>
      </c>
      <c r="N66" s="202">
        <v>18</v>
      </c>
      <c r="O66" s="202">
        <v>18</v>
      </c>
      <c r="P66" s="202">
        <v>9</v>
      </c>
      <c r="Q66" s="202">
        <v>17</v>
      </c>
      <c r="R66" s="202">
        <v>2</v>
      </c>
      <c r="S66" s="202">
        <v>49</v>
      </c>
      <c r="T66" s="202">
        <v>209</v>
      </c>
      <c r="U66" s="196"/>
      <c r="V66" s="50">
        <f>+(Q66-R66)/(T66-R66)*100</f>
        <v>7.2463768115942031</v>
      </c>
      <c r="W66" s="6">
        <f>IF(V66&lt;LeagueRatings!$K$21,((LeagueRatings!$K$21-V66)/LeagueRatings!$K$21)*36,(LeagueRatings!$K$21-V66)*6.48)</f>
        <v>6.8623800782804008</v>
      </c>
      <c r="X66" s="16">
        <f>INDEX('C-P-RollAdj'!$B$4:$B$76,MATCH(INT(W66),'C-P-RollAdj'!$A$4:$A$76,FALSE),0)</f>
        <v>-0.48</v>
      </c>
      <c r="Y66" s="16">
        <f>(P66/(T66-R66))*100</f>
        <v>4.3478260869565215</v>
      </c>
      <c r="Z66" s="6">
        <f>IF(Y66&lt;LeagueRatings!$K$19,((LeagueRatings!$K$19-Y66)/LeagueRatings!$K$19)*36,(LeagueRatings!$K$19-Y66)/LeagueRatings!$K$22)</f>
        <v>-11.633764581124069</v>
      </c>
      <c r="AA66" s="16">
        <f>INDEX('C-P-RollAdj'!$F$4:$F$76,MATCH(INT(Z66),'C-P-RollAdj'!$E$4:$E$76,FALSE),0)</f>
        <v>1.1400000000000001</v>
      </c>
      <c r="AB66" s="17">
        <f>+((LeagueRatings!$I$17-E66)*5)+9.5</f>
        <v>14.014387243706363</v>
      </c>
      <c r="AC66" s="17">
        <f>IF(AB66&lt;4,4,AB66)</f>
        <v>14.014387243706363</v>
      </c>
      <c r="AD66" s="17">
        <f>IF(M66&lt;L66,((1-(M66/L66))*7)-0.07,(1-(M66/L66))*5)</f>
        <v>0.72907388765854675</v>
      </c>
      <c r="AE66" s="4">
        <f>+X66+AA66+AC66+AD66</f>
        <v>15.40346113136491</v>
      </c>
      <c r="AF66" s="213"/>
      <c r="AG66" s="5" t="s">
        <v>14</v>
      </c>
      <c r="AH66" s="219">
        <f>INDEX('C-P-RollAdj'!$J$4:$J$76,MATCH(INT(W66),'C-P-RollAdj'!$I$4:$I$76,FALSE),0)</f>
        <v>16</v>
      </c>
      <c r="AI66" s="219">
        <f>INDEX('C-P-RollAdj'!$J$4:$J$76,MATCH(INT(Z66),'C-P-RollAdj'!$I$4:$I$76,FALSE),0)</f>
        <v>-26</v>
      </c>
      <c r="AJ66" s="14">
        <f>+AO66*LeagueRatings!$K$27</f>
        <v>27.777777777777779</v>
      </c>
      <c r="AK66" s="72">
        <f>F66*LeagueRatings!$K$27</f>
        <v>28.333333333333336</v>
      </c>
      <c r="AL66" s="72">
        <f>G66*LeagueRatings!$K$27</f>
        <v>0</v>
      </c>
      <c r="AM66" s="72">
        <f>T66*LeagueRatings!$K$27</f>
        <v>116.11111111111111</v>
      </c>
      <c r="AN66" s="24"/>
      <c r="AO66" s="14">
        <f>ROUNDUP(L66,0)</f>
        <v>50</v>
      </c>
      <c r="AP66" s="123"/>
      <c r="AQ66" s="123"/>
      <c r="AR66" s="123"/>
      <c r="AT66" s="71"/>
      <c r="AU66" s="71"/>
    </row>
    <row r="67" spans="1:47" s="122" customFormat="1" x14ac:dyDescent="0.2">
      <c r="A67" s="41" t="s">
        <v>637</v>
      </c>
      <c r="B67" s="202" t="s">
        <v>151</v>
      </c>
      <c r="C67" s="202">
        <v>0</v>
      </c>
      <c r="D67" s="202">
        <v>0</v>
      </c>
      <c r="E67" s="185">
        <v>3.95</v>
      </c>
      <c r="F67" s="202">
        <v>17</v>
      </c>
      <c r="G67" s="202">
        <v>0</v>
      </c>
      <c r="H67" s="202">
        <v>0</v>
      </c>
      <c r="I67" s="202">
        <v>0</v>
      </c>
      <c r="J67" s="202">
        <v>0</v>
      </c>
      <c r="K67" s="202">
        <v>0</v>
      </c>
      <c r="L67" s="185">
        <v>13.67</v>
      </c>
      <c r="M67" s="202">
        <v>14</v>
      </c>
      <c r="N67" s="202">
        <v>8</v>
      </c>
      <c r="O67" s="202">
        <v>6</v>
      </c>
      <c r="P67" s="202">
        <v>3</v>
      </c>
      <c r="Q67" s="202">
        <v>5</v>
      </c>
      <c r="R67" s="202">
        <v>0</v>
      </c>
      <c r="S67" s="202">
        <v>9</v>
      </c>
      <c r="T67" s="202">
        <v>60</v>
      </c>
      <c r="U67" s="76"/>
      <c r="V67" s="50">
        <f>+(Q67-R67)/(T67-R67)*100</f>
        <v>8.3333333333333321</v>
      </c>
      <c r="W67" s="6">
        <f>IF(V67&lt;LeagueRatings!$K$10,((LeagueRatings!$K$10-V67)/LeagueRatings!$K$10)*36,(LeagueRatings!$K$10-V67)*6.48)</f>
        <v>1.3881779458051384</v>
      </c>
      <c r="X67" s="16">
        <f>INDEX('C-P-RollAdj'!$B$4:$B$76,MATCH(INT(W67),'C-P-RollAdj'!$A$4:$A$76,FALSE),0)</f>
        <v>-0.08</v>
      </c>
      <c r="Y67" s="16">
        <f>(P67/(T67-R67))*100</f>
        <v>5</v>
      </c>
      <c r="Z67" s="6">
        <f>IF(Y67&lt;LeagueRatings!$K$8,((LeagueRatings!$K$8-Y67)/LeagueRatings!$K$8)*36,(LeagueRatings!$K$8-Y67)/LeagueRatings!$K$11)</f>
        <v>-14.275204622051033</v>
      </c>
      <c r="AA67" s="16">
        <f>INDEX('C-P-RollAdj'!$F$4:$F$76,MATCH(INT(Z67),'C-P-RollAdj'!$E$4:$E$76,FALSE),0)</f>
        <v>1.5</v>
      </c>
      <c r="AB67" s="17">
        <f>+((LeagueRatings!$I$6-E67)*5)+9.5</f>
        <v>10.758051455277403</v>
      </c>
      <c r="AC67" s="17">
        <f>IF(AB67&lt;4,4,AB67)</f>
        <v>10.758051455277403</v>
      </c>
      <c r="AD67" s="17">
        <f>IF(M67&lt;L67,((1-(M67/L67))*7)-0.07,(1-(M67/L67))*5)</f>
        <v>-0.12070226773957526</v>
      </c>
      <c r="AE67" s="4">
        <f>+X67+AA67+AC67+AD67</f>
        <v>12.057349187537827</v>
      </c>
      <c r="AG67" s="5" t="s">
        <v>59</v>
      </c>
      <c r="AH67" s="219">
        <f>INDEX('C-P-RollAdj'!$J$4:$J$76,MATCH(INT(W67),'C-P-RollAdj'!$I$4:$I$76,FALSE),0)</f>
        <v>11</v>
      </c>
      <c r="AI67" s="219">
        <f>INDEX('C-P-RollAdj'!$J$4:$J$76,MATCH(INT(Z67),'C-P-RollAdj'!$I$4:$I$76,FALSE),0)</f>
        <v>-33</v>
      </c>
      <c r="AJ67" s="14">
        <f>+AO67*LeagueRatings!$K$27</f>
        <v>7.7777777777777786</v>
      </c>
      <c r="AK67" s="72">
        <f>F67*LeagueRatings!$K$27</f>
        <v>9.4444444444444446</v>
      </c>
      <c r="AL67" s="72">
        <f>G67*LeagueRatings!$K$27</f>
        <v>0</v>
      </c>
      <c r="AM67" s="72">
        <f>T67*LeagueRatings!$K$27</f>
        <v>33.333333333333336</v>
      </c>
      <c r="AN67" s="24"/>
      <c r="AO67" s="72">
        <f>ROUNDUP(L67,0)</f>
        <v>14</v>
      </c>
      <c r="AP67" s="113"/>
      <c r="AQ67" s="113"/>
      <c r="AR67" s="113"/>
      <c r="AS67" s="24"/>
      <c r="AT67" s="97">
        <v>66</v>
      </c>
      <c r="AU67" s="24"/>
    </row>
    <row r="68" spans="1:47" s="122" customFormat="1" x14ac:dyDescent="0.2">
      <c r="A68" s="9"/>
      <c r="B68" s="129"/>
      <c r="C68" s="205"/>
      <c r="D68" s="196"/>
      <c r="E68" s="205"/>
      <c r="F68" s="196"/>
      <c r="G68" s="196"/>
      <c r="H68" s="196"/>
      <c r="I68" s="206"/>
      <c r="J68" s="206"/>
      <c r="K68" s="206"/>
      <c r="L68" s="157">
        <f>(L66/100)/((L66+L67)/100)</f>
        <v>0.78418061256709815</v>
      </c>
      <c r="M68" s="146"/>
      <c r="N68" s="146"/>
      <c r="O68" s="146"/>
      <c r="P68" s="146"/>
      <c r="Q68" s="146"/>
      <c r="R68" s="146"/>
      <c r="S68" s="146"/>
      <c r="T68" s="158"/>
      <c r="U68" s="158"/>
      <c r="V68" s="153"/>
      <c r="W68" s="152">
        <f>W66*L68</f>
        <v>5.3813454134541754</v>
      </c>
      <c r="X68" s="153"/>
      <c r="Y68" s="153"/>
      <c r="Z68" s="152">
        <f>Z66*L68</f>
        <v>-9.1229726356872831</v>
      </c>
      <c r="AA68" s="153"/>
      <c r="AB68" s="103"/>
      <c r="AC68" s="103"/>
      <c r="AD68" s="103"/>
      <c r="AE68" s="154">
        <f>AE66*L68</f>
        <v>12.079095585647222</v>
      </c>
      <c r="AF68" s="168"/>
      <c r="AG68" s="5"/>
      <c r="AH68" s="5"/>
      <c r="AI68" s="5"/>
      <c r="AJ68" s="103"/>
      <c r="AK68" s="72"/>
      <c r="AL68" s="72"/>
      <c r="AM68" s="72"/>
      <c r="AO68" s="112"/>
      <c r="AP68" s="123"/>
      <c r="AQ68" s="123"/>
      <c r="AR68" s="123"/>
      <c r="AT68" s="71"/>
      <c r="AU68" s="71"/>
    </row>
    <row r="69" spans="1:47" s="122" customFormat="1" x14ac:dyDescent="0.2">
      <c r="A69" s="9"/>
      <c r="B69" s="129"/>
      <c r="C69" s="205"/>
      <c r="D69" s="196"/>
      <c r="E69" s="205"/>
      <c r="F69" s="196"/>
      <c r="G69" s="196"/>
      <c r="H69" s="196"/>
      <c r="I69" s="206"/>
      <c r="J69" s="206"/>
      <c r="K69" s="206"/>
      <c r="L69" s="157">
        <f>(L67/100)/((L66+L67)/100)</f>
        <v>0.21581938743290174</v>
      </c>
      <c r="M69" s="146"/>
      <c r="N69" s="146"/>
      <c r="O69" s="146"/>
      <c r="P69" s="146"/>
      <c r="Q69" s="146"/>
      <c r="R69" s="146"/>
      <c r="S69" s="146"/>
      <c r="T69" s="158"/>
      <c r="U69" s="158"/>
      <c r="V69" s="153"/>
      <c r="W69" s="152">
        <f>W67*L69</f>
        <v>0.29959571391152884</v>
      </c>
      <c r="X69" s="153"/>
      <c r="Y69" s="153"/>
      <c r="Z69" s="152">
        <f>Z67*L69</f>
        <v>-3.0808659170103816</v>
      </c>
      <c r="AA69" s="153"/>
      <c r="AB69" s="103"/>
      <c r="AC69" s="103"/>
      <c r="AD69" s="103"/>
      <c r="AE69" s="154">
        <f>AE67*L69</f>
        <v>2.6022097157190096</v>
      </c>
      <c r="AF69" s="168"/>
      <c r="AG69" s="5"/>
      <c r="AH69" s="5"/>
      <c r="AI69" s="5"/>
      <c r="AJ69" s="103"/>
      <c r="AK69" s="72"/>
      <c r="AL69" s="72"/>
      <c r="AM69" s="72"/>
      <c r="AO69" s="112"/>
      <c r="AP69" s="123"/>
      <c r="AQ69" s="123"/>
      <c r="AR69" s="123"/>
      <c r="AT69" s="71"/>
      <c r="AU69" s="71"/>
    </row>
    <row r="70" spans="1:47" s="122" customFormat="1" x14ac:dyDescent="0.2">
      <c r="A70" s="9"/>
      <c r="B70" s="129"/>
      <c r="C70" s="205"/>
      <c r="D70" s="196"/>
      <c r="E70" s="205"/>
      <c r="F70" s="196"/>
      <c r="G70" s="196"/>
      <c r="H70" s="196"/>
      <c r="I70" s="206"/>
      <c r="J70" s="206"/>
      <c r="K70" s="206"/>
      <c r="L70" s="157"/>
      <c r="M70" s="146"/>
      <c r="N70" s="146"/>
      <c r="O70" s="146"/>
      <c r="P70" s="146"/>
      <c r="Q70" s="146"/>
      <c r="R70" s="146"/>
      <c r="S70" s="146"/>
      <c r="T70" s="158"/>
      <c r="U70" s="158"/>
      <c r="V70" s="153"/>
      <c r="W70" s="152">
        <f>SUM(W68:W69)</f>
        <v>5.6809411273657044</v>
      </c>
      <c r="X70" s="153"/>
      <c r="Y70" s="153"/>
      <c r="Z70" s="152">
        <f>SUM(Z68:Z69)</f>
        <v>-12.203838552697665</v>
      </c>
      <c r="AA70" s="153"/>
      <c r="AB70" s="103"/>
      <c r="AC70" s="103"/>
      <c r="AD70" s="103"/>
      <c r="AE70" s="153">
        <f>SUM(AE68:AE69)</f>
        <v>14.681305301366232</v>
      </c>
      <c r="AF70" s="41" t="s">
        <v>637</v>
      </c>
      <c r="AG70" s="5" t="s">
        <v>21</v>
      </c>
      <c r="AH70" s="219">
        <f>INDEX('C-P-RollAdj'!$J$4:$J$76,MATCH(INT(W70),'C-P-RollAdj'!$I$4:$I$76,FALSE),0)</f>
        <v>15</v>
      </c>
      <c r="AI70" s="219">
        <f>INDEX('C-P-RollAdj'!$J$4:$J$76,MATCH(INT(Z70),'C-P-RollAdj'!$I$4:$I$76,FALSE),0)</f>
        <v>-31</v>
      </c>
      <c r="AJ70" s="174">
        <f>SUM(AJ66:AJ69)</f>
        <v>35.555555555555557</v>
      </c>
      <c r="AK70" s="14">
        <f>SUM(AK66:AK69)</f>
        <v>37.777777777777779</v>
      </c>
      <c r="AL70" s="14">
        <f>SUM(AL66:AL69)</f>
        <v>0</v>
      </c>
      <c r="AM70" s="14">
        <f>SUM(AM66:AM69)</f>
        <v>149.44444444444446</v>
      </c>
      <c r="AO70" s="112"/>
      <c r="AP70" s="123"/>
      <c r="AQ70" s="123"/>
      <c r="AR70" s="123"/>
      <c r="AT70" s="71"/>
      <c r="AU70" s="71"/>
    </row>
    <row r="71" spans="1:47" x14ac:dyDescent="0.2">
      <c r="A71" s="204"/>
      <c r="B71" s="196"/>
      <c r="L71" s="205"/>
      <c r="M71" s="196"/>
      <c r="N71" s="196"/>
      <c r="O71" s="196"/>
      <c r="P71" s="196"/>
      <c r="Q71" s="196"/>
      <c r="R71" s="196"/>
      <c r="S71" s="196"/>
      <c r="T71" s="196"/>
      <c r="U71" s="196"/>
      <c r="V71" s="207"/>
      <c r="W71" s="208"/>
      <c r="X71" s="209"/>
      <c r="Y71" s="210"/>
      <c r="Z71" s="208"/>
      <c r="AA71" s="209"/>
      <c r="AB71" s="211"/>
      <c r="AC71" s="211"/>
      <c r="AD71" s="211"/>
      <c r="AE71" s="212"/>
      <c r="AF71" s="213"/>
      <c r="AG71" s="214"/>
      <c r="AH71" s="214"/>
      <c r="AI71" s="214"/>
      <c r="AJ71" s="167"/>
      <c r="AK71" s="121"/>
      <c r="AL71" s="121"/>
      <c r="AM71" s="121"/>
      <c r="AN71" s="122"/>
      <c r="AO71" s="112"/>
    </row>
    <row r="72" spans="1:47" s="122" customFormat="1" x14ac:dyDescent="0.2">
      <c r="A72" s="204" t="s">
        <v>897</v>
      </c>
      <c r="B72" s="196" t="s">
        <v>162</v>
      </c>
      <c r="C72" s="202">
        <v>7</v>
      </c>
      <c r="D72" s="202">
        <v>6</v>
      </c>
      <c r="E72" s="185">
        <v>2.62</v>
      </c>
      <c r="F72" s="202">
        <v>19</v>
      </c>
      <c r="G72" s="202">
        <v>19</v>
      </c>
      <c r="H72" s="202">
        <v>1</v>
      </c>
      <c r="I72" s="202">
        <v>1</v>
      </c>
      <c r="J72" s="202">
        <v>0</v>
      </c>
      <c r="K72" s="202">
        <v>0</v>
      </c>
      <c r="L72" s="185">
        <v>130.66999999999999</v>
      </c>
      <c r="M72" s="202">
        <v>93</v>
      </c>
      <c r="N72" s="202">
        <v>42</v>
      </c>
      <c r="O72" s="202">
        <v>38</v>
      </c>
      <c r="P72" s="202">
        <v>11</v>
      </c>
      <c r="Q72" s="202">
        <v>29</v>
      </c>
      <c r="R72" s="202">
        <v>1</v>
      </c>
      <c r="S72" s="202">
        <v>120</v>
      </c>
      <c r="T72" s="202">
        <v>516</v>
      </c>
      <c r="U72" s="196"/>
      <c r="V72" s="50">
        <f>+(Q72-R72)/(T72-R72)*100</f>
        <v>5.4368932038834954</v>
      </c>
      <c r="W72" s="6">
        <f>IF(V72&lt;LeagueRatings!$K$21,((LeagueRatings!$K$21-V72)/LeagueRatings!$K$21)*36,(LeagueRatings!$K$21-V72)*6.48)</f>
        <v>14.138298373296207</v>
      </c>
      <c r="X72" s="16">
        <f>INDEX('C-P-RollAdj'!$B$4:$B$76,MATCH(INT(W72),'C-P-RollAdj'!$A$4:$A$76,FALSE),0)</f>
        <v>-1.19</v>
      </c>
      <c r="Y72" s="16">
        <f>(P72/(T72-R72))*100</f>
        <v>2.1359223300970873</v>
      </c>
      <c r="Z72" s="6">
        <f>IF(Y72&lt;LeagueRatings!$K$19,((LeagueRatings!$K$19-Y72)/LeagueRatings!$K$19)*36,(LeagueRatings!$K$19-Y72)/LeagueRatings!$K$22)</f>
        <v>9.5580478035613243</v>
      </c>
      <c r="AA72" s="16">
        <f>INDEX('C-P-RollAdj'!$F$4:$F$76,MATCH(INT(Z72),'C-P-RollAdj'!$E$4:$E$76,FALSE),0)</f>
        <v>-0.65</v>
      </c>
      <c r="AB72" s="17">
        <f>+((LeagueRatings!$I$17-E72)*5)+9.5</f>
        <v>17.214387243706362</v>
      </c>
      <c r="AC72" s="17">
        <f>IF(AB72&lt;4,4,AB72)</f>
        <v>17.214387243706362</v>
      </c>
      <c r="AD72" s="17">
        <f>IF(M72&lt;L72,((1-(M72/L72))*7)-0.07,(1-(M72/L72))*5)</f>
        <v>1.9479842350960423</v>
      </c>
      <c r="AE72" s="4">
        <f>+X72+AA72+AC72+AD72</f>
        <v>17.322371478802406</v>
      </c>
      <c r="AF72" s="213"/>
      <c r="AG72" s="5" t="s">
        <v>31</v>
      </c>
      <c r="AH72" s="219">
        <f>INDEX('C-P-RollAdj'!$J$4:$J$76,MATCH(INT(W72),'C-P-RollAdj'!$I$4:$I$76,FALSE),0)</f>
        <v>32</v>
      </c>
      <c r="AI72" s="219">
        <f>INDEX('C-P-RollAdj'!$J$4:$J$76,MATCH(INT(Z72),'C-P-RollAdj'!$I$4:$I$76,FALSE),0)</f>
        <v>23</v>
      </c>
      <c r="AJ72" s="14">
        <f>+AO72*LeagueRatings!$K$27</f>
        <v>72.777777777777786</v>
      </c>
      <c r="AK72" s="72">
        <f>F72*LeagueRatings!$K$27</f>
        <v>10.555555555555555</v>
      </c>
      <c r="AL72" s="72">
        <f>G72*LeagueRatings!$K$27</f>
        <v>10.555555555555555</v>
      </c>
      <c r="AM72" s="72">
        <f>T72*LeagueRatings!$K$27</f>
        <v>286.66666666666669</v>
      </c>
      <c r="AN72" s="24"/>
      <c r="AO72" s="14">
        <f>ROUNDUP(L72,0)</f>
        <v>131</v>
      </c>
      <c r="AP72" s="123"/>
      <c r="AQ72" s="123"/>
      <c r="AR72" s="123"/>
      <c r="AT72" s="71"/>
      <c r="AU72" s="71"/>
    </row>
    <row r="73" spans="1:47" s="24" customFormat="1" x14ac:dyDescent="0.2">
      <c r="A73" s="41" t="s">
        <v>356</v>
      </c>
      <c r="B73" s="202" t="s">
        <v>150</v>
      </c>
      <c r="C73" s="202">
        <v>4</v>
      </c>
      <c r="D73" s="202">
        <v>7</v>
      </c>
      <c r="E73" s="185">
        <v>4.76</v>
      </c>
      <c r="F73" s="202">
        <v>13</v>
      </c>
      <c r="G73" s="202">
        <v>13</v>
      </c>
      <c r="H73" s="202">
        <v>1</v>
      </c>
      <c r="I73" s="202">
        <v>1</v>
      </c>
      <c r="J73" s="202">
        <v>0</v>
      </c>
      <c r="K73" s="202">
        <v>0</v>
      </c>
      <c r="L73" s="185">
        <v>81.33</v>
      </c>
      <c r="M73" s="202">
        <v>101</v>
      </c>
      <c r="N73" s="202">
        <v>45</v>
      </c>
      <c r="O73" s="202">
        <v>43</v>
      </c>
      <c r="P73" s="202">
        <v>10</v>
      </c>
      <c r="Q73" s="202">
        <v>17</v>
      </c>
      <c r="R73" s="202">
        <v>0</v>
      </c>
      <c r="S73" s="202">
        <v>56</v>
      </c>
      <c r="T73" s="202">
        <v>350</v>
      </c>
      <c r="U73" s="76"/>
      <c r="V73" s="50">
        <f>+(Q73-R73)/(T73-R73)*100</f>
        <v>4.8571428571428568</v>
      </c>
      <c r="W73" s="6">
        <f>IF(V73&lt;LeagueRatings!$K$10,((LeagueRatings!$K$10-V73)/LeagueRatings!$K$10)*36,(LeagueRatings!$K$10-V73)*6.48)</f>
        <v>15.826252288412135</v>
      </c>
      <c r="X73" s="16">
        <f>INDEX('C-P-RollAdj'!$B$4:$B$76,MATCH(INT(W73),'C-P-RollAdj'!$A$4:$A$76,FALSE),0)</f>
        <v>-1.29</v>
      </c>
      <c r="Y73" s="16">
        <f>(P73/(T73-R73))*100</f>
        <v>2.8571428571428572</v>
      </c>
      <c r="Z73" s="6">
        <f>IF(Y73&lt;LeagueRatings!$K$8,((LeagueRatings!$K$8-Y73)/LeagueRatings!$K$8)*36,(LeagueRatings!$K$8-Y73)/LeagueRatings!$K$11)</f>
        <v>3.8794040315512719</v>
      </c>
      <c r="AA73" s="16">
        <f>INDEX('C-P-RollAdj'!$F$4:$F$76,MATCH(INT(Z73),'C-P-RollAdj'!$E$4:$E$76,FALSE),0)</f>
        <v>-0.21000000000000002</v>
      </c>
      <c r="AB73" s="17">
        <f>+((LeagueRatings!$I$6-E73)*5)+9.5</f>
        <v>6.7080514552774044</v>
      </c>
      <c r="AC73" s="17">
        <f>IF(AB73&lt;4,4,AB73)</f>
        <v>6.7080514552774044</v>
      </c>
      <c r="AD73" s="17">
        <f>IF(M73&lt;L73,((1-(M73/L73))*7)-0.07,(1-(M73/L73))*5)</f>
        <v>-1.2092708717570388</v>
      </c>
      <c r="AE73" s="4">
        <f>+X73+AA73+AC73+AD73</f>
        <v>3.9987805835203654</v>
      </c>
      <c r="AG73" s="5" t="s">
        <v>60</v>
      </c>
      <c r="AH73" s="219">
        <f>INDEX('C-P-RollAdj'!$J$4:$J$76,MATCH(INT(W73),'C-P-RollAdj'!$I$4:$I$76,FALSE),0)</f>
        <v>33</v>
      </c>
      <c r="AI73" s="219">
        <f>INDEX('C-P-RollAdj'!$J$4:$J$76,MATCH(INT(Z73),'C-P-RollAdj'!$I$4:$I$76,FALSE),0)</f>
        <v>13</v>
      </c>
      <c r="AJ73" s="14">
        <f>+AO73*LeagueRatings!$K$27</f>
        <v>45.555555555555557</v>
      </c>
      <c r="AK73" s="72">
        <f>F73*LeagueRatings!$K$27</f>
        <v>7.2222222222222223</v>
      </c>
      <c r="AL73" s="72">
        <f>G73*LeagueRatings!$K$27</f>
        <v>7.2222222222222223</v>
      </c>
      <c r="AM73" s="72">
        <f>T73*LeagueRatings!$K$27</f>
        <v>194.44444444444446</v>
      </c>
      <c r="AN73" s="26"/>
      <c r="AO73" s="72">
        <f>ROUNDUP(L73,0)</f>
        <v>82</v>
      </c>
      <c r="AP73" s="113"/>
      <c r="AQ73" s="113"/>
      <c r="AR73" s="113"/>
      <c r="AS73" s="26"/>
      <c r="AT73" s="97">
        <v>29.67</v>
      </c>
      <c r="AU73" s="26"/>
    </row>
    <row r="74" spans="1:47" s="122" customFormat="1" x14ac:dyDescent="0.2">
      <c r="A74" s="9"/>
      <c r="B74" s="129"/>
      <c r="C74" s="205"/>
      <c r="D74" s="196"/>
      <c r="E74" s="205"/>
      <c r="F74" s="196"/>
      <c r="G74" s="196"/>
      <c r="H74" s="196"/>
      <c r="I74" s="206"/>
      <c r="J74" s="206"/>
      <c r="K74" s="206"/>
      <c r="L74" s="157">
        <f>(L72/100)/((L72+L73)/100)</f>
        <v>0.6163679245283018</v>
      </c>
      <c r="M74" s="146"/>
      <c r="N74" s="146"/>
      <c r="O74" s="146"/>
      <c r="P74" s="146"/>
      <c r="Q74" s="146"/>
      <c r="R74" s="146"/>
      <c r="S74" s="146"/>
      <c r="T74" s="158"/>
      <c r="U74" s="158"/>
      <c r="V74" s="153"/>
      <c r="W74" s="152">
        <f>W72*L74</f>
        <v>8.7143936247104481</v>
      </c>
      <c r="X74" s="153"/>
      <c r="Y74" s="153"/>
      <c r="Z74" s="152">
        <f>Z72*L74</f>
        <v>5.8912740872233869</v>
      </c>
      <c r="AA74" s="153"/>
      <c r="AB74" s="103"/>
      <c r="AC74" s="103"/>
      <c r="AD74" s="103"/>
      <c r="AE74" s="154">
        <f>AE72*L74</f>
        <v>10.67695415629769</v>
      </c>
      <c r="AF74" s="168"/>
      <c r="AG74" s="5"/>
      <c r="AH74" s="5"/>
      <c r="AI74" s="5"/>
      <c r="AJ74" s="103"/>
      <c r="AK74" s="72"/>
      <c r="AL74" s="72"/>
      <c r="AM74" s="72"/>
      <c r="AN74" s="30"/>
      <c r="AO74" s="14"/>
      <c r="AP74" s="123"/>
      <c r="AQ74" s="123"/>
      <c r="AR74" s="123"/>
      <c r="AT74" s="71"/>
      <c r="AU74" s="71"/>
    </row>
    <row r="75" spans="1:47" s="122" customFormat="1" x14ac:dyDescent="0.2">
      <c r="A75" s="9"/>
      <c r="B75" s="129"/>
      <c r="C75" s="205"/>
      <c r="D75" s="196"/>
      <c r="E75" s="205"/>
      <c r="F75" s="196"/>
      <c r="G75" s="196"/>
      <c r="H75" s="196"/>
      <c r="I75" s="206"/>
      <c r="J75" s="206"/>
      <c r="K75" s="206"/>
      <c r="L75" s="157">
        <f>(L73/100)/((L72+L73)/100)</f>
        <v>0.38363207547169809</v>
      </c>
      <c r="M75" s="146"/>
      <c r="N75" s="146"/>
      <c r="O75" s="146"/>
      <c r="P75" s="146"/>
      <c r="Q75" s="146"/>
      <c r="R75" s="146"/>
      <c r="S75" s="146"/>
      <c r="T75" s="158"/>
      <c r="U75" s="158"/>
      <c r="V75" s="153"/>
      <c r="W75" s="152">
        <f>W73*L75</f>
        <v>6.0714580123422586</v>
      </c>
      <c r="X75" s="153"/>
      <c r="Y75" s="153"/>
      <c r="Z75" s="152">
        <f>Z73*L75</f>
        <v>1.4882638202172873</v>
      </c>
      <c r="AA75" s="153"/>
      <c r="AB75" s="103"/>
      <c r="AC75" s="103"/>
      <c r="AD75" s="103"/>
      <c r="AE75" s="154">
        <f>AE73*L75</f>
        <v>1.5340604946118457</v>
      </c>
      <c r="AF75" s="168"/>
      <c r="AG75" s="5"/>
      <c r="AH75" s="5"/>
      <c r="AI75" s="5"/>
      <c r="AJ75" s="103"/>
      <c r="AK75" s="72"/>
      <c r="AL75" s="72"/>
      <c r="AM75" s="72"/>
      <c r="AO75" s="112"/>
      <c r="AP75" s="123"/>
      <c r="AQ75" s="123"/>
      <c r="AR75" s="123"/>
      <c r="AT75" s="71"/>
      <c r="AU75" s="71"/>
    </row>
    <row r="76" spans="1:47" s="122" customFormat="1" x14ac:dyDescent="0.2">
      <c r="A76" s="9"/>
      <c r="B76" s="129"/>
      <c r="C76" s="205"/>
      <c r="D76" s="196"/>
      <c r="E76" s="205"/>
      <c r="F76" s="196"/>
      <c r="G76" s="196"/>
      <c r="H76" s="196"/>
      <c r="I76" s="206"/>
      <c r="J76" s="206"/>
      <c r="K76" s="206"/>
      <c r="L76" s="157"/>
      <c r="M76" s="146"/>
      <c r="N76" s="146"/>
      <c r="O76" s="146"/>
      <c r="P76" s="146"/>
      <c r="Q76" s="146"/>
      <c r="R76" s="146"/>
      <c r="S76" s="146"/>
      <c r="T76" s="158"/>
      <c r="U76" s="158"/>
      <c r="V76" s="153"/>
      <c r="W76" s="152">
        <f>SUM(W74:W75)</f>
        <v>14.785851637052707</v>
      </c>
      <c r="X76" s="153"/>
      <c r="Y76" s="153"/>
      <c r="Z76" s="152">
        <f>SUM(Z74:Z75)</f>
        <v>7.3795379074406746</v>
      </c>
      <c r="AA76" s="153"/>
      <c r="AB76" s="103"/>
      <c r="AC76" s="103"/>
      <c r="AD76" s="103"/>
      <c r="AE76" s="153">
        <f>SUM(AE74:AE75)</f>
        <v>12.211014650909535</v>
      </c>
      <c r="AF76" s="41" t="s">
        <v>356</v>
      </c>
      <c r="AG76" s="5" t="s">
        <v>59</v>
      </c>
      <c r="AH76" s="219">
        <f>INDEX('C-P-RollAdj'!$J$4:$J$76,MATCH(INT(W76),'C-P-RollAdj'!$I$4:$I$76,FALSE),0)</f>
        <v>32</v>
      </c>
      <c r="AI76" s="219">
        <f>INDEX('C-P-RollAdj'!$J$4:$J$76,MATCH(INT(Z76),'C-P-RollAdj'!$I$4:$I$76,FALSE),0)</f>
        <v>21</v>
      </c>
      <c r="AJ76" s="174">
        <f>SUM(AJ72:AJ75)</f>
        <v>118.33333333333334</v>
      </c>
      <c r="AK76" s="14">
        <f>SUM(AK72:AK75)</f>
        <v>17.777777777777779</v>
      </c>
      <c r="AL76" s="14">
        <f>SUM(AL72:AL75)</f>
        <v>17.777777777777779</v>
      </c>
      <c r="AM76" s="14">
        <f>SUM(AM72:AM75)</f>
        <v>481.11111111111114</v>
      </c>
      <c r="AO76" s="112"/>
      <c r="AP76" s="123"/>
      <c r="AQ76" s="123"/>
      <c r="AR76" s="123"/>
      <c r="AT76" s="71"/>
      <c r="AU76" s="71"/>
    </row>
    <row r="77" spans="1:47" s="122" customFormat="1" x14ac:dyDescent="0.2">
      <c r="A77" s="146"/>
      <c r="B77" s="155"/>
      <c r="C77" s="205"/>
      <c r="D77" s="196"/>
      <c r="E77" s="205"/>
      <c r="F77" s="196"/>
      <c r="G77" s="196"/>
      <c r="H77" s="196"/>
      <c r="I77" s="206"/>
      <c r="J77" s="206"/>
      <c r="K77" s="206"/>
      <c r="L77" s="205"/>
      <c r="M77" s="196"/>
      <c r="N77" s="196"/>
      <c r="O77" s="196"/>
      <c r="P77" s="196"/>
      <c r="Q77" s="196"/>
      <c r="R77" s="196"/>
      <c r="S77" s="196"/>
      <c r="T77" s="196"/>
      <c r="U77" s="196"/>
      <c r="V77" s="207"/>
      <c r="W77" s="208"/>
      <c r="X77" s="209"/>
      <c r="Y77" s="210"/>
      <c r="Z77" s="208"/>
      <c r="AA77" s="209"/>
      <c r="AB77" s="211"/>
      <c r="AC77" s="211"/>
      <c r="AD77" s="211"/>
      <c r="AE77" s="212"/>
      <c r="AF77" s="213"/>
      <c r="AG77" s="214"/>
      <c r="AH77" s="214"/>
      <c r="AI77" s="214"/>
      <c r="AJ77" s="167"/>
      <c r="AK77" s="121"/>
      <c r="AL77" s="121"/>
      <c r="AM77" s="121"/>
      <c r="AO77" s="112"/>
      <c r="AP77" s="123"/>
      <c r="AQ77" s="123"/>
      <c r="AR77" s="123"/>
      <c r="AT77" s="71"/>
      <c r="AU77" s="71"/>
    </row>
    <row r="78" spans="1:47" s="122" customFormat="1" x14ac:dyDescent="0.2">
      <c r="A78" s="155" t="s">
        <v>862</v>
      </c>
      <c r="B78" s="155" t="s">
        <v>155</v>
      </c>
      <c r="C78" s="202">
        <v>0</v>
      </c>
      <c r="D78" s="202">
        <v>5</v>
      </c>
      <c r="E78" s="185">
        <v>7.12</v>
      </c>
      <c r="F78" s="202">
        <v>17</v>
      </c>
      <c r="G78" s="202">
        <v>7</v>
      </c>
      <c r="H78" s="202">
        <v>0</v>
      </c>
      <c r="I78" s="202">
        <v>0</v>
      </c>
      <c r="J78" s="202">
        <v>0</v>
      </c>
      <c r="K78" s="202">
        <v>1</v>
      </c>
      <c r="L78" s="185">
        <v>43</v>
      </c>
      <c r="M78" s="202">
        <v>62</v>
      </c>
      <c r="N78" s="202">
        <v>37</v>
      </c>
      <c r="O78" s="202">
        <v>34</v>
      </c>
      <c r="P78" s="202">
        <v>9</v>
      </c>
      <c r="Q78" s="202">
        <v>20</v>
      </c>
      <c r="R78" s="202">
        <v>0</v>
      </c>
      <c r="S78" s="202">
        <v>28</v>
      </c>
      <c r="T78" s="202">
        <v>208</v>
      </c>
      <c r="U78" s="196"/>
      <c r="V78" s="50">
        <f>+(Q78-R78)/(T78-R78)*100</f>
        <v>9.6153846153846168</v>
      </c>
      <c r="W78" s="6">
        <f>IF(V78&lt;LeagueRatings!$K$10,((LeagueRatings!$K$10-V78)/LeagueRatings!$K$10)*36,(LeagueRatings!$K$10-V78)*6.48)</f>
        <v>-6.1419118134986563</v>
      </c>
      <c r="X78" s="16">
        <f>INDEX('C-P-RollAdj'!$B$4:$B$76,MATCH(INT(W78),'C-P-RollAdj'!$A$4:$A$76,FALSE),0)</f>
        <v>0.65</v>
      </c>
      <c r="Y78" s="16">
        <f>(P78/(T78-R78))*100</f>
        <v>4.3269230769230766</v>
      </c>
      <c r="Z78" s="6">
        <f>IF(Y78&lt;LeagueRatings!$K$8,((LeagueRatings!$K$8-Y78)/LeagueRatings!$K$8)*36,(LeagueRatings!$K$8-Y78)/LeagueRatings!$K$11)</f>
        <v>-8.9306692344727931</v>
      </c>
      <c r="AA78" s="16">
        <f>INDEX('C-P-RollAdj'!$F$4:$F$76,MATCH(INT(Z78),'C-P-RollAdj'!$E$4:$E$76,FALSE),0)</f>
        <v>0.81</v>
      </c>
      <c r="AB78" s="17">
        <f>+((LeagueRatings!$I$6-E78)*5)+9.5</f>
        <v>-5.0919485447225981</v>
      </c>
      <c r="AC78" s="17">
        <f>IF(AB78&lt;4,4,AB78)</f>
        <v>4</v>
      </c>
      <c r="AD78" s="17">
        <f>IF(M78&lt;L78,((1-(M78/L78))*7)-0.07,(1-(M78/L78))*5)</f>
        <v>-2.2093023255813948</v>
      </c>
      <c r="AE78" s="4">
        <f>+X78+AA78+AC78+AD78</f>
        <v>3.2506976744186051</v>
      </c>
      <c r="AF78" s="24"/>
      <c r="AG78" s="5" t="s">
        <v>60</v>
      </c>
      <c r="AH78" s="219">
        <f>INDEX('C-P-RollAdj'!$J$4:$J$76,MATCH(INT(W78),'C-P-RollAdj'!$I$4:$I$76,FALSE),0)</f>
        <v>-21</v>
      </c>
      <c r="AI78" s="219">
        <f>INDEX('C-P-RollAdj'!$J$4:$J$76,MATCH(INT(Z78),'C-P-RollAdj'!$I$4:$I$76,FALSE),0)</f>
        <v>-23</v>
      </c>
      <c r="AJ78" s="14">
        <f>+AO78*LeagueRatings!$K$27</f>
        <v>23.888888888888889</v>
      </c>
      <c r="AK78" s="72">
        <f>F78*LeagueRatings!$K$27</f>
        <v>9.4444444444444446</v>
      </c>
      <c r="AL78" s="72">
        <f>G78*LeagueRatings!$K$27</f>
        <v>3.8888888888888893</v>
      </c>
      <c r="AM78" s="72">
        <f>T78*LeagueRatings!$K$27</f>
        <v>115.55555555555556</v>
      </c>
      <c r="AN78" s="26"/>
      <c r="AO78" s="72">
        <f>ROUNDUP(L78,0)</f>
        <v>43</v>
      </c>
      <c r="AP78" s="123"/>
      <c r="AQ78" s="123"/>
      <c r="AR78" s="123"/>
      <c r="AT78" s="71"/>
      <c r="AU78" s="71"/>
    </row>
    <row r="79" spans="1:47" customFormat="1" x14ac:dyDescent="0.2">
      <c r="A79" s="216" t="s">
        <v>480</v>
      </c>
      <c r="B79" s="202" t="s">
        <v>160</v>
      </c>
      <c r="C79" s="202">
        <v>1</v>
      </c>
      <c r="D79" s="202">
        <v>0</v>
      </c>
      <c r="E79" s="185">
        <v>7.63</v>
      </c>
      <c r="F79" s="202">
        <v>24</v>
      </c>
      <c r="G79" s="202">
        <v>0</v>
      </c>
      <c r="H79" s="202">
        <v>0</v>
      </c>
      <c r="I79" s="202">
        <v>0</v>
      </c>
      <c r="J79" s="202">
        <v>0</v>
      </c>
      <c r="K79" s="202">
        <v>1</v>
      </c>
      <c r="L79" s="185">
        <v>15.33</v>
      </c>
      <c r="M79" s="202">
        <v>20</v>
      </c>
      <c r="N79" s="202">
        <v>14</v>
      </c>
      <c r="O79" s="202">
        <v>13</v>
      </c>
      <c r="P79" s="202">
        <v>1</v>
      </c>
      <c r="Q79" s="202">
        <v>16</v>
      </c>
      <c r="R79" s="202">
        <v>1</v>
      </c>
      <c r="S79" s="202">
        <v>13</v>
      </c>
      <c r="T79" s="202">
        <v>80</v>
      </c>
      <c r="U79" s="76"/>
      <c r="V79" s="50">
        <f>+(Q79-R79)/(T79-R79)*100</f>
        <v>18.9873417721519</v>
      </c>
      <c r="W79" s="6">
        <f>IF(V79&lt;LeagueRatings!$K$21,((LeagueRatings!$K$21-V79)/LeagueRatings!$K$21)*36,(LeagueRatings!$K$21-V79)*6.48)</f>
        <v>-65.022433704213284</v>
      </c>
      <c r="X79" s="16">
        <v>5.44</v>
      </c>
      <c r="Y79" s="16">
        <f>(P79/(T79-R79))*100</f>
        <v>1.2658227848101267</v>
      </c>
      <c r="Z79" s="6">
        <f>IF(Y79&lt;LeagueRatings!$K$19,((LeagueRatings!$K$19-Y79)/LeagueRatings!$K$19)*36,(LeagueRatings!$K$19-Y79)/LeagueRatings!$K$22)</f>
        <v>20.329568030879262</v>
      </c>
      <c r="AA79" s="16">
        <f>INDEX('C-P-RollAdj'!$F$4:$F$76,MATCH(INT(Z79),'C-P-RollAdj'!$E$4:$E$76,FALSE),0)</f>
        <v>-1.59</v>
      </c>
      <c r="AB79" s="17">
        <f>+((LeagueRatings!$I$17-E79)*5)+9.5</f>
        <v>-7.8356127562936351</v>
      </c>
      <c r="AC79" s="17">
        <f>IF(AB79&lt;4,4,AB79)</f>
        <v>4</v>
      </c>
      <c r="AD79" s="17">
        <f>IF(M79&lt;L79,((1-(M79/L79))*7)-0.07,(1-(M79/L79))*5)</f>
        <v>-1.5231572080887146</v>
      </c>
      <c r="AE79" s="4">
        <f>+X79+AA79+AC79+AD79</f>
        <v>6.326842791911286</v>
      </c>
      <c r="AF79" s="168"/>
      <c r="AG79" s="5" t="s">
        <v>66</v>
      </c>
      <c r="AH79" s="219">
        <v>-66</v>
      </c>
      <c r="AI79" s="219">
        <f>INDEX('C-P-RollAdj'!$J$4:$J$76,MATCH(INT(Z79),'C-P-RollAdj'!$I$4:$I$76,FALSE),0)</f>
        <v>42</v>
      </c>
      <c r="AJ79" s="14">
        <f>+AO79*LeagueRatings!$K$27</f>
        <v>8.8888888888888893</v>
      </c>
      <c r="AK79" s="72">
        <f>F79*LeagueRatings!$K$27</f>
        <v>13.333333333333334</v>
      </c>
      <c r="AL79" s="72">
        <f>G79*LeagueRatings!$K$27</f>
        <v>0</v>
      </c>
      <c r="AM79" s="72">
        <f>T79*LeagueRatings!$K$27</f>
        <v>44.444444444444443</v>
      </c>
      <c r="AO79" s="14">
        <f>ROUNDUP(L79,0)</f>
        <v>16</v>
      </c>
    </row>
    <row r="80" spans="1:47" s="122" customFormat="1" x14ac:dyDescent="0.2">
      <c r="A80" s="9"/>
      <c r="B80" s="129"/>
      <c r="C80" s="205"/>
      <c r="D80" s="196"/>
      <c r="E80" s="205"/>
      <c r="F80" s="196"/>
      <c r="G80" s="196"/>
      <c r="H80" s="196"/>
      <c r="I80" s="206"/>
      <c r="J80" s="206"/>
      <c r="K80" s="206"/>
      <c r="L80" s="157">
        <f>(L78/100)/((L78+L79)/100)</f>
        <v>0.73718498199897142</v>
      </c>
      <c r="M80" s="146"/>
      <c r="N80" s="146"/>
      <c r="O80" s="146"/>
      <c r="P80" s="146"/>
      <c r="Q80" s="146"/>
      <c r="R80" s="146"/>
      <c r="S80" s="146"/>
      <c r="T80" s="158"/>
      <c r="U80" s="158"/>
      <c r="V80" s="153"/>
      <c r="W80" s="152">
        <f>W78*L80</f>
        <v>-4.5277251496732767</v>
      </c>
      <c r="X80" s="153"/>
      <c r="Y80" s="153"/>
      <c r="Z80" s="152">
        <f>Z78*L80</f>
        <v>-6.5835552388535943</v>
      </c>
      <c r="AA80" s="153"/>
      <c r="AB80" s="103"/>
      <c r="AC80" s="103"/>
      <c r="AD80" s="103"/>
      <c r="AE80" s="154">
        <f>AE78*L80</f>
        <v>2.3963655066003775</v>
      </c>
      <c r="AF80" s="168"/>
      <c r="AG80" s="5"/>
      <c r="AH80" s="5"/>
      <c r="AI80" s="5"/>
      <c r="AJ80" s="103"/>
      <c r="AK80" s="72"/>
      <c r="AL80" s="72"/>
      <c r="AM80" s="72"/>
      <c r="AO80" s="112"/>
      <c r="AP80" s="123"/>
      <c r="AQ80" s="123"/>
      <c r="AR80" s="123"/>
      <c r="AT80" s="71"/>
      <c r="AU80" s="71"/>
    </row>
    <row r="81" spans="1:47" s="122" customFormat="1" x14ac:dyDescent="0.2">
      <c r="A81" s="9"/>
      <c r="B81" s="129"/>
      <c r="C81" s="205"/>
      <c r="D81" s="196"/>
      <c r="E81" s="205"/>
      <c r="F81" s="196"/>
      <c r="G81" s="196"/>
      <c r="H81" s="196"/>
      <c r="I81" s="206"/>
      <c r="J81" s="206"/>
      <c r="K81" s="206"/>
      <c r="L81" s="157">
        <f>(L79/100)/((L78+L79)/100)</f>
        <v>0.26281501800102863</v>
      </c>
      <c r="M81" s="146"/>
      <c r="N81" s="146"/>
      <c r="O81" s="146"/>
      <c r="P81" s="146"/>
      <c r="Q81" s="146"/>
      <c r="R81" s="146"/>
      <c r="S81" s="146"/>
      <c r="T81" s="158"/>
      <c r="U81" s="158"/>
      <c r="V81" s="153"/>
      <c r="W81" s="152">
        <f>W79*L81</f>
        <v>-17.088872084443505</v>
      </c>
      <c r="X81" s="153"/>
      <c r="Y81" s="153"/>
      <c r="Z81" s="152">
        <f>Z79*L81</f>
        <v>5.3429157879886695</v>
      </c>
      <c r="AA81" s="153"/>
      <c r="AB81" s="103"/>
      <c r="AC81" s="103"/>
      <c r="AD81" s="103"/>
      <c r="AE81" s="154">
        <f>AE79*L81</f>
        <v>1.6627893022458429</v>
      </c>
      <c r="AF81" s="168"/>
      <c r="AG81" s="5"/>
      <c r="AH81" s="5"/>
      <c r="AI81" s="5"/>
      <c r="AJ81" s="103"/>
      <c r="AK81" s="72"/>
      <c r="AL81" s="72"/>
      <c r="AM81" s="72"/>
      <c r="AO81" s="112"/>
      <c r="AP81" s="123"/>
      <c r="AQ81" s="123"/>
      <c r="AR81" s="123"/>
      <c r="AT81" s="71"/>
      <c r="AU81" s="71"/>
    </row>
    <row r="82" spans="1:47" x14ac:dyDescent="0.2">
      <c r="A82" s="9"/>
      <c r="B82" s="129"/>
      <c r="T82" s="158"/>
      <c r="U82" s="158"/>
      <c r="V82" s="153"/>
      <c r="W82" s="152">
        <f>SUM(W80:W81)</f>
        <v>-21.616597234116782</v>
      </c>
      <c r="X82" s="153"/>
      <c r="Y82" s="153"/>
      <c r="Z82" s="152">
        <f>SUM(Z80:Z81)</f>
        <v>-1.2406394508649248</v>
      </c>
      <c r="AA82" s="153"/>
      <c r="AB82" s="103"/>
      <c r="AC82" s="103"/>
      <c r="AD82" s="103"/>
      <c r="AE82" s="153">
        <f>SUM(AE80:AE81)</f>
        <v>4.0591548088462206</v>
      </c>
      <c r="AF82" s="216" t="s">
        <v>480</v>
      </c>
      <c r="AG82" s="5" t="s">
        <v>19</v>
      </c>
      <c r="AH82" s="219">
        <f>INDEX('C-P-RollAdj'!$J$4:$J$76,MATCH(INT(W82),'C-P-RollAdj'!$I$4:$I$76,FALSE),0)</f>
        <v>-44</v>
      </c>
      <c r="AI82" s="219">
        <f>INDEX('C-P-RollAdj'!$J$4:$J$76,MATCH(INT(Z82),'C-P-RollAdj'!$I$4:$I$76,FALSE),0)</f>
        <v>-12</v>
      </c>
      <c r="AJ82" s="174">
        <f>SUM(AJ78:AJ81)</f>
        <v>32.777777777777779</v>
      </c>
      <c r="AK82" s="14">
        <f>SUM(AK78:AK81)</f>
        <v>22.777777777777779</v>
      </c>
      <c r="AL82" s="14">
        <f>SUM(AL78:AL81)</f>
        <v>3.8888888888888893</v>
      </c>
      <c r="AM82" s="14">
        <f>SUM(AM78:AM81)</f>
        <v>160</v>
      </c>
      <c r="AN82" s="122"/>
      <c r="AO82" s="112"/>
    </row>
    <row r="83" spans="1:47" x14ac:dyDescent="0.2">
      <c r="A83" s="204"/>
      <c r="B83" s="196"/>
      <c r="L83" s="205"/>
      <c r="M83" s="196"/>
      <c r="N83" s="196"/>
      <c r="O83" s="196"/>
      <c r="P83" s="196"/>
      <c r="Q83" s="196"/>
      <c r="R83" s="196"/>
      <c r="S83" s="196"/>
      <c r="T83" s="196"/>
      <c r="U83" s="196"/>
      <c r="V83" s="207"/>
      <c r="W83" s="208"/>
      <c r="X83" s="209"/>
      <c r="Y83" s="210"/>
      <c r="Z83" s="208"/>
      <c r="AA83" s="209"/>
      <c r="AB83" s="211"/>
      <c r="AC83" s="211"/>
      <c r="AD83" s="211"/>
      <c r="AE83" s="212"/>
      <c r="AF83" s="213"/>
      <c r="AG83" s="214"/>
      <c r="AH83" s="214"/>
      <c r="AI83" s="214"/>
      <c r="AJ83" s="167"/>
      <c r="AK83" s="121"/>
      <c r="AL83" s="121"/>
      <c r="AM83" s="121"/>
      <c r="AN83" s="122"/>
      <c r="AO83" s="112"/>
    </row>
    <row r="84" spans="1:47" x14ac:dyDescent="0.2">
      <c r="A84" s="155" t="s">
        <v>872</v>
      </c>
      <c r="B84" s="155" t="s">
        <v>168</v>
      </c>
      <c r="C84" s="202">
        <v>2</v>
      </c>
      <c r="D84" s="202">
        <v>1</v>
      </c>
      <c r="E84" s="185">
        <v>5.15</v>
      </c>
      <c r="F84" s="202">
        <v>41</v>
      </c>
      <c r="G84" s="202">
        <v>0</v>
      </c>
      <c r="H84" s="202">
        <v>0</v>
      </c>
      <c r="I84" s="202">
        <v>0</v>
      </c>
      <c r="J84" s="202">
        <v>0</v>
      </c>
      <c r="K84" s="202">
        <v>2</v>
      </c>
      <c r="L84" s="185">
        <v>36.67</v>
      </c>
      <c r="M84" s="202">
        <v>40</v>
      </c>
      <c r="N84" s="202">
        <v>23</v>
      </c>
      <c r="O84" s="202">
        <v>21</v>
      </c>
      <c r="P84" s="202">
        <v>3</v>
      </c>
      <c r="Q84" s="202">
        <v>24</v>
      </c>
      <c r="R84" s="202">
        <v>0</v>
      </c>
      <c r="S84" s="202">
        <v>49</v>
      </c>
      <c r="T84" s="202">
        <v>175</v>
      </c>
      <c r="U84" s="196"/>
      <c r="V84" s="50">
        <f>+(Q84-R84)/(T84-R84)*100</f>
        <v>13.714285714285715</v>
      </c>
      <c r="W84" s="6">
        <f>IF(V84&lt;LeagueRatings!$K$21,((LeagueRatings!$K$21-V84)/LeagueRatings!$K$21)*36,(LeagueRatings!$K$21-V84)*6.48)</f>
        <v>-30.853030449240403</v>
      </c>
      <c r="X84" s="16">
        <v>5.44</v>
      </c>
      <c r="Y84" s="16">
        <f>(P84/(T84-R84))*100</f>
        <v>1.7142857142857144</v>
      </c>
      <c r="Z84" s="6">
        <f>IF(Y84&lt;LeagueRatings!$K$19,((LeagueRatings!$K$19-Y84)/LeagueRatings!$K$19)*36,(LeagueRatings!$K$19-Y84)/LeagueRatings!$K$22)</f>
        <v>14.777757847533632</v>
      </c>
      <c r="AA84" s="16">
        <f>INDEX('C-P-RollAdj'!$F$4:$F$76,MATCH(INT(Z84),'C-P-RollAdj'!$E$4:$E$76,FALSE),0)</f>
        <v>-1.05</v>
      </c>
      <c r="AB84" s="17">
        <f>+((LeagueRatings!$I$17-E84)*5)+9.5</f>
        <v>4.5643872437063608</v>
      </c>
      <c r="AC84" s="17">
        <f>IF(AB84&lt;4,4,AB84)</f>
        <v>4.5643872437063608</v>
      </c>
      <c r="AD84" s="17">
        <f>IF(M84&lt;L84,((1-(M84/L84))*7)-0.07,(1-(M84/L84))*5)</f>
        <v>-0.45404963185164959</v>
      </c>
      <c r="AE84" s="4">
        <f>+X84+AA84+AC84+AD84</f>
        <v>8.5003376118547109</v>
      </c>
      <c r="AG84" s="5" t="s">
        <v>55</v>
      </c>
      <c r="AH84" s="219">
        <v>-66</v>
      </c>
      <c r="AI84" s="219">
        <f>INDEX('C-P-RollAdj'!$J$4:$J$76,MATCH(INT(Z84),'C-P-RollAdj'!$I$4:$I$76,FALSE),0)</f>
        <v>32</v>
      </c>
      <c r="AJ84" s="14">
        <f>+AO84*LeagueRatings!$K$27</f>
        <v>20.555555555555557</v>
      </c>
      <c r="AK84" s="72">
        <f>F84*LeagueRatings!$K$27</f>
        <v>22.777777777777779</v>
      </c>
      <c r="AL84" s="72">
        <f>G84*LeagueRatings!$K$27</f>
        <v>0</v>
      </c>
      <c r="AM84" s="72">
        <f>T84*LeagueRatings!$K$27</f>
        <v>97.222222222222229</v>
      </c>
      <c r="AN84"/>
      <c r="AO84" s="14">
        <f>ROUNDUP(L84,0)</f>
        <v>37</v>
      </c>
    </row>
    <row r="85" spans="1:47" s="24" customFormat="1" x14ac:dyDescent="0.2">
      <c r="A85" s="41" t="s">
        <v>419</v>
      </c>
      <c r="B85" s="202" t="s">
        <v>155</v>
      </c>
      <c r="C85" s="202">
        <v>0</v>
      </c>
      <c r="D85" s="202">
        <v>0</v>
      </c>
      <c r="E85" s="185">
        <v>2.08</v>
      </c>
      <c r="F85" s="202">
        <v>26</v>
      </c>
      <c r="G85" s="202">
        <v>0</v>
      </c>
      <c r="H85" s="202">
        <v>0</v>
      </c>
      <c r="I85" s="202">
        <v>0</v>
      </c>
      <c r="J85" s="202">
        <v>0</v>
      </c>
      <c r="K85" s="202">
        <v>1</v>
      </c>
      <c r="L85" s="185">
        <v>21.67</v>
      </c>
      <c r="M85" s="202">
        <v>13</v>
      </c>
      <c r="N85" s="202">
        <v>5</v>
      </c>
      <c r="O85" s="202">
        <v>5</v>
      </c>
      <c r="P85" s="202">
        <v>2</v>
      </c>
      <c r="Q85" s="202">
        <v>7</v>
      </c>
      <c r="R85" s="202">
        <v>0</v>
      </c>
      <c r="S85" s="202">
        <v>20</v>
      </c>
      <c r="T85" s="202">
        <v>85</v>
      </c>
      <c r="U85" s="76"/>
      <c r="V85" s="50">
        <f>+(Q85-R85)/(T85-R85)*100</f>
        <v>8.235294117647058</v>
      </c>
      <c r="W85" s="6">
        <f>IF(V85&lt;LeagueRatings!$K$10,((LeagueRatings!$K$10-V85)/LeagueRatings!$K$10)*36,(LeagueRatings!$K$10-V85)*6.48)</f>
        <v>1.7953758523250762</v>
      </c>
      <c r="X85" s="16">
        <f>INDEX('C-P-RollAdj'!$B$4:$B$76,MATCH(INT(W85),'C-P-RollAdj'!$A$4:$A$76,FALSE),0)</f>
        <v>-0.08</v>
      </c>
      <c r="Y85" s="16">
        <f>(P85/(T85-R85))*100</f>
        <v>2.3529411764705883</v>
      </c>
      <c r="Z85" s="6">
        <f>IF(Y85&lt;LeagueRatings!$K$8,((LeagueRatings!$K$8-Y85)/LeagueRatings!$K$8)*36,(LeagueRatings!$K$8-Y85)/LeagueRatings!$K$11)</f>
        <v>9.5477444965716352</v>
      </c>
      <c r="AA85" s="16">
        <f>INDEX('C-P-RollAdj'!$F$4:$F$76,MATCH(INT(Z85),'C-P-RollAdj'!$E$4:$E$76,FALSE),0)</f>
        <v>-0.65</v>
      </c>
      <c r="AB85" s="17">
        <f>+((LeagueRatings!$I$6-E85)*5)+9.5</f>
        <v>20.108051455277405</v>
      </c>
      <c r="AC85" s="17">
        <f>IF(AB85&lt;4,4,AB85)</f>
        <v>20.108051455277405</v>
      </c>
      <c r="AD85" s="17">
        <f>IF(M85&lt;L85,((1-(M85/L85))*7)-0.07,(1-(M85/L85))*5)</f>
        <v>2.7306460544531617</v>
      </c>
      <c r="AE85" s="4">
        <f>+X85+AA85+AC85+AD85</f>
        <v>22.108697509730565</v>
      </c>
      <c r="AG85" s="5" t="s">
        <v>74</v>
      </c>
      <c r="AH85" s="219">
        <f>INDEX('C-P-RollAdj'!$J$4:$J$76,MATCH(INT(W85),'C-P-RollAdj'!$I$4:$I$76,FALSE),0)</f>
        <v>11</v>
      </c>
      <c r="AI85" s="219">
        <f>INDEX('C-P-RollAdj'!$J$4:$J$76,MATCH(INT(Z85),'C-P-RollAdj'!$I$4:$I$76,FALSE),0)</f>
        <v>23</v>
      </c>
      <c r="AJ85" s="14">
        <f>+AO85*LeagueRatings!$K$27</f>
        <v>12.222222222222223</v>
      </c>
      <c r="AK85" s="72">
        <f>F85*LeagueRatings!$K$27</f>
        <v>14.444444444444445</v>
      </c>
      <c r="AL85" s="72">
        <f>G85*LeagueRatings!$K$27</f>
        <v>0</v>
      </c>
      <c r="AM85" s="72">
        <f>T85*LeagueRatings!$K$27</f>
        <v>47.222222222222221</v>
      </c>
      <c r="AO85" s="72">
        <f>ROUNDUP(L85,0)</f>
        <v>22</v>
      </c>
      <c r="AP85" s="113"/>
      <c r="AQ85" s="113"/>
      <c r="AR85" s="113"/>
      <c r="AT85" s="144">
        <v>57</v>
      </c>
    </row>
    <row r="86" spans="1:47" x14ac:dyDescent="0.2">
      <c r="A86" s="9"/>
      <c r="B86" s="129"/>
      <c r="L86" s="157">
        <f>(L84/100)/((L84+L85)/100)</f>
        <v>0.62855673637298592</v>
      </c>
      <c r="T86" s="158"/>
      <c r="U86" s="158"/>
      <c r="V86" s="153"/>
      <c r="W86" s="152">
        <f>W84*L86</f>
        <v>-19.392880126390907</v>
      </c>
      <c r="X86" s="153"/>
      <c r="Y86" s="153"/>
      <c r="Z86" s="152">
        <f>Z84*L86</f>
        <v>9.2886592435560207</v>
      </c>
      <c r="AA86" s="153"/>
      <c r="AB86" s="103"/>
      <c r="AC86" s="103"/>
      <c r="AD86" s="103"/>
      <c r="AE86" s="154">
        <f>AE84*L86</f>
        <v>5.3429444673759381</v>
      </c>
      <c r="AG86" s="5"/>
      <c r="AH86" s="5"/>
      <c r="AI86" s="5"/>
      <c r="AJ86" s="103"/>
      <c r="AK86" s="72"/>
      <c r="AL86" s="72"/>
      <c r="AM86" s="72"/>
      <c r="AN86" s="30"/>
      <c r="AO86" s="14"/>
    </row>
    <row r="87" spans="1:47" x14ac:dyDescent="0.2">
      <c r="A87" s="9"/>
      <c r="B87" s="129"/>
      <c r="L87" s="157">
        <f>(L85/100)/((L84+L85)/100)</f>
        <v>0.37144326362701402</v>
      </c>
      <c r="T87" s="158"/>
      <c r="U87" s="158"/>
      <c r="V87" s="153"/>
      <c r="W87" s="152">
        <f>W85*L87</f>
        <v>0.66688026602475825</v>
      </c>
      <c r="X87" s="153"/>
      <c r="Y87" s="153"/>
      <c r="Z87" s="152">
        <f>Z85*L87</f>
        <v>3.54644537608343</v>
      </c>
      <c r="AA87" s="153"/>
      <c r="AB87" s="103"/>
      <c r="AC87" s="103"/>
      <c r="AD87" s="103"/>
      <c r="AE87" s="154">
        <f>AE85*L87</f>
        <v>8.2121267575567582</v>
      </c>
      <c r="AG87" s="5"/>
      <c r="AH87" s="5"/>
      <c r="AI87" s="5"/>
      <c r="AJ87" s="103"/>
      <c r="AK87" s="72"/>
      <c r="AL87" s="72"/>
      <c r="AM87" s="72"/>
      <c r="AN87" s="30"/>
      <c r="AO87" s="14"/>
    </row>
    <row r="88" spans="1:47" x14ac:dyDescent="0.2">
      <c r="A88" s="9"/>
      <c r="B88" s="129"/>
      <c r="T88" s="158"/>
      <c r="U88" s="158"/>
      <c r="V88" s="153"/>
      <c r="W88" s="152">
        <f>SUM(W86:W87)</f>
        <v>-18.725999860366148</v>
      </c>
      <c r="X88" s="153"/>
      <c r="Y88" s="153"/>
      <c r="Z88" s="152">
        <f>SUM(Z86:Z87)</f>
        <v>12.83510461963945</v>
      </c>
      <c r="AA88" s="153"/>
      <c r="AB88" s="103"/>
      <c r="AC88" s="103"/>
      <c r="AD88" s="103"/>
      <c r="AE88" s="153">
        <f>SUM(AE86:AE87)</f>
        <v>13.555071224932696</v>
      </c>
      <c r="AF88" s="41" t="s">
        <v>419</v>
      </c>
      <c r="AG88" s="5" t="s">
        <v>16</v>
      </c>
      <c r="AH88" s="219">
        <f>INDEX('C-P-RollAdj'!$J$4:$J$76,MATCH(INT(W88),'C-P-RollAdj'!$I$4:$I$76,FALSE),0)</f>
        <v>-41</v>
      </c>
      <c r="AI88" s="219">
        <f>INDEX('C-P-RollAdj'!$J$4:$J$76,MATCH(INT(Z88),'C-P-RollAdj'!$I$4:$I$76,FALSE),0)</f>
        <v>26</v>
      </c>
      <c r="AJ88" s="174">
        <f>SUM(AJ84:AJ87)</f>
        <v>32.777777777777779</v>
      </c>
      <c r="AK88" s="14">
        <f>SUM(AK84:AK87)</f>
        <v>37.222222222222221</v>
      </c>
      <c r="AL88" s="14">
        <f>SUM(AL84:AL87)</f>
        <v>0</v>
      </c>
      <c r="AM88" s="14">
        <f>SUM(AM84:AM87)</f>
        <v>144.44444444444446</v>
      </c>
      <c r="AN88" s="30"/>
      <c r="AO88" s="14"/>
    </row>
    <row r="89" spans="1:47" x14ac:dyDescent="0.2">
      <c r="B89" s="155"/>
      <c r="AK89" s="72"/>
      <c r="AL89" s="72"/>
      <c r="AM89" s="72"/>
      <c r="AN89" s="30"/>
      <c r="AO89" s="14"/>
    </row>
    <row r="90" spans="1:47" x14ac:dyDescent="0.2">
      <c r="A90" s="155" t="s">
        <v>891</v>
      </c>
      <c r="B90" s="155" t="s">
        <v>156</v>
      </c>
      <c r="C90" s="202">
        <v>1</v>
      </c>
      <c r="D90" s="202">
        <v>1</v>
      </c>
      <c r="E90" s="185">
        <v>4.76</v>
      </c>
      <c r="F90" s="202">
        <v>5</v>
      </c>
      <c r="G90" s="202">
        <v>4</v>
      </c>
      <c r="H90" s="202">
        <v>0</v>
      </c>
      <c r="I90" s="202">
        <v>0</v>
      </c>
      <c r="J90" s="202">
        <v>0</v>
      </c>
      <c r="K90" s="202">
        <v>0</v>
      </c>
      <c r="L90" s="185">
        <v>22.67</v>
      </c>
      <c r="M90" s="202">
        <v>32</v>
      </c>
      <c r="N90" s="202">
        <v>15</v>
      </c>
      <c r="O90" s="202">
        <v>12</v>
      </c>
      <c r="P90" s="202">
        <v>1</v>
      </c>
      <c r="Q90" s="202">
        <v>5</v>
      </c>
      <c r="R90" s="202">
        <v>1</v>
      </c>
      <c r="S90" s="202">
        <v>13</v>
      </c>
      <c r="T90" s="202">
        <v>101</v>
      </c>
      <c r="V90" s="50">
        <f>+(Q90-R90)/(T90-R90)*100</f>
        <v>4</v>
      </c>
      <c r="W90" s="6">
        <f>IF(V90&lt;LeagueRatings!$K$10,((LeagueRatings!$K$10-V90)/LeagueRatings!$K$10)*36,(LeagueRatings!$K$10-V90)*6.48)</f>
        <v>19.386325413986466</v>
      </c>
      <c r="X90" s="16">
        <f>INDEX('C-P-RollAdj'!$B$4:$B$76,MATCH(INT(W90),'C-P-RollAdj'!$A$4:$A$76,FALSE),0)</f>
        <v>-1.69</v>
      </c>
      <c r="Y90" s="16">
        <f>(P90/(T90-R90))*100</f>
        <v>1</v>
      </c>
      <c r="Z90" s="6">
        <f>IF(Y90&lt;LeagueRatings!$K$8,((LeagueRatings!$K$8-Y90)/LeagueRatings!$K$8)*36,(LeagueRatings!$K$8-Y90)/LeagueRatings!$K$11)</f>
        <v>24.757791411042945</v>
      </c>
      <c r="AA90" s="16">
        <f>INDEX('C-P-RollAdj'!$F$4:$F$76,MATCH(INT(Z90),'C-P-RollAdj'!$E$4:$E$76,FALSE),0)</f>
        <v>-1.98</v>
      </c>
      <c r="AB90" s="17">
        <f>+((LeagueRatings!$I$6-E90)*5)+9.5</f>
        <v>6.7080514552774044</v>
      </c>
      <c r="AC90" s="17">
        <f>IF(AB90&lt;4,4,AB90)</f>
        <v>6.7080514552774044</v>
      </c>
      <c r="AD90" s="17">
        <f>IF(M90&lt;L90,((1-(M90/L90))*7)-0.07,(1-(M90/L90))*5)</f>
        <v>-2.0577856197617992</v>
      </c>
      <c r="AE90" s="4">
        <f>+X90+AA90+AC90+AD90</f>
        <v>0.98026583551560531</v>
      </c>
      <c r="AG90" s="94" t="s">
        <v>26</v>
      </c>
      <c r="AH90" s="219">
        <f>INDEX('C-P-RollAdj'!$J$4:$J$76,MATCH(INT(W90),'C-P-RollAdj'!$I$4:$I$76,FALSE),0)</f>
        <v>41</v>
      </c>
      <c r="AI90" s="219">
        <f>INDEX('C-P-RollAdj'!$J$4:$J$76,MATCH(INT(Z90),'C-P-RollAdj'!$I$4:$I$76,FALSE),0)</f>
        <v>46</v>
      </c>
      <c r="AJ90" s="14">
        <f>+AO90*LeagueRatings!$K$27</f>
        <v>12.777777777777779</v>
      </c>
      <c r="AK90" s="72">
        <f>F90*LeagueRatings!$K$27</f>
        <v>2.7777777777777777</v>
      </c>
      <c r="AL90" s="72">
        <f>G90*LeagueRatings!$K$27</f>
        <v>2.2222222222222223</v>
      </c>
      <c r="AM90" s="72">
        <f>T90*LeagueRatings!$K$27</f>
        <v>56.111111111111114</v>
      </c>
      <c r="AN90" s="76"/>
      <c r="AO90" s="72">
        <f>ROUNDUP(L90,0)</f>
        <v>23</v>
      </c>
    </row>
    <row r="91" spans="1:47" s="24" customFormat="1" x14ac:dyDescent="0.2">
      <c r="A91" s="41" t="s">
        <v>505</v>
      </c>
      <c r="B91" s="202" t="s">
        <v>153</v>
      </c>
      <c r="C91" s="202">
        <v>2</v>
      </c>
      <c r="D91" s="202">
        <v>2</v>
      </c>
      <c r="E91" s="185">
        <v>5.81</v>
      </c>
      <c r="F91" s="202">
        <v>11</v>
      </c>
      <c r="G91" s="202">
        <v>8</v>
      </c>
      <c r="H91" s="202">
        <v>0</v>
      </c>
      <c r="I91" s="202">
        <v>0</v>
      </c>
      <c r="J91" s="202">
        <v>1</v>
      </c>
      <c r="K91" s="202">
        <v>1</v>
      </c>
      <c r="L91" s="185">
        <v>52.67</v>
      </c>
      <c r="M91" s="202">
        <v>55</v>
      </c>
      <c r="N91" s="202">
        <v>35</v>
      </c>
      <c r="O91" s="202">
        <v>34</v>
      </c>
      <c r="P91" s="202">
        <v>9</v>
      </c>
      <c r="Q91" s="202">
        <v>21</v>
      </c>
      <c r="R91" s="202">
        <v>0</v>
      </c>
      <c r="S91" s="202">
        <v>43</v>
      </c>
      <c r="T91" s="202">
        <v>227</v>
      </c>
      <c r="U91" s="76"/>
      <c r="V91" s="50">
        <f>+(Q91-R91)/(T91-R91)*100</f>
        <v>9.251101321585903</v>
      </c>
      <c r="W91" s="6">
        <f>IF(V91&lt;LeagueRatings!$K$10,((LeagueRatings!$K$10-V91)/LeagueRatings!$K$10)*36,(LeagueRatings!$K$10-V91)*6.48)</f>
        <v>-3.7813560696829915</v>
      </c>
      <c r="X91" s="16">
        <f>INDEX('C-P-RollAdj'!$B$4:$B$76,MATCH(INT(W91),'C-P-RollAdj'!$A$4:$A$76,FALSE),0)</f>
        <v>0.36</v>
      </c>
      <c r="Y91" s="16">
        <f>(P91/(T91-R91))*100</f>
        <v>3.9647577092511015</v>
      </c>
      <c r="Z91" s="6">
        <f>IF(Y91&lt;LeagueRatings!$K$8,((LeagueRatings!$K$8-Y91)/LeagueRatings!$K$8)*36,(LeagueRatings!$K$8-Y91)/LeagueRatings!$K$11)</f>
        <v>-6.0549123078652496</v>
      </c>
      <c r="AA91" s="16">
        <f>INDEX('C-P-RollAdj'!$F$4:$F$76,MATCH(INT(Z91),'C-P-RollAdj'!$E$4:$E$76,FALSE),0)</f>
        <v>0.61</v>
      </c>
      <c r="AB91" s="17">
        <f>+((LeagueRatings!$I$6-E91)*5)+9.5</f>
        <v>1.4580514552774062</v>
      </c>
      <c r="AC91" s="17">
        <f>IF(AB91&lt;4,4,AB91)</f>
        <v>4</v>
      </c>
      <c r="AD91" s="17">
        <f>IF(M91&lt;L91,((1-(M91/L91))*7)-0.07,(1-(M91/L91))*5)</f>
        <v>-0.22118853237136915</v>
      </c>
      <c r="AE91" s="4">
        <f>+X91+AA91+AC91+AD91</f>
        <v>4.7488114676286308</v>
      </c>
      <c r="AG91" s="94" t="s">
        <v>24</v>
      </c>
      <c r="AH91" s="219">
        <f>INDEX('C-P-RollAdj'!$J$4:$J$76,MATCH(INT(W91),'C-P-RollAdj'!$I$4:$I$76,FALSE),0)</f>
        <v>-14</v>
      </c>
      <c r="AI91" s="219">
        <f>INDEX('C-P-RollAdj'!$J$4:$J$76,MATCH(INT(Z91),'C-P-RollAdj'!$I$4:$I$76,FALSE),0)</f>
        <v>-21</v>
      </c>
      <c r="AJ91" s="14">
        <f>+AO91*LeagueRatings!$K$27</f>
        <v>29.444444444444446</v>
      </c>
      <c r="AK91" s="72">
        <f>F91*LeagueRatings!$K$27</f>
        <v>6.1111111111111116</v>
      </c>
      <c r="AL91" s="72">
        <f>G91*LeagueRatings!$K$27</f>
        <v>4.4444444444444446</v>
      </c>
      <c r="AM91" s="72">
        <f>T91*LeagueRatings!$K$27</f>
        <v>126.11111111111111</v>
      </c>
      <c r="AN91" s="76"/>
      <c r="AO91" s="72">
        <f>ROUNDUP(L91,0)</f>
        <v>53</v>
      </c>
      <c r="AP91" s="113"/>
      <c r="AQ91" s="113"/>
      <c r="AR91" s="113"/>
      <c r="AS91" s="76"/>
      <c r="AT91" s="97">
        <v>67.33</v>
      </c>
      <c r="AU91"/>
    </row>
    <row r="92" spans="1:47" x14ac:dyDescent="0.2">
      <c r="A92" s="9"/>
      <c r="B92" s="129"/>
      <c r="L92" s="157">
        <f>(L90/100)/((L90+L91)/100)</f>
        <v>0.30090257499336343</v>
      </c>
      <c r="T92" s="158"/>
      <c r="U92" s="158"/>
      <c r="V92" s="153"/>
      <c r="W92" s="152">
        <f>W90*L92</f>
        <v>5.8333952367278101</v>
      </c>
      <c r="X92" s="153"/>
      <c r="Y92" s="153"/>
      <c r="Z92" s="152">
        <f>Z90*L92</f>
        <v>7.4496831867313986</v>
      </c>
      <c r="AA92" s="153"/>
      <c r="AB92" s="103"/>
      <c r="AC92" s="103"/>
      <c r="AD92" s="103"/>
      <c r="AE92" s="154">
        <f>AE90*L92</f>
        <v>0.29496451408466651</v>
      </c>
      <c r="AG92" s="5"/>
      <c r="AH92" s="5"/>
      <c r="AI92" s="5"/>
      <c r="AJ92" s="103"/>
      <c r="AK92" s="72"/>
      <c r="AL92" s="72"/>
      <c r="AM92" s="72"/>
      <c r="AN92" s="30"/>
      <c r="AO92" s="14"/>
    </row>
    <row r="93" spans="1:47" s="122" customFormat="1" x14ac:dyDescent="0.2">
      <c r="A93" s="9"/>
      <c r="B93" s="129"/>
      <c r="C93" s="205"/>
      <c r="D93" s="196"/>
      <c r="E93" s="205"/>
      <c r="F93" s="196"/>
      <c r="G93" s="196"/>
      <c r="H93" s="196"/>
      <c r="I93" s="206"/>
      <c r="J93" s="206"/>
      <c r="K93" s="206"/>
      <c r="L93" s="157">
        <f>(L91/100)/((L90+L91)/100)</f>
        <v>0.69909742500663663</v>
      </c>
      <c r="M93" s="146"/>
      <c r="N93" s="146"/>
      <c r="O93" s="146"/>
      <c r="P93" s="146"/>
      <c r="Q93" s="146"/>
      <c r="R93" s="146"/>
      <c r="S93" s="146"/>
      <c r="T93" s="158"/>
      <c r="U93" s="158"/>
      <c r="V93" s="153"/>
      <c r="W93" s="152">
        <f>W91*L93</f>
        <v>-2.6435362913485956</v>
      </c>
      <c r="X93" s="153"/>
      <c r="Y93" s="153"/>
      <c r="Z93" s="152">
        <f>Z91*L93</f>
        <v>-4.2329736030695875</v>
      </c>
      <c r="AA93" s="153"/>
      <c r="AB93" s="103"/>
      <c r="AC93" s="103"/>
      <c r="AD93" s="103"/>
      <c r="AE93" s="154">
        <f>AE91*L93</f>
        <v>3.3198818688611627</v>
      </c>
      <c r="AF93" s="168"/>
      <c r="AG93" s="5"/>
      <c r="AH93" s="5"/>
      <c r="AI93" s="5"/>
      <c r="AJ93" s="103"/>
      <c r="AK93" s="72"/>
      <c r="AL93" s="72"/>
      <c r="AM93" s="72"/>
      <c r="AN93" s="30"/>
      <c r="AO93" s="14"/>
      <c r="AP93" s="123"/>
      <c r="AQ93" s="123"/>
      <c r="AR93" s="123"/>
      <c r="AT93" s="71"/>
      <c r="AU93" s="71"/>
    </row>
    <row r="94" spans="1:47" x14ac:dyDescent="0.2">
      <c r="A94" s="9"/>
      <c r="B94" s="129"/>
      <c r="T94" s="158"/>
      <c r="U94" s="158"/>
      <c r="V94" s="153"/>
      <c r="W94" s="152">
        <f>SUM(W92:W93)</f>
        <v>3.1898589453792145</v>
      </c>
      <c r="X94" s="153"/>
      <c r="Y94" s="153"/>
      <c r="Z94" s="152">
        <f>SUM(Z92:Z93)</f>
        <v>3.2167095836618111</v>
      </c>
      <c r="AA94" s="153"/>
      <c r="AB94" s="103"/>
      <c r="AC94" s="103"/>
      <c r="AD94" s="103"/>
      <c r="AE94" s="153">
        <f>SUM(AE92:AE93)</f>
        <v>3.6148463829458293</v>
      </c>
      <c r="AF94" s="41" t="s">
        <v>505</v>
      </c>
      <c r="AG94" s="5" t="s">
        <v>60</v>
      </c>
      <c r="AH94" s="219">
        <f>INDEX('C-P-RollAdj'!$J$4:$J$76,MATCH(INT(W94),'C-P-RollAdj'!$I$4:$I$76,FALSE),0)</f>
        <v>13</v>
      </c>
      <c r="AI94" s="219">
        <f>INDEX('C-P-RollAdj'!$J$4:$J$76,MATCH(INT(Z94),'C-P-RollAdj'!$I$4:$I$76,FALSE),0)</f>
        <v>13</v>
      </c>
      <c r="AJ94" s="174">
        <f>SUM(AJ90:AJ93)</f>
        <v>42.222222222222229</v>
      </c>
      <c r="AK94" s="14">
        <f>SUM(AK90:AK93)</f>
        <v>8.8888888888888893</v>
      </c>
      <c r="AL94" s="14">
        <f>SUM(AL90:AL93)</f>
        <v>6.666666666666667</v>
      </c>
      <c r="AM94" s="14">
        <f>SUM(AM90:AM93)</f>
        <v>182.22222222222223</v>
      </c>
      <c r="AN94" s="30"/>
      <c r="AO94" s="14"/>
    </row>
    <row r="95" spans="1:47" x14ac:dyDescent="0.2">
      <c r="B95" s="155"/>
      <c r="AK95" s="72"/>
      <c r="AL95" s="72"/>
      <c r="AM95" s="72"/>
      <c r="AN95" s="30"/>
      <c r="AO95" s="14"/>
    </row>
    <row r="96" spans="1:47" x14ac:dyDescent="0.2">
      <c r="A96" s="204" t="s">
        <v>876</v>
      </c>
      <c r="B96" s="196" t="s">
        <v>244</v>
      </c>
      <c r="C96" s="202">
        <v>3</v>
      </c>
      <c r="D96" s="202">
        <v>3</v>
      </c>
      <c r="E96" s="185">
        <v>3.68</v>
      </c>
      <c r="F96" s="202">
        <v>44</v>
      </c>
      <c r="G96" s="202">
        <v>0</v>
      </c>
      <c r="H96" s="202">
        <v>0</v>
      </c>
      <c r="I96" s="202">
        <v>0</v>
      </c>
      <c r="J96" s="202">
        <v>0</v>
      </c>
      <c r="K96" s="202">
        <v>2</v>
      </c>
      <c r="L96" s="185">
        <v>44</v>
      </c>
      <c r="M96" s="202">
        <v>41</v>
      </c>
      <c r="N96" s="202">
        <v>21</v>
      </c>
      <c r="O96" s="202">
        <v>18</v>
      </c>
      <c r="P96" s="202">
        <v>3</v>
      </c>
      <c r="Q96" s="202">
        <v>17</v>
      </c>
      <c r="R96" s="202">
        <v>1</v>
      </c>
      <c r="S96" s="202">
        <v>41</v>
      </c>
      <c r="T96" s="202">
        <v>190</v>
      </c>
      <c r="U96" s="196"/>
      <c r="V96" s="50">
        <f>+(Q96-R96)/(T96-R96)*100</f>
        <v>8.4656084656084651</v>
      </c>
      <c r="W96" s="6">
        <f>IF(V96&lt;LeagueRatings!$K$21,((LeagueRatings!$K$21-V96)/LeagueRatings!$K$21)*36,(LeagueRatings!$K$21-V96)*6.48)</f>
        <v>1.9598599009752014</v>
      </c>
      <c r="X96" s="16">
        <f>INDEX('C-P-RollAdj'!$B$4:$B$76,MATCH(INT(W96),'C-P-RollAdj'!$A$4:$A$76,FALSE),0)</f>
        <v>-0.08</v>
      </c>
      <c r="Y96" s="16">
        <f>(P96/(T96-R96))*100</f>
        <v>1.5873015873015872</v>
      </c>
      <c r="Z96" s="6">
        <f>IF(Y96&lt;LeagueRatings!$K$19,((LeagueRatings!$K$19-Y96)/LeagueRatings!$K$19)*36,(LeagueRatings!$K$19-Y96)/LeagueRatings!$K$22)</f>
        <v>16.349775784753366</v>
      </c>
      <c r="AA96" s="16">
        <f>INDEX('C-P-RollAdj'!$F$4:$F$76,MATCH(INT(Z96),'C-P-RollAdj'!$E$4:$E$76,FALSE),0)</f>
        <v>-1.23</v>
      </c>
      <c r="AB96" s="17">
        <f>+((LeagueRatings!$I$17-E96)*5)+9.5</f>
        <v>11.914387243706361</v>
      </c>
      <c r="AC96" s="17">
        <f>IF(AB96&lt;4,4,AB96)</f>
        <v>11.914387243706361</v>
      </c>
      <c r="AD96" s="17">
        <f>IF(M96&lt;L96,((1-(M96/L96))*7)-0.07,(1-(M96/L96))*5)</f>
        <v>0.40727272727272762</v>
      </c>
      <c r="AE96" s="4">
        <f>+X96+AA96+AC96+AD96</f>
        <v>11.011659970979089</v>
      </c>
      <c r="AG96" s="5" t="s">
        <v>31</v>
      </c>
      <c r="AH96" s="219">
        <v>-66</v>
      </c>
      <c r="AI96" s="219">
        <f>INDEX('C-P-RollAdj'!$J$4:$J$76,MATCH(INT(Z96),'C-P-RollAdj'!$I$4:$I$76,FALSE),0)</f>
        <v>34</v>
      </c>
      <c r="AJ96" s="14">
        <f>+AO96*LeagueRatings!$K$27</f>
        <v>24.444444444444446</v>
      </c>
      <c r="AK96" s="72">
        <f>F96*LeagueRatings!$K$27</f>
        <v>24.444444444444446</v>
      </c>
      <c r="AL96" s="72">
        <f>G96*LeagueRatings!$K$27</f>
        <v>0</v>
      </c>
      <c r="AM96" s="72">
        <f>T96*LeagueRatings!$K$27</f>
        <v>105.55555555555556</v>
      </c>
      <c r="AN96"/>
      <c r="AO96" s="14">
        <f>ROUNDUP(L96,0)</f>
        <v>44</v>
      </c>
    </row>
    <row r="97" spans="1:47" s="122" customFormat="1" x14ac:dyDescent="0.2">
      <c r="A97" s="41" t="s">
        <v>397</v>
      </c>
      <c r="B97" s="202" t="s">
        <v>155</v>
      </c>
      <c r="C97" s="202">
        <v>2</v>
      </c>
      <c r="D97" s="202">
        <v>1</v>
      </c>
      <c r="E97" s="185">
        <v>1.1499999999999999</v>
      </c>
      <c r="F97" s="202">
        <v>31</v>
      </c>
      <c r="G97" s="202">
        <v>0</v>
      </c>
      <c r="H97" s="202">
        <v>0</v>
      </c>
      <c r="I97" s="202">
        <v>0</v>
      </c>
      <c r="J97" s="202">
        <v>2</v>
      </c>
      <c r="K97" s="202">
        <v>2</v>
      </c>
      <c r="L97" s="185">
        <v>31.33</v>
      </c>
      <c r="M97" s="202">
        <v>24</v>
      </c>
      <c r="N97" s="202">
        <v>5</v>
      </c>
      <c r="O97" s="202">
        <v>4</v>
      </c>
      <c r="P97" s="202">
        <v>1</v>
      </c>
      <c r="Q97" s="202">
        <v>4</v>
      </c>
      <c r="R97" s="202">
        <v>0</v>
      </c>
      <c r="S97" s="202">
        <v>30</v>
      </c>
      <c r="T97" s="202">
        <v>119</v>
      </c>
      <c r="U97" s="76"/>
      <c r="V97" s="50">
        <f>+(Q97-R97)/(T97-R97)*100</f>
        <v>3.3613445378151261</v>
      </c>
      <c r="W97" s="6">
        <f>IF(V97&lt;LeagueRatings!$K$10,((LeagueRatings!$K$10-V97)/LeagueRatings!$K$10)*36,(LeagueRatings!$K$10-V97)*6.48)</f>
        <v>22.038928919316355</v>
      </c>
      <c r="X97" s="16">
        <f>INDEX('C-P-RollAdj'!$B$4:$B$76,MATCH(INT(W97),'C-P-RollAdj'!$A$4:$A$76,FALSE),0)</f>
        <v>-2</v>
      </c>
      <c r="Y97" s="16">
        <f>(P97/(T97-R97))*100</f>
        <v>0.84033613445378152</v>
      </c>
      <c r="Z97" s="6">
        <f>IF(Y97&lt;LeagueRatings!$K$8,((LeagueRatings!$K$8-Y97)/LeagueRatings!$K$8)*36,(LeagueRatings!$K$8-Y97)/LeagueRatings!$K$11)</f>
        <v>26.552765891632724</v>
      </c>
      <c r="AA97" s="16">
        <f>INDEX('C-P-RollAdj'!$F$4:$F$76,MATCH(INT(Z97),'C-P-RollAdj'!$E$4:$E$76,FALSE),0)</f>
        <v>-2.1799999999999997</v>
      </c>
      <c r="AB97" s="17">
        <f>+((LeagueRatings!$I$6-E97)*5)+9.5</f>
        <v>24.758051455277403</v>
      </c>
      <c r="AC97" s="17">
        <f>IF(AB97&lt;4,4,AB97)</f>
        <v>24.758051455277403</v>
      </c>
      <c r="AD97" s="17">
        <f>IF(M97&lt;L97,((1-(M97/L97))*7)-0.07,(1-(M97/L97))*5)</f>
        <v>1.5677274178104048</v>
      </c>
      <c r="AE97" s="4">
        <f>+X97+AA97+AC97+AD97</f>
        <v>22.14577887308781</v>
      </c>
      <c r="AG97" s="94" t="s">
        <v>28</v>
      </c>
      <c r="AH97" s="219">
        <f>INDEX('C-P-RollAdj'!$J$4:$J$76,MATCH(INT(W97),'C-P-RollAdj'!$I$4:$I$76,FALSE),0)</f>
        <v>44</v>
      </c>
      <c r="AI97" s="219">
        <f>INDEX('C-P-RollAdj'!$J$4:$J$76,MATCH(INT(Z97),'C-P-RollAdj'!$I$4:$I$76,FALSE),0)</f>
        <v>52</v>
      </c>
      <c r="AJ97" s="14">
        <f>+AO97*LeagueRatings!$K$27</f>
        <v>17.777777777777779</v>
      </c>
      <c r="AK97" s="72">
        <f>F97*LeagueRatings!$K$27</f>
        <v>17.222222222222221</v>
      </c>
      <c r="AL97" s="72">
        <f>G97*LeagueRatings!$K$27</f>
        <v>0</v>
      </c>
      <c r="AM97" s="72">
        <f>T97*LeagueRatings!$K$27</f>
        <v>66.111111111111114</v>
      </c>
      <c r="AN97" s="76"/>
      <c r="AO97" s="72">
        <f>ROUNDUP(L97,0)</f>
        <v>32</v>
      </c>
      <c r="AP97" s="113"/>
      <c r="AQ97" s="113"/>
      <c r="AR97" s="113"/>
      <c r="AS97" s="76"/>
      <c r="AT97" s="144">
        <v>209.67</v>
      </c>
      <c r="AU97"/>
    </row>
    <row r="98" spans="1:47" x14ac:dyDescent="0.2">
      <c r="A98" s="9"/>
      <c r="B98" s="129"/>
      <c r="L98" s="157">
        <f>(L96/100)/((L96+L97)/100)</f>
        <v>0.58409664144431173</v>
      </c>
      <c r="T98" s="158"/>
      <c r="U98" s="158"/>
      <c r="V98" s="153"/>
      <c r="W98" s="152">
        <f>W96*L98</f>
        <v>1.1447475858609966</v>
      </c>
      <c r="X98" s="153"/>
      <c r="Y98" s="153"/>
      <c r="Z98" s="152">
        <f>Z96*L98</f>
        <v>9.5498491242419767</v>
      </c>
      <c r="AA98" s="153"/>
      <c r="AB98" s="103"/>
      <c r="AC98" s="103"/>
      <c r="AD98" s="103"/>
      <c r="AE98" s="154">
        <f>AE96*L98</f>
        <v>6.4318736057756531</v>
      </c>
      <c r="AG98" s="5"/>
      <c r="AH98" s="5"/>
      <c r="AI98" s="5"/>
      <c r="AJ98" s="103"/>
      <c r="AK98" s="72"/>
      <c r="AL98" s="72"/>
      <c r="AM98" s="72"/>
      <c r="AN98" s="30"/>
      <c r="AO98" s="14"/>
    </row>
    <row r="99" spans="1:47" x14ac:dyDescent="0.2">
      <c r="A99" s="9"/>
      <c r="B99" s="129"/>
      <c r="L99" s="157">
        <f>(L97/100)/((L96+L97)/100)</f>
        <v>0.41590335855568827</v>
      </c>
      <c r="T99" s="158"/>
      <c r="U99" s="158"/>
      <c r="V99" s="153"/>
      <c r="W99" s="152">
        <f>W97*L99</f>
        <v>9.1660645565137582</v>
      </c>
      <c r="X99" s="153"/>
      <c r="Y99" s="153"/>
      <c r="Z99" s="152">
        <f>Z97*L99</f>
        <v>11.043384513272974</v>
      </c>
      <c r="AA99" s="153"/>
      <c r="AB99" s="103"/>
      <c r="AC99" s="103"/>
      <c r="AD99" s="103"/>
      <c r="AE99" s="154">
        <f>AE97*L99</f>
        <v>9.2105038111488255</v>
      </c>
      <c r="AG99" s="5"/>
      <c r="AH99" s="5"/>
      <c r="AI99" s="5"/>
      <c r="AJ99" s="103"/>
      <c r="AK99" s="72"/>
      <c r="AL99" s="72"/>
      <c r="AM99" s="72"/>
      <c r="AN99" s="30"/>
      <c r="AO99" s="14"/>
    </row>
    <row r="100" spans="1:47" x14ac:dyDescent="0.2">
      <c r="A100" s="9"/>
      <c r="B100" s="129"/>
      <c r="T100" s="158"/>
      <c r="U100" s="158"/>
      <c r="V100" s="153"/>
      <c r="W100" s="152">
        <f>SUM(W98:W99)</f>
        <v>10.310812142374754</v>
      </c>
      <c r="X100" s="153"/>
      <c r="Y100" s="153"/>
      <c r="Z100" s="152">
        <f>SUM(Z98:Z99)</f>
        <v>20.593233637514949</v>
      </c>
      <c r="AA100" s="153"/>
      <c r="AB100" s="103"/>
      <c r="AC100" s="103"/>
      <c r="AD100" s="103"/>
      <c r="AE100" s="153">
        <f>SUM(AE98:AE99)</f>
        <v>15.642377416924479</v>
      </c>
      <c r="AF100" s="41" t="s">
        <v>397</v>
      </c>
      <c r="AG100" s="5" t="s">
        <v>14</v>
      </c>
      <c r="AH100" s="219">
        <f>INDEX('C-P-RollAdj'!$J$4:$J$76,MATCH(INT(W100),'C-P-RollAdj'!$I$4:$I$76,FALSE),0)</f>
        <v>24</v>
      </c>
      <c r="AI100" s="219">
        <f>INDEX('C-P-RollAdj'!$J$4:$J$76,MATCH(INT(Z100),'C-P-RollAdj'!$I$4:$I$76,FALSE),0)</f>
        <v>42</v>
      </c>
      <c r="AJ100" s="174">
        <f>SUM(AJ96:AJ99)</f>
        <v>42.222222222222229</v>
      </c>
      <c r="AK100" s="14">
        <f>SUM(AK96:AK99)</f>
        <v>41.666666666666671</v>
      </c>
      <c r="AL100" s="14">
        <f>SUM(AL96:AL99)</f>
        <v>0</v>
      </c>
      <c r="AM100" s="14">
        <f>SUM(AM96:AM99)</f>
        <v>171.66666666666669</v>
      </c>
      <c r="AN100" s="30"/>
      <c r="AO100" s="14"/>
    </row>
    <row r="101" spans="1:47" x14ac:dyDescent="0.2">
      <c r="B101" s="155"/>
      <c r="AK101" s="72"/>
      <c r="AL101" s="72"/>
      <c r="AM101" s="72"/>
      <c r="AN101" s="30"/>
      <c r="AO101" s="14"/>
    </row>
    <row r="102" spans="1:47" x14ac:dyDescent="0.2">
      <c r="A102" s="155" t="s">
        <v>834</v>
      </c>
      <c r="B102" s="155" t="s">
        <v>155</v>
      </c>
      <c r="C102" s="202">
        <v>1</v>
      </c>
      <c r="D102" s="202">
        <v>2</v>
      </c>
      <c r="E102" s="185">
        <v>4.58</v>
      </c>
      <c r="F102" s="202">
        <v>18</v>
      </c>
      <c r="G102" s="202">
        <v>0</v>
      </c>
      <c r="H102" s="202">
        <v>0</v>
      </c>
      <c r="I102" s="202">
        <v>0</v>
      </c>
      <c r="J102" s="202">
        <v>6</v>
      </c>
      <c r="K102" s="202">
        <v>9</v>
      </c>
      <c r="L102" s="185">
        <v>19.670000000000002</v>
      </c>
      <c r="M102" s="202">
        <v>24</v>
      </c>
      <c r="N102" s="202">
        <v>10</v>
      </c>
      <c r="O102" s="202">
        <v>10</v>
      </c>
      <c r="P102" s="202">
        <v>2</v>
      </c>
      <c r="Q102" s="202">
        <v>9</v>
      </c>
      <c r="R102" s="202">
        <v>3</v>
      </c>
      <c r="S102" s="202">
        <v>16</v>
      </c>
      <c r="T102" s="202">
        <v>91</v>
      </c>
      <c r="V102" s="50">
        <f>+(Q102-R102)/(T102-R102)*100</f>
        <v>6.8181818181818175</v>
      </c>
      <c r="W102" s="6">
        <f>IF(V102&lt;LeagueRatings!$K$10,((LeagueRatings!$K$10-V102)/LeagueRatings!$K$10)*36,(LeagueRatings!$K$10-V102)*6.48)</f>
        <v>7.6812365011132941</v>
      </c>
      <c r="X102" s="16">
        <f>INDEX('C-P-RollAdj'!$B$4:$B$76,MATCH(INT(W102),'C-P-RollAdj'!$A$4:$A$76,FALSE),0)</f>
        <v>-0.56000000000000005</v>
      </c>
      <c r="Y102" s="16">
        <f>(P102/(T102-R102))*100</f>
        <v>2.2727272727272729</v>
      </c>
      <c r="Z102" s="6">
        <f>IF(Y102&lt;LeagueRatings!$K$8,((LeagueRatings!$K$8-Y102)/LeagueRatings!$K$8)*36,(LeagueRatings!$K$8-Y102)/LeagueRatings!$K$11)</f>
        <v>10.449525934188511</v>
      </c>
      <c r="AA102" s="16">
        <f>INDEX('C-P-RollAdj'!$F$4:$F$76,MATCH(INT(Z102),'C-P-RollAdj'!$E$4:$E$76,FALSE),0)</f>
        <v>-0.73</v>
      </c>
      <c r="AB102" s="17">
        <f>+((LeagueRatings!$I$6-E102)*5)+9.5</f>
        <v>7.608051455277403</v>
      </c>
      <c r="AC102" s="17">
        <f>IF(AB102&lt;4,4,AB102)</f>
        <v>7.608051455277403</v>
      </c>
      <c r="AD102" s="17">
        <f>IF(M102&lt;L102,((1-(M102/L102))*7)-0.07,(1-(M102/L102))*5)</f>
        <v>-1.1006609049313676</v>
      </c>
      <c r="AE102" s="4">
        <f>+X102+AA102+AC102+AD102</f>
        <v>5.2173905503460354</v>
      </c>
      <c r="AG102" s="7" t="s">
        <v>19</v>
      </c>
      <c r="AH102" s="219">
        <f>INDEX('C-P-RollAdj'!$J$4:$J$76,MATCH(INT(W102),'C-P-RollAdj'!$I$4:$I$76,FALSE),0)</f>
        <v>21</v>
      </c>
      <c r="AI102" s="219">
        <f>INDEX('C-P-RollAdj'!$J$4:$J$76,MATCH(INT(Z102),'C-P-RollAdj'!$I$4:$I$76,FALSE),0)</f>
        <v>24</v>
      </c>
      <c r="AJ102" s="14">
        <f>+AO102*LeagueRatings!$K$27</f>
        <v>11.111111111111111</v>
      </c>
      <c r="AK102" s="72">
        <f>F102*LeagueRatings!$K$27</f>
        <v>10</v>
      </c>
      <c r="AL102" s="72">
        <f>G102*LeagueRatings!$K$27</f>
        <v>0</v>
      </c>
      <c r="AM102" s="72">
        <f>T102*LeagueRatings!$K$27</f>
        <v>50.555555555555557</v>
      </c>
      <c r="AN102" s="26"/>
      <c r="AO102" s="72">
        <f>ROUNDUP(L102,0)</f>
        <v>20</v>
      </c>
    </row>
    <row r="103" spans="1:47" s="26" customFormat="1" x14ac:dyDescent="0.2">
      <c r="A103" s="41" t="s">
        <v>636</v>
      </c>
      <c r="B103" s="202" t="s">
        <v>149</v>
      </c>
      <c r="C103" s="202">
        <v>2</v>
      </c>
      <c r="D103" s="202">
        <v>2</v>
      </c>
      <c r="E103" s="185">
        <v>7.62</v>
      </c>
      <c r="F103" s="202">
        <v>30</v>
      </c>
      <c r="G103" s="202">
        <v>0</v>
      </c>
      <c r="H103" s="202">
        <v>0</v>
      </c>
      <c r="I103" s="202">
        <v>0</v>
      </c>
      <c r="J103" s="202">
        <v>4</v>
      </c>
      <c r="K103" s="202">
        <v>8</v>
      </c>
      <c r="L103" s="185">
        <v>28.33</v>
      </c>
      <c r="M103" s="202">
        <v>33</v>
      </c>
      <c r="N103" s="202">
        <v>24</v>
      </c>
      <c r="O103" s="202">
        <v>24</v>
      </c>
      <c r="P103" s="202">
        <v>3</v>
      </c>
      <c r="Q103" s="202">
        <v>9</v>
      </c>
      <c r="R103" s="202">
        <v>3</v>
      </c>
      <c r="S103" s="202">
        <v>23</v>
      </c>
      <c r="T103" s="202">
        <v>121</v>
      </c>
      <c r="U103" s="76"/>
      <c r="V103" s="50">
        <f>+(Q103-R103)/(T103-R103)*100</f>
        <v>5.0847457627118651</v>
      </c>
      <c r="W103" s="6">
        <f>IF(V103&lt;LeagueRatings!$K$10,((LeagueRatings!$K$10-V103)/LeagueRatings!$K$10)*36,(LeagueRatings!$K$10-V103)*6.48)</f>
        <v>14.880922136423468</v>
      </c>
      <c r="X103" s="16">
        <f>INDEX('C-P-RollAdj'!$B$4:$B$76,MATCH(INT(W103),'C-P-RollAdj'!$A$4:$A$76,FALSE),0)</f>
        <v>-1.19</v>
      </c>
      <c r="Y103" s="16">
        <f>(P103/(T103-R103))*100</f>
        <v>2.5423728813559325</v>
      </c>
      <c r="Z103" s="6">
        <f>IF(Y103&lt;LeagueRatings!$K$8,((LeagueRatings!$K$8-Y103)/LeagueRatings!$K$8)*36,(LeagueRatings!$K$8-Y103)/LeagueRatings!$K$11)</f>
        <v>7.4181137568888404</v>
      </c>
      <c r="AA103" s="16">
        <f>INDEX('C-P-RollAdj'!$F$4:$F$76,MATCH(INT(Z103),'C-P-RollAdj'!$E$4:$E$76,FALSE),0)</f>
        <v>-0.49000000000000005</v>
      </c>
      <c r="AB103" s="17">
        <f>+((LeagueRatings!$I$6-E103)*5)+9.5</f>
        <v>-7.5919485447225981</v>
      </c>
      <c r="AC103" s="17">
        <f>IF(AB103&lt;4,4,AB103)</f>
        <v>4</v>
      </c>
      <c r="AD103" s="17">
        <f>IF(M103&lt;L103,((1-(M103/L103))*7)-0.07,(1-(M103/L103))*5)</f>
        <v>-0.8242146134839401</v>
      </c>
      <c r="AE103" s="4">
        <f>+X103+AA103+AC103+AD103</f>
        <v>1.4957853865160602</v>
      </c>
      <c r="AG103" s="7" t="s">
        <v>50</v>
      </c>
      <c r="AH103" s="219">
        <f>INDEX('C-P-RollAdj'!$J$4:$J$76,MATCH(INT(W103),'C-P-RollAdj'!$I$4:$I$76,FALSE),0)</f>
        <v>32</v>
      </c>
      <c r="AI103" s="219">
        <f>INDEX('C-P-RollAdj'!$J$4:$J$76,MATCH(INT(Z103),'C-P-RollAdj'!$I$4:$I$76,FALSE),0)</f>
        <v>21</v>
      </c>
      <c r="AJ103" s="14">
        <f>+AO103*LeagueRatings!$K$27</f>
        <v>16.111111111111111</v>
      </c>
      <c r="AK103" s="72">
        <f>F103*LeagueRatings!$K$27</f>
        <v>16.666666666666668</v>
      </c>
      <c r="AL103" s="72">
        <f>G103*LeagueRatings!$K$27</f>
        <v>0</v>
      </c>
      <c r="AM103" s="72">
        <f>T103*LeagueRatings!$K$27</f>
        <v>67.222222222222229</v>
      </c>
      <c r="AO103" s="72">
        <f>ROUNDUP(L103,0)</f>
        <v>29</v>
      </c>
      <c r="AP103" s="113"/>
      <c r="AQ103" s="113"/>
      <c r="AR103" s="113"/>
      <c r="AT103" s="97">
        <v>16.670000000000002</v>
      </c>
    </row>
    <row r="104" spans="1:47" x14ac:dyDescent="0.2">
      <c r="A104" s="9"/>
      <c r="B104" s="129"/>
      <c r="L104" s="157">
        <f>(L102/100)/((L102+L103)/100)</f>
        <v>0.40979166666666672</v>
      </c>
      <c r="T104" s="158"/>
      <c r="U104" s="158"/>
      <c r="V104" s="153"/>
      <c r="W104" s="152">
        <f>W102*L104</f>
        <v>3.1477067078520524</v>
      </c>
      <c r="X104" s="153"/>
      <c r="Y104" s="153"/>
      <c r="Z104" s="152">
        <f>Z102*L104</f>
        <v>4.2821286484476673</v>
      </c>
      <c r="AA104" s="153"/>
      <c r="AB104" s="103"/>
      <c r="AC104" s="103"/>
      <c r="AD104" s="103"/>
      <c r="AE104" s="154">
        <f>AE102*L104</f>
        <v>2.1380431692772195</v>
      </c>
      <c r="AG104" s="5"/>
      <c r="AH104" s="5"/>
      <c r="AI104" s="5"/>
      <c r="AJ104" s="103"/>
      <c r="AK104" s="72"/>
      <c r="AL104" s="72"/>
      <c r="AM104" s="72"/>
      <c r="AN104" s="30"/>
      <c r="AO104" s="14"/>
    </row>
    <row r="105" spans="1:47" x14ac:dyDescent="0.2">
      <c r="A105" s="9"/>
      <c r="B105" s="129"/>
      <c r="L105" s="157">
        <f>(L103/100)/((L102+L103)/100)</f>
        <v>0.59020833333333333</v>
      </c>
      <c r="T105" s="158"/>
      <c r="U105" s="158"/>
      <c r="V105" s="153"/>
      <c r="W105" s="152">
        <f>W103*L105</f>
        <v>8.7828442526016008</v>
      </c>
      <c r="X105" s="153"/>
      <c r="Y105" s="153"/>
      <c r="Z105" s="152">
        <f>Z103*L105</f>
        <v>4.3782325569304348</v>
      </c>
      <c r="AA105" s="153"/>
      <c r="AB105" s="103"/>
      <c r="AC105" s="103"/>
      <c r="AD105" s="103"/>
      <c r="AE105" s="154">
        <f>AE103*L105</f>
        <v>0.88282499999999964</v>
      </c>
      <c r="AG105" s="5"/>
      <c r="AH105" s="5"/>
      <c r="AI105" s="5"/>
      <c r="AJ105" s="103"/>
      <c r="AK105" s="72"/>
      <c r="AL105" s="72"/>
      <c r="AM105" s="72"/>
      <c r="AN105" s="30"/>
      <c r="AO105" s="14"/>
    </row>
    <row r="106" spans="1:47" x14ac:dyDescent="0.2">
      <c r="A106" s="9"/>
      <c r="B106" s="129"/>
      <c r="T106" s="158"/>
      <c r="U106" s="158"/>
      <c r="V106" s="153"/>
      <c r="W106" s="152">
        <f>SUM(W104:W105)</f>
        <v>11.930550960453653</v>
      </c>
      <c r="X106" s="153"/>
      <c r="Y106" s="153"/>
      <c r="Z106" s="152">
        <f>SUM(Z104:Z105)</f>
        <v>8.6603612053781021</v>
      </c>
      <c r="AA106" s="153"/>
      <c r="AB106" s="103"/>
      <c r="AC106" s="103"/>
      <c r="AD106" s="103"/>
      <c r="AE106" s="153">
        <f>SUM(AE104:AE105)</f>
        <v>3.020868169277219</v>
      </c>
      <c r="AF106" s="41" t="s">
        <v>636</v>
      </c>
      <c r="AG106" s="5" t="s">
        <v>60</v>
      </c>
      <c r="AH106" s="219">
        <f>INDEX('C-P-RollAdj'!$J$4:$J$76,MATCH(INT(W106),'C-P-RollAdj'!$I$4:$I$76,FALSE),0)</f>
        <v>25</v>
      </c>
      <c r="AI106" s="219">
        <f>INDEX('C-P-RollAdj'!$J$4:$J$76,MATCH(INT(Z106),'C-P-RollAdj'!$I$4:$I$76,FALSE),0)</f>
        <v>22</v>
      </c>
      <c r="AJ106" s="174">
        <f>SUM(AJ102:AJ105)</f>
        <v>27.222222222222221</v>
      </c>
      <c r="AK106" s="14">
        <f>SUM(AK102:AK105)</f>
        <v>26.666666666666668</v>
      </c>
      <c r="AL106" s="14">
        <f>SUM(AL102:AL105)</f>
        <v>0</v>
      </c>
      <c r="AM106" s="14">
        <f>SUM(AM102:AM105)</f>
        <v>117.77777777777779</v>
      </c>
      <c r="AN106" s="30"/>
      <c r="AO106" s="14"/>
    </row>
    <row r="107" spans="1:47" x14ac:dyDescent="0.2">
      <c r="A107" s="204"/>
      <c r="B107" s="196"/>
      <c r="AK107" s="72"/>
      <c r="AL107" s="72"/>
      <c r="AM107" s="72"/>
      <c r="AN107" s="30"/>
      <c r="AO107" s="14"/>
    </row>
    <row r="108" spans="1:47" x14ac:dyDescent="0.2">
      <c r="A108" s="204" t="s">
        <v>880</v>
      </c>
      <c r="B108" s="196" t="s">
        <v>166</v>
      </c>
      <c r="C108" s="202">
        <v>5</v>
      </c>
      <c r="D108" s="202">
        <v>9</v>
      </c>
      <c r="E108" s="185">
        <v>3.89</v>
      </c>
      <c r="F108" s="202">
        <v>21</v>
      </c>
      <c r="G108" s="202">
        <v>21</v>
      </c>
      <c r="H108" s="202">
        <v>0</v>
      </c>
      <c r="I108" s="202">
        <v>0</v>
      </c>
      <c r="J108" s="202">
        <v>0</v>
      </c>
      <c r="K108" s="202">
        <v>0</v>
      </c>
      <c r="L108" s="185">
        <v>118</v>
      </c>
      <c r="M108" s="202">
        <v>117</v>
      </c>
      <c r="N108" s="202">
        <v>57</v>
      </c>
      <c r="O108" s="202">
        <v>51</v>
      </c>
      <c r="P108" s="202">
        <v>14</v>
      </c>
      <c r="Q108" s="202">
        <v>43</v>
      </c>
      <c r="R108" s="202">
        <v>5</v>
      </c>
      <c r="S108" s="202">
        <v>121</v>
      </c>
      <c r="T108" s="202">
        <v>509</v>
      </c>
      <c r="V108" s="50">
        <f>+(Q108-R108)/(T108-R108)*100</f>
        <v>7.5396825396825395</v>
      </c>
      <c r="W108" s="6">
        <f>IF(V108&lt;LeagueRatings!$K$21,((LeagueRatings!$K$21-V108)/LeagueRatings!$K$21)*36,(LeagueRatings!$K$21-V108)*6.48)</f>
        <v>5.6830002243060367</v>
      </c>
      <c r="X108" s="16">
        <f>INDEX('C-P-RollAdj'!$B$4:$B$76,MATCH(INT(W108),'C-P-RollAdj'!$A$4:$A$76,FALSE),0)</f>
        <v>-0.4</v>
      </c>
      <c r="Y108" s="16">
        <f>(P108/(T108-R108))*100</f>
        <v>2.7777777777777777</v>
      </c>
      <c r="Z108" s="6">
        <f>IF(Y108&lt;LeagueRatings!$K$19,((LeagueRatings!$K$19-Y108)/LeagueRatings!$K$19)*36,(LeagueRatings!$K$19-Y108)/LeagueRatings!$K$22)</f>
        <v>1.6121076233183886</v>
      </c>
      <c r="AA108" s="16">
        <f>INDEX('C-P-RollAdj'!$F$4:$F$76,MATCH(INT(Z108),'C-P-RollAdj'!$E$4:$E$76,FALSE),0)</f>
        <v>-7.0000000000000007E-2</v>
      </c>
      <c r="AB108" s="17">
        <f>+((LeagueRatings!$I$17-E108)*5)+9.5</f>
        <v>10.864387243706362</v>
      </c>
      <c r="AC108" s="17">
        <f>IF(AB108&lt;4,4,AB108)</f>
        <v>10.864387243706362</v>
      </c>
      <c r="AD108" s="17">
        <f>IF(M108&lt;L108,((1-(M108/L108))*7)-0.07,(1-(M108/L108))*5)</f>
        <v>-1.067796610169508E-2</v>
      </c>
      <c r="AE108" s="4">
        <f>+X108+AA108+AC108+AD108</f>
        <v>10.383709277604666</v>
      </c>
      <c r="AG108" s="5" t="s">
        <v>14</v>
      </c>
      <c r="AH108" s="219">
        <v>-66</v>
      </c>
      <c r="AI108" s="219">
        <f>INDEX('C-P-RollAdj'!$J$4:$J$76,MATCH(INT(Z108),'C-P-RollAdj'!$I$4:$I$76,FALSE),0)</f>
        <v>11</v>
      </c>
      <c r="AJ108" s="14">
        <f>+AO108*LeagueRatings!$K$27</f>
        <v>0</v>
      </c>
      <c r="AK108" s="72">
        <f>F108*LeagueRatings!$K$27</f>
        <v>11.666666666666668</v>
      </c>
      <c r="AL108" s="72">
        <f>G108*LeagueRatings!$K$27</f>
        <v>11.666666666666668</v>
      </c>
      <c r="AM108" s="72">
        <f>T108*LeagueRatings!$K$27</f>
        <v>282.77777777777777</v>
      </c>
      <c r="AN108" s="30"/>
      <c r="AO108" s="14"/>
    </row>
    <row r="109" spans="1:47" s="26" customFormat="1" x14ac:dyDescent="0.2">
      <c r="A109" s="41" t="s">
        <v>410</v>
      </c>
      <c r="B109" s="202" t="s">
        <v>164</v>
      </c>
      <c r="C109" s="202">
        <v>2</v>
      </c>
      <c r="D109" s="202">
        <v>1</v>
      </c>
      <c r="E109" s="185">
        <v>3.32</v>
      </c>
      <c r="F109" s="202">
        <v>10</v>
      </c>
      <c r="G109" s="202">
        <v>9</v>
      </c>
      <c r="H109" s="202">
        <v>1</v>
      </c>
      <c r="I109" s="202">
        <v>1</v>
      </c>
      <c r="J109" s="202">
        <v>0</v>
      </c>
      <c r="K109" s="202">
        <v>0</v>
      </c>
      <c r="L109" s="185">
        <v>62.33</v>
      </c>
      <c r="M109" s="202">
        <v>45</v>
      </c>
      <c r="N109" s="202">
        <v>26</v>
      </c>
      <c r="O109" s="202">
        <v>23</v>
      </c>
      <c r="P109" s="202">
        <v>10</v>
      </c>
      <c r="Q109" s="202">
        <v>21</v>
      </c>
      <c r="R109" s="202">
        <v>0</v>
      </c>
      <c r="S109" s="202">
        <v>59</v>
      </c>
      <c r="T109" s="202">
        <v>252</v>
      </c>
      <c r="U109" s="76"/>
      <c r="V109" s="52">
        <f>+(Q109-R109)/(T109-R109)*100</f>
        <v>8.3333333333333321</v>
      </c>
      <c r="W109" s="6">
        <f>IF(V109&lt;LeagueRatings!$K$10,((LeagueRatings!$K$10-V109)/LeagueRatings!$K$10)*36,(LeagueRatings!$K$10-V109)*6.48)</f>
        <v>1.3881779458051384</v>
      </c>
      <c r="X109" s="16">
        <f>INDEX('C-P-RollAdj'!$B$4:$B$76,MATCH(INT(W109),'C-P-RollAdj'!$A$4:$A$76,FALSE),0)</f>
        <v>-0.08</v>
      </c>
      <c r="Y109" s="54">
        <f>(P109/(T109-R109))*100</f>
        <v>3.9682539682539679</v>
      </c>
      <c r="Z109" s="6">
        <f>IF(Y109&lt;LeagueRatings!$K$8,((LeagueRatings!$K$8-Y109)/LeagueRatings!$K$8)*36,(LeagueRatings!$K$8-Y109)/LeagueRatings!$K$11)</f>
        <v>-6.0826741866703316</v>
      </c>
      <c r="AA109" s="16">
        <f>INDEX('C-P-RollAdj'!$F$4:$F$76,MATCH(INT(Z109),'C-P-RollAdj'!$E$4:$E$76,FALSE),0)</f>
        <v>0.61</v>
      </c>
      <c r="AB109" s="17">
        <f>+((LeagueRatings!$I$6-E109)*5)+9.5</f>
        <v>13.908051455277404</v>
      </c>
      <c r="AC109" s="55">
        <f>IF(AB109&lt;4,4,AB109)</f>
        <v>13.908051455277404</v>
      </c>
      <c r="AD109" s="17">
        <f>IF(M109&lt;L109,((1-(M109/L109))*7)-0.07,(1-(M109/L109))*5)</f>
        <v>1.8762538103641908</v>
      </c>
      <c r="AE109" s="56">
        <f>+X109+AA109+AC109+AD109</f>
        <v>16.314305265641593</v>
      </c>
      <c r="AG109" s="5" t="s">
        <v>31</v>
      </c>
      <c r="AH109" s="219">
        <f>INDEX('C-P-RollAdj'!$J$4:$J$76,MATCH(INT(W109),'C-P-RollAdj'!$I$4:$I$76,FALSE),0)</f>
        <v>11</v>
      </c>
      <c r="AI109" s="219">
        <f>INDEX('C-P-RollAdj'!$J$4:$J$76,MATCH(INT(Z109),'C-P-RollAdj'!$I$4:$I$76,FALSE),0)</f>
        <v>-21</v>
      </c>
      <c r="AJ109" s="14">
        <f>+AO109*LeagueRatings!$K$27</f>
        <v>35</v>
      </c>
      <c r="AK109" s="72">
        <f>F109*LeagueRatings!$K$27</f>
        <v>5.5555555555555554</v>
      </c>
      <c r="AL109" s="72">
        <f>G109*LeagueRatings!$K$27</f>
        <v>5</v>
      </c>
      <c r="AM109" s="72">
        <f>T109*LeagueRatings!$K$27</f>
        <v>140</v>
      </c>
      <c r="AN109" s="24"/>
      <c r="AO109" s="72">
        <f>ROUNDUP(L109,0)</f>
        <v>63</v>
      </c>
      <c r="AP109" s="113"/>
      <c r="AQ109" s="113"/>
      <c r="AR109" s="113"/>
      <c r="AS109" s="24"/>
      <c r="AT109" s="97">
        <v>20.329999999999998</v>
      </c>
    </row>
    <row r="110" spans="1:47" x14ac:dyDescent="0.2">
      <c r="A110" s="9"/>
      <c r="B110" s="129"/>
      <c r="L110" s="157">
        <f>(L108/100)/((L108+L109)/100)</f>
        <v>0.65435590306660008</v>
      </c>
      <c r="T110" s="158"/>
      <c r="U110" s="158"/>
      <c r="V110" s="153"/>
      <c r="W110" s="152">
        <f>W108*L110</f>
        <v>3.7187047439034675</v>
      </c>
      <c r="X110" s="153"/>
      <c r="Y110" s="153"/>
      <c r="Z110" s="152">
        <f>Z108*L110</f>
        <v>1.0548921396970545</v>
      </c>
      <c r="AA110" s="153"/>
      <c r="AB110" s="103"/>
      <c r="AC110" s="103"/>
      <c r="AD110" s="103"/>
      <c r="AE110" s="154">
        <f>AE108*L110</f>
        <v>6.7946414615280348</v>
      </c>
      <c r="AG110" s="5"/>
      <c r="AH110" s="5"/>
      <c r="AI110" s="5"/>
      <c r="AJ110" s="103"/>
      <c r="AK110" s="72"/>
      <c r="AL110" s="72"/>
      <c r="AM110" s="72"/>
      <c r="AN110" s="30"/>
      <c r="AO110" s="14"/>
    </row>
    <row r="111" spans="1:47" x14ac:dyDescent="0.2">
      <c r="A111" s="9"/>
      <c r="B111" s="129"/>
      <c r="L111" s="157">
        <f>(L109/100)/((L108+L109)/100)</f>
        <v>0.34564409693339987</v>
      </c>
      <c r="T111" s="158"/>
      <c r="U111" s="158"/>
      <c r="V111" s="153"/>
      <c r="W111" s="152">
        <f>W109*L111</f>
        <v>0.47981551246067916</v>
      </c>
      <c r="X111" s="153"/>
      <c r="Y111" s="153"/>
      <c r="Z111" s="152">
        <f>Z109*L111</f>
        <v>-2.1024404261917691</v>
      </c>
      <c r="AA111" s="153"/>
      <c r="AB111" s="103"/>
      <c r="AC111" s="103"/>
      <c r="AD111" s="103"/>
      <c r="AE111" s="154">
        <f>AE109*L111</f>
        <v>5.6389433106384992</v>
      </c>
      <c r="AG111" s="5"/>
      <c r="AH111" s="5"/>
      <c r="AI111" s="5"/>
      <c r="AJ111" s="103"/>
      <c r="AK111" s="72"/>
      <c r="AL111" s="72"/>
      <c r="AM111" s="72"/>
      <c r="AN111" s="30"/>
      <c r="AO111" s="14"/>
    </row>
    <row r="112" spans="1:47" x14ac:dyDescent="0.2">
      <c r="A112" s="9"/>
      <c r="B112" s="129"/>
      <c r="T112" s="158"/>
      <c r="U112" s="158"/>
      <c r="V112" s="153"/>
      <c r="W112" s="152">
        <f>SUM(W110:W111)</f>
        <v>4.1985202563641471</v>
      </c>
      <c r="X112" s="153"/>
      <c r="Y112" s="153"/>
      <c r="Z112" s="152">
        <f>SUM(Z110:Z111)</f>
        <v>-1.0475482864947145</v>
      </c>
      <c r="AA112" s="153"/>
      <c r="AB112" s="103"/>
      <c r="AC112" s="103"/>
      <c r="AD112" s="103"/>
      <c r="AE112" s="153">
        <f>SUM(AE110:AE111)</f>
        <v>12.433584772166533</v>
      </c>
      <c r="AF112" s="41" t="s">
        <v>410</v>
      </c>
      <c r="AG112" s="5" t="s">
        <v>59</v>
      </c>
      <c r="AH112" s="219">
        <f>INDEX('C-P-RollAdj'!$J$4:$J$76,MATCH(INT(W112),'C-P-RollAdj'!$I$4:$I$76,FALSE),0)</f>
        <v>14</v>
      </c>
      <c r="AI112" s="219">
        <f>INDEX('C-P-RollAdj'!$J$4:$J$76,MATCH(INT(Z112),'C-P-RollAdj'!$I$4:$I$76,FALSE),0)</f>
        <v>-12</v>
      </c>
      <c r="AJ112" s="174">
        <f>SUM(AJ108:AJ111)</f>
        <v>35</v>
      </c>
      <c r="AK112" s="14">
        <f>SUM(AK108:AK111)</f>
        <v>17.222222222222221</v>
      </c>
      <c r="AL112" s="14">
        <f>SUM(AL108:AL111)</f>
        <v>16.666666666666668</v>
      </c>
      <c r="AM112" s="14">
        <f>SUM(AM108:AM111)</f>
        <v>422.77777777777777</v>
      </c>
      <c r="AN112" s="30"/>
      <c r="AO112" s="14"/>
    </row>
    <row r="113" spans="1:41" x14ac:dyDescent="0.2">
      <c r="B113" s="155"/>
      <c r="AK113" s="72"/>
      <c r="AL113" s="72"/>
      <c r="AM113" s="72"/>
      <c r="AN113" s="30"/>
      <c r="AO113" s="14"/>
    </row>
    <row r="114" spans="1:41" x14ac:dyDescent="0.2">
      <c r="A114" s="155" t="s">
        <v>1248</v>
      </c>
      <c r="B114" s="155" t="s">
        <v>150</v>
      </c>
      <c r="C114" s="202">
        <v>3</v>
      </c>
      <c r="D114" s="202">
        <v>0</v>
      </c>
      <c r="E114" s="185">
        <v>2.96</v>
      </c>
      <c r="F114" s="202">
        <v>14</v>
      </c>
      <c r="G114" s="202">
        <v>0</v>
      </c>
      <c r="H114" s="202">
        <v>0</v>
      </c>
      <c r="I114" s="202">
        <v>0</v>
      </c>
      <c r="J114" s="202">
        <v>0</v>
      </c>
      <c r="K114" s="202">
        <v>1</v>
      </c>
      <c r="L114" s="185">
        <v>24.33</v>
      </c>
      <c r="M114" s="202">
        <v>16</v>
      </c>
      <c r="N114" s="202">
        <v>8</v>
      </c>
      <c r="O114" s="202">
        <v>8</v>
      </c>
      <c r="P114" s="202">
        <v>3</v>
      </c>
      <c r="Q114" s="202">
        <v>13</v>
      </c>
      <c r="R114" s="202">
        <v>0</v>
      </c>
      <c r="S114" s="202">
        <v>21</v>
      </c>
      <c r="T114" s="202">
        <v>99</v>
      </c>
      <c r="V114" s="52">
        <f>+(Q114-R114)/(T114-R114)*100</f>
        <v>13.131313131313133</v>
      </c>
      <c r="W114" s="6">
        <f>IF(V114&lt;LeagueRatings!$K$10,((LeagueRatings!$K$10-V114)/LeagueRatings!$K$10)*36,(LeagueRatings!$K$10-V114)*6.48)</f>
        <v>-28.925128596715446</v>
      </c>
      <c r="X114" s="16">
        <f>INDEX('C-P-RollAdj'!$B$4:$B$76,MATCH(INT(W114),'C-P-RollAdj'!$A$4:$A$76,FALSE),0)</f>
        <v>3.99</v>
      </c>
      <c r="Y114" s="54">
        <f>(P114/(T114-R114))*100</f>
        <v>3.0303030303030303</v>
      </c>
      <c r="Z114" s="6">
        <f>IF(Y114&lt;LeagueRatings!$K$8,((LeagueRatings!$K$8-Y114)/LeagueRatings!$K$8)*36,(LeagueRatings!$K$8-Y114)/LeagueRatings!$K$11)</f>
        <v>1.932701245584683</v>
      </c>
      <c r="AA114" s="16">
        <f>INDEX('C-P-RollAdj'!$F$4:$F$76,MATCH(INT(Z114),'C-P-RollAdj'!$E$4:$E$76,FALSE),0)</f>
        <v>-7.0000000000000007E-2</v>
      </c>
      <c r="AB114" s="17">
        <f>+((LeagueRatings!$I$6-E114)*5)+9.5</f>
        <v>15.708051455277403</v>
      </c>
      <c r="AC114" s="55">
        <f>IF(AB114&lt;4,4,AB114)</f>
        <v>15.708051455277403</v>
      </c>
      <c r="AD114" s="17">
        <f>IF(M114&lt;L114,((1-(M114/L114))*7)-0.07,(1-(M114/L114))*5)</f>
        <v>2.3266296752979856</v>
      </c>
      <c r="AE114" s="56">
        <f>+X114+AA114+AC114+AD114</f>
        <v>21.954681130575391</v>
      </c>
      <c r="AF114" s="26"/>
      <c r="AG114" s="5" t="s">
        <v>74</v>
      </c>
      <c r="AH114" s="219">
        <f>INDEX('C-P-RollAdj'!$J$4:$J$76,MATCH(INT(W114),'C-P-RollAdj'!$I$4:$I$76,FALSE),0)</f>
        <v>-55</v>
      </c>
      <c r="AI114" s="219">
        <f>INDEX('C-P-RollAdj'!$J$4:$J$76,MATCH(INT(Z114),'C-P-RollAdj'!$I$4:$I$76,FALSE),0)</f>
        <v>11</v>
      </c>
      <c r="AJ114" s="14">
        <f>+AO114*LeagueRatings!$K$27</f>
        <v>13.888888888888889</v>
      </c>
      <c r="AK114" s="72">
        <f>F114*LeagueRatings!$K$27</f>
        <v>7.7777777777777786</v>
      </c>
      <c r="AL114" s="72">
        <f>G114*LeagueRatings!$K$27</f>
        <v>0</v>
      </c>
      <c r="AM114" s="72">
        <f>T114*LeagueRatings!$K$27</f>
        <v>55</v>
      </c>
      <c r="AN114" s="24"/>
      <c r="AO114" s="72">
        <f>ROUNDUP(L114,0)</f>
        <v>25</v>
      </c>
    </row>
    <row r="115" spans="1:41" customFormat="1" x14ac:dyDescent="0.2">
      <c r="A115" s="41" t="s">
        <v>806</v>
      </c>
      <c r="B115" s="202" t="s">
        <v>162</v>
      </c>
      <c r="C115" s="202">
        <v>2</v>
      </c>
      <c r="D115" s="202">
        <v>2</v>
      </c>
      <c r="E115" s="185">
        <v>4.18</v>
      </c>
      <c r="F115" s="202">
        <v>6</v>
      </c>
      <c r="G115" s="202">
        <v>4</v>
      </c>
      <c r="H115" s="202">
        <v>0</v>
      </c>
      <c r="I115" s="202">
        <v>0</v>
      </c>
      <c r="J115" s="202">
        <v>0</v>
      </c>
      <c r="K115" s="202">
        <v>0</v>
      </c>
      <c r="L115" s="185">
        <v>23.67</v>
      </c>
      <c r="M115" s="202">
        <v>21</v>
      </c>
      <c r="N115" s="202">
        <v>11</v>
      </c>
      <c r="O115" s="202">
        <v>11</v>
      </c>
      <c r="P115" s="202">
        <v>5</v>
      </c>
      <c r="Q115" s="202">
        <v>8</v>
      </c>
      <c r="R115" s="202">
        <v>0</v>
      </c>
      <c r="S115" s="202">
        <v>24</v>
      </c>
      <c r="T115" s="202">
        <v>98</v>
      </c>
      <c r="U115" s="76"/>
      <c r="V115" s="52">
        <f>+(Q115-R115)/(T115-R115)*100</f>
        <v>8.1632653061224492</v>
      </c>
      <c r="W115" s="53">
        <f>IF(V115&lt;LeagueRatings!$K$21,((LeagueRatings!$K$21-V115)/LeagueRatings!$K$21)*36,(LeagueRatings!$K$21-V115)*6.48)</f>
        <v>3.1755791902260846</v>
      </c>
      <c r="X115" s="16">
        <f>INDEX('C-P-RollAdj'!$B$4:$B$76,MATCH(INT(W115),'C-P-RollAdj'!$A$4:$A$76,FALSE),0)</f>
        <v>-0.24</v>
      </c>
      <c r="Y115" s="54">
        <f>(P115/(T115-R115))*100</f>
        <v>5.1020408163265305</v>
      </c>
      <c r="Z115" s="53">
        <f>IF(Y115&lt;LeagueRatings!$K$19,((LeagueRatings!$K$19-Y115)/LeagueRatings!$K$19)*36,(LeagueRatings!$K$19-Y115)/LeagueRatings!$K$22)</f>
        <v>-17.727804878048779</v>
      </c>
      <c r="AA115" s="16">
        <f>INDEX('C-P-RollAdj'!$F$4:$F$76,MATCH(INT(Z115),'C-P-RollAdj'!$E$4:$E$76,FALSE),0)</f>
        <v>1.8900000000000001</v>
      </c>
      <c r="AB115" s="55">
        <f>+((LeagueRatings!$I$17-E115)*5)+9.5</f>
        <v>9.4143872437063649</v>
      </c>
      <c r="AC115" s="55">
        <f>IF(AB115&lt;4,4,AB115)</f>
        <v>9.4143872437063649</v>
      </c>
      <c r="AD115" s="17">
        <f>IF(M115&lt;L115,((1-(M115/L115))*7)-0.07,(1-(M115/L115))*5)</f>
        <v>0.71960709759188868</v>
      </c>
      <c r="AE115" s="56">
        <f>+X115+AA115+AC115+AD115</f>
        <v>11.783994341298254</v>
      </c>
      <c r="AF115" s="168"/>
      <c r="AG115" s="7" t="s">
        <v>68</v>
      </c>
      <c r="AH115" s="219">
        <f>INDEX('C-P-RollAdj'!$J$4:$J$76,MATCH(INT(W115),'C-P-RollAdj'!$I$4:$I$76,FALSE),0)</f>
        <v>13</v>
      </c>
      <c r="AI115" s="219">
        <f>INDEX('C-P-RollAdj'!$J$4:$J$76,MATCH(INT(Z115),'C-P-RollAdj'!$I$4:$I$76,FALSE),0)</f>
        <v>-36</v>
      </c>
      <c r="AJ115" s="14">
        <f>+AO115*LeagueRatings!$K$27</f>
        <v>13.333333333333334</v>
      </c>
      <c r="AK115" s="72">
        <f>F115*LeagueRatings!$K$27</f>
        <v>3.3333333333333335</v>
      </c>
      <c r="AL115" s="72">
        <f>G115*LeagueRatings!$K$27</f>
        <v>2.2222222222222223</v>
      </c>
      <c r="AM115" s="72">
        <f>T115*LeagueRatings!$K$27</f>
        <v>54.44444444444445</v>
      </c>
      <c r="AO115" s="14">
        <f>ROUNDUP(L115,0)</f>
        <v>24</v>
      </c>
    </row>
    <row r="116" spans="1:41" x14ac:dyDescent="0.2">
      <c r="A116" s="9"/>
      <c r="B116" s="129"/>
      <c r="L116" s="157">
        <f>(L114/100)/((L114+L115)/100)</f>
        <v>0.50687499999999996</v>
      </c>
      <c r="T116" s="158"/>
      <c r="U116" s="158"/>
      <c r="V116" s="153"/>
      <c r="W116" s="152">
        <f>W114*L116</f>
        <v>-14.661424557460141</v>
      </c>
      <c r="X116" s="153"/>
      <c r="Y116" s="153"/>
      <c r="Z116" s="152">
        <f>Z114*L116</f>
        <v>0.9796379438557361</v>
      </c>
      <c r="AA116" s="153"/>
      <c r="AB116" s="103"/>
      <c r="AC116" s="103"/>
      <c r="AD116" s="103"/>
      <c r="AE116" s="154">
        <f>AE114*L116</f>
        <v>11.1282789980604</v>
      </c>
      <c r="AG116" s="5"/>
      <c r="AH116" s="5"/>
      <c r="AI116" s="5"/>
      <c r="AJ116" s="103"/>
      <c r="AK116" s="72"/>
      <c r="AL116" s="72"/>
      <c r="AM116" s="72"/>
      <c r="AN116" s="30"/>
      <c r="AO116" s="14"/>
    </row>
    <row r="117" spans="1:41" x14ac:dyDescent="0.2">
      <c r="A117" s="9"/>
      <c r="B117" s="129"/>
      <c r="L117" s="157">
        <f>(L115/100)/((L114+L115)/100)</f>
        <v>0.49312500000000004</v>
      </c>
      <c r="T117" s="158"/>
      <c r="U117" s="158"/>
      <c r="V117" s="153"/>
      <c r="W117" s="152">
        <f>W115*L117</f>
        <v>1.5659574881802381</v>
      </c>
      <c r="X117" s="153"/>
      <c r="Y117" s="153"/>
      <c r="Z117" s="152">
        <f>Z115*L117</f>
        <v>-8.7420237804878056</v>
      </c>
      <c r="AA117" s="153"/>
      <c r="AB117" s="103"/>
      <c r="AC117" s="103"/>
      <c r="AD117" s="103"/>
      <c r="AE117" s="154">
        <f>AE115*L117</f>
        <v>5.8109822095527015</v>
      </c>
      <c r="AG117" s="5"/>
      <c r="AH117" s="5"/>
      <c r="AI117" s="5"/>
      <c r="AJ117" s="103"/>
      <c r="AK117" s="72"/>
      <c r="AL117" s="72"/>
      <c r="AM117" s="72"/>
      <c r="AN117" s="30"/>
      <c r="AO117" s="14"/>
    </row>
    <row r="118" spans="1:41" x14ac:dyDescent="0.2">
      <c r="A118" s="9"/>
      <c r="B118" s="129"/>
      <c r="T118" s="158"/>
      <c r="U118" s="158"/>
      <c r="V118" s="153"/>
      <c r="W118" s="152">
        <f>SUM(W116:W117)</f>
        <v>-13.095467069279902</v>
      </c>
      <c r="X118" s="153"/>
      <c r="Y118" s="153"/>
      <c r="Z118" s="152">
        <f>SUM(Z116:Z117)</f>
        <v>-7.7623858366320695</v>
      </c>
      <c r="AA118" s="153"/>
      <c r="AB118" s="103"/>
      <c r="AC118" s="103"/>
      <c r="AD118" s="103"/>
      <c r="AE118" s="153">
        <f>SUM(AE116:AE117)</f>
        <v>16.9392612076131</v>
      </c>
      <c r="AF118" s="41" t="s">
        <v>806</v>
      </c>
      <c r="AG118" s="5" t="s">
        <v>53</v>
      </c>
      <c r="AH118" s="219">
        <f>INDEX('C-P-RollAdj'!$J$4:$J$76,MATCH(INT(W118),'C-P-RollAdj'!$I$4:$I$76,FALSE),0)</f>
        <v>-32</v>
      </c>
      <c r="AI118" s="219">
        <f>INDEX('C-P-RollAdj'!$J$4:$J$76,MATCH(INT(Z118),'C-P-RollAdj'!$I$4:$I$76,FALSE),0)</f>
        <v>-22</v>
      </c>
      <c r="AJ118" s="174">
        <f>SUM(AJ114:AJ117)</f>
        <v>27.222222222222221</v>
      </c>
      <c r="AK118" s="14">
        <f>SUM(AK114:AK117)</f>
        <v>11.111111111111112</v>
      </c>
      <c r="AL118" s="14">
        <f>SUM(AL114:AL117)</f>
        <v>2.2222222222222223</v>
      </c>
      <c r="AM118" s="14">
        <f>SUM(AM114:AM117)</f>
        <v>109.44444444444446</v>
      </c>
      <c r="AN118" s="30"/>
      <c r="AO118" s="14"/>
    </row>
    <row r="119" spans="1:41" x14ac:dyDescent="0.2">
      <c r="B119" s="155"/>
      <c r="AK119" s="72"/>
      <c r="AL119" s="72"/>
      <c r="AM119" s="72"/>
      <c r="AN119" s="30"/>
      <c r="AO119" s="14"/>
    </row>
    <row r="120" spans="1:41" x14ac:dyDescent="0.2">
      <c r="A120" s="204" t="s">
        <v>846</v>
      </c>
      <c r="B120" s="196" t="s">
        <v>150</v>
      </c>
      <c r="C120" s="202">
        <v>1</v>
      </c>
      <c r="D120" s="202">
        <v>0</v>
      </c>
      <c r="E120" s="185">
        <v>1.54</v>
      </c>
      <c r="F120" s="202">
        <v>26</v>
      </c>
      <c r="G120" s="202">
        <v>0</v>
      </c>
      <c r="H120" s="202">
        <v>0</v>
      </c>
      <c r="I120" s="202">
        <v>0</v>
      </c>
      <c r="J120" s="202">
        <v>0</v>
      </c>
      <c r="K120" s="202">
        <v>1</v>
      </c>
      <c r="L120" s="185">
        <v>23.33</v>
      </c>
      <c r="M120" s="202">
        <v>24</v>
      </c>
      <c r="N120" s="202">
        <v>5</v>
      </c>
      <c r="O120" s="202">
        <v>4</v>
      </c>
      <c r="P120" s="202">
        <v>1</v>
      </c>
      <c r="Q120" s="202">
        <v>15</v>
      </c>
      <c r="R120" s="202">
        <v>2</v>
      </c>
      <c r="S120" s="202">
        <v>18</v>
      </c>
      <c r="T120" s="202">
        <v>104</v>
      </c>
      <c r="V120" s="52">
        <f>+(Q120-R120)/(T120-R120)*100</f>
        <v>12.745098039215685</v>
      </c>
      <c r="W120" s="6">
        <f>IF(V120&lt;LeagueRatings!$K$10,((LeagueRatings!$K$10-V120)/LeagueRatings!$K$10)*36,(LeagueRatings!$K$10-V120)*6.48)</f>
        <v>-26.422454799923983</v>
      </c>
      <c r="X120" s="16">
        <f>INDEX('C-P-RollAdj'!$B$4:$B$76,MATCH(INT(W120),'C-P-RollAdj'!$A$4:$A$76,FALSE),0)</f>
        <v>3.61</v>
      </c>
      <c r="Y120" s="54">
        <f>(P120/(T120-R120))*100</f>
        <v>0.98039215686274506</v>
      </c>
      <c r="Z120" s="6">
        <f>IF(Y120&lt;LeagueRatings!$K$8,((LeagueRatings!$K$8-Y120)/LeagueRatings!$K$8)*36,(LeagueRatings!$K$8-Y120)/LeagueRatings!$K$11)</f>
        <v>24.978226873571511</v>
      </c>
      <c r="AA120" s="16">
        <f>INDEX('C-P-RollAdj'!$F$4:$F$76,MATCH(INT(Z120),'C-P-RollAdj'!$E$4:$E$76,FALSE),0)</f>
        <v>-1.98</v>
      </c>
      <c r="AB120" s="17">
        <f>+((LeagueRatings!$I$6-E120)*5)+9.5</f>
        <v>22.808051455277404</v>
      </c>
      <c r="AC120" s="55">
        <f>IF(AB120&lt;4,4,AB120)</f>
        <v>22.808051455277404</v>
      </c>
      <c r="AD120" s="17">
        <f>IF(M120&lt;L120,((1-(M120/L120))*7)-0.07,(1-(M120/L120))*5)</f>
        <v>-0.14359194170595835</v>
      </c>
      <c r="AE120" s="56">
        <f>+X120+AA120+AC120+AD120</f>
        <v>24.294459513571447</v>
      </c>
      <c r="AF120" s="26"/>
      <c r="AG120" s="5" t="s">
        <v>318</v>
      </c>
      <c r="AH120" s="219">
        <f>INDEX('C-P-RollAdj'!$J$4:$J$76,MATCH(INT(W120),'C-P-RollAdj'!$I$4:$I$76,FALSE),0)</f>
        <v>-53</v>
      </c>
      <c r="AI120" s="219">
        <f>INDEX('C-P-RollAdj'!$J$4:$J$76,MATCH(INT(Z120),'C-P-RollAdj'!$I$4:$I$76,FALSE),0)</f>
        <v>46</v>
      </c>
      <c r="AJ120" s="14">
        <f>+AO120*LeagueRatings!$K$27</f>
        <v>13.333333333333334</v>
      </c>
      <c r="AK120" s="72">
        <f>F120*LeagueRatings!$K$27</f>
        <v>14.444444444444445</v>
      </c>
      <c r="AL120" s="72">
        <f>G120*LeagueRatings!$K$27</f>
        <v>0</v>
      </c>
      <c r="AM120" s="72">
        <f>T120*LeagueRatings!$K$27</f>
        <v>57.777777777777779</v>
      </c>
      <c r="AN120" s="24"/>
      <c r="AO120" s="72">
        <f>ROUNDUP(L120,0)</f>
        <v>24</v>
      </c>
    </row>
    <row r="121" spans="1:41" s="24" customFormat="1" x14ac:dyDescent="0.2">
      <c r="A121" s="41" t="s">
        <v>640</v>
      </c>
      <c r="B121" s="202" t="s">
        <v>160</v>
      </c>
      <c r="C121" s="202">
        <v>0</v>
      </c>
      <c r="D121" s="202">
        <v>0</v>
      </c>
      <c r="E121" s="185">
        <v>0</v>
      </c>
      <c r="F121" s="202">
        <v>6</v>
      </c>
      <c r="G121" s="202">
        <v>0</v>
      </c>
      <c r="H121" s="202">
        <v>0</v>
      </c>
      <c r="I121" s="202">
        <v>0</v>
      </c>
      <c r="J121" s="202">
        <v>0</v>
      </c>
      <c r="K121" s="202">
        <v>0</v>
      </c>
      <c r="L121" s="185">
        <v>4.67</v>
      </c>
      <c r="M121" s="202">
        <v>3</v>
      </c>
      <c r="N121" s="202">
        <v>0</v>
      </c>
      <c r="O121" s="202">
        <v>0</v>
      </c>
      <c r="P121" s="202">
        <v>0</v>
      </c>
      <c r="Q121" s="202">
        <v>3</v>
      </c>
      <c r="R121" s="202">
        <v>1</v>
      </c>
      <c r="S121" s="202">
        <v>4</v>
      </c>
      <c r="T121" s="202">
        <v>20</v>
      </c>
      <c r="U121" s="76"/>
      <c r="V121" s="50">
        <f>+(Q121-R121)/(T121-R121)*100</f>
        <v>10.526315789473683</v>
      </c>
      <c r="W121" s="6">
        <f>IF(V121&lt;LeagueRatings!$K$21,((LeagueRatings!$K$21-V121)/LeagueRatings!$K$21)*36,(LeagueRatings!$K$21-V121)*6.48)</f>
        <v>-10.194985336458435</v>
      </c>
      <c r="X121" s="16">
        <f>INDEX('C-P-RollAdj'!$B$4:$B$76,MATCH(INT(W121),'C-P-RollAdj'!$A$4:$A$76,FALSE),0)</f>
        <v>1.1099999999999999</v>
      </c>
      <c r="Y121" s="16">
        <f>(P121/(T121-R121))*100</f>
        <v>0</v>
      </c>
      <c r="Z121" s="6">
        <f>IF(Y121&lt;LeagueRatings!$K$19,((LeagueRatings!$K$19-Y121)/LeagueRatings!$K$19)*36,(LeagueRatings!$K$19-Y121)/LeagueRatings!$K$22)</f>
        <v>36</v>
      </c>
      <c r="AA121" s="16">
        <f>INDEX('C-P-RollAdj'!$F$4:$F$76,MATCH(INT(Z121),'C-P-RollAdj'!$E$4:$E$76,FALSE),0)</f>
        <v>-3.26</v>
      </c>
      <c r="AB121" s="17">
        <f>+((LeagueRatings!$I$17-E121)*5)+9.5</f>
        <v>30.314387243706364</v>
      </c>
      <c r="AC121" s="17">
        <f>IF(AB121&lt;4,4,AB121)</f>
        <v>30.314387243706364</v>
      </c>
      <c r="AD121" s="17">
        <f>IF(M121&lt;L121,((1-(M121/L121))*7)-0.07,(1-(M121/L121))*5)</f>
        <v>2.4332119914346899</v>
      </c>
      <c r="AE121" s="4">
        <f>+X121+AA121+AC121+AD121</f>
        <v>30.597599235141054</v>
      </c>
      <c r="AG121" s="5" t="s">
        <v>1284</v>
      </c>
      <c r="AH121" s="219">
        <f>INDEX('C-P-RollAdj'!$J$4:$J$76,MATCH(INT(W121),'C-P-RollAdj'!$I$4:$I$76,FALSE),0)</f>
        <v>-25</v>
      </c>
      <c r="AI121" s="219">
        <f>INDEX('C-P-RollAdj'!$J$4:$J$76,MATCH(INT(Z121),'C-P-RollAdj'!$I$4:$I$76,FALSE),0)</f>
        <v>66</v>
      </c>
      <c r="AJ121" s="14">
        <f>+AO121*LeagueRatings!$K$27</f>
        <v>2.7777777777777777</v>
      </c>
      <c r="AK121" s="72">
        <f>F121*LeagueRatings!$K$27</f>
        <v>3.3333333333333335</v>
      </c>
      <c r="AL121" s="72">
        <f>G121*LeagueRatings!$K$27</f>
        <v>0</v>
      </c>
      <c r="AM121" s="72">
        <f>T121*LeagueRatings!$K$27</f>
        <v>11.111111111111111</v>
      </c>
      <c r="AO121" s="14">
        <f>ROUNDUP(L121,0)</f>
        <v>5</v>
      </c>
    </row>
    <row r="122" spans="1:41" x14ac:dyDescent="0.2">
      <c r="A122" s="9"/>
      <c r="B122" s="129"/>
      <c r="L122" s="157">
        <f>(L120/100)/((L120+L121)/100)</f>
        <v>0.83321428571428557</v>
      </c>
      <c r="T122" s="158"/>
      <c r="U122" s="158"/>
      <c r="V122" s="153"/>
      <c r="W122" s="152">
        <f>W120*L122</f>
        <v>-22.015566802936657</v>
      </c>
      <c r="X122" s="153"/>
      <c r="Y122" s="153"/>
      <c r="Z122" s="152">
        <f>Z120*L122</f>
        <v>20.81221546287226</v>
      </c>
      <c r="AA122" s="153"/>
      <c r="AB122" s="103"/>
      <c r="AC122" s="103"/>
      <c r="AD122" s="103"/>
      <c r="AE122" s="154">
        <f>AE120*L122</f>
        <v>20.242490730415064</v>
      </c>
      <c r="AG122" s="5"/>
      <c r="AH122" s="5"/>
      <c r="AI122" s="5"/>
      <c r="AJ122" s="103"/>
      <c r="AK122" s="72"/>
      <c r="AL122" s="72"/>
      <c r="AM122" s="72"/>
      <c r="AN122" s="30"/>
      <c r="AO122" s="14"/>
    </row>
    <row r="123" spans="1:41" x14ac:dyDescent="0.2">
      <c r="A123" s="9"/>
      <c r="B123" s="129"/>
      <c r="L123" s="157">
        <f>(L121/100)/((L120+L121)/100)</f>
        <v>0.16678571428571426</v>
      </c>
      <c r="T123" s="158"/>
      <c r="U123" s="158"/>
      <c r="V123" s="153"/>
      <c r="W123" s="152">
        <f>W121*L123</f>
        <v>-1.7003779114736031</v>
      </c>
      <c r="X123" s="153"/>
      <c r="Y123" s="153"/>
      <c r="Z123" s="152">
        <f>Z121*L123</f>
        <v>6.0042857142857136</v>
      </c>
      <c r="AA123" s="153"/>
      <c r="AB123" s="103"/>
      <c r="AC123" s="103"/>
      <c r="AD123" s="103"/>
      <c r="AE123" s="154">
        <f>AE121*L123</f>
        <v>5.1032424438610251</v>
      </c>
      <c r="AG123" s="5"/>
      <c r="AH123" s="5"/>
      <c r="AI123" s="5"/>
      <c r="AJ123" s="103"/>
      <c r="AK123" s="72"/>
      <c r="AL123" s="72"/>
      <c r="AM123" s="72"/>
      <c r="AN123" s="30"/>
      <c r="AO123" s="14"/>
    </row>
    <row r="124" spans="1:41" x14ac:dyDescent="0.2">
      <c r="A124" s="9"/>
      <c r="B124" s="129"/>
      <c r="T124" s="158"/>
      <c r="U124" s="158"/>
      <c r="V124" s="153"/>
      <c r="W124" s="152">
        <f>SUM(W122:W123)</f>
        <v>-23.715944714410259</v>
      </c>
      <c r="X124" s="153"/>
      <c r="Y124" s="153"/>
      <c r="Z124" s="152">
        <f>SUM(Z122:Z123)</f>
        <v>26.816501177157974</v>
      </c>
      <c r="AA124" s="153"/>
      <c r="AB124" s="103"/>
      <c r="AC124" s="103"/>
      <c r="AD124" s="103"/>
      <c r="AE124" s="153">
        <f>SUM(AE122:AE123)</f>
        <v>25.345733174276088</v>
      </c>
      <c r="AF124" s="41" t="s">
        <v>640</v>
      </c>
      <c r="AG124" s="5" t="s">
        <v>82</v>
      </c>
      <c r="AH124" s="219">
        <f>INDEX('C-P-RollAdj'!$J$4:$J$76,MATCH(INT(W124),'C-P-RollAdj'!$I$4:$I$76,FALSE),0)</f>
        <v>-46</v>
      </c>
      <c r="AI124" s="219">
        <f>INDEX('C-P-RollAdj'!$J$4:$J$76,MATCH(INT(Z124),'C-P-RollAdj'!$I$4:$I$76,FALSE),0)</f>
        <v>52</v>
      </c>
      <c r="AJ124" s="174">
        <f>SUM(AJ120:AJ123)</f>
        <v>16.111111111111111</v>
      </c>
      <c r="AK124" s="14">
        <f>SUM(AK120:AK123)</f>
        <v>17.777777777777779</v>
      </c>
      <c r="AL124" s="14">
        <f>SUM(AL120:AL123)</f>
        <v>0</v>
      </c>
      <c r="AM124" s="14">
        <f>SUM(AM120:AM123)</f>
        <v>68.888888888888886</v>
      </c>
      <c r="AN124" s="30"/>
      <c r="AO124" s="14"/>
    </row>
    <row r="125" spans="1:41" x14ac:dyDescent="0.2">
      <c r="B125" s="155"/>
      <c r="AK125" s="72"/>
      <c r="AL125" s="72"/>
      <c r="AM125" s="72"/>
      <c r="AN125" s="30"/>
      <c r="AO125" s="14"/>
    </row>
    <row r="126" spans="1:41" x14ac:dyDescent="0.2">
      <c r="A126" s="155" t="s">
        <v>1253</v>
      </c>
      <c r="B126" s="155" t="s">
        <v>161</v>
      </c>
      <c r="C126" s="202">
        <v>0</v>
      </c>
      <c r="D126" s="202">
        <v>0</v>
      </c>
      <c r="E126" s="185">
        <v>7.5</v>
      </c>
      <c r="F126" s="202">
        <v>6</v>
      </c>
      <c r="G126" s="202">
        <v>0</v>
      </c>
      <c r="H126" s="202">
        <v>0</v>
      </c>
      <c r="I126" s="202">
        <v>0</v>
      </c>
      <c r="J126" s="202">
        <v>0</v>
      </c>
      <c r="K126" s="202">
        <v>0</v>
      </c>
      <c r="L126" s="185">
        <v>6</v>
      </c>
      <c r="M126" s="202">
        <v>8</v>
      </c>
      <c r="N126" s="202">
        <v>5</v>
      </c>
      <c r="O126" s="202">
        <v>5</v>
      </c>
      <c r="P126" s="202">
        <v>0</v>
      </c>
      <c r="Q126" s="202">
        <v>5</v>
      </c>
      <c r="R126" s="202">
        <v>2</v>
      </c>
      <c r="S126" s="202">
        <v>8</v>
      </c>
      <c r="T126" s="202">
        <v>29</v>
      </c>
      <c r="V126" s="50">
        <f>+(Q126-R126)/(T126-R126)*100</f>
        <v>11.111111111111111</v>
      </c>
      <c r="W126" s="6">
        <f>IF(V126&lt;LeagueRatings!$K$21,((LeagueRatings!$K$21-V126)/LeagueRatings!$K$21)*36,(LeagueRatings!$K$21-V126)*6.48)</f>
        <v>-13.984459020668965</v>
      </c>
      <c r="X126" s="16">
        <f>INDEX('C-P-RollAdj'!$B$4:$B$76,MATCH(INT(W126),'C-P-RollAdj'!$A$4:$A$76,FALSE),0)</f>
        <v>1.5</v>
      </c>
      <c r="Y126" s="16">
        <f>(P126/(T126-R126))*100</f>
        <v>0</v>
      </c>
      <c r="Z126" s="6">
        <f>IF(Y126&lt;LeagueRatings!$K$19,((LeagueRatings!$K$19-Y126)/LeagueRatings!$K$19)*36,(LeagueRatings!$K$19-Y126)/LeagueRatings!$K$22)</f>
        <v>36</v>
      </c>
      <c r="AA126" s="16">
        <f>INDEX('C-P-RollAdj'!$F$4:$F$76,MATCH(INT(Z126),'C-P-RollAdj'!$E$4:$E$76,FALSE),0)</f>
        <v>-3.26</v>
      </c>
      <c r="AB126" s="17">
        <f>+((LeagueRatings!$I$17-E126)*5)+9.5</f>
        <v>-7.1856127562936365</v>
      </c>
      <c r="AC126" s="17">
        <f>IF(AB126&lt;4,4,AB126)</f>
        <v>4</v>
      </c>
      <c r="AD126" s="17">
        <f>IF(M126&lt;L126,((1-(M126/L126))*7)-0.07,(1-(M126/L126))*5)</f>
        <v>-1.6666666666666663</v>
      </c>
      <c r="AE126" s="4">
        <f>+X126+AA126+AC126+AD126</f>
        <v>0.57333333333333392</v>
      </c>
      <c r="AG126" s="5" t="s">
        <v>50</v>
      </c>
      <c r="AH126" s="219">
        <f>INDEX('C-P-RollAdj'!$J$4:$J$76,MATCH(INT(W126),'C-P-RollAdj'!$I$4:$I$76,FALSE),0)</f>
        <v>-32</v>
      </c>
      <c r="AI126" s="219">
        <f>INDEX('C-P-RollAdj'!$J$4:$J$76,MATCH(INT(Z126),'C-P-RollAdj'!$I$4:$I$76,FALSE),0)</f>
        <v>66</v>
      </c>
      <c r="AJ126" s="14">
        <f>+AO126*LeagueRatings!$K$27</f>
        <v>3.3333333333333335</v>
      </c>
      <c r="AK126" s="72">
        <f>F126*LeagueRatings!$K$27</f>
        <v>3.3333333333333335</v>
      </c>
      <c r="AL126" s="72">
        <f>G126*LeagueRatings!$K$27</f>
        <v>0</v>
      </c>
      <c r="AM126" s="72">
        <f>T126*LeagueRatings!$K$27</f>
        <v>16.111111111111111</v>
      </c>
      <c r="AN126"/>
      <c r="AO126" s="14">
        <f>ROUNDUP(L126,0)</f>
        <v>6</v>
      </c>
    </row>
    <row r="127" spans="1:41" customFormat="1" x14ac:dyDescent="0.2">
      <c r="A127" s="41" t="s">
        <v>416</v>
      </c>
      <c r="B127" s="202" t="s">
        <v>163</v>
      </c>
      <c r="C127" s="202">
        <v>0</v>
      </c>
      <c r="D127" s="202">
        <v>0</v>
      </c>
      <c r="E127" s="185">
        <v>3.86</v>
      </c>
      <c r="F127" s="202">
        <v>29</v>
      </c>
      <c r="G127" s="202">
        <v>1</v>
      </c>
      <c r="H127" s="202">
        <v>0</v>
      </c>
      <c r="I127" s="202">
        <v>0</v>
      </c>
      <c r="J127" s="202">
        <v>1</v>
      </c>
      <c r="K127" s="202">
        <v>3</v>
      </c>
      <c r="L127" s="185">
        <v>32.67</v>
      </c>
      <c r="M127" s="202">
        <v>33</v>
      </c>
      <c r="N127" s="202">
        <v>14</v>
      </c>
      <c r="O127" s="202">
        <v>14</v>
      </c>
      <c r="P127" s="202">
        <v>4</v>
      </c>
      <c r="Q127" s="202">
        <v>21</v>
      </c>
      <c r="R127" s="202">
        <v>1</v>
      </c>
      <c r="S127" s="202">
        <v>25</v>
      </c>
      <c r="T127" s="202">
        <v>147</v>
      </c>
      <c r="U127" s="76"/>
      <c r="V127" s="50">
        <f>+(Q127-R127)/(T127-R127)*100</f>
        <v>13.698630136986301</v>
      </c>
      <c r="W127" s="6">
        <f>IF(V127&lt;LeagueRatings!$K$21,((LeagueRatings!$K$21-V127)/LeagueRatings!$K$21)*36,(LeagueRatings!$K$21-V127)*6.48)</f>
        <v>-30.7515823083402</v>
      </c>
      <c r="X127" s="16">
        <f>INDEX('C-P-RollAdj'!$B$4:$B$76,MATCH(INT(W127),'C-P-RollAdj'!$A$4:$A$76,FALSE),0)</f>
        <v>4.3899999999999997</v>
      </c>
      <c r="Y127" s="16">
        <f>(P127/(T127-R127))*100</f>
        <v>2.7397260273972601</v>
      </c>
      <c r="Z127" s="6">
        <f>IF(Y127&lt;LeagueRatings!$K$19,((LeagueRatings!$K$19-Y127)/LeagueRatings!$K$19)*36,(LeagueRatings!$K$19-Y127)/LeagueRatings!$K$22)</f>
        <v>2.0831746421770414</v>
      </c>
      <c r="AA127" s="16">
        <f>INDEX('C-P-RollAdj'!$F$4:$F$76,MATCH(INT(Z127),'C-P-RollAdj'!$E$4:$E$76,FALSE),0)</f>
        <v>-0.14000000000000001</v>
      </c>
      <c r="AB127" s="17">
        <f>+((LeagueRatings!$I$17-E127)*5)+9.5</f>
        <v>11.014387243706363</v>
      </c>
      <c r="AC127" s="17">
        <f>IF(AB127&lt;4,4,AB127)</f>
        <v>11.014387243706363</v>
      </c>
      <c r="AD127" s="17">
        <f>IF(M127&lt;L127,((1-(M127/L127))*7)-0.07,(1-(M127/L127))*5)</f>
        <v>-5.050505050504972E-2</v>
      </c>
      <c r="AE127" s="4">
        <f>+X127+AA127+AC127+AD127</f>
        <v>15.213882193201313</v>
      </c>
      <c r="AF127" s="168"/>
      <c r="AG127" s="5" t="s">
        <v>14</v>
      </c>
      <c r="AH127" s="219">
        <f>INDEX('C-P-RollAdj'!$J$4:$J$76,MATCH(INT(W127),'C-P-RollAdj'!$I$4:$I$76,FALSE),0)</f>
        <v>-61</v>
      </c>
      <c r="AI127" s="219">
        <f>INDEX('C-P-RollAdj'!$J$4:$J$76,MATCH(INT(Z127),'C-P-RollAdj'!$I$4:$I$76,FALSE),0)</f>
        <v>12</v>
      </c>
      <c r="AJ127" s="14">
        <f>+AO127*LeagueRatings!$K$27</f>
        <v>18.333333333333336</v>
      </c>
      <c r="AK127" s="72">
        <f>F127*LeagueRatings!$K$27</f>
        <v>16.111111111111111</v>
      </c>
      <c r="AL127" s="72">
        <f>G127*LeagueRatings!$K$27</f>
        <v>0.55555555555555558</v>
      </c>
      <c r="AM127" s="72">
        <f>T127*LeagueRatings!$K$27</f>
        <v>81.666666666666671</v>
      </c>
      <c r="AO127" s="14">
        <f>ROUNDUP(L127,0)</f>
        <v>33</v>
      </c>
    </row>
    <row r="128" spans="1:41" x14ac:dyDescent="0.2">
      <c r="A128" s="9"/>
      <c r="B128" s="129"/>
      <c r="L128" s="157">
        <f>(L126/100)/((L126+L127)/100)</f>
        <v>0.1551590380139643</v>
      </c>
      <c r="T128" s="158"/>
      <c r="U128" s="158"/>
      <c r="V128" s="153"/>
      <c r="W128" s="152">
        <f>W126*L128</f>
        <v>-2.1698152087927021</v>
      </c>
      <c r="X128" s="153"/>
      <c r="Y128" s="153"/>
      <c r="Z128" s="152">
        <f>Z126*L128</f>
        <v>5.5857253685027146</v>
      </c>
      <c r="AA128" s="153"/>
      <c r="AB128" s="103"/>
      <c r="AC128" s="103"/>
      <c r="AD128" s="103"/>
      <c r="AE128" s="154">
        <f>AE126*L128</f>
        <v>8.8957848461339625E-2</v>
      </c>
      <c r="AG128" s="5"/>
      <c r="AH128" s="5"/>
      <c r="AI128" s="5"/>
      <c r="AJ128" s="103"/>
      <c r="AK128" s="72"/>
      <c r="AL128" s="72"/>
      <c r="AM128" s="72"/>
      <c r="AN128" s="30"/>
      <c r="AO128" s="14"/>
    </row>
    <row r="129" spans="1:46" x14ac:dyDescent="0.2">
      <c r="A129" s="9"/>
      <c r="B129" s="129"/>
      <c r="L129" s="157">
        <f>(L127/100)/((L126+L127)/100)</f>
        <v>0.84484096198603553</v>
      </c>
      <c r="T129" s="158"/>
      <c r="U129" s="158"/>
      <c r="V129" s="153"/>
      <c r="W129" s="152">
        <f>W127*L129</f>
        <v>-25.980196379970884</v>
      </c>
      <c r="X129" s="153"/>
      <c r="Y129" s="153"/>
      <c r="Z129" s="152">
        <f>Z127*L129</f>
        <v>1.7599512686817671</v>
      </c>
      <c r="AA129" s="153"/>
      <c r="AB129" s="103"/>
      <c r="AC129" s="103"/>
      <c r="AD129" s="103"/>
      <c r="AE129" s="154">
        <f>AE127*L129</f>
        <v>12.853310867646414</v>
      </c>
      <c r="AG129" s="5"/>
      <c r="AH129" s="5"/>
      <c r="AI129" s="5"/>
      <c r="AJ129" s="103"/>
      <c r="AK129" s="72"/>
      <c r="AL129" s="72"/>
      <c r="AM129" s="72"/>
      <c r="AN129" s="30"/>
      <c r="AO129" s="14"/>
    </row>
    <row r="130" spans="1:46" x14ac:dyDescent="0.2">
      <c r="A130" s="9"/>
      <c r="B130" s="129"/>
      <c r="T130" s="158"/>
      <c r="U130" s="158"/>
      <c r="V130" s="153"/>
      <c r="W130" s="152">
        <f>SUM(W128:W129)</f>
        <v>-28.150011588763586</v>
      </c>
      <c r="X130" s="153"/>
      <c r="Y130" s="153"/>
      <c r="Z130" s="152">
        <f>SUM(Z128:Z129)</f>
        <v>7.3456766371844822</v>
      </c>
      <c r="AA130" s="153"/>
      <c r="AB130" s="103"/>
      <c r="AC130" s="103"/>
      <c r="AD130" s="103"/>
      <c r="AE130" s="153">
        <f>SUM(AE128:AE129)</f>
        <v>12.942268716107753</v>
      </c>
      <c r="AF130" s="41" t="s">
        <v>416</v>
      </c>
      <c r="AG130" s="5" t="s">
        <v>16</v>
      </c>
      <c r="AH130" s="219">
        <f>INDEX('C-P-RollAdj'!$J$4:$J$76,MATCH(INT(W130),'C-P-RollAdj'!$I$4:$I$76,FALSE),0)</f>
        <v>-55</v>
      </c>
      <c r="AI130" s="219">
        <f>INDEX('C-P-RollAdj'!$J$4:$J$76,MATCH(INT(Z130),'C-P-RollAdj'!$I$4:$I$76,FALSE),0)</f>
        <v>21</v>
      </c>
      <c r="AJ130" s="174">
        <f>SUM(AJ126:AJ129)</f>
        <v>21.666666666666668</v>
      </c>
      <c r="AK130" s="14">
        <f>SUM(AK126:AK129)</f>
        <v>19.444444444444443</v>
      </c>
      <c r="AL130" s="14">
        <f>SUM(AL126:AL129)</f>
        <v>0.55555555555555558</v>
      </c>
      <c r="AM130" s="14">
        <f>SUM(AM126:AM129)</f>
        <v>97.777777777777786</v>
      </c>
      <c r="AN130" s="30"/>
      <c r="AO130" s="14"/>
    </row>
    <row r="131" spans="1:46" x14ac:dyDescent="0.2">
      <c r="A131" s="204"/>
      <c r="B131" s="196"/>
      <c r="AK131" s="72"/>
      <c r="AL131" s="72"/>
      <c r="AM131" s="72"/>
      <c r="AN131" s="30"/>
      <c r="AO131" s="14"/>
    </row>
    <row r="132" spans="1:46" x14ac:dyDescent="0.2">
      <c r="A132" s="204" t="s">
        <v>873</v>
      </c>
      <c r="B132" s="196" t="s">
        <v>168</v>
      </c>
      <c r="C132" s="202">
        <v>6</v>
      </c>
      <c r="D132" s="202">
        <v>7</v>
      </c>
      <c r="E132" s="185">
        <v>3.64</v>
      </c>
      <c r="F132" s="202">
        <v>20</v>
      </c>
      <c r="G132" s="202">
        <v>20</v>
      </c>
      <c r="H132" s="202">
        <v>1</v>
      </c>
      <c r="I132" s="202">
        <v>1</v>
      </c>
      <c r="J132" s="202">
        <v>0</v>
      </c>
      <c r="K132" s="202">
        <v>0</v>
      </c>
      <c r="L132" s="185">
        <v>128.66999999999999</v>
      </c>
      <c r="M132" s="202">
        <v>113</v>
      </c>
      <c r="N132" s="202">
        <v>53</v>
      </c>
      <c r="O132" s="202">
        <v>52</v>
      </c>
      <c r="P132" s="202">
        <v>12</v>
      </c>
      <c r="Q132" s="202">
        <v>39</v>
      </c>
      <c r="R132" s="202">
        <v>3</v>
      </c>
      <c r="S132" s="202">
        <v>137</v>
      </c>
      <c r="T132" s="202">
        <v>537</v>
      </c>
      <c r="V132" s="50">
        <f>+(Q132-R132)/(T132-R132)*100</f>
        <v>6.7415730337078648</v>
      </c>
      <c r="W132" s="6">
        <f>IF(V132&lt;LeagueRatings!$K$21,((LeagueRatings!$K$21-V132)/LeagueRatings!$K$21)*36,(LeagueRatings!$K$21-V132)*6.48)</f>
        <v>8.8921918031642395</v>
      </c>
      <c r="X132" s="16">
        <f>INDEX('C-P-RollAdj'!$B$4:$B$76,MATCH(INT(W132),'C-P-RollAdj'!$A$4:$A$76,FALSE),0)</f>
        <v>-0.65</v>
      </c>
      <c r="Y132" s="16">
        <f>(P132/(T132-R132))*100</f>
        <v>2.2471910112359552</v>
      </c>
      <c r="Z132" s="6">
        <f>IF(Y132&lt;LeagueRatings!$K$19,((LeagueRatings!$K$19-Y132)/LeagueRatings!$K$19)*36,(LeagueRatings!$K$19-Y132)/LeagueRatings!$K$22)</f>
        <v>8.1805814480777936</v>
      </c>
      <c r="AA132" s="16">
        <f>INDEX('C-P-RollAdj'!$F$4:$F$76,MATCH(INT(Z132),'C-P-RollAdj'!$E$4:$E$76,FALSE),0)</f>
        <v>-0.56999999999999995</v>
      </c>
      <c r="AB132" s="17">
        <f>+((LeagueRatings!$I$17-E132)*5)+9.5</f>
        <v>12.114387243706362</v>
      </c>
      <c r="AC132" s="17">
        <f>IF(AB132&lt;4,4,AB132)</f>
        <v>12.114387243706362</v>
      </c>
      <c r="AD132" s="17">
        <f>IF(M132&lt;L132,((1-(M132/L132))*7)-0.07,(1-(M132/L132))*5)</f>
        <v>0.78249086811222446</v>
      </c>
      <c r="AE132" s="4">
        <f>+X132+AA132+AC132+AD132</f>
        <v>11.676878111818587</v>
      </c>
      <c r="AG132" s="5" t="s">
        <v>68</v>
      </c>
      <c r="AH132" s="219">
        <f>INDEX('C-P-RollAdj'!$J$4:$J$76,MATCH(INT(W132),'C-P-RollAdj'!$I$4:$I$76,FALSE),0)</f>
        <v>22</v>
      </c>
      <c r="AI132" s="219">
        <f>INDEX('C-P-RollAdj'!$J$4:$J$76,MATCH(INT(Z132),'C-P-RollAdj'!$I$4:$I$76,FALSE),0)</f>
        <v>22</v>
      </c>
      <c r="AJ132" s="14">
        <f>+AO132*LeagueRatings!$K$27</f>
        <v>71.666666666666671</v>
      </c>
      <c r="AK132" s="72">
        <f>F132*LeagueRatings!$K$27</f>
        <v>11.111111111111111</v>
      </c>
      <c r="AL132" s="72">
        <f>G132*LeagueRatings!$K$27</f>
        <v>11.111111111111111</v>
      </c>
      <c r="AM132" s="72">
        <f>T132*LeagueRatings!$K$27</f>
        <v>298.33333333333337</v>
      </c>
      <c r="AN132"/>
      <c r="AO132" s="14">
        <f>ROUNDUP(L132,0)</f>
        <v>129</v>
      </c>
    </row>
    <row r="133" spans="1:46" s="24" customFormat="1" x14ac:dyDescent="0.2">
      <c r="A133" s="41" t="s">
        <v>421</v>
      </c>
      <c r="B133" s="202" t="s">
        <v>155</v>
      </c>
      <c r="C133" s="202">
        <v>7</v>
      </c>
      <c r="D133" s="202">
        <v>1</v>
      </c>
      <c r="E133" s="185">
        <v>3.66</v>
      </c>
      <c r="F133" s="202">
        <v>12</v>
      </c>
      <c r="G133" s="202">
        <v>12</v>
      </c>
      <c r="H133" s="202">
        <v>1</v>
      </c>
      <c r="I133" s="202">
        <v>0</v>
      </c>
      <c r="J133" s="202">
        <v>0</v>
      </c>
      <c r="K133" s="202">
        <v>0</v>
      </c>
      <c r="L133" s="185">
        <v>83.67</v>
      </c>
      <c r="M133" s="202">
        <v>77</v>
      </c>
      <c r="N133" s="202">
        <v>35</v>
      </c>
      <c r="O133" s="202">
        <v>34</v>
      </c>
      <c r="P133" s="202">
        <v>10</v>
      </c>
      <c r="Q133" s="202">
        <v>23</v>
      </c>
      <c r="R133" s="202">
        <v>0</v>
      </c>
      <c r="S133" s="202">
        <v>78</v>
      </c>
      <c r="T133" s="202">
        <v>343</v>
      </c>
      <c r="U133" s="76"/>
      <c r="V133" s="50">
        <f>+(Q133-R133)/(T133-R133)*100</f>
        <v>6.7055393586005829</v>
      </c>
      <c r="W133" s="6">
        <f>IF(V133&lt;LeagueRatings!$K$10,((LeagueRatings!$K$10-V133)/LeagueRatings!$K$10)*36,(LeagueRatings!$K$10-V133)*6.48)</f>
        <v>8.1490877931259966</v>
      </c>
      <c r="X133" s="16">
        <f>INDEX('C-P-RollAdj'!$B$4:$B$76,MATCH(INT(W133),'C-P-RollAdj'!$A$4:$A$76,FALSE),0)</f>
        <v>-0.65</v>
      </c>
      <c r="Y133" s="16">
        <f>(P133/(T133-R133))*100</f>
        <v>2.9154518950437316</v>
      </c>
      <c r="Z133" s="6">
        <f>IF(Y133&lt;LeagueRatings!$K$8,((LeagueRatings!$K$8-Y133)/LeagueRatings!$K$8)*36,(LeagueRatings!$K$8-Y133)/LeagueRatings!$K$11)</f>
        <v>3.2238816648482396</v>
      </c>
      <c r="AA133" s="16">
        <f>INDEX('C-P-RollAdj'!$F$4:$F$76,MATCH(INT(Z133),'C-P-RollAdj'!$E$4:$E$76,FALSE),0)</f>
        <v>-0.21000000000000002</v>
      </c>
      <c r="AB133" s="17">
        <f>+((LeagueRatings!$I$6-E133)*5)+9.5</f>
        <v>12.208051455277403</v>
      </c>
      <c r="AC133" s="17">
        <f>IF(AB133&lt;4,4,AB133)</f>
        <v>12.208051455277403</v>
      </c>
      <c r="AD133" s="17">
        <f>IF(M133&lt;L133,((1-(M133/L133))*7)-0.07,(1-(M133/L133))*5)</f>
        <v>0.48802557667025198</v>
      </c>
      <c r="AE133" s="4">
        <f>+X133+AA133+AC133+AD133</f>
        <v>11.836077031947655</v>
      </c>
      <c r="AG133" s="5" t="s">
        <v>59</v>
      </c>
      <c r="AH133" s="219">
        <f>INDEX('C-P-RollAdj'!$J$4:$J$76,MATCH(INT(W133),'C-P-RollAdj'!$I$4:$I$76,FALSE),0)</f>
        <v>22</v>
      </c>
      <c r="AI133" s="219">
        <f>INDEX('C-P-RollAdj'!$J$4:$J$76,MATCH(INT(Z133),'C-P-RollAdj'!$I$4:$I$76,FALSE),0)</f>
        <v>13</v>
      </c>
      <c r="AJ133" s="14">
        <f>+AO133*LeagueRatings!$K$27</f>
        <v>46.666666666666671</v>
      </c>
      <c r="AK133" s="72">
        <f>F133*LeagueRatings!$K$27</f>
        <v>6.666666666666667</v>
      </c>
      <c r="AL133" s="72">
        <f>G133*LeagueRatings!$K$27</f>
        <v>6.666666666666667</v>
      </c>
      <c r="AM133" s="72">
        <f>T133*LeagueRatings!$K$27</f>
        <v>190.55555555555557</v>
      </c>
      <c r="AO133" s="72">
        <f>ROUNDUP(L133,0)</f>
        <v>84</v>
      </c>
      <c r="AP133" s="113"/>
      <c r="AQ133" s="113"/>
      <c r="AR133" s="113"/>
      <c r="AT133" s="144">
        <v>213</v>
      </c>
    </row>
    <row r="134" spans="1:46" x14ac:dyDescent="0.2">
      <c r="A134" s="9"/>
      <c r="B134" s="129"/>
      <c r="L134" s="157">
        <f>(L132/100)/((L132+L133)/100)</f>
        <v>0.60596213619666583</v>
      </c>
      <c r="T134" s="158"/>
      <c r="U134" s="158"/>
      <c r="V134" s="153"/>
      <c r="W134" s="152">
        <f>W132*L134</f>
        <v>5.3883315405158845</v>
      </c>
      <c r="X134" s="153"/>
      <c r="Y134" s="153"/>
      <c r="Z134" s="152">
        <f>Z132*L134</f>
        <v>4.9571226096080334</v>
      </c>
      <c r="AA134" s="153"/>
      <c r="AB134" s="103"/>
      <c r="AC134" s="103"/>
      <c r="AD134" s="103"/>
      <c r="AE134" s="154">
        <f>AE132*L134</f>
        <v>7.0757460047456808</v>
      </c>
      <c r="AG134" s="5"/>
      <c r="AH134" s="5"/>
      <c r="AI134" s="5"/>
      <c r="AJ134" s="103"/>
      <c r="AK134" s="72"/>
      <c r="AL134" s="72"/>
      <c r="AM134" s="72"/>
      <c r="AN134" s="30"/>
      <c r="AO134" s="14"/>
    </row>
    <row r="135" spans="1:46" x14ac:dyDescent="0.2">
      <c r="A135" s="9"/>
      <c r="B135" s="129"/>
      <c r="L135" s="157">
        <f>(L133/100)/((L132+L133)/100)</f>
        <v>0.39403786380333433</v>
      </c>
      <c r="T135" s="158"/>
      <c r="U135" s="158"/>
      <c r="V135" s="153"/>
      <c r="W135" s="152">
        <f>W133*L135</f>
        <v>3.2110491459491959</v>
      </c>
      <c r="X135" s="153"/>
      <c r="Y135" s="153"/>
      <c r="Z135" s="152">
        <f>Z133*L135</f>
        <v>1.2703314443715374</v>
      </c>
      <c r="AA135" s="153"/>
      <c r="AB135" s="103"/>
      <c r="AC135" s="103"/>
      <c r="AD135" s="103"/>
      <c r="AE135" s="154">
        <f>AE133*L135</f>
        <v>4.6638625094803636</v>
      </c>
      <c r="AG135" s="5"/>
      <c r="AH135" s="5"/>
      <c r="AI135" s="5"/>
      <c r="AJ135" s="103"/>
      <c r="AK135" s="72"/>
      <c r="AL135" s="72"/>
      <c r="AM135" s="72"/>
      <c r="AN135" s="30"/>
      <c r="AO135" s="14"/>
    </row>
    <row r="136" spans="1:46" x14ac:dyDescent="0.2">
      <c r="A136" s="9"/>
      <c r="B136" s="129"/>
      <c r="T136" s="158"/>
      <c r="U136" s="158"/>
      <c r="V136" s="153"/>
      <c r="W136" s="152">
        <f>SUM(W134:W135)</f>
        <v>8.5993806864650804</v>
      </c>
      <c r="X136" s="153"/>
      <c r="Y136" s="153"/>
      <c r="Z136" s="152">
        <f>SUM(Z134:Z135)</f>
        <v>6.2274540539795709</v>
      </c>
      <c r="AA136" s="153"/>
      <c r="AB136" s="103"/>
      <c r="AC136" s="103"/>
      <c r="AD136" s="103"/>
      <c r="AE136" s="153">
        <f>SUM(AE134:AE135)</f>
        <v>11.739608514226045</v>
      </c>
      <c r="AF136" s="41" t="s">
        <v>421</v>
      </c>
      <c r="AG136" s="5" t="s">
        <v>68</v>
      </c>
      <c r="AH136" s="219">
        <f>INDEX('C-P-RollAdj'!$J$4:$J$76,MATCH(INT(W136),'C-P-RollAdj'!$I$4:$I$76,FALSE),0)</f>
        <v>22</v>
      </c>
      <c r="AI136" s="219">
        <f>INDEX('C-P-RollAdj'!$J$4:$J$76,MATCH(INT(Z136),'C-P-RollAdj'!$I$4:$I$76,FALSE),0)</f>
        <v>16</v>
      </c>
      <c r="AJ136" s="174">
        <f>SUM(AJ132:AJ135)</f>
        <v>118.33333333333334</v>
      </c>
      <c r="AK136" s="14">
        <f>SUM(AK132:AK135)</f>
        <v>17.777777777777779</v>
      </c>
      <c r="AL136" s="14">
        <f>SUM(AL132:AL135)</f>
        <v>17.777777777777779</v>
      </c>
      <c r="AM136" s="14">
        <f>SUM(AM132:AM135)</f>
        <v>488.88888888888891</v>
      </c>
      <c r="AN136" s="30"/>
      <c r="AO136" s="14"/>
    </row>
    <row r="137" spans="1:46" x14ac:dyDescent="0.2">
      <c r="A137" s="204"/>
      <c r="B137" s="196"/>
      <c r="AK137" s="72"/>
      <c r="AL137" s="72"/>
      <c r="AM137" s="72"/>
      <c r="AN137" s="30"/>
      <c r="AO137" s="14"/>
    </row>
    <row r="138" spans="1:46" x14ac:dyDescent="0.2">
      <c r="A138" s="204" t="s">
        <v>1242</v>
      </c>
      <c r="B138" s="196" t="s">
        <v>154</v>
      </c>
      <c r="C138" s="202">
        <v>4</v>
      </c>
      <c r="D138" s="202">
        <v>6</v>
      </c>
      <c r="E138" s="185">
        <v>4.6399999999999997</v>
      </c>
      <c r="F138" s="202">
        <v>21</v>
      </c>
      <c r="G138" s="202">
        <v>20</v>
      </c>
      <c r="H138" s="202">
        <v>0</v>
      </c>
      <c r="I138" s="202">
        <v>0</v>
      </c>
      <c r="J138" s="202">
        <v>0</v>
      </c>
      <c r="K138" s="202">
        <v>0</v>
      </c>
      <c r="L138" s="185">
        <v>108.67</v>
      </c>
      <c r="M138" s="202">
        <v>121</v>
      </c>
      <c r="N138" s="202">
        <v>58</v>
      </c>
      <c r="O138" s="202">
        <v>56</v>
      </c>
      <c r="P138" s="202">
        <v>13</v>
      </c>
      <c r="Q138" s="202">
        <v>32</v>
      </c>
      <c r="R138" s="202">
        <v>3</v>
      </c>
      <c r="S138" s="202">
        <v>82</v>
      </c>
      <c r="T138" s="202">
        <v>468</v>
      </c>
      <c r="V138" s="50">
        <f>+(Q138-R138)/(T138-R138)*100</f>
        <v>6.236559139784946</v>
      </c>
      <c r="W138" s="6">
        <f>IF(V138&lt;LeagueRatings!$K$10,((LeagueRatings!$K$10-V138)/LeagueRatings!$K$10)*36,(LeagueRatings!$K$10-V138)*6.48)</f>
        <v>10.096958978796101</v>
      </c>
      <c r="X138" s="16">
        <f>INDEX('C-P-RollAdj'!$B$4:$B$76,MATCH(INT(W138),'C-P-RollAdj'!$A$4:$A$76,FALSE),0)</f>
        <v>-0.83000000000000007</v>
      </c>
      <c r="Y138" s="16">
        <f>(P138/(T138-R138))*100</f>
        <v>2.795698924731183</v>
      </c>
      <c r="Z138" s="6">
        <f>IF(Y138&lt;LeagueRatings!$K$8,((LeagueRatings!$K$8-Y138)/LeagueRatings!$K$8)*36,(LeagueRatings!$K$8-Y138)/LeagueRatings!$K$11)</f>
        <v>4.5701695362490922</v>
      </c>
      <c r="AA138" s="16">
        <f>INDEX('C-P-RollAdj'!$F$4:$F$76,MATCH(INT(Z138),'C-P-RollAdj'!$E$4:$E$76,FALSE),0)</f>
        <v>-0.28000000000000003</v>
      </c>
      <c r="AB138" s="17">
        <f>+((LeagueRatings!$I$6-E138)*5)+9.5</f>
        <v>7.308051455277405</v>
      </c>
      <c r="AC138" s="17">
        <f>IF(AB138&lt;4,4,AB138)</f>
        <v>7.308051455277405</v>
      </c>
      <c r="AD138" s="17">
        <f>IF(M138&lt;L138,((1-(M138/L138))*7)-0.07,(1-(M138/L138))*5)</f>
        <v>-0.5673138860771143</v>
      </c>
      <c r="AE138" s="4">
        <f>+X138+AA138+AC138+AD138</f>
        <v>5.6307375692002903</v>
      </c>
      <c r="AF138" s="24"/>
      <c r="AG138" s="5" t="s">
        <v>24</v>
      </c>
      <c r="AH138" s="219">
        <f>INDEX('C-P-RollAdj'!$J$4:$J$76,MATCH(INT(W138),'C-P-RollAdj'!$I$4:$I$76,FALSE),0)</f>
        <v>24</v>
      </c>
      <c r="AI138" s="219">
        <f>INDEX('C-P-RollAdj'!$J$4:$J$76,MATCH(INT(Z138),'C-P-RollAdj'!$I$4:$I$76,FALSE),0)</f>
        <v>14</v>
      </c>
      <c r="AJ138" s="14">
        <f>+AO138*LeagueRatings!$K$27</f>
        <v>60.555555555555557</v>
      </c>
      <c r="AK138" s="72">
        <f>F138*LeagueRatings!$K$27</f>
        <v>11.666666666666668</v>
      </c>
      <c r="AL138" s="72">
        <f>G138*LeagueRatings!$K$27</f>
        <v>11.111111111111111</v>
      </c>
      <c r="AM138" s="72">
        <f>T138*LeagueRatings!$K$27</f>
        <v>260</v>
      </c>
      <c r="AN138" s="24"/>
      <c r="AO138" s="72">
        <f>ROUNDUP(L138,0)</f>
        <v>109</v>
      </c>
    </row>
    <row r="139" spans="1:46" s="24" customFormat="1" x14ac:dyDescent="0.2">
      <c r="A139" s="41" t="s">
        <v>621</v>
      </c>
      <c r="B139" s="202" t="s">
        <v>169</v>
      </c>
      <c r="C139" s="202">
        <v>7</v>
      </c>
      <c r="D139" s="202">
        <v>2</v>
      </c>
      <c r="E139" s="185">
        <v>1.85</v>
      </c>
      <c r="F139" s="202">
        <v>11</v>
      </c>
      <c r="G139" s="202">
        <v>11</v>
      </c>
      <c r="H139" s="202">
        <v>0</v>
      </c>
      <c r="I139" s="202">
        <v>0</v>
      </c>
      <c r="J139" s="202">
        <v>0</v>
      </c>
      <c r="K139" s="202">
        <v>0</v>
      </c>
      <c r="L139" s="185">
        <v>63.33</v>
      </c>
      <c r="M139" s="202">
        <v>52</v>
      </c>
      <c r="N139" s="202">
        <v>13</v>
      </c>
      <c r="O139" s="202">
        <v>13</v>
      </c>
      <c r="P139" s="202">
        <v>3</v>
      </c>
      <c r="Q139" s="202">
        <v>13</v>
      </c>
      <c r="R139" s="202">
        <v>1</v>
      </c>
      <c r="S139" s="202">
        <v>69</v>
      </c>
      <c r="T139" s="202">
        <v>249</v>
      </c>
      <c r="U139" s="76"/>
      <c r="V139" s="50">
        <f>+(Q139-R139)/(T139-R139)*100</f>
        <v>4.838709677419355</v>
      </c>
      <c r="W139" s="6">
        <f>IF(V139&lt;LeagueRatings!$K$21,((LeagueRatings!$K$21-V139)/LeagueRatings!$K$21)*36,(LeagueRatings!$K$21-V139)*6.48)</f>
        <v>16.543589278077558</v>
      </c>
      <c r="X139" s="16">
        <f>INDEX('C-P-RollAdj'!$B$4:$B$76,MATCH(INT(W139),'C-P-RollAdj'!$A$4:$A$76,FALSE),0)</f>
        <v>-1.39</v>
      </c>
      <c r="Y139" s="16">
        <f>(P139/(T139-R139))*100</f>
        <v>1.2096774193548387</v>
      </c>
      <c r="Z139" s="6">
        <f>IF(Y139&lt;LeagueRatings!$K$19,((LeagueRatings!$K$19-Y139)/LeagueRatings!$K$19)*36,(LeagueRatings!$K$19-Y139)/LeagueRatings!$K$22)</f>
        <v>21.024627513380587</v>
      </c>
      <c r="AA139" s="16">
        <f>INDEX('C-P-RollAdj'!$F$4:$F$76,MATCH(INT(Z139),'C-P-RollAdj'!$E$4:$E$76,FALSE),0)</f>
        <v>-1.6800000000000002</v>
      </c>
      <c r="AB139" s="17">
        <f>+((LeagueRatings!$I$17-E139)*5)+9.5</f>
        <v>21.064387243706364</v>
      </c>
      <c r="AC139" s="17">
        <f>IF(AB139&lt;4,4,AB139)</f>
        <v>21.064387243706364</v>
      </c>
      <c r="AD139" s="17">
        <f>IF(M139&lt;L139,((1-(M139/L139))*7)-0.07,(1-(M139/L139))*5)</f>
        <v>1.1823290699510494</v>
      </c>
      <c r="AE139" s="4">
        <f>+X139+AA139+AC139+AD139</f>
        <v>19.176716313657412</v>
      </c>
      <c r="AG139" s="58">
        <v>18</v>
      </c>
      <c r="AH139" s="219">
        <f>INDEX('C-P-RollAdj'!$J$4:$J$76,MATCH(INT(W139),'C-P-RollAdj'!$I$4:$I$76,FALSE),0)</f>
        <v>34</v>
      </c>
      <c r="AI139" s="219">
        <f>INDEX('C-P-RollAdj'!$J$4:$J$76,MATCH(INT(Z139),'C-P-RollAdj'!$I$4:$I$76,FALSE),0)</f>
        <v>43</v>
      </c>
      <c r="AJ139" s="14">
        <f>+AO139*LeagueRatings!$K$27</f>
        <v>35.555555555555557</v>
      </c>
      <c r="AK139" s="72">
        <f>F139*LeagueRatings!$K$27</f>
        <v>6.1111111111111116</v>
      </c>
      <c r="AL139" s="72">
        <f>G139*LeagueRatings!$K$27</f>
        <v>6.1111111111111116</v>
      </c>
      <c r="AM139" s="72">
        <f>T139*LeagueRatings!$K$27</f>
        <v>138.33333333333334</v>
      </c>
      <c r="AO139" s="14">
        <f>ROUNDUP(L139,0)</f>
        <v>64</v>
      </c>
    </row>
    <row r="140" spans="1:46" x14ac:dyDescent="0.2">
      <c r="A140" s="9"/>
      <c r="B140" s="129"/>
      <c r="L140" s="157">
        <f>(L138/100)/((L138+L139)/100)</f>
        <v>0.63180232558139537</v>
      </c>
      <c r="T140" s="158"/>
      <c r="U140" s="158"/>
      <c r="V140" s="153"/>
      <c r="W140" s="152">
        <f>W138*L140</f>
        <v>6.3792821641033273</v>
      </c>
      <c r="X140" s="153"/>
      <c r="Y140" s="153"/>
      <c r="Z140" s="152">
        <f>Z138*L140</f>
        <v>2.8874437413034237</v>
      </c>
      <c r="AA140" s="153"/>
      <c r="AB140" s="103"/>
      <c r="AC140" s="103"/>
      <c r="AD140" s="103"/>
      <c r="AE140" s="154">
        <f>AE138*L140</f>
        <v>3.5575130909592767</v>
      </c>
      <c r="AG140" s="5"/>
      <c r="AH140" s="5"/>
      <c r="AI140" s="5"/>
      <c r="AJ140" s="103"/>
      <c r="AK140" s="72"/>
      <c r="AL140" s="72"/>
      <c r="AM140" s="72"/>
      <c r="AN140" s="30"/>
      <c r="AO140" s="14"/>
    </row>
    <row r="141" spans="1:46" x14ac:dyDescent="0.2">
      <c r="A141" s="9"/>
      <c r="B141" s="129"/>
      <c r="L141" s="157">
        <f>(L139/100)/((L138+L139)/100)</f>
        <v>0.36819767441860463</v>
      </c>
      <c r="T141" s="158"/>
      <c r="U141" s="158"/>
      <c r="V141" s="153"/>
      <c r="W141" s="152">
        <f>W139*L141</f>
        <v>6.0913110987247192</v>
      </c>
      <c r="X141" s="153"/>
      <c r="Y141" s="153"/>
      <c r="Z141" s="152">
        <f>Z139*L141</f>
        <v>7.7412189559441424</v>
      </c>
      <c r="AA141" s="153"/>
      <c r="AB141" s="103"/>
      <c r="AC141" s="103"/>
      <c r="AD141" s="103"/>
      <c r="AE141" s="154">
        <f>AE139*L141</f>
        <v>7.0608223496739759</v>
      </c>
      <c r="AG141" s="5"/>
      <c r="AH141" s="5"/>
      <c r="AI141" s="5"/>
      <c r="AJ141" s="103"/>
      <c r="AK141" s="72"/>
      <c r="AL141" s="72"/>
      <c r="AM141" s="72"/>
      <c r="AN141" s="30"/>
      <c r="AO141" s="14"/>
    </row>
    <row r="142" spans="1:46" x14ac:dyDescent="0.2">
      <c r="A142" s="9"/>
      <c r="B142" s="129"/>
      <c r="T142" s="158"/>
      <c r="U142" s="158"/>
      <c r="V142" s="153"/>
      <c r="W142" s="152">
        <f>SUM(W140:W141)</f>
        <v>12.470593262828046</v>
      </c>
      <c r="X142" s="153"/>
      <c r="Y142" s="153"/>
      <c r="Z142" s="152">
        <f>SUM(Z140:Z141)</f>
        <v>10.628662697247567</v>
      </c>
      <c r="AA142" s="153"/>
      <c r="AB142" s="103"/>
      <c r="AC142" s="103"/>
      <c r="AD142" s="103"/>
      <c r="AE142" s="153">
        <f>SUM(AE140:AE141)</f>
        <v>10.618335440633253</v>
      </c>
      <c r="AF142" s="41" t="s">
        <v>621</v>
      </c>
      <c r="AG142" s="5" t="s">
        <v>39</v>
      </c>
      <c r="AH142" s="219">
        <f>INDEX('C-P-RollAdj'!$J$4:$J$76,MATCH(INT(W142),'C-P-RollAdj'!$I$4:$I$76,FALSE),0)</f>
        <v>26</v>
      </c>
      <c r="AI142" s="219">
        <f>INDEX('C-P-RollAdj'!$J$4:$J$76,MATCH(INT(Z142),'C-P-RollAdj'!$I$4:$I$76,FALSE),0)</f>
        <v>24</v>
      </c>
      <c r="AJ142" s="174">
        <f>SUM(AJ138:AJ141)</f>
        <v>96.111111111111114</v>
      </c>
      <c r="AK142" s="14">
        <f>SUM(AK138:AK141)</f>
        <v>17.777777777777779</v>
      </c>
      <c r="AL142" s="14">
        <f>SUM(AL138:AL141)</f>
        <v>17.222222222222221</v>
      </c>
      <c r="AM142" s="14">
        <f>SUM(AM138:AM141)</f>
        <v>398.33333333333337</v>
      </c>
      <c r="AN142" s="30"/>
      <c r="AO142" s="14"/>
    </row>
    <row r="143" spans="1:46" x14ac:dyDescent="0.2">
      <c r="A143" s="204"/>
      <c r="B143" s="196"/>
      <c r="AK143" s="72"/>
      <c r="AL143" s="72"/>
      <c r="AM143" s="72"/>
      <c r="AN143" s="30"/>
      <c r="AO143" s="14"/>
    </row>
    <row r="144" spans="1:46" x14ac:dyDescent="0.2">
      <c r="A144" s="204" t="s">
        <v>881</v>
      </c>
      <c r="B144" s="196" t="s">
        <v>244</v>
      </c>
      <c r="C144" s="202">
        <v>7</v>
      </c>
      <c r="D144" s="202">
        <v>7</v>
      </c>
      <c r="E144" s="185">
        <v>3.42</v>
      </c>
      <c r="F144" s="202">
        <v>21</v>
      </c>
      <c r="G144" s="202">
        <v>21</v>
      </c>
      <c r="H144" s="202">
        <v>0</v>
      </c>
      <c r="I144" s="202">
        <v>0</v>
      </c>
      <c r="J144" s="202">
        <v>0</v>
      </c>
      <c r="K144" s="202">
        <v>0</v>
      </c>
      <c r="L144" s="185">
        <v>129</v>
      </c>
      <c r="M144" s="202">
        <v>116</v>
      </c>
      <c r="N144" s="202">
        <v>50</v>
      </c>
      <c r="O144" s="202">
        <v>49</v>
      </c>
      <c r="P144" s="202">
        <v>21</v>
      </c>
      <c r="Q144" s="202">
        <v>25</v>
      </c>
      <c r="R144" s="202">
        <v>1</v>
      </c>
      <c r="S144" s="202">
        <v>88</v>
      </c>
      <c r="T144" s="202">
        <v>524</v>
      </c>
      <c r="V144" s="50">
        <f>+(Q144-R144)/(T144-R144)*100</f>
        <v>4.5889101338432123</v>
      </c>
      <c r="W144" s="6">
        <f>IF(V144&lt;LeagueRatings!$K$21,((LeagueRatings!$K$21-V144)/LeagueRatings!$K$21)*36,(LeagueRatings!$K$21-V144)*6.48)</f>
        <v>17.548031131790573</v>
      </c>
      <c r="X144" s="16">
        <f>INDEX('C-P-RollAdj'!$B$4:$B$76,MATCH(INT(W144),'C-P-RollAdj'!$A$4:$A$76,FALSE),0)</f>
        <v>-1.49</v>
      </c>
      <c r="Y144" s="16">
        <f>(P144/(T144-R144))*100</f>
        <v>4.0152963671128106</v>
      </c>
      <c r="Z144" s="6">
        <f>IF(Y144&lt;LeagueRatings!$K$19,((LeagueRatings!$K$19-Y144)/LeagueRatings!$K$19)*36,(LeagueRatings!$K$19-Y144)/LeagueRatings!$K$22)</f>
        <v>-8.9469309331716627</v>
      </c>
      <c r="AA144" s="16">
        <f>INDEX('C-P-RollAdj'!$F$4:$F$76,MATCH(INT(Z144),'C-P-RollAdj'!$E$4:$E$76,FALSE),0)</f>
        <v>0.81</v>
      </c>
      <c r="AB144" s="17">
        <f>+((LeagueRatings!$I$17-E144)*5)+9.5</f>
        <v>13.214387243706362</v>
      </c>
      <c r="AC144" s="17">
        <f>IF(AB144&lt;4,4,AB144)</f>
        <v>13.214387243706362</v>
      </c>
      <c r="AD144" s="17">
        <f>IF(M144&lt;L144,((1-(M144/L144))*7)-0.07,(1-(M144/L144))*5)</f>
        <v>0.63542635658914692</v>
      </c>
      <c r="AE144" s="4">
        <f>+X144+AA144+AC144+AD144</f>
        <v>13.169813600295509</v>
      </c>
      <c r="AG144" s="7" t="s">
        <v>16</v>
      </c>
      <c r="AH144" s="219">
        <f>INDEX('C-P-RollAdj'!$J$4:$J$76,MATCH(INT(W144),'C-P-RollAdj'!$I$4:$I$76,FALSE),0)</f>
        <v>35</v>
      </c>
      <c r="AI144" s="219">
        <f>INDEX('C-P-RollAdj'!$J$4:$J$76,MATCH(INT(Z144),'C-P-RollAdj'!$I$4:$I$76,FALSE),0)</f>
        <v>-23</v>
      </c>
      <c r="AJ144" s="14">
        <f>+AO144*LeagueRatings!$K$27</f>
        <v>71.666666666666671</v>
      </c>
      <c r="AK144" s="72">
        <f>F144*LeagueRatings!$K$27</f>
        <v>11.666666666666668</v>
      </c>
      <c r="AL144" s="72">
        <f>G144*LeagueRatings!$K$27</f>
        <v>11.666666666666668</v>
      </c>
      <c r="AM144" s="72">
        <f>T144*LeagueRatings!$K$27</f>
        <v>291.11111111111114</v>
      </c>
      <c r="AN144" s="24"/>
      <c r="AO144" s="14">
        <f>ROUNDUP(L144,0)</f>
        <v>129</v>
      </c>
    </row>
    <row r="145" spans="1:46" s="24" customFormat="1" x14ac:dyDescent="0.2">
      <c r="A145" s="41" t="s">
        <v>482</v>
      </c>
      <c r="B145" s="202" t="s">
        <v>161</v>
      </c>
      <c r="C145" s="202">
        <v>4</v>
      </c>
      <c r="D145" s="202">
        <v>2</v>
      </c>
      <c r="E145" s="185">
        <v>4.01</v>
      </c>
      <c r="F145" s="202">
        <v>11</v>
      </c>
      <c r="G145" s="202">
        <v>11</v>
      </c>
      <c r="H145" s="202">
        <v>0</v>
      </c>
      <c r="I145" s="202">
        <v>0</v>
      </c>
      <c r="J145" s="202">
        <v>0</v>
      </c>
      <c r="K145" s="202">
        <v>0</v>
      </c>
      <c r="L145" s="185">
        <v>58.33</v>
      </c>
      <c r="M145" s="202">
        <v>58</v>
      </c>
      <c r="N145" s="202">
        <v>29</v>
      </c>
      <c r="O145" s="202">
        <v>26</v>
      </c>
      <c r="P145" s="202">
        <v>10</v>
      </c>
      <c r="Q145" s="202">
        <v>13</v>
      </c>
      <c r="R145" s="202">
        <v>1</v>
      </c>
      <c r="S145" s="202">
        <v>44</v>
      </c>
      <c r="T145" s="202">
        <v>244</v>
      </c>
      <c r="U145" s="76"/>
      <c r="V145" s="50">
        <f>+(Q145-R145)/(T145-R145)*100</f>
        <v>4.9382716049382713</v>
      </c>
      <c r="W145" s="6">
        <f>IF(V145&lt;LeagueRatings!$K$21,((LeagueRatings!$K$21-V145)/LeagueRatings!$K$21)*36,(LeagueRatings!$K$21-V145)*6.48)</f>
        <v>16.143251608902201</v>
      </c>
      <c r="X145" s="16">
        <f>INDEX('C-P-RollAdj'!$B$4:$B$76,MATCH(INT(W145),'C-P-RollAdj'!$A$4:$A$76,FALSE),0)</f>
        <v>-1.39</v>
      </c>
      <c r="Y145" s="16">
        <f>(P145/(T145-R145))*100</f>
        <v>4.1152263374485596</v>
      </c>
      <c r="Z145" s="6">
        <f>IF(Y145&lt;LeagueRatings!$K$19,((LeagueRatings!$K$19-Y145)/LeagueRatings!$K$19)*36,(LeagueRatings!$K$19-Y145)/LeagueRatings!$K$22)</f>
        <v>-9.7543631436314353</v>
      </c>
      <c r="AA145" s="16">
        <f>INDEX('C-P-RollAdj'!$F$4:$F$76,MATCH(INT(Z145),'C-P-RollAdj'!$E$4:$E$76,FALSE),0)</f>
        <v>0.92</v>
      </c>
      <c r="AB145" s="17">
        <f>+((LeagueRatings!$I$17-E145)*5)+9.5</f>
        <v>10.264387243706363</v>
      </c>
      <c r="AC145" s="17">
        <f>IF(AB145&lt;4,4,AB145)</f>
        <v>10.264387243706363</v>
      </c>
      <c r="AD145" s="17">
        <f>IF(M145&lt;L145,((1-(M145/L145))*7)-0.07,(1-(M145/L145))*5)</f>
        <v>-3.0397737013543702E-2</v>
      </c>
      <c r="AE145" s="4">
        <f>+X145+AA145+AC145+AD145</f>
        <v>9.763989506692818</v>
      </c>
      <c r="AG145" s="7" t="s">
        <v>34</v>
      </c>
      <c r="AH145" s="219">
        <f>INDEX('C-P-RollAdj'!$J$4:$J$76,MATCH(INT(W145),'C-P-RollAdj'!$I$4:$I$76,FALSE),0)</f>
        <v>34</v>
      </c>
      <c r="AI145" s="219">
        <f>INDEX('C-P-RollAdj'!$J$4:$J$76,MATCH(INT(Z145),'C-P-RollAdj'!$I$4:$I$76,FALSE),0)</f>
        <v>-24</v>
      </c>
      <c r="AJ145" s="14">
        <f>+AO145*LeagueRatings!$K$27</f>
        <v>32.777777777777779</v>
      </c>
      <c r="AK145" s="72">
        <f>F145*LeagueRatings!$K$27</f>
        <v>6.1111111111111116</v>
      </c>
      <c r="AL145" s="72">
        <f>G145*LeagueRatings!$K$27</f>
        <v>6.1111111111111116</v>
      </c>
      <c r="AM145" s="72">
        <f>T145*LeagueRatings!$K$27</f>
        <v>135.55555555555557</v>
      </c>
      <c r="AO145" s="14">
        <f>ROUNDUP(L145,0)</f>
        <v>59</v>
      </c>
    </row>
    <row r="146" spans="1:46" x14ac:dyDescent="0.2">
      <c r="A146" s="9"/>
      <c r="B146" s="129"/>
      <c r="L146" s="157">
        <f>(L144/100)/((L144+L145)/100)</f>
        <v>0.68862435274649025</v>
      </c>
      <c r="T146" s="158"/>
      <c r="U146" s="158"/>
      <c r="V146" s="153"/>
      <c r="W146" s="152">
        <f>W144*L146</f>
        <v>12.084001580104545</v>
      </c>
      <c r="X146" s="153"/>
      <c r="Y146" s="153"/>
      <c r="Z146" s="152">
        <f>Z144*L146</f>
        <v>-6.1610745229228883</v>
      </c>
      <c r="AA146" s="153"/>
      <c r="AB146" s="103"/>
      <c r="AC146" s="103"/>
      <c r="AD146" s="103"/>
      <c r="AE146" s="154">
        <f>AE144*L146</f>
        <v>9.0690543662954202</v>
      </c>
      <c r="AG146" s="5"/>
      <c r="AH146" s="5"/>
      <c r="AI146" s="5"/>
      <c r="AJ146" s="103"/>
      <c r="AK146" s="72"/>
      <c r="AL146" s="72"/>
      <c r="AM146" s="72"/>
      <c r="AN146" s="30"/>
      <c r="AO146" s="14"/>
    </row>
    <row r="147" spans="1:46" x14ac:dyDescent="0.2">
      <c r="A147" s="9"/>
      <c r="B147" s="129"/>
      <c r="L147" s="157">
        <f>(L145/100)/((L144+L145)/100)</f>
        <v>0.31137564725350986</v>
      </c>
      <c r="T147" s="158"/>
      <c r="U147" s="158"/>
      <c r="V147" s="153"/>
      <c r="W147" s="152">
        <f>W145*L147</f>
        <v>5.0266154184981868</v>
      </c>
      <c r="X147" s="153"/>
      <c r="Y147" s="153"/>
      <c r="Z147" s="152">
        <f>Z145*L147</f>
        <v>-3.0372711373940193</v>
      </c>
      <c r="AA147" s="153"/>
      <c r="AB147" s="103"/>
      <c r="AC147" s="103"/>
      <c r="AD147" s="103"/>
      <c r="AE147" s="154">
        <f>AE145*L147</f>
        <v>3.0402685524229547</v>
      </c>
      <c r="AG147" s="5"/>
      <c r="AH147" s="5"/>
      <c r="AI147" s="5"/>
      <c r="AJ147" s="103"/>
      <c r="AK147" s="72"/>
      <c r="AL147" s="72"/>
      <c r="AM147" s="72"/>
      <c r="AN147" s="30"/>
      <c r="AO147" s="14"/>
    </row>
    <row r="148" spans="1:46" x14ac:dyDescent="0.2">
      <c r="A148" s="9"/>
      <c r="B148" s="129"/>
      <c r="T148" s="158"/>
      <c r="U148" s="158"/>
      <c r="V148" s="153"/>
      <c r="W148" s="152">
        <f>SUM(W146:W147)</f>
        <v>17.11061699860273</v>
      </c>
      <c r="X148" s="153"/>
      <c r="Y148" s="153"/>
      <c r="Z148" s="152">
        <f>SUM(Z146:Z147)</f>
        <v>-9.1983456603169067</v>
      </c>
      <c r="AA148" s="153"/>
      <c r="AB148" s="103"/>
      <c r="AC148" s="103"/>
      <c r="AD148" s="103"/>
      <c r="AE148" s="153">
        <f>SUM(AE146:AE147)</f>
        <v>12.109322918718375</v>
      </c>
      <c r="AF148" s="41" t="s">
        <v>482</v>
      </c>
      <c r="AG148" s="5" t="s">
        <v>59</v>
      </c>
      <c r="AH148" s="219">
        <f>INDEX('C-P-RollAdj'!$J$4:$J$76,MATCH(INT(W148),'C-P-RollAdj'!$I$4:$I$76,FALSE),0)</f>
        <v>35</v>
      </c>
      <c r="AI148" s="219">
        <f>INDEX('C-P-RollAdj'!$J$4:$J$76,MATCH(INT(Z148),'C-P-RollAdj'!$I$4:$I$76,FALSE),0)</f>
        <v>-24</v>
      </c>
      <c r="AJ148" s="174">
        <f>SUM(AJ144:AJ147)</f>
        <v>104.44444444444446</v>
      </c>
      <c r="AK148" s="14">
        <f>SUM(AK144:AK147)</f>
        <v>17.777777777777779</v>
      </c>
      <c r="AL148" s="14">
        <f>SUM(AL144:AL147)</f>
        <v>17.777777777777779</v>
      </c>
      <c r="AM148" s="14">
        <f>SUM(AM144:AM147)</f>
        <v>426.66666666666674</v>
      </c>
      <c r="AN148" s="30"/>
      <c r="AO148" s="14"/>
    </row>
    <row r="149" spans="1:46" x14ac:dyDescent="0.2">
      <c r="A149" s="204"/>
      <c r="B149" s="196"/>
      <c r="AK149" s="72"/>
      <c r="AL149" s="72"/>
      <c r="AM149" s="72"/>
      <c r="AN149" s="30"/>
      <c r="AO149" s="14"/>
    </row>
    <row r="150" spans="1:46" x14ac:dyDescent="0.2">
      <c r="A150" s="204" t="s">
        <v>878</v>
      </c>
      <c r="B150" s="196" t="s">
        <v>163</v>
      </c>
      <c r="C150" s="202">
        <v>2</v>
      </c>
      <c r="D150" s="202">
        <v>1</v>
      </c>
      <c r="E150" s="185">
        <v>3.63</v>
      </c>
      <c r="F150" s="202">
        <v>24</v>
      </c>
      <c r="G150" s="202">
        <v>0</v>
      </c>
      <c r="H150" s="202">
        <v>0</v>
      </c>
      <c r="I150" s="202">
        <v>0</v>
      </c>
      <c r="J150" s="202">
        <v>2</v>
      </c>
      <c r="K150" s="202">
        <v>4</v>
      </c>
      <c r="L150" s="185">
        <v>22.33</v>
      </c>
      <c r="M150" s="202">
        <v>22</v>
      </c>
      <c r="N150" s="202">
        <v>9</v>
      </c>
      <c r="O150" s="202">
        <v>9</v>
      </c>
      <c r="P150" s="202">
        <v>3</v>
      </c>
      <c r="Q150" s="202">
        <v>4</v>
      </c>
      <c r="R150" s="202">
        <v>1</v>
      </c>
      <c r="S150" s="202">
        <v>20</v>
      </c>
      <c r="T150" s="202">
        <v>89</v>
      </c>
      <c r="V150" s="50">
        <f>+(Q150-R150)/(T150-R150)*100</f>
        <v>3.4090909090909087</v>
      </c>
      <c r="W150" s="6">
        <f>IF(V150&lt;LeagueRatings!$K$21,((LeagueRatings!$K$21-V150)/LeagueRatings!$K$21)*36,(LeagueRatings!$K$21-V150)*6.48)</f>
        <v>22.292074264100101</v>
      </c>
      <c r="X150" s="16">
        <f>INDEX('C-P-RollAdj'!$B$4:$B$76,MATCH(INT(W150),'C-P-RollAdj'!$A$4:$A$76,FALSE),0)</f>
        <v>-2</v>
      </c>
      <c r="Y150" s="16">
        <f>(P150/(T150-R150))*100</f>
        <v>3.4090909090909087</v>
      </c>
      <c r="Z150" s="6">
        <f>IF(Y150&lt;LeagueRatings!$K$19,((LeagueRatings!$K$19-Y150)/LeagueRatings!$K$19)*36,(LeagueRatings!$K$19-Y150)/LeagueRatings!$K$22)</f>
        <v>-4.0488026607538767</v>
      </c>
      <c r="AA150" s="16">
        <f>INDEX('C-P-RollAdj'!$F$4:$F$76,MATCH(INT(Z150),'C-P-RollAdj'!$E$4:$E$76,FALSE),0)</f>
        <v>0.42</v>
      </c>
      <c r="AB150" s="17">
        <f>+((LeagueRatings!$I$17-E150)*5)+9.5</f>
        <v>12.164387243706363</v>
      </c>
      <c r="AC150" s="17">
        <f>IF(AB150&lt;4,4,AB150)</f>
        <v>12.164387243706363</v>
      </c>
      <c r="AD150" s="17">
        <f>IF(M150&lt;L150,((1-(M150/L150))*7)-0.07,(1-(M150/L150))*5)</f>
        <v>3.3448275862068055E-2</v>
      </c>
      <c r="AE150" s="4">
        <f>+X150+AA150+AC150+AD150</f>
        <v>10.61783551956843</v>
      </c>
      <c r="AF150" s="24"/>
      <c r="AG150" s="7" t="s">
        <v>39</v>
      </c>
      <c r="AH150" s="219">
        <f>INDEX('C-P-RollAdj'!$J$4:$J$76,MATCH(INT(W150),'C-P-RollAdj'!$I$4:$I$76,FALSE),0)</f>
        <v>44</v>
      </c>
      <c r="AI150" s="219">
        <f>INDEX('C-P-RollAdj'!$J$4:$J$76,MATCH(INT(Z150),'C-P-RollAdj'!$I$4:$I$76,FALSE),0)</f>
        <v>-15</v>
      </c>
      <c r="AJ150" s="14">
        <f>+AO150*LeagueRatings!$K$27</f>
        <v>12.777777777777779</v>
      </c>
      <c r="AK150" s="72">
        <f>F150*LeagueRatings!$K$27</f>
        <v>13.333333333333334</v>
      </c>
      <c r="AL150" s="72">
        <f>G150*LeagueRatings!$K$27</f>
        <v>0</v>
      </c>
      <c r="AM150" s="72">
        <f>T150*LeagueRatings!$K$27</f>
        <v>49.44444444444445</v>
      </c>
      <c r="AN150" s="24"/>
      <c r="AO150" s="14">
        <f>ROUNDUP(L150,0)</f>
        <v>23</v>
      </c>
    </row>
    <row r="151" spans="1:46" s="24" customFormat="1" x14ac:dyDescent="0.2">
      <c r="A151" s="41" t="s">
        <v>412</v>
      </c>
      <c r="B151" s="202" t="s">
        <v>156</v>
      </c>
      <c r="C151" s="202">
        <v>1</v>
      </c>
      <c r="D151" s="202">
        <v>0</v>
      </c>
      <c r="E151" s="185">
        <v>2.76</v>
      </c>
      <c r="F151" s="202">
        <v>18</v>
      </c>
      <c r="G151" s="202">
        <v>0</v>
      </c>
      <c r="H151" s="202">
        <v>0</v>
      </c>
      <c r="I151" s="202">
        <v>0</v>
      </c>
      <c r="J151" s="202">
        <v>1</v>
      </c>
      <c r="K151" s="202">
        <v>1</v>
      </c>
      <c r="L151" s="185">
        <v>16.329999999999998</v>
      </c>
      <c r="M151" s="202">
        <v>22</v>
      </c>
      <c r="N151" s="202">
        <v>7</v>
      </c>
      <c r="O151" s="202">
        <v>5</v>
      </c>
      <c r="P151" s="202">
        <v>1</v>
      </c>
      <c r="Q151" s="202">
        <v>3</v>
      </c>
      <c r="R151" s="202">
        <v>0</v>
      </c>
      <c r="S151" s="202">
        <v>14</v>
      </c>
      <c r="T151" s="202">
        <v>73</v>
      </c>
      <c r="U151" s="76"/>
      <c r="V151" s="50">
        <f>+(Q151-R151)/(T151-R151)*100</f>
        <v>4.10958904109589</v>
      </c>
      <c r="W151" s="6">
        <f>IF(V151&lt;LeagueRatings!$K$10,((LeagueRatings!$K$10-V151)/LeagueRatings!$K$10)*36,(LeagueRatings!$K$10-V151)*6.48)</f>
        <v>18.931156247246371</v>
      </c>
      <c r="X151" s="16">
        <f>INDEX('C-P-RollAdj'!$B$4:$B$76,MATCH(INT(W151),'C-P-RollAdj'!$A$4:$A$76,FALSE),0)</f>
        <v>-1.5899999999999999</v>
      </c>
      <c r="Y151" s="16">
        <f>(P151/(T151-R151))*100</f>
        <v>1.3698630136986301</v>
      </c>
      <c r="Z151" s="6">
        <f>IF(Y151&lt;LeagueRatings!$K$8,((LeagueRatings!$K$8-Y151)/LeagueRatings!$K$8)*36,(LeagueRatings!$K$8-Y151)/LeagueRatings!$K$11)</f>
        <v>20.599714261702669</v>
      </c>
      <c r="AA151" s="16">
        <f>INDEX('C-P-RollAdj'!$F$4:$F$76,MATCH(INT(Z151),'C-P-RollAdj'!$E$4:$E$76,FALSE),0)</f>
        <v>-1.59</v>
      </c>
      <c r="AB151" s="17">
        <f>+((LeagueRatings!$I$6-E151)*5)+9.5</f>
        <v>16.708051455277406</v>
      </c>
      <c r="AC151" s="17">
        <f>IF(AB151&lt;4,4,AB151)</f>
        <v>16.708051455277406</v>
      </c>
      <c r="AD151" s="17">
        <f>IF(M151&lt;L151,((1-(M151/L151))*7)-0.07,(1-(M151/L151))*5)</f>
        <v>-1.7360685854255975</v>
      </c>
      <c r="AE151" s="4">
        <f>+X151+AA151+AC151+AD151</f>
        <v>11.791982869851809</v>
      </c>
      <c r="AG151" s="5" t="s">
        <v>68</v>
      </c>
      <c r="AH151" s="219">
        <f>INDEX('C-P-RollAdj'!$J$4:$J$76,MATCH(INT(W151),'C-P-RollAdj'!$I$4:$I$76,FALSE),0)</f>
        <v>36</v>
      </c>
      <c r="AI151" s="219">
        <f>INDEX('C-P-RollAdj'!$J$4:$J$76,MATCH(INT(Z151),'C-P-RollAdj'!$I$4:$I$76,FALSE),0)</f>
        <v>42</v>
      </c>
      <c r="AJ151" s="14">
        <f>+AO151*LeagueRatings!$K$27</f>
        <v>9.4444444444444446</v>
      </c>
      <c r="AK151" s="72">
        <f>F151*LeagueRatings!$K$27</f>
        <v>10</v>
      </c>
      <c r="AL151" s="72">
        <f>G151*LeagueRatings!$K$27</f>
        <v>0</v>
      </c>
      <c r="AM151" s="72">
        <f>T151*LeagueRatings!$K$27</f>
        <v>40.555555555555557</v>
      </c>
      <c r="AO151" s="72">
        <f>ROUNDUP(L151,0)</f>
        <v>17</v>
      </c>
      <c r="AP151" s="113"/>
      <c r="AQ151" s="113"/>
      <c r="AR151" s="113"/>
      <c r="AT151" s="144">
        <v>52.67</v>
      </c>
    </row>
    <row r="152" spans="1:46" x14ac:dyDescent="0.2">
      <c r="A152" s="9"/>
      <c r="B152" s="129"/>
      <c r="L152" s="157">
        <f>(L150/100)/((L150+L151)/100)</f>
        <v>0.57759958613554063</v>
      </c>
      <c r="T152" s="158"/>
      <c r="U152" s="158"/>
      <c r="V152" s="153"/>
      <c r="W152" s="152">
        <f>W150*L152</f>
        <v>12.875892869046956</v>
      </c>
      <c r="X152" s="153"/>
      <c r="Y152" s="153"/>
      <c r="Z152" s="152">
        <f>Z150*L152</f>
        <v>-2.3385867411959151</v>
      </c>
      <c r="AA152" s="153"/>
      <c r="AB152" s="103"/>
      <c r="AC152" s="103"/>
      <c r="AD152" s="103"/>
      <c r="AE152" s="154">
        <f>AE150*L152</f>
        <v>6.1328574017579687</v>
      </c>
      <c r="AG152" s="5"/>
      <c r="AH152" s="5"/>
      <c r="AI152" s="5"/>
      <c r="AJ152" s="103"/>
      <c r="AK152" s="72"/>
      <c r="AL152" s="72"/>
      <c r="AM152" s="72"/>
      <c r="AN152" s="30"/>
      <c r="AO152" s="14"/>
    </row>
    <row r="153" spans="1:46" x14ac:dyDescent="0.2">
      <c r="A153" s="9"/>
      <c r="B153" s="129"/>
      <c r="L153" s="157">
        <f>(L151/100)/((L150+L151)/100)</f>
        <v>0.42240041386445937</v>
      </c>
      <c r="T153" s="158"/>
      <c r="U153" s="158"/>
      <c r="V153" s="153"/>
      <c r="W153" s="152">
        <f>W151*L153</f>
        <v>7.9965282337696122</v>
      </c>
      <c r="X153" s="153"/>
      <c r="Y153" s="153"/>
      <c r="Z153" s="152">
        <f>Z151*L153</f>
        <v>8.7013278296328131</v>
      </c>
      <c r="AA153" s="153"/>
      <c r="AB153" s="103"/>
      <c r="AC153" s="103"/>
      <c r="AD153" s="103"/>
      <c r="AE153" s="154">
        <f>AE151*L153</f>
        <v>4.9809384445080198</v>
      </c>
      <c r="AG153" s="5"/>
      <c r="AH153" s="5"/>
      <c r="AI153" s="5"/>
      <c r="AJ153" s="103"/>
      <c r="AK153" s="72"/>
      <c r="AL153" s="72"/>
      <c r="AM153" s="72"/>
      <c r="AN153" s="30"/>
      <c r="AO153" s="14"/>
    </row>
    <row r="154" spans="1:46" x14ac:dyDescent="0.2">
      <c r="A154" s="9"/>
      <c r="B154" s="129"/>
      <c r="T154" s="158"/>
      <c r="U154" s="158"/>
      <c r="V154" s="153"/>
      <c r="W154" s="152">
        <f>SUM(W152:W153)</f>
        <v>20.872421102816567</v>
      </c>
      <c r="X154" s="153"/>
      <c r="Y154" s="153"/>
      <c r="Z154" s="152">
        <f>SUM(Z152:Z153)</f>
        <v>6.3627410884368985</v>
      </c>
      <c r="AA154" s="153"/>
      <c r="AB154" s="103"/>
      <c r="AC154" s="103"/>
      <c r="AD154" s="103"/>
      <c r="AE154" s="153">
        <f>SUM(AE152:AE153)</f>
        <v>11.113795846265988</v>
      </c>
      <c r="AF154" s="41" t="s">
        <v>412</v>
      </c>
      <c r="AG154" s="5" t="s">
        <v>68</v>
      </c>
      <c r="AH154" s="219">
        <f>INDEX('C-P-RollAdj'!$J$4:$J$76,MATCH(INT(W154),'C-P-RollAdj'!$I$4:$I$76,FALSE),0)</f>
        <v>42</v>
      </c>
      <c r="AI154" s="219">
        <f>INDEX('C-P-RollAdj'!$J$4:$J$76,MATCH(INT(Z154),'C-P-RollAdj'!$I$4:$I$76,FALSE),0)</f>
        <v>16</v>
      </c>
      <c r="AJ154" s="174">
        <f>SUM(AJ150:AJ153)</f>
        <v>22.222222222222221</v>
      </c>
      <c r="AK154" s="14">
        <f>SUM(AK150:AK153)</f>
        <v>23.333333333333336</v>
      </c>
      <c r="AL154" s="14">
        <f>SUM(AL150:AL153)</f>
        <v>0</v>
      </c>
      <c r="AM154" s="14">
        <f>SUM(AM150:AM153)</f>
        <v>90</v>
      </c>
      <c r="AN154" s="30"/>
      <c r="AO154" s="14"/>
    </row>
    <row r="155" spans="1:46" x14ac:dyDescent="0.2">
      <c r="A155" s="204"/>
      <c r="B155" s="196"/>
      <c r="AK155" s="72"/>
      <c r="AL155" s="72"/>
      <c r="AM155" s="72"/>
      <c r="AN155" s="30"/>
      <c r="AO155" s="14"/>
    </row>
    <row r="156" spans="1:46" x14ac:dyDescent="0.2">
      <c r="A156" s="204" t="s">
        <v>1243</v>
      </c>
      <c r="B156" s="196" t="s">
        <v>146</v>
      </c>
      <c r="C156" s="202">
        <v>0</v>
      </c>
      <c r="D156" s="202">
        <v>0</v>
      </c>
      <c r="E156" s="185">
        <v>0</v>
      </c>
      <c r="F156" s="202">
        <v>1</v>
      </c>
      <c r="G156" s="202">
        <v>0</v>
      </c>
      <c r="H156" s="202">
        <v>0</v>
      </c>
      <c r="I156" s="202">
        <v>0</v>
      </c>
      <c r="J156" s="202">
        <v>0</v>
      </c>
      <c r="K156" s="202">
        <v>0</v>
      </c>
      <c r="L156" s="185">
        <v>1.67</v>
      </c>
      <c r="M156" s="202">
        <v>0</v>
      </c>
      <c r="N156" s="202">
        <v>0</v>
      </c>
      <c r="O156" s="202">
        <v>0</v>
      </c>
      <c r="P156" s="202">
        <v>0</v>
      </c>
      <c r="Q156" s="202">
        <v>3</v>
      </c>
      <c r="R156" s="202">
        <v>0</v>
      </c>
      <c r="S156" s="202">
        <v>2</v>
      </c>
      <c r="T156" s="202">
        <v>9</v>
      </c>
      <c r="V156" s="50">
        <f>+(Q156-R156)/(T156-R156)*100</f>
        <v>33.333333333333329</v>
      </c>
      <c r="W156" s="6">
        <f>IF(V156&lt;LeagueRatings!$K$10,((LeagueRatings!$K$10-V156)/LeagueRatings!$K$10)*36,(LeagueRatings!$K$10-V156)*6.48)</f>
        <v>-159.83421950580632</v>
      </c>
      <c r="X156" s="16">
        <v>5.44</v>
      </c>
      <c r="Y156" s="16">
        <f>(P156/(T156-R156))*100</f>
        <v>0</v>
      </c>
      <c r="Z156" s="6">
        <f>IF(Y156&lt;LeagueRatings!$K$8,((LeagueRatings!$K$8-Y156)/LeagueRatings!$K$8)*36,(LeagueRatings!$K$8-Y156)/LeagueRatings!$K$11)</f>
        <v>36</v>
      </c>
      <c r="AA156" s="16">
        <f>INDEX('C-P-RollAdj'!$F$4:$F$76,MATCH(INT(Z156),'C-P-RollAdj'!$E$4:$E$76,FALSE),0)</f>
        <v>-3.26</v>
      </c>
      <c r="AB156" s="17">
        <f>+((LeagueRatings!$I$6-E156)*5)+9.5</f>
        <v>30.508051455277403</v>
      </c>
      <c r="AC156" s="17">
        <f>IF(AB156&lt;4,4,AB156)</f>
        <v>30.508051455277403</v>
      </c>
      <c r="AD156" s="17">
        <f>IF(M156&lt;L156,((1-(M156/L156))*7)-0.07,(1-(M156/L156))*5)</f>
        <v>6.93</v>
      </c>
      <c r="AE156" s="4">
        <f>+X156+AA156+AC156+AD156</f>
        <v>39.618051455277403</v>
      </c>
      <c r="AF156" s="24"/>
      <c r="AG156" s="5" t="s">
        <v>1284</v>
      </c>
      <c r="AH156" s="219">
        <v>-66</v>
      </c>
      <c r="AI156" s="219">
        <f>INDEX('C-P-RollAdj'!$J$4:$J$76,MATCH(INT(Z156),'C-P-RollAdj'!$I$4:$I$76,FALSE),0)</f>
        <v>66</v>
      </c>
      <c r="AJ156" s="14">
        <f>+AO156*LeagueRatings!$K$27</f>
        <v>1.1111111111111112</v>
      </c>
      <c r="AK156" s="72">
        <f>F156*LeagueRatings!$K$27</f>
        <v>0.55555555555555558</v>
      </c>
      <c r="AL156" s="72">
        <f>G156*LeagueRatings!$K$27</f>
        <v>0</v>
      </c>
      <c r="AM156" s="72">
        <f>T156*LeagueRatings!$K$27</f>
        <v>5</v>
      </c>
      <c r="AN156" s="24"/>
      <c r="AO156" s="72">
        <f>ROUNDUP(L156,0)</f>
        <v>2</v>
      </c>
    </row>
    <row r="157" spans="1:46" s="24" customFormat="1" x14ac:dyDescent="0.2">
      <c r="A157" s="41" t="s">
        <v>1141</v>
      </c>
      <c r="B157" s="202" t="s">
        <v>168</v>
      </c>
      <c r="C157" s="202">
        <v>2</v>
      </c>
      <c r="D157" s="202">
        <v>0</v>
      </c>
      <c r="E157" s="185">
        <v>0.78</v>
      </c>
      <c r="F157" s="202">
        <v>18</v>
      </c>
      <c r="G157" s="202">
        <v>0</v>
      </c>
      <c r="H157" s="202">
        <v>0</v>
      </c>
      <c r="I157" s="202">
        <v>0</v>
      </c>
      <c r="J157" s="202">
        <v>0</v>
      </c>
      <c r="K157" s="202">
        <v>1</v>
      </c>
      <c r="L157" s="185">
        <v>23</v>
      </c>
      <c r="M157" s="202">
        <v>15</v>
      </c>
      <c r="N157" s="202">
        <v>3</v>
      </c>
      <c r="O157" s="202">
        <v>2</v>
      </c>
      <c r="P157" s="202">
        <v>1</v>
      </c>
      <c r="Q157" s="202">
        <v>8</v>
      </c>
      <c r="R157" s="202">
        <v>1</v>
      </c>
      <c r="S157" s="202">
        <v>21</v>
      </c>
      <c r="T157" s="202">
        <v>93</v>
      </c>
      <c r="U157" s="76"/>
      <c r="V157" s="50">
        <f>+(Q157-R157)/(T157-R157)*100</f>
        <v>7.608695652173914</v>
      </c>
      <c r="W157" s="6">
        <f>IF(V157&lt;LeagueRatings!$K$21,((LeagueRatings!$K$21-V157)/LeagueRatings!$K$21)*36,(LeagueRatings!$K$21-V157)*6.48)</f>
        <v>5.4054990821944182</v>
      </c>
      <c r="X157" s="16">
        <f>INDEX('C-P-RollAdj'!$B$4:$B$76,MATCH(INT(W157),'C-P-RollAdj'!$A$4:$A$76,FALSE),0)</f>
        <v>-0.4</v>
      </c>
      <c r="Y157" s="16">
        <f>(P157/(T157-R157))*100</f>
        <v>1.0869565217391304</v>
      </c>
      <c r="Z157" s="6">
        <f>IF(Y157&lt;LeagueRatings!$K$19,((LeagueRatings!$K$19-Y157)/LeagueRatings!$K$19)*36,(LeagueRatings!$K$19-Y157)/LeagueRatings!$K$22)</f>
        <v>22.543868200428935</v>
      </c>
      <c r="AA157" s="16">
        <f>INDEX('C-P-RollAdj'!$F$4:$F$76,MATCH(INT(Z157),'C-P-RollAdj'!$E$4:$E$76,FALSE),0)</f>
        <v>-1.78</v>
      </c>
      <c r="AB157" s="17">
        <f>+((LeagueRatings!$I$17-E157)*5)+9.5</f>
        <v>26.414387243706361</v>
      </c>
      <c r="AC157" s="17">
        <f>IF(AB157&lt;4,4,AB157)</f>
        <v>26.414387243706361</v>
      </c>
      <c r="AD157" s="17">
        <f>IF(M157&lt;L157,((1-(M157/L157))*7)-0.07,(1-(M157/L157))*5)</f>
        <v>2.3647826086956525</v>
      </c>
      <c r="AE157" s="4">
        <f>+X157+AA157+AC157+AD157</f>
        <v>26.599169852402014</v>
      </c>
      <c r="AG157" s="58">
        <v>26</v>
      </c>
      <c r="AH157" s="219">
        <f>INDEX('C-P-RollAdj'!$J$4:$J$76,MATCH(INT(W157),'C-P-RollAdj'!$I$4:$I$76,FALSE),0)</f>
        <v>15</v>
      </c>
      <c r="AI157" s="219">
        <f>INDEX('C-P-RollAdj'!$J$4:$J$76,MATCH(INT(Z157),'C-P-RollAdj'!$I$4:$I$76,FALSE),0)</f>
        <v>44</v>
      </c>
      <c r="AJ157" s="14">
        <f>+AO157*LeagueRatings!$K$27</f>
        <v>12.777777777777779</v>
      </c>
      <c r="AK157" s="72">
        <f>F157*LeagueRatings!$K$27</f>
        <v>10</v>
      </c>
      <c r="AL157" s="72">
        <f>G157*LeagueRatings!$K$27</f>
        <v>0</v>
      </c>
      <c r="AM157" s="72">
        <f>T157*LeagueRatings!$K$27</f>
        <v>51.666666666666671</v>
      </c>
      <c r="AO157" s="14">
        <f>ROUNDUP(L157,0)</f>
        <v>23</v>
      </c>
    </row>
    <row r="158" spans="1:46" x14ac:dyDescent="0.2">
      <c r="A158" s="9"/>
      <c r="B158" s="129"/>
      <c r="L158" s="157">
        <f>(L156/100)/((L156+L157)/100)</f>
        <v>6.7693554925010127E-2</v>
      </c>
      <c r="T158" s="158"/>
      <c r="U158" s="158"/>
      <c r="V158" s="153"/>
      <c r="W158" s="152">
        <f>W156*L158</f>
        <v>-10.819746517012424</v>
      </c>
      <c r="X158" s="153"/>
      <c r="Y158" s="153"/>
      <c r="Z158" s="152">
        <f>Z156*L158</f>
        <v>2.4369679773003647</v>
      </c>
      <c r="AA158" s="153"/>
      <c r="AB158" s="103"/>
      <c r="AC158" s="103"/>
      <c r="AD158" s="103"/>
      <c r="AE158" s="154">
        <f>AE156*L158</f>
        <v>2.6818867422096981</v>
      </c>
      <c r="AG158" s="5"/>
      <c r="AH158" s="5"/>
      <c r="AI158" s="5"/>
      <c r="AJ158" s="103"/>
      <c r="AK158" s="72"/>
      <c r="AL158" s="72"/>
      <c r="AM158" s="72"/>
      <c r="AN158" s="30"/>
      <c r="AO158" s="14"/>
    </row>
    <row r="159" spans="1:46" x14ac:dyDescent="0.2">
      <c r="A159" s="9"/>
      <c r="B159" s="129"/>
      <c r="L159" s="157">
        <f>(L157/100)/((L156+L157)/100)</f>
        <v>0.93230644507498983</v>
      </c>
      <c r="T159" s="158"/>
      <c r="U159" s="158"/>
      <c r="V159" s="153"/>
      <c r="W159" s="152">
        <f>W157*L159</f>
        <v>5.0395816331767982</v>
      </c>
      <c r="X159" s="153"/>
      <c r="Y159" s="153"/>
      <c r="Z159" s="152">
        <f>Z157*L159</f>
        <v>21.01779362018101</v>
      </c>
      <c r="AA159" s="153"/>
      <c r="AB159" s="103"/>
      <c r="AC159" s="103"/>
      <c r="AD159" s="103"/>
      <c r="AE159" s="154">
        <f>AE157*L159</f>
        <v>24.798577487038763</v>
      </c>
      <c r="AG159" s="5"/>
      <c r="AH159" s="5"/>
      <c r="AI159" s="5"/>
      <c r="AJ159" s="103"/>
      <c r="AK159" s="72"/>
      <c r="AL159" s="72"/>
      <c r="AM159" s="72"/>
      <c r="AN159" s="30"/>
      <c r="AO159" s="14"/>
    </row>
    <row r="160" spans="1:46" x14ac:dyDescent="0.2">
      <c r="A160" s="9"/>
      <c r="B160" s="129"/>
      <c r="T160" s="158"/>
      <c r="U160" s="158"/>
      <c r="V160" s="153"/>
      <c r="W160" s="152">
        <f>SUM(W158:W159)</f>
        <v>-5.7801648838356261</v>
      </c>
      <c r="X160" s="153"/>
      <c r="Y160" s="153"/>
      <c r="Z160" s="152">
        <f>SUM(Z158:Z159)</f>
        <v>23.454761597481376</v>
      </c>
      <c r="AA160" s="153"/>
      <c r="AB160" s="103"/>
      <c r="AC160" s="103"/>
      <c r="AD160" s="103"/>
      <c r="AE160" s="153">
        <f>SUM(AE158:AE159)</f>
        <v>27.480464229248462</v>
      </c>
      <c r="AF160" s="41" t="s">
        <v>1141</v>
      </c>
      <c r="AG160" s="5" t="s">
        <v>142</v>
      </c>
      <c r="AH160" s="219">
        <f>INDEX('C-P-RollAdj'!$J$4:$J$76,MATCH(INT(W160),'C-P-RollAdj'!$I$4:$I$76,FALSE),0)</f>
        <v>-16</v>
      </c>
      <c r="AI160" s="219">
        <f>INDEX('C-P-RollAdj'!$J$4:$J$76,MATCH(INT(Z160),'C-P-RollAdj'!$I$4:$I$76,FALSE),0)</f>
        <v>45</v>
      </c>
      <c r="AJ160" s="174">
        <f>SUM(AJ156:AJ159)</f>
        <v>13.888888888888889</v>
      </c>
      <c r="AK160" s="14">
        <f>SUM(AK156:AK159)</f>
        <v>10.555555555555555</v>
      </c>
      <c r="AL160" s="14">
        <f>SUM(AL156:AL159)</f>
        <v>0</v>
      </c>
      <c r="AM160" s="14">
        <f>SUM(AM156:AM159)</f>
        <v>56.666666666666671</v>
      </c>
      <c r="AN160" s="30"/>
      <c r="AO160" s="14"/>
    </row>
    <row r="161" spans="1:47" x14ac:dyDescent="0.2">
      <c r="B161" s="155"/>
      <c r="AK161" s="72"/>
      <c r="AL161" s="72"/>
      <c r="AM161" s="72"/>
      <c r="AN161" s="30"/>
      <c r="AO161" s="14"/>
    </row>
    <row r="162" spans="1:47" x14ac:dyDescent="0.2">
      <c r="A162" s="155" t="s">
        <v>864</v>
      </c>
      <c r="B162" s="155" t="s">
        <v>145</v>
      </c>
      <c r="C162" s="202">
        <v>2</v>
      </c>
      <c r="D162" s="202">
        <v>2</v>
      </c>
      <c r="E162" s="185">
        <v>3.63</v>
      </c>
      <c r="F162" s="202">
        <v>39</v>
      </c>
      <c r="G162" s="202">
        <v>0</v>
      </c>
      <c r="H162" s="202">
        <v>0</v>
      </c>
      <c r="I162" s="202">
        <v>0</v>
      </c>
      <c r="J162" s="202">
        <v>0</v>
      </c>
      <c r="K162" s="202">
        <v>1</v>
      </c>
      <c r="L162" s="185">
        <v>44.67</v>
      </c>
      <c r="M162" s="202">
        <v>41</v>
      </c>
      <c r="N162" s="202">
        <v>19</v>
      </c>
      <c r="O162" s="202">
        <v>18</v>
      </c>
      <c r="P162" s="202">
        <v>3</v>
      </c>
      <c r="Q162" s="202">
        <v>11</v>
      </c>
      <c r="R162" s="202">
        <v>2</v>
      </c>
      <c r="S162" s="202">
        <v>32</v>
      </c>
      <c r="T162" s="202">
        <v>180</v>
      </c>
      <c r="V162" s="50">
        <f>+(Q162-R162)/(T162-R162)*100</f>
        <v>5.0561797752808983</v>
      </c>
      <c r="W162" s="6">
        <f>IF(V162&lt;LeagueRatings!$K$10,((LeagueRatings!$K$10-V162)/LeagueRatings!$K$10)*36,(LeagueRatings!$K$10-V162)*6.48)</f>
        <v>14.999568641275028</v>
      </c>
      <c r="X162" s="16">
        <f>INDEX('C-P-RollAdj'!$B$4:$B$76,MATCH(INT(W162),'C-P-RollAdj'!$A$4:$A$76,FALSE),0)</f>
        <v>-1.19</v>
      </c>
      <c r="Y162" s="16">
        <f>(P162/(T162-R162))*100</f>
        <v>1.6853932584269662</v>
      </c>
      <c r="Z162" s="6">
        <f>IF(Y162&lt;LeagueRatings!$K$8,((LeagueRatings!$K$8-Y162)/LeagueRatings!$K$8)*36,(LeagueRatings!$K$8-Y162)/LeagueRatings!$K$11)</f>
        <v>17.052457434342042</v>
      </c>
      <c r="AA162" s="16">
        <f>INDEX('C-P-RollAdj'!$F$4:$F$76,MATCH(INT(Z162),'C-P-RollAdj'!$E$4:$E$76,FALSE),0)</f>
        <v>-1.32</v>
      </c>
      <c r="AB162" s="17">
        <f>+((LeagueRatings!$I$6-E162)*5)+9.5</f>
        <v>12.358051455277405</v>
      </c>
      <c r="AC162" s="17">
        <f>IF(AB162&lt;4,4,AB162)</f>
        <v>12.358051455277405</v>
      </c>
      <c r="AD162" s="17">
        <f>IF(M162&lt;L162,((1-(M162/L162))*7)-0.07,(1-(M162/L162))*5)</f>
        <v>0.50510633534810845</v>
      </c>
      <c r="AE162" s="4">
        <f>+X162+AA162+AC162+AD162</f>
        <v>10.353157790625513</v>
      </c>
      <c r="AF162" s="24"/>
      <c r="AG162" s="5" t="s">
        <v>31</v>
      </c>
      <c r="AH162" s="219">
        <v>-66</v>
      </c>
      <c r="AI162" s="219">
        <f>INDEX('C-P-RollAdj'!$J$4:$J$76,MATCH(INT(Z162),'C-P-RollAdj'!$I$4:$I$76,FALSE),0)</f>
        <v>35</v>
      </c>
      <c r="AJ162" s="14">
        <f>+AO162*LeagueRatings!$K$27</f>
        <v>25</v>
      </c>
      <c r="AK162" s="72">
        <f>F162*LeagueRatings!$K$27</f>
        <v>21.666666666666668</v>
      </c>
      <c r="AL162" s="72">
        <f>G162*LeagueRatings!$K$27</f>
        <v>0</v>
      </c>
      <c r="AM162" s="72">
        <f>T162*LeagueRatings!$K$27</f>
        <v>100</v>
      </c>
      <c r="AN162" s="24"/>
      <c r="AO162" s="72">
        <f>ROUNDUP(L162,0)</f>
        <v>45</v>
      </c>
    </row>
    <row r="163" spans="1:47" customFormat="1" x14ac:dyDescent="0.2">
      <c r="A163" s="41" t="s">
        <v>486</v>
      </c>
      <c r="B163" s="202" t="s">
        <v>161</v>
      </c>
      <c r="C163" s="202">
        <v>2</v>
      </c>
      <c r="D163" s="202">
        <v>0</v>
      </c>
      <c r="E163" s="185">
        <v>5.74</v>
      </c>
      <c r="F163" s="202">
        <v>19</v>
      </c>
      <c r="G163" s="202">
        <v>0</v>
      </c>
      <c r="H163" s="202">
        <v>0</v>
      </c>
      <c r="I163" s="202">
        <v>0</v>
      </c>
      <c r="J163" s="202">
        <v>1</v>
      </c>
      <c r="K163" s="202">
        <v>1</v>
      </c>
      <c r="L163" s="185">
        <v>15.67</v>
      </c>
      <c r="M163" s="202">
        <v>20</v>
      </c>
      <c r="N163" s="202">
        <v>10</v>
      </c>
      <c r="O163" s="202">
        <v>10</v>
      </c>
      <c r="P163" s="202">
        <v>4</v>
      </c>
      <c r="Q163" s="202">
        <v>3</v>
      </c>
      <c r="R163" s="202">
        <v>0</v>
      </c>
      <c r="S163" s="202">
        <v>15</v>
      </c>
      <c r="T163" s="202">
        <v>69</v>
      </c>
      <c r="U163" s="76"/>
      <c r="V163" s="50">
        <f>+(Q163-R163)/(T163-R163)*100</f>
        <v>4.3478260869565215</v>
      </c>
      <c r="W163" s="6">
        <f>IF(V163&lt;LeagueRatings!$K$21,((LeagueRatings!$K$21-V163)/LeagueRatings!$K$21)*36,(LeagueRatings!$K$21-V163)*6.48)</f>
        <v>18.517428046968242</v>
      </c>
      <c r="X163" s="16">
        <f>INDEX('C-P-RollAdj'!$B$4:$B$76,MATCH(INT(W163),'C-P-RollAdj'!$A$4:$A$76,FALSE),0)</f>
        <v>-1.5899999999999999</v>
      </c>
      <c r="Y163" s="16">
        <f>(P163/(T163-R163))*100</f>
        <v>5.7971014492753623</v>
      </c>
      <c r="Z163" s="6">
        <f>IF(Y163&lt;LeagueRatings!$K$19,((LeagueRatings!$K$19-Y163)/LeagueRatings!$K$19)*36,(LeagueRatings!$K$19-Y163)/LeagueRatings!$K$22)</f>
        <v>-23.343881230116647</v>
      </c>
      <c r="AA163" s="16">
        <f>INDEX('C-P-RollAdj'!$F$4:$F$76,MATCH(INT(Z163),'C-P-RollAdj'!$E$4:$E$76,FALSE),0)</f>
        <v>2.76</v>
      </c>
      <c r="AB163" s="17">
        <f>+((LeagueRatings!$I$17-E163)*5)+9.5</f>
        <v>1.6143872437063616</v>
      </c>
      <c r="AC163" s="17">
        <f>IF(AB163&lt;4,4,AB163)</f>
        <v>4</v>
      </c>
      <c r="AD163" s="17">
        <f>IF(M163&lt;L163,((1-(M163/L163))*7)-0.07,(1-(M163/L163))*5)</f>
        <v>-1.3816209317166561</v>
      </c>
      <c r="AE163" s="4">
        <f>+X163+AA163+AC163+AD163</f>
        <v>3.7883790682833438</v>
      </c>
      <c r="AF163" s="168"/>
      <c r="AG163" s="5" t="s">
        <v>19</v>
      </c>
      <c r="AH163" s="219">
        <f>INDEX('C-P-RollAdj'!$J$4:$J$76,MATCH(INT(W163),'C-P-RollAdj'!$I$4:$I$76,FALSE),0)</f>
        <v>36</v>
      </c>
      <c r="AI163" s="219">
        <f>INDEX('C-P-RollAdj'!$J$4:$J$76,MATCH(INT(Z163),'C-P-RollAdj'!$I$4:$I$76,FALSE),0)</f>
        <v>-46</v>
      </c>
      <c r="AJ163" s="14">
        <f>+AO163*LeagueRatings!$K$27</f>
        <v>8.8888888888888893</v>
      </c>
      <c r="AK163" s="72">
        <f>F163*LeagueRatings!$K$27</f>
        <v>10.555555555555555</v>
      </c>
      <c r="AL163" s="72">
        <f>G163*LeagueRatings!$K$27</f>
        <v>0</v>
      </c>
      <c r="AM163" s="72">
        <f>T163*LeagueRatings!$K$27</f>
        <v>38.333333333333336</v>
      </c>
      <c r="AO163" s="14">
        <f>ROUNDUP(L163,0)</f>
        <v>16</v>
      </c>
    </row>
    <row r="164" spans="1:47" x14ac:dyDescent="0.2">
      <c r="A164" s="9"/>
      <c r="B164" s="129"/>
      <c r="L164" s="157">
        <f>(L162/100)/((L162+L163)/100)</f>
        <v>0.74030493868080871</v>
      </c>
      <c r="T164" s="158"/>
      <c r="U164" s="158"/>
      <c r="V164" s="153"/>
      <c r="W164" s="152">
        <f>W162*L164</f>
        <v>11.104254743217691</v>
      </c>
      <c r="X164" s="153"/>
      <c r="Y164" s="153"/>
      <c r="Z164" s="152">
        <f>Z162*L164</f>
        <v>12.624018455287686</v>
      </c>
      <c r="AA164" s="153"/>
      <c r="AB164" s="103"/>
      <c r="AC164" s="103"/>
      <c r="AD164" s="103"/>
      <c r="AE164" s="154">
        <f>AE162*L164</f>
        <v>7.6644938433417575</v>
      </c>
      <c r="AG164" s="5"/>
      <c r="AH164" s="5"/>
      <c r="AI164" s="5"/>
      <c r="AJ164" s="103"/>
      <c r="AK164" s="72"/>
      <c r="AL164" s="72"/>
      <c r="AM164" s="72"/>
      <c r="AN164" s="30"/>
      <c r="AO164" s="14"/>
    </row>
    <row r="165" spans="1:47" x14ac:dyDescent="0.2">
      <c r="A165" s="9"/>
      <c r="B165" s="129"/>
      <c r="L165" s="157">
        <f>(L163/100)/((L162+L163)/100)</f>
        <v>0.25969506131919123</v>
      </c>
      <c r="T165" s="158"/>
      <c r="U165" s="158"/>
      <c r="V165" s="153"/>
      <c r="W165" s="152">
        <f>W163*L165</f>
        <v>4.8088846121311288</v>
      </c>
      <c r="X165" s="153"/>
      <c r="Y165" s="153"/>
      <c r="Z165" s="152">
        <f>Z163*L165</f>
        <v>-6.0622906674830599</v>
      </c>
      <c r="AA165" s="153"/>
      <c r="AB165" s="103"/>
      <c r="AC165" s="103"/>
      <c r="AD165" s="103"/>
      <c r="AE165" s="154">
        <f>AE163*L165</f>
        <v>0.98382333443818348</v>
      </c>
      <c r="AG165" s="5"/>
      <c r="AH165" s="5"/>
      <c r="AI165" s="5"/>
      <c r="AJ165" s="103"/>
      <c r="AK165" s="72"/>
      <c r="AL165" s="72"/>
      <c r="AM165" s="72"/>
      <c r="AN165" s="30"/>
      <c r="AO165" s="14"/>
    </row>
    <row r="166" spans="1:47" x14ac:dyDescent="0.2">
      <c r="A166" s="9"/>
      <c r="B166" s="129"/>
      <c r="T166" s="158"/>
      <c r="U166" s="158"/>
      <c r="V166" s="153"/>
      <c r="W166" s="152">
        <f>SUM(W164:W165)</f>
        <v>15.91313935534882</v>
      </c>
      <c r="X166" s="153"/>
      <c r="Y166" s="153"/>
      <c r="Z166" s="152">
        <f>SUM(Z164:Z165)</f>
        <v>6.5617277878046263</v>
      </c>
      <c r="AA166" s="153"/>
      <c r="AB166" s="103"/>
      <c r="AC166" s="103"/>
      <c r="AD166" s="103"/>
      <c r="AE166" s="153">
        <f>SUM(AE164:AE165)</f>
        <v>8.6483171777799406</v>
      </c>
      <c r="AF166" s="41" t="s">
        <v>486</v>
      </c>
      <c r="AG166" s="5" t="s">
        <v>34</v>
      </c>
      <c r="AH166" s="219">
        <f>INDEX('C-P-RollAdj'!$J$4:$J$76,MATCH(INT(W166),'C-P-RollAdj'!$I$4:$I$76,FALSE),0)</f>
        <v>33</v>
      </c>
      <c r="AI166" s="219">
        <f>INDEX('C-P-RollAdj'!$J$4:$J$76,MATCH(INT(Z166),'C-P-RollAdj'!$I$4:$I$76,FALSE),0)</f>
        <v>16</v>
      </c>
      <c r="AJ166" s="174">
        <f>SUM(AJ162:AJ165)</f>
        <v>33.888888888888886</v>
      </c>
      <c r="AK166" s="14">
        <f>SUM(AK162:AK165)</f>
        <v>32.222222222222221</v>
      </c>
      <c r="AL166" s="14">
        <f>SUM(AL162:AL165)</f>
        <v>0</v>
      </c>
      <c r="AM166" s="14">
        <f>SUM(AM162:AM165)</f>
        <v>138.33333333333334</v>
      </c>
      <c r="AN166" s="30"/>
      <c r="AO166" s="14"/>
    </row>
    <row r="167" spans="1:47" x14ac:dyDescent="0.2">
      <c r="A167" s="204"/>
      <c r="B167" s="196"/>
      <c r="AK167" s="72"/>
      <c r="AL167" s="72"/>
      <c r="AM167" s="72"/>
      <c r="AN167" s="30"/>
      <c r="AO167" s="14"/>
    </row>
    <row r="168" spans="1:47" x14ac:dyDescent="0.2">
      <c r="A168" s="204" t="s">
        <v>896</v>
      </c>
      <c r="B168" s="196" t="s">
        <v>161</v>
      </c>
      <c r="C168" s="202">
        <v>2</v>
      </c>
      <c r="D168" s="202">
        <v>1</v>
      </c>
      <c r="E168" s="185">
        <v>3.19</v>
      </c>
      <c r="F168" s="202">
        <v>23</v>
      </c>
      <c r="G168" s="202">
        <v>0</v>
      </c>
      <c r="H168" s="202">
        <v>0</v>
      </c>
      <c r="I168" s="202">
        <v>0</v>
      </c>
      <c r="J168" s="202">
        <v>0</v>
      </c>
      <c r="K168" s="202">
        <v>1</v>
      </c>
      <c r="L168" s="185">
        <v>31</v>
      </c>
      <c r="M168" s="202">
        <v>30</v>
      </c>
      <c r="N168" s="202">
        <v>14</v>
      </c>
      <c r="O168" s="202">
        <v>11</v>
      </c>
      <c r="P168" s="202">
        <v>0</v>
      </c>
      <c r="Q168" s="202">
        <v>12</v>
      </c>
      <c r="R168" s="202">
        <v>1</v>
      </c>
      <c r="S168" s="202">
        <v>23</v>
      </c>
      <c r="T168" s="202">
        <v>134</v>
      </c>
      <c r="V168" s="50">
        <f>+(Q168-R168)/(T168-R168)*100</f>
        <v>8.2706766917293226</v>
      </c>
      <c r="W168" s="6">
        <f>IF(V168&lt;LeagueRatings!$K$21,((LeagueRatings!$K$21-V168)/LeagueRatings!$K$21)*36,(LeagueRatings!$K$21-V168)*6.48)</f>
        <v>2.7436789164132729</v>
      </c>
      <c r="X168" s="16">
        <f>INDEX('C-P-RollAdj'!$B$4:$B$76,MATCH(INT(W168),'C-P-RollAdj'!$A$4:$A$76,FALSE),0)</f>
        <v>-0.16</v>
      </c>
      <c r="Y168" s="16">
        <f>(P168/(T168-R168))*100</f>
        <v>0</v>
      </c>
      <c r="Z168" s="6">
        <f>IF(Y168&lt;LeagueRatings!$K$19,((LeagueRatings!$K$19-Y168)/LeagueRatings!$K$19)*36,(LeagueRatings!$K$19-Y168)/LeagueRatings!$K$22)</f>
        <v>36</v>
      </c>
      <c r="AA168" s="16">
        <f>INDEX('C-P-RollAdj'!$F$4:$F$76,MATCH(INT(Z168),'C-P-RollAdj'!$E$4:$E$76,FALSE),0)</f>
        <v>-3.26</v>
      </c>
      <c r="AB168" s="17">
        <f>+((LeagueRatings!$I$17-E168)*5)+9.5</f>
        <v>14.364387243706362</v>
      </c>
      <c r="AC168" s="17">
        <f>IF(AB168&lt;4,4,AB168)</f>
        <v>14.364387243706362</v>
      </c>
      <c r="AD168" s="17">
        <f>IF(M168&lt;L168,((1-(M168/L168))*7)-0.07,(1-(M168/L168))*5)</f>
        <v>0.15580645161290302</v>
      </c>
      <c r="AE168" s="4">
        <f>+X168+AA168+AC168+AD168</f>
        <v>11.100193695319266</v>
      </c>
      <c r="AG168" s="5" t="s">
        <v>39</v>
      </c>
      <c r="AH168" s="219">
        <f>INDEX('C-P-RollAdj'!$J$4:$J$76,MATCH(INT(W168),'C-P-RollAdj'!$I$4:$I$76,FALSE),0)</f>
        <v>12</v>
      </c>
      <c r="AI168" s="219">
        <f>INDEX('C-P-RollAdj'!$J$4:$J$76,MATCH(INT(Z168),'C-P-RollAdj'!$I$4:$I$76,FALSE),0)</f>
        <v>66</v>
      </c>
      <c r="AJ168" s="14">
        <f>+AO168*LeagueRatings!$K$27</f>
        <v>17.222222222222221</v>
      </c>
      <c r="AK168" s="72">
        <f>F168*LeagueRatings!$K$27</f>
        <v>12.777777777777779</v>
      </c>
      <c r="AL168" s="72">
        <f>G168*LeagueRatings!$K$27</f>
        <v>0</v>
      </c>
      <c r="AM168" s="72">
        <f>T168*LeagueRatings!$K$27</f>
        <v>74.444444444444443</v>
      </c>
      <c r="AN168"/>
      <c r="AO168" s="14">
        <f>ROUNDUP(L168,0)</f>
        <v>31</v>
      </c>
    </row>
    <row r="169" spans="1:47" customFormat="1" x14ac:dyDescent="0.2">
      <c r="A169" s="41" t="s">
        <v>352</v>
      </c>
      <c r="B169" s="202" t="s">
        <v>160</v>
      </c>
      <c r="C169" s="202">
        <v>2</v>
      </c>
      <c r="D169" s="202">
        <v>2</v>
      </c>
      <c r="E169" s="185">
        <v>2.92</v>
      </c>
      <c r="F169" s="202">
        <v>24</v>
      </c>
      <c r="G169" s="202">
        <v>0</v>
      </c>
      <c r="H169" s="202">
        <v>0</v>
      </c>
      <c r="I169" s="202">
        <v>0</v>
      </c>
      <c r="J169" s="202">
        <v>1</v>
      </c>
      <c r="K169" s="202">
        <v>1</v>
      </c>
      <c r="L169" s="185">
        <v>24.67</v>
      </c>
      <c r="M169" s="202">
        <v>14</v>
      </c>
      <c r="N169" s="202">
        <v>11</v>
      </c>
      <c r="O169" s="202">
        <v>8</v>
      </c>
      <c r="P169" s="202">
        <v>4</v>
      </c>
      <c r="Q169" s="202">
        <v>9</v>
      </c>
      <c r="R169" s="202">
        <v>0</v>
      </c>
      <c r="S169" s="202">
        <v>17</v>
      </c>
      <c r="T169" s="202">
        <v>94</v>
      </c>
      <c r="U169" s="76"/>
      <c r="V169" s="50">
        <f>+(Q169-R169)/(T169-R169)*100</f>
        <v>9.5744680851063837</v>
      </c>
      <c r="W169" s="6">
        <f>IF(V169&lt;LeagueRatings!$K$21,((LeagueRatings!$K$21-V169)/LeagueRatings!$K$21)*36,(LeagueRatings!$K$21-V169)*6.48)</f>
        <v>-4.0270122121583336</v>
      </c>
      <c r="X169" s="16">
        <f>INDEX('C-P-RollAdj'!$B$4:$B$76,MATCH(INT(W169),'C-P-RollAdj'!$A$4:$A$76,FALSE),0)</f>
        <v>0.44999999999999996</v>
      </c>
      <c r="Y169" s="16">
        <f>(P169/(T169-R169))*100</f>
        <v>4.2553191489361701</v>
      </c>
      <c r="Z169" s="6">
        <f>IF(Y169&lt;LeagueRatings!$K$19,((LeagueRatings!$K$19-Y169)/LeagueRatings!$K$19)*36,(LeagueRatings!$K$19-Y169)/LeagueRatings!$K$22)</f>
        <v>-10.886310326933055</v>
      </c>
      <c r="AA169" s="16">
        <f>INDEX('C-P-RollAdj'!$F$4:$F$76,MATCH(INT(Z169),'C-P-RollAdj'!$E$4:$E$76,FALSE),0)</f>
        <v>1.03</v>
      </c>
      <c r="AB169" s="17">
        <f>+((LeagueRatings!$I$17-E169)*5)+9.5</f>
        <v>15.714387243706362</v>
      </c>
      <c r="AC169" s="17">
        <f>IF(AB169&lt;4,4,AB169)</f>
        <v>15.714387243706362</v>
      </c>
      <c r="AD169" s="17">
        <f>IF(M169&lt;L169,((1-(M169/L169))*7)-0.07,(1-(M169/L169))*5)</f>
        <v>2.9575638427239572</v>
      </c>
      <c r="AE169" s="4">
        <f>+X169+AA169+AC169+AD169</f>
        <v>20.151951086430319</v>
      </c>
      <c r="AF169" s="168"/>
      <c r="AG169" s="5" t="s">
        <v>72</v>
      </c>
      <c r="AH169" s="219">
        <f>INDEX('C-P-RollAdj'!$J$4:$J$76,MATCH(INT(W169),'C-P-RollAdj'!$I$4:$I$76,FALSE),0)</f>
        <v>-15</v>
      </c>
      <c r="AI169" s="219">
        <f>INDEX('C-P-RollAdj'!$J$4:$J$76,MATCH(INT(Z169),'C-P-RollAdj'!$I$4:$I$76,FALSE),0)</f>
        <v>-25</v>
      </c>
      <c r="AJ169" s="14">
        <f>+AO169*LeagueRatings!$K$27</f>
        <v>13.888888888888889</v>
      </c>
      <c r="AK169" s="72">
        <f>F169*LeagueRatings!$K$27</f>
        <v>13.333333333333334</v>
      </c>
      <c r="AL169" s="72">
        <f>G169*LeagueRatings!$K$27</f>
        <v>0</v>
      </c>
      <c r="AM169" s="72">
        <f>T169*LeagueRatings!$K$27</f>
        <v>52.222222222222221</v>
      </c>
      <c r="AO169" s="14">
        <f>ROUNDUP(L169,0)</f>
        <v>25</v>
      </c>
    </row>
    <row r="170" spans="1:47" x14ac:dyDescent="0.2">
      <c r="A170" s="9"/>
      <c r="B170" s="129"/>
      <c r="L170" s="157">
        <f>(L168/100)/((L168+L169)/100)</f>
        <v>0.55685288306089453</v>
      </c>
      <c r="T170" s="158"/>
      <c r="U170" s="158"/>
      <c r="V170" s="153"/>
      <c r="W170" s="152">
        <f>W168*L170</f>
        <v>1.5278255147981221</v>
      </c>
      <c r="X170" s="153"/>
      <c r="Y170" s="153"/>
      <c r="Z170" s="152">
        <f>Z168*L170</f>
        <v>20.046703790192204</v>
      </c>
      <c r="AA170" s="153"/>
      <c r="AB170" s="103"/>
      <c r="AC170" s="103"/>
      <c r="AD170" s="103"/>
      <c r="AE170" s="154">
        <f>AE168*L170</f>
        <v>6.1811748617728979</v>
      </c>
      <c r="AG170" s="5"/>
      <c r="AH170" s="5"/>
      <c r="AI170" s="5"/>
      <c r="AJ170" s="103"/>
      <c r="AK170" s="72"/>
      <c r="AL170" s="72"/>
      <c r="AM170" s="72"/>
      <c r="AN170" s="30"/>
      <c r="AO170" s="14"/>
    </row>
    <row r="171" spans="1:47" x14ac:dyDescent="0.2">
      <c r="A171" s="9"/>
      <c r="B171" s="129"/>
      <c r="L171" s="157">
        <f>(L169/100)/((L168+L169)/100)</f>
        <v>0.44314711693910552</v>
      </c>
      <c r="T171" s="158"/>
      <c r="U171" s="158"/>
      <c r="V171" s="153"/>
      <c r="W171" s="152">
        <f>W169*L171</f>
        <v>-1.7845588516965352</v>
      </c>
      <c r="X171" s="153"/>
      <c r="Y171" s="153"/>
      <c r="Z171" s="152">
        <f>Z169*L171</f>
        <v>-4.8242370354847948</v>
      </c>
      <c r="AA171" s="153"/>
      <c r="AB171" s="103"/>
      <c r="AC171" s="103"/>
      <c r="AD171" s="103"/>
      <c r="AE171" s="154">
        <f>AE169*L171</f>
        <v>8.9302790246494705</v>
      </c>
      <c r="AG171" s="5"/>
      <c r="AH171" s="5"/>
      <c r="AI171" s="5"/>
      <c r="AJ171" s="103"/>
      <c r="AK171" s="72"/>
      <c r="AL171" s="72"/>
      <c r="AM171" s="72"/>
      <c r="AN171" s="30"/>
      <c r="AO171" s="14"/>
    </row>
    <row r="172" spans="1:47" x14ac:dyDescent="0.2">
      <c r="A172" s="9"/>
      <c r="B172" s="129"/>
      <c r="T172" s="158"/>
      <c r="U172" s="158"/>
      <c r="V172" s="153"/>
      <c r="W172" s="152">
        <f>SUM(W170:W171)</f>
        <v>-0.25673333689841304</v>
      </c>
      <c r="X172" s="153"/>
      <c r="Y172" s="153"/>
      <c r="Z172" s="152">
        <f>SUM(Z170:Z171)</f>
        <v>15.222466754707408</v>
      </c>
      <c r="AA172" s="153"/>
      <c r="AB172" s="103"/>
      <c r="AC172" s="103"/>
      <c r="AD172" s="103"/>
      <c r="AE172" s="153">
        <f>SUM(AE170:AE171)</f>
        <v>15.111453886422368</v>
      </c>
      <c r="AF172" s="41" t="s">
        <v>352</v>
      </c>
      <c r="AG172" s="5" t="s">
        <v>21</v>
      </c>
      <c r="AH172" s="219">
        <f>INDEX('C-P-RollAdj'!$J$4:$J$76,MATCH(INT(W172),'C-P-RollAdj'!$I$4:$I$76,FALSE),0)</f>
        <v>-11</v>
      </c>
      <c r="AI172" s="219">
        <f>INDEX('C-P-RollAdj'!$J$4:$J$76,MATCH(INT(Z172),'C-P-RollAdj'!$I$4:$I$76,FALSE),0)</f>
        <v>33</v>
      </c>
      <c r="AJ172" s="174">
        <f>SUM(AJ168:AJ171)</f>
        <v>31.111111111111111</v>
      </c>
      <c r="AK172" s="14">
        <f>SUM(AK168:AK171)</f>
        <v>26.111111111111114</v>
      </c>
      <c r="AL172" s="14">
        <f>SUM(AL168:AL171)</f>
        <v>0</v>
      </c>
      <c r="AM172" s="14">
        <f>SUM(AM168:AM171)</f>
        <v>126.66666666666666</v>
      </c>
      <c r="AN172" s="30"/>
      <c r="AO172" s="14"/>
    </row>
    <row r="173" spans="1:47" x14ac:dyDescent="0.2">
      <c r="A173" s="204"/>
      <c r="B173" s="196"/>
      <c r="AK173" s="72"/>
      <c r="AL173" s="72"/>
      <c r="AM173" s="72"/>
      <c r="AN173" s="30"/>
      <c r="AO173" s="14"/>
    </row>
    <row r="174" spans="1:47" x14ac:dyDescent="0.2">
      <c r="A174" s="204" t="s">
        <v>847</v>
      </c>
      <c r="B174" s="196" t="s">
        <v>144</v>
      </c>
      <c r="C174" s="202">
        <v>2</v>
      </c>
      <c r="D174" s="202">
        <v>5</v>
      </c>
      <c r="E174" s="185">
        <v>2.81</v>
      </c>
      <c r="F174" s="202">
        <v>46</v>
      </c>
      <c r="G174" s="202">
        <v>0</v>
      </c>
      <c r="H174" s="202">
        <v>0</v>
      </c>
      <c r="I174" s="202">
        <v>0</v>
      </c>
      <c r="J174" s="202">
        <v>5</v>
      </c>
      <c r="K174" s="202">
        <v>9</v>
      </c>
      <c r="L174" s="185">
        <v>41.67</v>
      </c>
      <c r="M174" s="202">
        <v>34</v>
      </c>
      <c r="N174" s="202">
        <v>15</v>
      </c>
      <c r="O174" s="202">
        <v>13</v>
      </c>
      <c r="P174" s="202">
        <v>4</v>
      </c>
      <c r="Q174" s="202">
        <v>20</v>
      </c>
      <c r="R174" s="202">
        <v>1</v>
      </c>
      <c r="S174" s="202">
        <v>34</v>
      </c>
      <c r="T174" s="202">
        <v>176</v>
      </c>
      <c r="V174" s="50">
        <f>+(Q174-R174)/(T174-R174)*100</f>
        <v>10.857142857142858</v>
      </c>
      <c r="W174" s="6">
        <f>IF(V174&lt;LeagueRatings!$K$10,((LeagueRatings!$K$10-V174)/LeagueRatings!$K$10)*36,(LeagueRatings!$K$10-V174)*6.48)</f>
        <v>-14.188505220092058</v>
      </c>
      <c r="X174" s="16">
        <f>INDEX('C-P-RollAdj'!$B$4:$B$76,MATCH(INT(W174),'C-P-RollAdj'!$A$4:$A$76,FALSE),0)</f>
        <v>1.63</v>
      </c>
      <c r="Y174" s="16">
        <f>(P174/(T174-R174))*100</f>
        <v>2.2857142857142856</v>
      </c>
      <c r="Z174" s="6">
        <f>IF(Y174&lt;LeagueRatings!$K$8,((LeagueRatings!$K$8-Y174)/LeagueRatings!$K$8)*36,(LeagueRatings!$K$8-Y174)/LeagueRatings!$K$11)</f>
        <v>10.303523225241019</v>
      </c>
      <c r="AA174" s="16">
        <f>INDEX('C-P-RollAdj'!$F$4:$F$76,MATCH(INT(Z174),'C-P-RollAdj'!$E$4:$E$76,FALSE),0)</f>
        <v>-0.73</v>
      </c>
      <c r="AB174" s="17">
        <f>+((LeagueRatings!$I$6-E174)*5)+9.5</f>
        <v>16.458051455277403</v>
      </c>
      <c r="AC174" s="17">
        <f>IF(AB174&lt;4,4,AB174)</f>
        <v>16.458051455277403</v>
      </c>
      <c r="AD174" s="17">
        <f>IF(M174&lt;L174,((1-(M174/L174))*7)-0.07,(1-(M174/L174))*5)</f>
        <v>1.2184569234461247</v>
      </c>
      <c r="AE174" s="4">
        <f>+X174+AA174+AC174+AD174</f>
        <v>18.576508378723524</v>
      </c>
      <c r="AG174" s="5" t="s">
        <v>63</v>
      </c>
      <c r="AH174" s="219">
        <f>INDEX('C-P-RollAdj'!$J$4:$J$76,MATCH(INT(W174),'C-P-RollAdj'!$I$4:$I$76,FALSE),0)</f>
        <v>-33</v>
      </c>
      <c r="AI174" s="219">
        <f>INDEX('C-P-RollAdj'!$J$4:$J$76,MATCH(INT(Z174),'C-P-RollAdj'!$I$4:$I$76,FALSE),0)</f>
        <v>24</v>
      </c>
      <c r="AJ174" s="14">
        <f>+AO174*LeagueRatings!$K$27</f>
        <v>23.333333333333336</v>
      </c>
      <c r="AK174" s="72">
        <f>F174*LeagueRatings!$K$27</f>
        <v>25.555555555555557</v>
      </c>
      <c r="AL174" s="72">
        <f>G174*LeagueRatings!$K$27</f>
        <v>0</v>
      </c>
      <c r="AM174" s="72">
        <f>T174*LeagueRatings!$K$27</f>
        <v>97.777777777777786</v>
      </c>
      <c r="AN174" s="28"/>
      <c r="AO174" s="72">
        <f>ROUNDUP(L174,0)</f>
        <v>42</v>
      </c>
    </row>
    <row r="175" spans="1:47" s="24" customFormat="1" x14ac:dyDescent="0.2">
      <c r="A175" s="41" t="s">
        <v>567</v>
      </c>
      <c r="B175" s="202" t="s">
        <v>151</v>
      </c>
      <c r="C175" s="202">
        <v>1</v>
      </c>
      <c r="D175" s="202">
        <v>1</v>
      </c>
      <c r="E175" s="185">
        <v>1.61</v>
      </c>
      <c r="F175" s="202">
        <v>29</v>
      </c>
      <c r="G175" s="202">
        <v>0</v>
      </c>
      <c r="H175" s="202">
        <v>0</v>
      </c>
      <c r="I175" s="202">
        <v>0</v>
      </c>
      <c r="J175" s="202">
        <v>10</v>
      </c>
      <c r="K175" s="202">
        <v>11</v>
      </c>
      <c r="L175" s="185">
        <v>28</v>
      </c>
      <c r="M175" s="202">
        <v>18</v>
      </c>
      <c r="N175" s="202">
        <v>5</v>
      </c>
      <c r="O175" s="202">
        <v>5</v>
      </c>
      <c r="P175" s="202">
        <v>1</v>
      </c>
      <c r="Q175" s="202">
        <v>7</v>
      </c>
      <c r="R175" s="202">
        <v>0</v>
      </c>
      <c r="S175" s="202">
        <v>25</v>
      </c>
      <c r="T175" s="202">
        <v>109</v>
      </c>
      <c r="U175" s="76"/>
      <c r="V175" s="50">
        <f>+(Q175-R175)/(T175-R175)*100</f>
        <v>6.4220183486238538</v>
      </c>
      <c r="W175" s="6">
        <f>IF(V175&lt;LeagueRatings!$K$10,((LeagueRatings!$K$10-V175)/LeagueRatings!$K$10)*36,(LeagueRatings!$K$10-V175)*6.48)</f>
        <v>9.3266692426388165</v>
      </c>
      <c r="X175" s="16">
        <f>INDEX('C-P-RollAdj'!$B$4:$B$76,MATCH(INT(W175),'C-P-RollAdj'!$A$4:$A$76,FALSE),0)</f>
        <v>-0.74</v>
      </c>
      <c r="Y175" s="16">
        <f>(P175/(T175-R175))*100</f>
        <v>0.91743119266055051</v>
      </c>
      <c r="Z175" s="6">
        <f>IF(Y175&lt;LeagueRatings!$K$8,((LeagueRatings!$K$8-Y175)/LeagueRatings!$K$8)*36,(LeagueRatings!$K$8-Y175)/LeagueRatings!$K$11)</f>
        <v>25.686047166094447</v>
      </c>
      <c r="AA175" s="16">
        <f>INDEX('C-P-RollAdj'!$F$4:$F$76,MATCH(INT(Z175),'C-P-RollAdj'!$E$4:$E$76,FALSE),0)</f>
        <v>-2.08</v>
      </c>
      <c r="AB175" s="17">
        <f>+((LeagueRatings!$I$6-E175)*5)+9.5</f>
        <v>22.458051455277403</v>
      </c>
      <c r="AC175" s="17">
        <f>IF(AB175&lt;4,4,AB175)</f>
        <v>22.458051455277403</v>
      </c>
      <c r="AD175" s="17">
        <f>IF(M175&lt;L175,((1-(M175/L175))*7)-0.07,(1-(M175/L175))*5)</f>
        <v>2.4299999999999997</v>
      </c>
      <c r="AE175" s="4">
        <f>+X175+AA175+AC175+AD175</f>
        <v>22.068051455277402</v>
      </c>
      <c r="AG175" s="5" t="s">
        <v>28</v>
      </c>
      <c r="AH175" s="219">
        <f>INDEX('C-P-RollAdj'!$J$4:$J$76,MATCH(INT(W175),'C-P-RollAdj'!$I$4:$I$76,FALSE),0)</f>
        <v>23</v>
      </c>
      <c r="AI175" s="219">
        <f>INDEX('C-P-RollAdj'!$J$4:$J$76,MATCH(INT(Z175),'C-P-RollAdj'!$I$4:$I$76,FALSE),0)</f>
        <v>51</v>
      </c>
      <c r="AJ175" s="14">
        <f>+AO175*LeagueRatings!$K$27</f>
        <v>15.555555555555557</v>
      </c>
      <c r="AK175" s="72">
        <f>F175*LeagueRatings!$K$27</f>
        <v>16.111111111111111</v>
      </c>
      <c r="AL175" s="72">
        <f>G175*LeagueRatings!$K$27</f>
        <v>0</v>
      </c>
      <c r="AM175" s="72">
        <f>T175*LeagueRatings!$K$27</f>
        <v>60.555555555555557</v>
      </c>
      <c r="AN175" s="28"/>
      <c r="AO175" s="72">
        <f>ROUNDUP(L175,0)</f>
        <v>28</v>
      </c>
      <c r="AP175" s="113"/>
      <c r="AQ175" s="113"/>
      <c r="AR175" s="113"/>
      <c r="AS175" s="28"/>
      <c r="AT175" s="97">
        <v>56.67</v>
      </c>
      <c r="AU175" s="28"/>
    </row>
    <row r="176" spans="1:47" x14ac:dyDescent="0.2">
      <c r="A176" s="9"/>
      <c r="B176" s="129"/>
      <c r="L176" s="157">
        <f>(L174/100)/((L174+L175)/100)</f>
        <v>0.59810535381082253</v>
      </c>
      <c r="T176" s="158"/>
      <c r="U176" s="158"/>
      <c r="V176" s="153"/>
      <c r="W176" s="152">
        <f>W174*L176</f>
        <v>-8.4862209347098627</v>
      </c>
      <c r="X176" s="153"/>
      <c r="Y176" s="153"/>
      <c r="Z176" s="152">
        <f>Z174*L176</f>
        <v>6.1625924041308071</v>
      </c>
      <c r="AA176" s="153"/>
      <c r="AB176" s="103"/>
      <c r="AC176" s="103"/>
      <c r="AD176" s="103"/>
      <c r="AE176" s="154">
        <f>AE174*L176</f>
        <v>11.110709116426143</v>
      </c>
      <c r="AG176" s="5"/>
      <c r="AH176" s="5"/>
      <c r="AI176" s="5"/>
      <c r="AJ176" s="103"/>
      <c r="AK176" s="72"/>
      <c r="AL176" s="72"/>
      <c r="AM176" s="72"/>
      <c r="AN176" s="30"/>
      <c r="AO176" s="14"/>
    </row>
    <row r="177" spans="1:41" x14ac:dyDescent="0.2">
      <c r="A177" s="9"/>
      <c r="B177" s="129"/>
      <c r="L177" s="157">
        <f>(L175/100)/((L174+L175)/100)</f>
        <v>0.40189464618917758</v>
      </c>
      <c r="T177" s="158"/>
      <c r="U177" s="158"/>
      <c r="V177" s="153"/>
      <c r="W177" s="152">
        <f>W175*L177</f>
        <v>3.7483384353938121</v>
      </c>
      <c r="X177" s="153"/>
      <c r="Y177" s="153"/>
      <c r="Z177" s="152">
        <f>Z175*L177</f>
        <v>10.323084837816054</v>
      </c>
      <c r="AA177" s="153"/>
      <c r="AB177" s="103"/>
      <c r="AC177" s="103"/>
      <c r="AD177" s="103"/>
      <c r="AE177" s="154">
        <f>AE175*L177</f>
        <v>8.8690317317032772</v>
      </c>
      <c r="AG177" s="5"/>
      <c r="AH177" s="5"/>
      <c r="AI177" s="5"/>
      <c r="AJ177" s="103"/>
      <c r="AK177" s="72"/>
      <c r="AL177" s="72"/>
      <c r="AM177" s="72"/>
      <c r="AN177" s="30"/>
      <c r="AO177" s="14"/>
    </row>
    <row r="178" spans="1:41" x14ac:dyDescent="0.2">
      <c r="A178" s="9"/>
      <c r="B178" s="129"/>
      <c r="T178" s="158"/>
      <c r="U178" s="158"/>
      <c r="V178" s="153"/>
      <c r="W178" s="152">
        <f>SUM(W176:W177)</f>
        <v>-4.7378824993160507</v>
      </c>
      <c r="X178" s="153"/>
      <c r="Y178" s="153"/>
      <c r="Z178" s="152">
        <f>SUM(Z176:Z177)</f>
        <v>16.48567724194686</v>
      </c>
      <c r="AA178" s="153"/>
      <c r="AB178" s="103"/>
      <c r="AC178" s="103"/>
      <c r="AD178" s="103"/>
      <c r="AE178" s="153">
        <f>SUM(AE176:AE177)</f>
        <v>19.979740848129421</v>
      </c>
      <c r="AF178" s="41" t="s">
        <v>567</v>
      </c>
      <c r="AG178" s="5" t="s">
        <v>72</v>
      </c>
      <c r="AH178" s="219">
        <f>INDEX('C-P-RollAdj'!$J$4:$J$76,MATCH(INT(W178),'C-P-RollAdj'!$I$4:$I$76,FALSE),0)</f>
        <v>-15</v>
      </c>
      <c r="AI178" s="219">
        <f>INDEX('C-P-RollAdj'!$J$4:$J$76,MATCH(INT(Z178),'C-P-RollAdj'!$I$4:$I$76,FALSE),0)</f>
        <v>34</v>
      </c>
      <c r="AJ178" s="174">
        <f>SUM(AJ174:AJ177)</f>
        <v>38.888888888888893</v>
      </c>
      <c r="AK178" s="14">
        <f>SUM(AK174:AK177)</f>
        <v>41.666666666666671</v>
      </c>
      <c r="AL178" s="14">
        <f>SUM(AL174:AL177)</f>
        <v>0</v>
      </c>
      <c r="AM178" s="14">
        <f>SUM(AM174:AM177)</f>
        <v>158.33333333333334</v>
      </c>
      <c r="AN178" s="30"/>
      <c r="AO178" s="14"/>
    </row>
    <row r="179" spans="1:41" x14ac:dyDescent="0.2">
      <c r="A179" s="204"/>
      <c r="B179" s="196"/>
      <c r="AK179" s="72"/>
      <c r="AL179" s="72"/>
      <c r="AM179" s="72"/>
      <c r="AN179" s="30"/>
      <c r="AO179" s="14"/>
    </row>
    <row r="180" spans="1:41" x14ac:dyDescent="0.2">
      <c r="A180" s="204" t="s">
        <v>870</v>
      </c>
      <c r="B180" s="196" t="s">
        <v>168</v>
      </c>
      <c r="C180" s="202">
        <v>0</v>
      </c>
      <c r="D180" s="202">
        <v>0</v>
      </c>
      <c r="E180" s="185">
        <v>0</v>
      </c>
      <c r="F180" s="202">
        <v>3</v>
      </c>
      <c r="G180" s="202">
        <v>0</v>
      </c>
      <c r="H180" s="202">
        <v>0</v>
      </c>
      <c r="I180" s="202">
        <v>0</v>
      </c>
      <c r="J180" s="202">
        <v>0</v>
      </c>
      <c r="K180" s="202">
        <v>0</v>
      </c>
      <c r="L180" s="185">
        <v>3.33</v>
      </c>
      <c r="M180" s="202">
        <v>1</v>
      </c>
      <c r="N180" s="202">
        <v>0</v>
      </c>
      <c r="O180" s="202">
        <v>0</v>
      </c>
      <c r="P180" s="202">
        <v>0</v>
      </c>
      <c r="Q180" s="202">
        <v>0</v>
      </c>
      <c r="R180" s="202">
        <v>0</v>
      </c>
      <c r="S180" s="202">
        <v>4</v>
      </c>
      <c r="T180" s="202">
        <v>10</v>
      </c>
      <c r="V180" s="50">
        <f>+(Q180-R180)/(T180-R180)*100</f>
        <v>0</v>
      </c>
      <c r="W180" s="6">
        <f>IF(V180&lt;LeagueRatings!$K$21,((LeagueRatings!$K$21-V180)/LeagueRatings!$K$21)*36,(LeagueRatings!$K$21-V180)*6.48)</f>
        <v>36</v>
      </c>
      <c r="X180" s="16">
        <f>INDEX('C-P-RollAdj'!$B$4:$B$76,MATCH(INT(W180),'C-P-RollAdj'!$A$4:$A$76,FALSE),0)</f>
        <v>-3.62</v>
      </c>
      <c r="Y180" s="16">
        <f>(P180/(T180-R180))*100</f>
        <v>0</v>
      </c>
      <c r="Z180" s="6">
        <f>IF(Y180&lt;LeagueRatings!$K$19,((LeagueRatings!$K$19-Y180)/LeagueRatings!$K$19)*36,(LeagueRatings!$K$19-Y180)/LeagueRatings!$K$22)</f>
        <v>36</v>
      </c>
      <c r="AA180" s="16">
        <f>INDEX('C-P-RollAdj'!$F$4:$F$76,MATCH(INT(Z180),'C-P-RollAdj'!$E$4:$E$76,FALSE),0)</f>
        <v>-3.26</v>
      </c>
      <c r="AB180" s="17">
        <f>+((LeagueRatings!$I$17-E180)*5)+9.5</f>
        <v>30.314387243706364</v>
      </c>
      <c r="AC180" s="17">
        <f>IF(AB180&lt;4,4,AB180)</f>
        <v>30.314387243706364</v>
      </c>
      <c r="AD180" s="17">
        <f>IF(M180&lt;L180,((1-(M180/L180))*7)-0.07,(1-(M180/L180))*5)</f>
        <v>4.8278978978978975</v>
      </c>
      <c r="AE180" s="4">
        <f>+X180+AA180+AC180+AD180</f>
        <v>28.262285141604263</v>
      </c>
      <c r="AG180" s="5" t="s">
        <v>142</v>
      </c>
      <c r="AH180" s="219">
        <f>INDEX('C-P-RollAdj'!$J$4:$J$76,MATCH(INT(W180),'C-P-RollAdj'!$I$4:$I$76,FALSE),0)</f>
        <v>66</v>
      </c>
      <c r="AI180" s="219">
        <f>INDEX('C-P-RollAdj'!$J$4:$J$76,MATCH(INT(Z180),'C-P-RollAdj'!$I$4:$I$76,FALSE),0)</f>
        <v>66</v>
      </c>
      <c r="AJ180" s="14">
        <f>+AO180*LeagueRatings!$K$27</f>
        <v>2.2222222222222223</v>
      </c>
      <c r="AK180" s="72">
        <f>F180*LeagueRatings!$K$27</f>
        <v>1.6666666666666667</v>
      </c>
      <c r="AL180" s="72">
        <f>G180*LeagueRatings!$K$27</f>
        <v>0</v>
      </c>
      <c r="AM180" s="72">
        <f>T180*LeagueRatings!$K$27</f>
        <v>5.5555555555555554</v>
      </c>
      <c r="AN180" s="24"/>
      <c r="AO180" s="14">
        <f>ROUNDUP(L180,0)</f>
        <v>4</v>
      </c>
    </row>
    <row r="181" spans="1:41" s="24" customFormat="1" x14ac:dyDescent="0.2">
      <c r="A181" s="41" t="s">
        <v>422</v>
      </c>
      <c r="B181" s="202" t="s">
        <v>166</v>
      </c>
      <c r="C181" s="202">
        <v>0</v>
      </c>
      <c r="D181" s="202">
        <v>0</v>
      </c>
      <c r="E181" s="185">
        <v>3.66</v>
      </c>
      <c r="F181" s="202">
        <v>16</v>
      </c>
      <c r="G181" s="202">
        <v>0</v>
      </c>
      <c r="H181" s="202">
        <v>0</v>
      </c>
      <c r="I181" s="202">
        <v>0</v>
      </c>
      <c r="J181" s="202">
        <v>0</v>
      </c>
      <c r="K181" s="202">
        <v>0</v>
      </c>
      <c r="L181" s="185">
        <v>19.670000000000002</v>
      </c>
      <c r="M181" s="202">
        <v>16</v>
      </c>
      <c r="N181" s="202">
        <v>8</v>
      </c>
      <c r="O181" s="202">
        <v>8</v>
      </c>
      <c r="P181" s="202">
        <v>2</v>
      </c>
      <c r="Q181" s="202">
        <v>8</v>
      </c>
      <c r="R181" s="202">
        <v>0</v>
      </c>
      <c r="S181" s="202">
        <v>21</v>
      </c>
      <c r="T181" s="202">
        <v>81</v>
      </c>
      <c r="U181" s="76"/>
      <c r="V181" s="50">
        <f>+(Q181-R181)/(T181-R181)*100</f>
        <v>9.8765432098765427</v>
      </c>
      <c r="W181" s="6">
        <f>IF(V181&lt;LeagueRatings!$K$21,((LeagueRatings!$K$21-V181)/LeagueRatings!$K$21)*36,(LeagueRatings!$K$21-V181)*6.48)</f>
        <v>-5.9844590206689636</v>
      </c>
      <c r="X181" s="16">
        <f>INDEX('C-P-RollAdj'!$B$4:$B$76,MATCH(INT(W181),'C-P-RollAdj'!$A$4:$A$76,FALSE),0)</f>
        <v>0.54</v>
      </c>
      <c r="Y181" s="16">
        <f>(P181/(T181-R181))*100</f>
        <v>2.4691358024691357</v>
      </c>
      <c r="Z181" s="6">
        <f>IF(Y181&lt;LeagueRatings!$K$19,((LeagueRatings!$K$19-Y181)/LeagueRatings!$K$19)*36,(LeagueRatings!$K$19-Y181)/LeagueRatings!$K$22)</f>
        <v>5.4329845540607904</v>
      </c>
      <c r="AA181" s="16">
        <f>INDEX('C-P-RollAdj'!$F$4:$F$76,MATCH(INT(Z181),'C-P-RollAdj'!$E$4:$E$76,FALSE),0)</f>
        <v>-0.35000000000000003</v>
      </c>
      <c r="AB181" s="17">
        <f>+((LeagueRatings!$I$17-E181)*5)+9.5</f>
        <v>12.014387243706363</v>
      </c>
      <c r="AC181" s="17">
        <f>IF(AB181&lt;4,4,AB181)</f>
        <v>12.014387243706363</v>
      </c>
      <c r="AD181" s="17">
        <f>IF(M181&lt;L181,((1-(M181/L181))*7)-0.07,(1-(M181/L181))*5)</f>
        <v>1.236049822064057</v>
      </c>
      <c r="AE181" s="4">
        <f>+X181+AA181+AC181+AD181</f>
        <v>13.44043706577042</v>
      </c>
      <c r="AG181" s="5" t="s">
        <v>16</v>
      </c>
      <c r="AH181" s="219">
        <f>INDEX('C-P-RollAdj'!$J$4:$J$76,MATCH(INT(W181),'C-P-RollAdj'!$I$4:$I$76,FALSE),0)</f>
        <v>-16</v>
      </c>
      <c r="AI181" s="219">
        <f>INDEX('C-P-RollAdj'!$J$4:$J$76,MATCH(INT(Z181),'C-P-RollAdj'!$I$4:$I$76,FALSE),0)</f>
        <v>15</v>
      </c>
      <c r="AJ181" s="14">
        <f>+AO181*LeagueRatings!$K$27</f>
        <v>11.111111111111111</v>
      </c>
      <c r="AK181" s="72">
        <f>F181*LeagueRatings!$K$27</f>
        <v>8.8888888888888893</v>
      </c>
      <c r="AL181" s="72">
        <f>G181*LeagueRatings!$K$27</f>
        <v>0</v>
      </c>
      <c r="AM181" s="72">
        <f>T181*LeagueRatings!$K$27</f>
        <v>45</v>
      </c>
      <c r="AO181" s="14">
        <f>ROUNDUP(L181,0)</f>
        <v>20</v>
      </c>
    </row>
    <row r="182" spans="1:41" x14ac:dyDescent="0.2">
      <c r="A182" s="9"/>
      <c r="B182" s="129"/>
      <c r="L182" s="157">
        <f>(L180/100)/((L180+L181)/100)</f>
        <v>0.14478260869565218</v>
      </c>
      <c r="T182" s="158"/>
      <c r="U182" s="158"/>
      <c r="V182" s="153"/>
      <c r="W182" s="152">
        <f>W180*L182</f>
        <v>5.212173913043479</v>
      </c>
      <c r="X182" s="153"/>
      <c r="Y182" s="153"/>
      <c r="Z182" s="152">
        <f>Z180*L182</f>
        <v>5.212173913043479</v>
      </c>
      <c r="AA182" s="153"/>
      <c r="AB182" s="103"/>
      <c r="AC182" s="103"/>
      <c r="AD182" s="103"/>
      <c r="AE182" s="154">
        <f>AE180*L182</f>
        <v>4.0918873705018344</v>
      </c>
      <c r="AG182" s="5"/>
      <c r="AH182" s="5"/>
      <c r="AI182" s="5"/>
      <c r="AJ182" s="103"/>
      <c r="AK182" s="72"/>
      <c r="AL182" s="72"/>
      <c r="AM182" s="72"/>
      <c r="AN182" s="30"/>
      <c r="AO182" s="14"/>
    </row>
    <row r="183" spans="1:41" x14ac:dyDescent="0.2">
      <c r="A183" s="9"/>
      <c r="B183" s="129"/>
      <c r="L183" s="157">
        <f>(L181/100)/((L180+L181)/100)</f>
        <v>0.85521739130434782</v>
      </c>
      <c r="T183" s="158"/>
      <c r="U183" s="158"/>
      <c r="V183" s="153"/>
      <c r="W183" s="152">
        <f>W181*L183</f>
        <v>-5.1180134320242834</v>
      </c>
      <c r="X183" s="153"/>
      <c r="Y183" s="153"/>
      <c r="Z183" s="152">
        <f>Z181*L183</f>
        <v>4.6463828773206846</v>
      </c>
      <c r="AA183" s="153"/>
      <c r="AB183" s="103"/>
      <c r="AC183" s="103"/>
      <c r="AD183" s="103"/>
      <c r="AE183" s="154">
        <f>AE181*L183</f>
        <v>11.494495525378442</v>
      </c>
      <c r="AG183" s="5"/>
      <c r="AH183" s="5"/>
      <c r="AI183" s="5"/>
      <c r="AJ183" s="103"/>
      <c r="AK183" s="72"/>
      <c r="AL183" s="72"/>
      <c r="AM183" s="72"/>
      <c r="AN183" s="30"/>
      <c r="AO183" s="14"/>
    </row>
    <row r="184" spans="1:41" x14ac:dyDescent="0.2">
      <c r="A184" s="9"/>
      <c r="B184" s="129"/>
      <c r="T184" s="158"/>
      <c r="U184" s="158"/>
      <c r="V184" s="153"/>
      <c r="W184" s="152">
        <f>SUM(W182:W183)</f>
        <v>9.4160481019195608E-2</v>
      </c>
      <c r="X184" s="153"/>
      <c r="Y184" s="153"/>
      <c r="Z184" s="152">
        <f>SUM(Z182:Z183)</f>
        <v>9.8585567903641635</v>
      </c>
      <c r="AA184" s="153"/>
      <c r="AB184" s="103"/>
      <c r="AC184" s="103"/>
      <c r="AD184" s="103"/>
      <c r="AE184" s="153">
        <f>SUM(AE182:AE183)</f>
        <v>15.586382895880277</v>
      </c>
      <c r="AF184" s="41" t="s">
        <v>422</v>
      </c>
      <c r="AG184" s="5" t="s">
        <v>14</v>
      </c>
      <c r="AH184" s="219">
        <f>INDEX('C-P-RollAdj'!$J$4:$J$76,MATCH(INT(W184),'C-P-RollAdj'!$I$4:$I$76,FALSE),0)</f>
        <v>0</v>
      </c>
      <c r="AI184" s="219">
        <f>INDEX('C-P-RollAdj'!$J$4:$J$76,MATCH(INT(Z184),'C-P-RollAdj'!$I$4:$I$76,FALSE),0)</f>
        <v>23</v>
      </c>
      <c r="AJ184" s="174">
        <f>SUM(AJ180:AJ183)</f>
        <v>13.333333333333332</v>
      </c>
      <c r="AK184" s="14">
        <f>SUM(AK180:AK183)</f>
        <v>10.555555555555555</v>
      </c>
      <c r="AL184" s="14">
        <f>SUM(AL180:AL183)</f>
        <v>0</v>
      </c>
      <c r="AM184" s="14">
        <f>SUM(AM180:AM183)</f>
        <v>50.555555555555557</v>
      </c>
      <c r="AN184" s="30"/>
      <c r="AO184" s="14"/>
    </row>
    <row r="185" spans="1:41" x14ac:dyDescent="0.2">
      <c r="B185" s="155"/>
      <c r="AK185" s="72"/>
      <c r="AL185" s="72"/>
      <c r="AM185" s="72"/>
      <c r="AN185" s="30"/>
      <c r="AO185" s="14"/>
    </row>
    <row r="186" spans="1:41" x14ac:dyDescent="0.2">
      <c r="A186" s="155" t="s">
        <v>853</v>
      </c>
      <c r="B186" s="155" t="s">
        <v>160</v>
      </c>
      <c r="C186" s="202">
        <v>2</v>
      </c>
      <c r="D186" s="202">
        <v>3</v>
      </c>
      <c r="E186" s="185">
        <v>2.25</v>
      </c>
      <c r="F186" s="202">
        <v>49</v>
      </c>
      <c r="G186" s="202">
        <v>0</v>
      </c>
      <c r="H186" s="202">
        <v>0</v>
      </c>
      <c r="I186" s="202">
        <v>0</v>
      </c>
      <c r="J186" s="202">
        <v>9</v>
      </c>
      <c r="K186" s="202">
        <v>13</v>
      </c>
      <c r="L186" s="185">
        <v>48</v>
      </c>
      <c r="M186" s="202">
        <v>45</v>
      </c>
      <c r="N186" s="202">
        <v>14</v>
      </c>
      <c r="O186" s="202">
        <v>12</v>
      </c>
      <c r="P186" s="202">
        <v>2</v>
      </c>
      <c r="Q186" s="202">
        <v>14</v>
      </c>
      <c r="R186" s="202">
        <v>2</v>
      </c>
      <c r="S186" s="202">
        <v>33</v>
      </c>
      <c r="T186" s="202">
        <v>196</v>
      </c>
      <c r="V186" s="50">
        <f>+(Q186-R186)/(T186-R186)*100</f>
        <v>6.1855670103092786</v>
      </c>
      <c r="W186" s="6">
        <f>IF(V186&lt;LeagueRatings!$K$21,((LeagueRatings!$K$21-V186)/LeagueRatings!$K$21)*36,(LeagueRatings!$K$21-V186)*6.48)</f>
        <v>11.127887324552754</v>
      </c>
      <c r="X186" s="16">
        <f>INDEX('C-P-RollAdj'!$B$4:$B$76,MATCH(INT(W186),'C-P-RollAdj'!$A$4:$A$76,FALSE),0)</f>
        <v>-0.92</v>
      </c>
      <c r="Y186" s="16">
        <f>(P186/(T186-R186))*100</f>
        <v>1.0309278350515463</v>
      </c>
      <c r="Z186" s="6">
        <f>IF(Y186&lt;LeagueRatings!$K$19,((LeagueRatings!$K$19-Y186)/LeagueRatings!$K$19)*36,(LeagueRatings!$K$19-Y186)/LeagueRatings!$K$22)</f>
        <v>23.23748324164394</v>
      </c>
      <c r="AA186" s="16">
        <f>INDEX('C-P-RollAdj'!$F$4:$F$76,MATCH(INT(Z186),'C-P-RollAdj'!$E$4:$E$76,FALSE),0)</f>
        <v>-1.88</v>
      </c>
      <c r="AB186" s="17">
        <f>+((LeagueRatings!$I$17-E186)*5)+9.5</f>
        <v>19.064387243706364</v>
      </c>
      <c r="AC186" s="17">
        <f>IF(AB186&lt;4,4,AB186)</f>
        <v>19.064387243706364</v>
      </c>
      <c r="AD186" s="17">
        <f>IF(M186&lt;L186,((1-(M186/L186))*7)-0.07,(1-(M186/L186))*5)</f>
        <v>0.36749999999999999</v>
      </c>
      <c r="AE186" s="4">
        <f>+X186+AA186+AC186+AD186</f>
        <v>16.631887243706363</v>
      </c>
      <c r="AG186" s="5" t="s">
        <v>31</v>
      </c>
      <c r="AH186" s="219">
        <f>INDEX('C-P-RollAdj'!$J$4:$J$76,MATCH(INT(W186),'C-P-RollAdj'!$I$4:$I$76,FALSE),0)</f>
        <v>25</v>
      </c>
      <c r="AI186" s="219">
        <f>INDEX('C-P-RollAdj'!$J$4:$J$76,MATCH(INT(Z186),'C-P-RollAdj'!$I$4:$I$76,FALSE),0)</f>
        <v>45</v>
      </c>
      <c r="AJ186" s="14">
        <f>+AO186*LeagueRatings!$K$27</f>
        <v>26.666666666666668</v>
      </c>
      <c r="AK186" s="72">
        <f>F186*LeagueRatings!$K$27</f>
        <v>27.222222222222225</v>
      </c>
      <c r="AL186" s="72">
        <f>G186*LeagueRatings!$K$27</f>
        <v>0</v>
      </c>
      <c r="AM186" s="72">
        <f>T186*LeagueRatings!$K$27</f>
        <v>108.8888888888889</v>
      </c>
      <c r="AN186" s="24"/>
      <c r="AO186" s="14">
        <f>ROUNDUP(L186,0)</f>
        <v>48</v>
      </c>
    </row>
    <row r="187" spans="1:41" s="24" customFormat="1" x14ac:dyDescent="0.2">
      <c r="A187" s="41" t="s">
        <v>487</v>
      </c>
      <c r="B187" s="202" t="s">
        <v>165</v>
      </c>
      <c r="C187" s="202">
        <v>0</v>
      </c>
      <c r="D187" s="202">
        <v>3</v>
      </c>
      <c r="E187" s="185">
        <v>10.130000000000001</v>
      </c>
      <c r="F187" s="202">
        <v>23</v>
      </c>
      <c r="G187" s="202">
        <v>0</v>
      </c>
      <c r="H187" s="202">
        <v>0</v>
      </c>
      <c r="I187" s="202">
        <v>0</v>
      </c>
      <c r="J187" s="202">
        <v>1</v>
      </c>
      <c r="K187" s="202">
        <v>4</v>
      </c>
      <c r="L187" s="185">
        <v>18.670000000000002</v>
      </c>
      <c r="M187" s="202">
        <v>32</v>
      </c>
      <c r="N187" s="202">
        <v>22</v>
      </c>
      <c r="O187" s="202">
        <v>21</v>
      </c>
      <c r="P187" s="202">
        <v>3</v>
      </c>
      <c r="Q187" s="202">
        <v>6</v>
      </c>
      <c r="R187" s="202">
        <v>0</v>
      </c>
      <c r="S187" s="202">
        <v>17</v>
      </c>
      <c r="T187" s="202">
        <v>95</v>
      </c>
      <c r="U187" s="76"/>
      <c r="V187" s="50">
        <f>+(Q187-R187)/(T187-R187)*100</f>
        <v>6.3157894736842106</v>
      </c>
      <c r="W187" s="6">
        <f>IF(V187&lt;LeagueRatings!$K$21,((LeagueRatings!$K$21-V187)/LeagueRatings!$K$21)*36,(LeagueRatings!$K$21-V187)*6.48)</f>
        <v>10.604263899806497</v>
      </c>
      <c r="X187" s="16">
        <f>INDEX('C-P-RollAdj'!$B$4:$B$76,MATCH(INT(W187),'C-P-RollAdj'!$A$4:$A$76,FALSE),0)</f>
        <v>-0.83000000000000007</v>
      </c>
      <c r="Y187" s="16">
        <f>(P187/(T187-R187))*100</f>
        <v>3.1578947368421053</v>
      </c>
      <c r="Z187" s="6">
        <f>IF(Y187&lt;LeagueRatings!$K$19,((LeagueRatings!$K$19-Y187)/LeagueRatings!$K$19)*36,(LeagueRatings!$K$19-Y187)/LeagueRatings!$K$22)</f>
        <v>-2.0191424903722712</v>
      </c>
      <c r="AA187" s="16">
        <f>INDEX('C-P-RollAdj'!$F$4:$F$76,MATCH(INT(Z187),'C-P-RollAdj'!$E$4:$E$76,FALSE),0)</f>
        <v>0.24</v>
      </c>
      <c r="AB187" s="17">
        <f>+((LeagueRatings!$I$17-E187)*5)+9.5</f>
        <v>-20.335612756293642</v>
      </c>
      <c r="AC187" s="17">
        <f>IF(AB187&lt;4,4,AB187)</f>
        <v>4</v>
      </c>
      <c r="AD187" s="17">
        <f>IF(M187&lt;L187,((1-(M187/L187))*7)-0.07,(1-(M187/L187))*5)</f>
        <v>-3.5698982324584883</v>
      </c>
      <c r="AE187" s="4">
        <f>+X187+AA187+AC187+AD187</f>
        <v>-0.15989823245848811</v>
      </c>
      <c r="AG187" s="5" t="s">
        <v>26</v>
      </c>
      <c r="AH187" s="219">
        <f>INDEX('C-P-RollAdj'!$J$4:$J$76,MATCH(INT(W187),'C-P-RollAdj'!$I$4:$I$76,FALSE),0)</f>
        <v>24</v>
      </c>
      <c r="AI187" s="219">
        <f>INDEX('C-P-RollAdj'!$J$4:$J$76,MATCH(INT(Z187),'C-P-RollAdj'!$I$4:$I$76,FALSE),0)</f>
        <v>-13</v>
      </c>
      <c r="AJ187" s="14">
        <f>+AO187*LeagueRatings!$K$27</f>
        <v>10.555555555555555</v>
      </c>
      <c r="AK187" s="72">
        <f>F187*LeagueRatings!$K$27</f>
        <v>12.777777777777779</v>
      </c>
      <c r="AL187" s="72">
        <f>G187*LeagueRatings!$K$27</f>
        <v>0</v>
      </c>
      <c r="AM187" s="72">
        <f>T187*LeagueRatings!$K$27</f>
        <v>52.777777777777779</v>
      </c>
      <c r="AO187" s="14">
        <f>ROUNDUP(L187,0)</f>
        <v>19</v>
      </c>
    </row>
    <row r="188" spans="1:41" x14ac:dyDescent="0.2">
      <c r="A188" s="9"/>
      <c r="B188" s="129"/>
      <c r="L188" s="157">
        <f>(L186/100)/((L186+L187)/100)</f>
        <v>0.71996400179990994</v>
      </c>
      <c r="T188" s="158"/>
      <c r="U188" s="158"/>
      <c r="V188" s="153"/>
      <c r="W188" s="152">
        <f>W186*L188</f>
        <v>8.0116782897634931</v>
      </c>
      <c r="X188" s="153"/>
      <c r="Y188" s="153"/>
      <c r="Z188" s="152">
        <f>Z186*L188</f>
        <v>16.730151426412313</v>
      </c>
      <c r="AA188" s="153"/>
      <c r="AB188" s="103"/>
      <c r="AC188" s="103"/>
      <c r="AD188" s="103"/>
      <c r="AE188" s="154">
        <f>AE186*L188</f>
        <v>11.974360097463707</v>
      </c>
      <c r="AG188" s="5"/>
      <c r="AH188" s="5"/>
      <c r="AI188" s="5"/>
      <c r="AJ188" s="103"/>
      <c r="AK188" s="72"/>
      <c r="AL188" s="72"/>
      <c r="AM188" s="72"/>
      <c r="AN188" s="30"/>
      <c r="AO188" s="14"/>
    </row>
    <row r="189" spans="1:41" x14ac:dyDescent="0.2">
      <c r="A189" s="9"/>
      <c r="B189" s="129"/>
      <c r="L189" s="157">
        <f>(L187/100)/((L186+L187)/100)</f>
        <v>0.28003599820008995</v>
      </c>
      <c r="T189" s="158"/>
      <c r="U189" s="158"/>
      <c r="V189" s="153"/>
      <c r="W189" s="152">
        <f>W187*L189</f>
        <v>2.9695756263594912</v>
      </c>
      <c r="X189" s="153"/>
      <c r="Y189" s="153"/>
      <c r="Z189" s="152">
        <f>Z187*L189</f>
        <v>-0.5654325827996145</v>
      </c>
      <c r="AA189" s="153"/>
      <c r="AB189" s="103"/>
      <c r="AC189" s="103"/>
      <c r="AD189" s="103"/>
      <c r="AE189" s="154">
        <f>AE187*L189</f>
        <v>-4.4777261136942741E-2</v>
      </c>
      <c r="AG189" s="5"/>
      <c r="AH189" s="5"/>
      <c r="AI189" s="5"/>
      <c r="AJ189" s="103"/>
      <c r="AK189" s="72"/>
      <c r="AL189" s="72"/>
      <c r="AM189" s="72"/>
      <c r="AN189" s="30"/>
      <c r="AO189" s="14"/>
    </row>
    <row r="190" spans="1:41" x14ac:dyDescent="0.2">
      <c r="A190" s="9"/>
      <c r="B190" s="129"/>
      <c r="T190" s="158"/>
      <c r="U190" s="158"/>
      <c r="V190" s="153"/>
      <c r="W190" s="152">
        <f>SUM(W188:W189)</f>
        <v>10.981253916122984</v>
      </c>
      <c r="X190" s="153"/>
      <c r="Y190" s="153"/>
      <c r="Z190" s="152">
        <f>SUM(Z188:Z189)</f>
        <v>16.164718843612697</v>
      </c>
      <c r="AA190" s="153"/>
      <c r="AB190" s="103"/>
      <c r="AC190" s="103"/>
      <c r="AD190" s="103"/>
      <c r="AE190" s="153">
        <f>SUM(AE188:AE189)</f>
        <v>11.929582836326764</v>
      </c>
      <c r="AF190" s="41" t="s">
        <v>487</v>
      </c>
      <c r="AG190" s="5" t="s">
        <v>59</v>
      </c>
      <c r="AH190" s="219">
        <f>INDEX('C-P-RollAdj'!$J$4:$J$76,MATCH(INT(W190),'C-P-RollAdj'!$I$4:$I$76,FALSE),0)</f>
        <v>24</v>
      </c>
      <c r="AI190" s="219">
        <f>INDEX('C-P-RollAdj'!$J$4:$J$76,MATCH(INT(Z190),'C-P-RollAdj'!$I$4:$I$76,FALSE),0)</f>
        <v>34</v>
      </c>
      <c r="AJ190" s="174">
        <f>SUM(AJ186:AJ189)</f>
        <v>37.222222222222221</v>
      </c>
      <c r="AK190" s="14">
        <f>SUM(AK186:AK189)</f>
        <v>40</v>
      </c>
      <c r="AL190" s="14">
        <f>SUM(AL186:AL189)</f>
        <v>0</v>
      </c>
      <c r="AM190" s="14">
        <f>SUM(AM186:AM189)</f>
        <v>161.66666666666669</v>
      </c>
      <c r="AN190" s="30"/>
      <c r="AO190" s="14"/>
    </row>
    <row r="191" spans="1:41" x14ac:dyDescent="0.2">
      <c r="A191" s="122"/>
      <c r="B191" s="122"/>
      <c r="AK191" s="72"/>
      <c r="AL191" s="72"/>
      <c r="AM191" s="72"/>
      <c r="AN191" s="30"/>
      <c r="AO191" s="14"/>
    </row>
    <row r="192" spans="1:41" x14ac:dyDescent="0.2">
      <c r="A192" s="204" t="s">
        <v>841</v>
      </c>
      <c r="B192" s="196" t="s">
        <v>153</v>
      </c>
      <c r="C192" s="202">
        <v>5</v>
      </c>
      <c r="D192" s="202">
        <v>5</v>
      </c>
      <c r="E192" s="185">
        <v>2.38</v>
      </c>
      <c r="F192" s="202">
        <v>18</v>
      </c>
      <c r="G192" s="202">
        <v>18</v>
      </c>
      <c r="H192" s="202">
        <v>0</v>
      </c>
      <c r="I192" s="202">
        <v>0</v>
      </c>
      <c r="J192" s="202">
        <v>0</v>
      </c>
      <c r="K192" s="202">
        <v>0</v>
      </c>
      <c r="L192" s="185">
        <v>109.67</v>
      </c>
      <c r="M192" s="202">
        <v>84</v>
      </c>
      <c r="N192" s="202">
        <v>35</v>
      </c>
      <c r="O192" s="202">
        <v>29</v>
      </c>
      <c r="P192" s="202">
        <v>7</v>
      </c>
      <c r="Q192" s="202">
        <v>35</v>
      </c>
      <c r="R192" s="202">
        <v>0</v>
      </c>
      <c r="S192" s="202">
        <v>101</v>
      </c>
      <c r="T192" s="202">
        <v>440</v>
      </c>
      <c r="V192" s="50">
        <f>+(Q192-R192)/(T192-R192)*100</f>
        <v>7.9545454545454541</v>
      </c>
      <c r="W192" s="6">
        <f>IF(V192&lt;LeagueRatings!$K$10,((LeagueRatings!$K$10-V192)/LeagueRatings!$K$10)*36,(LeagueRatings!$K$10-V192)*6.48)</f>
        <v>2.9614425846321741</v>
      </c>
      <c r="X192" s="16">
        <f>INDEX('C-P-RollAdj'!$B$4:$B$76,MATCH(INT(W192),'C-P-RollAdj'!$A$4:$A$76,FALSE),0)</f>
        <v>-0.16</v>
      </c>
      <c r="Y192" s="16">
        <f>(P192/(T192-R192))*100</f>
        <v>1.5909090909090908</v>
      </c>
      <c r="Z192" s="6">
        <f>IF(Y192&lt;LeagueRatings!$K$8,((LeagueRatings!$K$8-Y192)/LeagueRatings!$K$8)*36,(LeagueRatings!$K$8-Y192)/LeagueRatings!$K$11)</f>
        <v>18.114668153931962</v>
      </c>
      <c r="AA192" s="16">
        <f>INDEX('C-P-RollAdj'!$F$4:$F$76,MATCH(INT(Z192),'C-P-RollAdj'!$E$4:$E$76,FALSE),0)</f>
        <v>-1.4100000000000001</v>
      </c>
      <c r="AB192" s="17">
        <f>+((LeagueRatings!$I$6-E192)*5)+9.5</f>
        <v>18.608051455277405</v>
      </c>
      <c r="AC192" s="17">
        <f>IF(AB192&lt;4,4,AB192)</f>
        <v>18.608051455277405</v>
      </c>
      <c r="AD192" s="17">
        <f>IF(M192&lt;L192,((1-(M192/L192))*7)-0.07,(1-(M192/L192))*5)</f>
        <v>1.5684608370566242</v>
      </c>
      <c r="AE192" s="4">
        <f>+X192+AA192+AC192+AD192</f>
        <v>18.606512292334028</v>
      </c>
      <c r="AG192" s="5" t="s">
        <v>63</v>
      </c>
      <c r="AH192" s="219">
        <f>INDEX('C-P-RollAdj'!$J$4:$J$76,MATCH(INT(W192),'C-P-RollAdj'!$I$4:$I$76,FALSE),0)</f>
        <v>12</v>
      </c>
      <c r="AI192" s="219">
        <f>INDEX('C-P-RollAdj'!$J$4:$J$76,MATCH(INT(Z192),'C-P-RollAdj'!$I$4:$I$76,FALSE),0)</f>
        <v>36</v>
      </c>
      <c r="AJ192" s="14">
        <f>+AO192*LeagueRatings!$K$27</f>
        <v>61.111111111111114</v>
      </c>
      <c r="AK192" s="72">
        <f>F192*LeagueRatings!$K$27</f>
        <v>10</v>
      </c>
      <c r="AL192" s="72">
        <f>G192*LeagueRatings!$K$27</f>
        <v>10</v>
      </c>
      <c r="AM192" s="72">
        <f>T192*LeagueRatings!$K$27</f>
        <v>244.44444444444446</v>
      </c>
      <c r="AN192"/>
      <c r="AO192" s="72">
        <f>ROUNDUP(L192,0)</f>
        <v>110</v>
      </c>
    </row>
    <row r="193" spans="1:47" s="24" customFormat="1" x14ac:dyDescent="0.2">
      <c r="A193" s="41" t="s">
        <v>530</v>
      </c>
      <c r="B193" s="202" t="s">
        <v>164</v>
      </c>
      <c r="C193" s="202">
        <v>2</v>
      </c>
      <c r="D193" s="202">
        <v>6</v>
      </c>
      <c r="E193" s="185">
        <v>4.17</v>
      </c>
      <c r="F193" s="202">
        <v>13</v>
      </c>
      <c r="G193" s="202">
        <v>13</v>
      </c>
      <c r="H193" s="202">
        <v>0</v>
      </c>
      <c r="I193" s="202">
        <v>0</v>
      </c>
      <c r="J193" s="202">
        <v>0</v>
      </c>
      <c r="K193" s="202">
        <v>0</v>
      </c>
      <c r="L193" s="185">
        <v>73.33</v>
      </c>
      <c r="M193" s="202">
        <v>78</v>
      </c>
      <c r="N193" s="202">
        <v>42</v>
      </c>
      <c r="O193" s="202">
        <v>34</v>
      </c>
      <c r="P193" s="202">
        <v>13</v>
      </c>
      <c r="Q193" s="202">
        <v>24</v>
      </c>
      <c r="R193" s="202">
        <v>0</v>
      </c>
      <c r="S193" s="202">
        <v>54</v>
      </c>
      <c r="T193" s="202">
        <v>323</v>
      </c>
      <c r="U193" s="76"/>
      <c r="V193" s="50">
        <f>+(Q193-R193)/(T193-R193)*100</f>
        <v>7.4303405572755414</v>
      </c>
      <c r="W193" s="6">
        <f>IF(V193&lt;LeagueRatings!$K$10,((LeagueRatings!$K$10-V193)/LeagueRatings!$K$10)*36,(LeagueRatings!$K$10-V193)*6.48)</f>
        <v>5.1386849795414209</v>
      </c>
      <c r="X193" s="16">
        <f>INDEX('C-P-RollAdj'!$B$4:$B$76,MATCH(INT(W193),'C-P-RollAdj'!$A$4:$A$76,FALSE),0)</f>
        <v>-0.4</v>
      </c>
      <c r="Y193" s="16">
        <f>(P193/(T193-R193))*100</f>
        <v>4.0247678018575854</v>
      </c>
      <c r="Z193" s="6">
        <f>IF(Y193&lt;LeagueRatings!$K$8,((LeagueRatings!$K$8-Y193)/LeagueRatings!$K$8)*36,(LeagueRatings!$K$8-Y193)/LeagueRatings!$K$11)</f>
        <v>-6.5314196022782331</v>
      </c>
      <c r="AA193" s="16">
        <f>INDEX('C-P-RollAdj'!$F$4:$F$76,MATCH(INT(Z193),'C-P-RollAdj'!$E$4:$E$76,FALSE),0)</f>
        <v>0.61</v>
      </c>
      <c r="AB193" s="17">
        <f>+((LeagueRatings!$I$6-E193)*5)+9.5</f>
        <v>9.6580514552774037</v>
      </c>
      <c r="AC193" s="17">
        <f>IF(AB193&lt;4,4,AB193)</f>
        <v>9.6580514552774037</v>
      </c>
      <c r="AD193" s="17">
        <f>IF(M193&lt;L193,((1-(M193/L193))*7)-0.07,(1-(M193/L193))*5)</f>
        <v>-0.31842356470748734</v>
      </c>
      <c r="AE193" s="4">
        <f>+X193+AA193+AC193+AD193</f>
        <v>9.5496278905699157</v>
      </c>
      <c r="AG193" s="5" t="s">
        <v>34</v>
      </c>
      <c r="AH193" s="219">
        <f>INDEX('C-P-RollAdj'!$J$4:$J$76,MATCH(INT(W193),'C-P-RollAdj'!$I$4:$I$76,FALSE),0)</f>
        <v>15</v>
      </c>
      <c r="AI193" s="219">
        <f>INDEX('C-P-RollAdj'!$J$4:$J$76,MATCH(INT(Z193),'C-P-RollAdj'!$I$4:$I$76,FALSE),0)</f>
        <v>-21</v>
      </c>
      <c r="AJ193" s="14">
        <f>+AO193*LeagueRatings!$K$27</f>
        <v>41.111111111111114</v>
      </c>
      <c r="AK193" s="72">
        <f>F193*LeagueRatings!$K$27</f>
        <v>7.2222222222222223</v>
      </c>
      <c r="AL193" s="72">
        <f>G193*LeagueRatings!$K$27</f>
        <v>7.2222222222222223</v>
      </c>
      <c r="AM193" s="72">
        <f>T193*LeagueRatings!$K$27</f>
        <v>179.44444444444446</v>
      </c>
      <c r="AN193"/>
      <c r="AO193" s="72">
        <f>ROUNDUP(L193,0)</f>
        <v>74</v>
      </c>
      <c r="AP193" s="113"/>
      <c r="AQ193" s="113"/>
      <c r="AR193" s="113"/>
      <c r="AS193"/>
      <c r="AT193" s="97">
        <v>21.33</v>
      </c>
    </row>
    <row r="194" spans="1:47" x14ac:dyDescent="0.2">
      <c r="A194" s="9"/>
      <c r="B194" s="129"/>
      <c r="L194" s="157">
        <f>(L192/100)/((L192+L193)/100)</f>
        <v>0.5992896174863388</v>
      </c>
      <c r="T194" s="158"/>
      <c r="U194" s="158"/>
      <c r="V194" s="153"/>
      <c r="W194" s="152">
        <f>W192*L194</f>
        <v>1.7747617937519702</v>
      </c>
      <c r="X194" s="153"/>
      <c r="Y194" s="153"/>
      <c r="Z194" s="152">
        <f>Z192*L194</f>
        <v>10.855932548861849</v>
      </c>
      <c r="AA194" s="153"/>
      <c r="AB194" s="103"/>
      <c r="AC194" s="103"/>
      <c r="AD194" s="103"/>
      <c r="AE194" s="154">
        <f>AE192*L194</f>
        <v>11.150689634427721</v>
      </c>
      <c r="AG194" s="5"/>
      <c r="AH194" s="5"/>
      <c r="AI194" s="5"/>
      <c r="AJ194" s="103"/>
      <c r="AK194" s="72"/>
      <c r="AL194" s="72"/>
      <c r="AM194" s="72"/>
      <c r="AN194" s="30"/>
      <c r="AO194" s="14"/>
    </row>
    <row r="195" spans="1:47" x14ac:dyDescent="0.2">
      <c r="A195" s="9"/>
      <c r="B195" s="129"/>
      <c r="L195" s="157">
        <f>(L193/100)/((L192+L193)/100)</f>
        <v>0.40071038251366115</v>
      </c>
      <c r="T195" s="158"/>
      <c r="U195" s="158"/>
      <c r="V195" s="153"/>
      <c r="W195" s="152">
        <f>W193*L195</f>
        <v>2.0591244237692479</v>
      </c>
      <c r="X195" s="153"/>
      <c r="Y195" s="153"/>
      <c r="Z195" s="152">
        <f>Z193*L195</f>
        <v>-2.6172076471861354</v>
      </c>
      <c r="AA195" s="153"/>
      <c r="AB195" s="103"/>
      <c r="AC195" s="103"/>
      <c r="AD195" s="103"/>
      <c r="AE195" s="154">
        <f>AE193*L195</f>
        <v>3.8266350448933979</v>
      </c>
      <c r="AG195" s="5"/>
      <c r="AH195" s="5"/>
      <c r="AI195" s="5"/>
      <c r="AJ195" s="103"/>
      <c r="AK195" s="72"/>
      <c r="AL195" s="72"/>
      <c r="AM195" s="72"/>
      <c r="AN195" s="30"/>
      <c r="AO195" s="14"/>
    </row>
    <row r="196" spans="1:47" x14ac:dyDescent="0.2">
      <c r="A196" s="9"/>
      <c r="B196" s="129"/>
      <c r="T196" s="158"/>
      <c r="U196" s="158"/>
      <c r="V196" s="153"/>
      <c r="W196" s="152">
        <f>SUM(W194:W195)</f>
        <v>3.8338862175212181</v>
      </c>
      <c r="X196" s="153"/>
      <c r="Y196" s="153"/>
      <c r="Z196" s="152">
        <f>SUM(Z194:Z195)</f>
        <v>8.2387249016757131</v>
      </c>
      <c r="AA196" s="153"/>
      <c r="AB196" s="103"/>
      <c r="AC196" s="103"/>
      <c r="AD196" s="103"/>
      <c r="AE196" s="153">
        <f>SUM(AE194:AE195)</f>
        <v>14.977324679321118</v>
      </c>
      <c r="AF196" s="41" t="s">
        <v>530</v>
      </c>
      <c r="AG196" s="5" t="s">
        <v>21</v>
      </c>
      <c r="AH196" s="219">
        <f>INDEX('C-P-RollAdj'!$J$4:$J$76,MATCH(INT(W196),'C-P-RollAdj'!$I$4:$I$76,FALSE),0)</f>
        <v>13</v>
      </c>
      <c r="AI196" s="219">
        <f>INDEX('C-P-RollAdj'!$J$4:$J$76,MATCH(INT(Z196),'C-P-RollAdj'!$I$4:$I$76,FALSE),0)</f>
        <v>22</v>
      </c>
      <c r="AJ196" s="174">
        <f>SUM(AJ192:AJ195)</f>
        <v>102.22222222222223</v>
      </c>
      <c r="AK196" s="14">
        <f>SUM(AK192:AK195)</f>
        <v>17.222222222222221</v>
      </c>
      <c r="AL196" s="14">
        <f>SUM(AL192:AL195)</f>
        <v>17.222222222222221</v>
      </c>
      <c r="AM196" s="14">
        <f>SUM(AM192:AM195)</f>
        <v>423.88888888888891</v>
      </c>
      <c r="AN196" s="30"/>
      <c r="AO196" s="14"/>
    </row>
    <row r="197" spans="1:47" x14ac:dyDescent="0.2">
      <c r="B197" s="155"/>
      <c r="AK197" s="72"/>
      <c r="AL197" s="72"/>
      <c r="AM197" s="72"/>
      <c r="AN197" s="30"/>
      <c r="AO197" s="14"/>
    </row>
    <row r="198" spans="1:47" x14ac:dyDescent="0.2">
      <c r="A198" s="155" t="s">
        <v>1256</v>
      </c>
      <c r="B198" s="155" t="s">
        <v>244</v>
      </c>
      <c r="C198" s="202">
        <v>4</v>
      </c>
      <c r="D198" s="202">
        <v>7</v>
      </c>
      <c r="E198" s="185">
        <v>4.4800000000000004</v>
      </c>
      <c r="F198" s="202">
        <v>16</v>
      </c>
      <c r="G198" s="202">
        <v>16</v>
      </c>
      <c r="H198" s="202">
        <v>0</v>
      </c>
      <c r="I198" s="202">
        <v>0</v>
      </c>
      <c r="J198" s="202">
        <v>0</v>
      </c>
      <c r="K198" s="202">
        <v>0</v>
      </c>
      <c r="L198" s="185">
        <v>88.33</v>
      </c>
      <c r="M198" s="202">
        <v>85</v>
      </c>
      <c r="N198" s="202">
        <v>46</v>
      </c>
      <c r="O198" s="202">
        <v>44</v>
      </c>
      <c r="P198" s="202">
        <v>8</v>
      </c>
      <c r="Q198" s="202">
        <v>25</v>
      </c>
      <c r="R198" s="202">
        <v>0</v>
      </c>
      <c r="S198" s="202">
        <v>79</v>
      </c>
      <c r="T198" s="202">
        <v>372</v>
      </c>
      <c r="V198" s="50">
        <f>+(Q198-R198)/(T198-R198)*100</f>
        <v>6.7204301075268811</v>
      </c>
      <c r="W198" s="6">
        <f>IF(V198&lt;LeagueRatings!$K$21,((LeagueRatings!$K$21-V198)/LeagueRatings!$K$21)*36,(LeagueRatings!$K$21-V198)*6.48)</f>
        <v>8.977207330663278</v>
      </c>
      <c r="X198" s="16">
        <f>INDEX('C-P-RollAdj'!$B$4:$B$76,MATCH(INT(W198),'C-P-RollAdj'!$A$4:$A$76,FALSE),0)</f>
        <v>-0.65</v>
      </c>
      <c r="Y198" s="16">
        <f>(P198/(T198-R198))*100</f>
        <v>2.1505376344086025</v>
      </c>
      <c r="Z198" s="6">
        <f>IF(Y198&lt;LeagueRatings!$K$19,((LeagueRatings!$K$19-Y198)/LeagueRatings!$K$19)*36,(LeagueRatings!$K$19-Y198)/LeagueRatings!$K$22)</f>
        <v>9.3771155793432648</v>
      </c>
      <c r="AA198" s="16">
        <f>INDEX('C-P-RollAdj'!$F$4:$F$76,MATCH(INT(Z198),'C-P-RollAdj'!$E$4:$E$76,FALSE),0)</f>
        <v>-0.65</v>
      </c>
      <c r="AB198" s="17">
        <f>+((LeagueRatings!$I$17-E198)*5)+9.5</f>
        <v>7.9143872437063605</v>
      </c>
      <c r="AC198" s="17">
        <f>IF(AB198&lt;4,4,AB198)</f>
        <v>7.9143872437063605</v>
      </c>
      <c r="AD198" s="17">
        <f>IF(M198&lt;L198,((1-(M198/L198))*7)-0.07,(1-(M198/L198))*5)</f>
        <v>0.19389675082078589</v>
      </c>
      <c r="AE198" s="4">
        <f>+X198+AA198+AC198+AD198</f>
        <v>6.8082839945271463</v>
      </c>
      <c r="AG198" s="5" t="s">
        <v>24</v>
      </c>
      <c r="AH198" s="219">
        <f>INDEX('C-P-RollAdj'!$J$4:$J$76,MATCH(INT(W198),'C-P-RollAdj'!$I$4:$I$76,FALSE),0)</f>
        <v>22</v>
      </c>
      <c r="AI198" s="219">
        <f>INDEX('C-P-RollAdj'!$J$4:$J$76,MATCH(INT(Z198),'C-P-RollAdj'!$I$4:$I$76,FALSE),0)</f>
        <v>23</v>
      </c>
      <c r="AJ198" s="14">
        <f>+AO198*LeagueRatings!$K$27</f>
        <v>49.44444444444445</v>
      </c>
      <c r="AK198" s="72">
        <f>F198*LeagueRatings!$K$27</f>
        <v>8.8888888888888893</v>
      </c>
      <c r="AL198" s="72">
        <f>G198*LeagueRatings!$K$27</f>
        <v>8.8888888888888893</v>
      </c>
      <c r="AM198" s="72">
        <f>T198*LeagueRatings!$K$27</f>
        <v>206.66666666666669</v>
      </c>
      <c r="AN198" s="24"/>
      <c r="AO198" s="14">
        <f>ROUNDUP(L198,0)</f>
        <v>89</v>
      </c>
    </row>
    <row r="199" spans="1:47" x14ac:dyDescent="0.2">
      <c r="B199" s="155" t="s">
        <v>165</v>
      </c>
      <c r="C199" s="202">
        <v>0</v>
      </c>
      <c r="D199" s="202">
        <v>3</v>
      </c>
      <c r="E199" s="185">
        <v>6.66</v>
      </c>
      <c r="F199" s="202">
        <v>6</v>
      </c>
      <c r="G199" s="202">
        <v>5</v>
      </c>
      <c r="H199" s="202">
        <v>0</v>
      </c>
      <c r="I199" s="202">
        <v>0</v>
      </c>
      <c r="J199" s="202">
        <v>0</v>
      </c>
      <c r="K199" s="202">
        <v>0</v>
      </c>
      <c r="L199" s="185">
        <v>24.33</v>
      </c>
      <c r="M199" s="202">
        <v>31</v>
      </c>
      <c r="N199" s="202">
        <v>19</v>
      </c>
      <c r="O199" s="202">
        <v>18</v>
      </c>
      <c r="P199" s="202">
        <v>3</v>
      </c>
      <c r="Q199" s="202">
        <v>6</v>
      </c>
      <c r="R199" s="202">
        <v>1</v>
      </c>
      <c r="S199" s="202">
        <v>18</v>
      </c>
      <c r="T199" s="202">
        <v>106</v>
      </c>
      <c r="V199" s="50">
        <f>+(Q199-R199)/(T199-R199)*100</f>
        <v>4.7619047619047619</v>
      </c>
      <c r="W199" s="6">
        <f>IF(V199&lt;LeagueRatings!$K$21,((LeagueRatings!$K$21-V199)/LeagueRatings!$K$21)*36,(LeagueRatings!$K$21-V199)*6.48)</f>
        <v>16.85242119429855</v>
      </c>
      <c r="X199" s="16">
        <f>INDEX('C-P-RollAdj'!$B$4:$B$76,MATCH(INT(W199),'C-P-RollAdj'!$A$4:$A$76,FALSE),0)</f>
        <v>-1.39</v>
      </c>
      <c r="Y199" s="16">
        <f>(P199/(T199-R199))*100</f>
        <v>2.8571428571428572</v>
      </c>
      <c r="Z199" s="6">
        <f>IF(Y199&lt;LeagueRatings!$K$19,((LeagueRatings!$K$19-Y199)/LeagueRatings!$K$19)*36,(LeagueRatings!$K$19-Y199)/LeagueRatings!$K$22)</f>
        <v>0.62959641255605481</v>
      </c>
      <c r="AA199" s="16">
        <f>INDEX('C-P-RollAdj'!$F$4:$F$76,MATCH(INT(Z199),'C-P-RollAdj'!$E$4:$E$76,FALSE),0)</f>
        <v>0</v>
      </c>
      <c r="AB199" s="17">
        <f>+((LeagueRatings!$I$17-E199)*5)+9.5</f>
        <v>-2.9856127562936372</v>
      </c>
      <c r="AC199" s="17">
        <f>IF(AB199&lt;4,4,AB199)</f>
        <v>4</v>
      </c>
      <c r="AD199" s="17">
        <f>IF(M199&lt;L199,((1-(M199/L199))*7)-0.07,(1-(M199/L199))*5)</f>
        <v>-1.3707357172215373</v>
      </c>
      <c r="AE199" s="4">
        <f>+X199+AA199+AC199+AD199</f>
        <v>1.239264282778463</v>
      </c>
      <c r="AF199" s="24"/>
      <c r="AG199" s="5" t="s">
        <v>50</v>
      </c>
      <c r="AH199" s="219">
        <f>INDEX('C-P-RollAdj'!$J$4:$J$76,MATCH(INT(W199),'C-P-RollAdj'!$I$4:$I$76,FALSE),0)</f>
        <v>34</v>
      </c>
      <c r="AI199" s="219">
        <f>INDEX('C-P-RollAdj'!$J$4:$J$76,MATCH(INT(Z199),'C-P-RollAdj'!$I$4:$I$76,FALSE),0)</f>
        <v>0</v>
      </c>
      <c r="AJ199" s="14">
        <f>+AO199*LeagueRatings!$K$27</f>
        <v>13.888888888888889</v>
      </c>
      <c r="AK199" s="72">
        <f>F199*LeagueRatings!$K$27</f>
        <v>3.3333333333333335</v>
      </c>
      <c r="AL199" s="72">
        <f>G199*LeagueRatings!$K$27</f>
        <v>2.7777777777777777</v>
      </c>
      <c r="AM199" s="72">
        <f>T199*LeagueRatings!$K$27</f>
        <v>58.888888888888893</v>
      </c>
      <c r="AN199" s="24"/>
      <c r="AO199" s="14">
        <f>ROUNDUP(L199,0)</f>
        <v>25</v>
      </c>
    </row>
    <row r="200" spans="1:47" s="34" customFormat="1" x14ac:dyDescent="0.2">
      <c r="A200" s="41" t="s">
        <v>360</v>
      </c>
      <c r="B200" s="202" t="s">
        <v>143</v>
      </c>
      <c r="C200" s="202">
        <v>0</v>
      </c>
      <c r="D200" s="202">
        <v>0</v>
      </c>
      <c r="E200" s="185">
        <v>4.91</v>
      </c>
      <c r="F200" s="202">
        <v>2</v>
      </c>
      <c r="G200" s="202">
        <v>0</v>
      </c>
      <c r="H200" s="202">
        <v>0</v>
      </c>
      <c r="I200" s="202">
        <v>0</v>
      </c>
      <c r="J200" s="202">
        <v>0</v>
      </c>
      <c r="K200" s="202">
        <v>0</v>
      </c>
      <c r="L200" s="185">
        <v>3.67</v>
      </c>
      <c r="M200" s="202">
        <v>4</v>
      </c>
      <c r="N200" s="202">
        <v>2</v>
      </c>
      <c r="O200" s="202">
        <v>2</v>
      </c>
      <c r="P200" s="202">
        <v>2</v>
      </c>
      <c r="Q200" s="202">
        <v>1</v>
      </c>
      <c r="R200" s="202">
        <v>0</v>
      </c>
      <c r="S200" s="202">
        <v>3</v>
      </c>
      <c r="T200" s="202">
        <v>16</v>
      </c>
      <c r="U200" s="76"/>
      <c r="V200" s="50">
        <f>+(Q200-R200)/(T200-R200)*100</f>
        <v>6.25</v>
      </c>
      <c r="W200" s="6">
        <f>IF(V200&lt;LeagueRatings!$K$10,((LeagueRatings!$K$10-V200)/LeagueRatings!$K$10)*36,(LeagueRatings!$K$10-V200)*6.48)</f>
        <v>10.041133459353849</v>
      </c>
      <c r="X200" s="16">
        <f>INDEX('C-P-RollAdj'!$B$4:$B$76,MATCH(INT(W200),'C-P-RollAdj'!$A$4:$A$76,FALSE),0)</f>
        <v>-0.83000000000000007</v>
      </c>
      <c r="Y200" s="16">
        <f>(P200/(T200-R200))*100</f>
        <v>12.5</v>
      </c>
      <c r="Z200" s="6">
        <f>IF(Y200&lt;LeagueRatings!$K$8,((LeagueRatings!$K$8-Y200)/LeagueRatings!$K$8)*36,(LeagueRatings!$K$8-Y200)/LeagueRatings!$K$11)</f>
        <v>-73.828598940779969</v>
      </c>
      <c r="AA200" s="16">
        <v>4.8600000000000003</v>
      </c>
      <c r="AB200" s="17">
        <f>+((LeagueRatings!$I$6-E200)*5)+9.5</f>
        <v>5.9580514552774027</v>
      </c>
      <c r="AC200" s="17">
        <f>IF(AB200&lt;4,4,AB200)</f>
        <v>5.9580514552774027</v>
      </c>
      <c r="AD200" s="17">
        <f>IF(M200&lt;L200,((1-(M200/L200))*7)-0.07,(1-(M200/L200))*5)</f>
        <v>-0.44959128065395149</v>
      </c>
      <c r="AE200" s="4">
        <f>+X200+AA200+AC200+AD200</f>
        <v>9.5384601746234523</v>
      </c>
      <c r="AG200" s="5" t="s">
        <v>34</v>
      </c>
      <c r="AH200" s="219">
        <f>INDEX('C-P-RollAdj'!$J$4:$J$76,MATCH(INT(W200),'C-P-RollAdj'!$I$4:$I$76,FALSE),0)</f>
        <v>24</v>
      </c>
      <c r="AI200" s="219">
        <v>-66</v>
      </c>
      <c r="AJ200" s="14">
        <f>+AO200*LeagueRatings!$K$27</f>
        <v>2.2222222222222223</v>
      </c>
      <c r="AK200" s="72">
        <f>F200*LeagueRatings!$K$27</f>
        <v>1.1111111111111112</v>
      </c>
      <c r="AL200" s="72">
        <f>G200*LeagueRatings!$K$27</f>
        <v>0</v>
      </c>
      <c r="AM200" s="72">
        <f>T200*LeagueRatings!$K$27</f>
        <v>8.8888888888888893</v>
      </c>
      <c r="AN200" s="24"/>
      <c r="AO200" s="72">
        <f>ROUNDUP(L200,0)</f>
        <v>4</v>
      </c>
      <c r="AP200" s="113"/>
      <c r="AQ200" s="113"/>
      <c r="AR200" s="113"/>
      <c r="AS200" s="24"/>
      <c r="AT200" s="97">
        <v>26</v>
      </c>
      <c r="AU200" s="24"/>
    </row>
    <row r="201" spans="1:47" x14ac:dyDescent="0.2">
      <c r="A201" s="9"/>
      <c r="B201" s="129"/>
      <c r="L201" s="157">
        <f>(L198/100)/((L198+L199+L200)/100)</f>
        <v>0.75930542422418978</v>
      </c>
      <c r="T201" s="158"/>
      <c r="U201" s="158"/>
      <c r="V201" s="153"/>
      <c r="W201" s="152">
        <f>W198*L201</f>
        <v>6.8164422205577866</v>
      </c>
      <c r="X201" s="153"/>
      <c r="Y201" s="153"/>
      <c r="Z201" s="152">
        <f>Z198*L201</f>
        <v>7.1200947229724969</v>
      </c>
      <c r="AA201" s="153"/>
      <c r="AB201" s="103"/>
      <c r="AC201" s="103"/>
      <c r="AD201" s="103"/>
      <c r="AE201" s="152">
        <f>AE198*L201</f>
        <v>5.1695669667031963</v>
      </c>
      <c r="AJ201" s="103"/>
      <c r="AK201" s="72"/>
      <c r="AL201" s="72"/>
      <c r="AM201" s="72"/>
      <c r="AN201" s="30"/>
      <c r="AO201" s="14"/>
    </row>
    <row r="202" spans="1:47" x14ac:dyDescent="0.2">
      <c r="A202" s="9"/>
      <c r="B202" s="129"/>
      <c r="L202" s="157">
        <f>(L199/100)/((L198+L199+L200)/100)</f>
        <v>0.20914639387948078</v>
      </c>
      <c r="T202" s="158"/>
      <c r="U202" s="158"/>
      <c r="V202" s="153"/>
      <c r="W202" s="152">
        <f>W199*L202</f>
        <v>3.5246231209256744</v>
      </c>
      <c r="X202" s="153"/>
      <c r="Y202" s="153"/>
      <c r="Z202" s="152">
        <f>Z199*L202</f>
        <v>0.13167781928555672</v>
      </c>
      <c r="AA202" s="153"/>
      <c r="AB202" s="103"/>
      <c r="AC202" s="103"/>
      <c r="AD202" s="103"/>
      <c r="AE202" s="152">
        <f>AE199*L202</f>
        <v>0.25918765580675668</v>
      </c>
      <c r="AJ202" s="103"/>
      <c r="AK202" s="72"/>
      <c r="AL202" s="72"/>
      <c r="AM202" s="72"/>
      <c r="AN202" s="30"/>
      <c r="AO202" s="14"/>
    </row>
    <row r="203" spans="1:47" x14ac:dyDescent="0.2">
      <c r="A203" s="9"/>
      <c r="B203" s="129"/>
      <c r="L203" s="157">
        <f>(L200/100)/((L198+L199+L200)/100)</f>
        <v>3.1548181896329408E-2</v>
      </c>
      <c r="T203" s="158"/>
      <c r="U203" s="158"/>
      <c r="V203" s="153"/>
      <c r="W203" s="152">
        <f>W200*L203</f>
        <v>0.31677950482101458</v>
      </c>
      <c r="X203" s="153"/>
      <c r="Y203" s="153"/>
      <c r="Z203" s="152">
        <f>Z200*L203</f>
        <v>-2.3291580685348792</v>
      </c>
      <c r="AA203" s="153"/>
      <c r="AB203" s="103"/>
      <c r="AC203" s="103"/>
      <c r="AD203" s="103"/>
      <c r="AE203" s="152">
        <f>AE200*L203</f>
        <v>0.30092107659991463</v>
      </c>
      <c r="AJ203" s="174"/>
      <c r="AK203" s="72"/>
      <c r="AL203" s="72"/>
      <c r="AM203" s="72"/>
      <c r="AN203" s="30"/>
      <c r="AO203" s="14"/>
    </row>
    <row r="204" spans="1:47" x14ac:dyDescent="0.2">
      <c r="A204" s="9"/>
      <c r="B204" s="129"/>
      <c r="L204" s="194"/>
      <c r="M204" s="193"/>
      <c r="N204" s="193"/>
      <c r="O204" s="193"/>
      <c r="P204" s="193"/>
      <c r="Q204" s="193"/>
      <c r="R204" s="193"/>
      <c r="S204" s="193"/>
      <c r="T204" s="193"/>
      <c r="U204" s="193"/>
      <c r="V204" s="193"/>
      <c r="W204" s="195">
        <f>SUM(W201:W203)</f>
        <v>10.657844846304474</v>
      </c>
      <c r="X204" s="193"/>
      <c r="Y204" s="193"/>
      <c r="Z204" s="195">
        <f>SUM(Z201:Z203)</f>
        <v>4.9226144737231738</v>
      </c>
      <c r="AA204" s="193"/>
      <c r="AB204" s="193"/>
      <c r="AC204" s="193"/>
      <c r="AD204" s="193"/>
      <c r="AE204" s="164">
        <f>SUM(AE201:AE203)</f>
        <v>5.7296756991098672</v>
      </c>
      <c r="AF204" s="41" t="s">
        <v>360</v>
      </c>
      <c r="AG204" s="9" t="s">
        <v>24</v>
      </c>
      <c r="AH204" s="219">
        <f>INDEX('C-P-RollAdj'!$J$4:$J$76,MATCH(INT(W204),'C-P-RollAdj'!$I$4:$I$76,FALSE),0)</f>
        <v>24</v>
      </c>
      <c r="AI204" s="219">
        <f>INDEX('C-P-RollAdj'!$J$4:$J$76,MATCH(INT(Z204),'C-P-RollAdj'!$I$4:$I$76,FALSE),0)</f>
        <v>14</v>
      </c>
      <c r="AJ204" s="167">
        <f>SUM(AJ198:AJ203)</f>
        <v>65.555555555555571</v>
      </c>
      <c r="AK204" s="72">
        <f>SUM(AK198:AK203)</f>
        <v>13.333333333333334</v>
      </c>
      <c r="AL204" s="72">
        <f>SUM(AL198:AL203)</f>
        <v>11.666666666666668</v>
      </c>
      <c r="AM204" s="72">
        <f>SUM(AM198:AM203)</f>
        <v>274.44444444444451</v>
      </c>
      <c r="AN204" s="30"/>
      <c r="AO204" s="14"/>
    </row>
    <row r="205" spans="1:47" x14ac:dyDescent="0.2">
      <c r="A205" s="204"/>
      <c r="AK205" s="72"/>
      <c r="AL205" s="72"/>
      <c r="AM205" s="72"/>
      <c r="AN205" s="30"/>
      <c r="AO205" s="14"/>
    </row>
    <row r="206" spans="1:47" x14ac:dyDescent="0.2">
      <c r="A206" s="204" t="s">
        <v>895</v>
      </c>
      <c r="B206" s="196" t="s">
        <v>162</v>
      </c>
      <c r="C206" s="202">
        <v>9</v>
      </c>
      <c r="D206" s="202">
        <v>5</v>
      </c>
      <c r="E206" s="185">
        <v>3.56</v>
      </c>
      <c r="F206" s="202">
        <v>21</v>
      </c>
      <c r="G206" s="202">
        <v>21</v>
      </c>
      <c r="H206" s="202">
        <v>1</v>
      </c>
      <c r="I206" s="202">
        <v>0</v>
      </c>
      <c r="J206" s="202">
        <v>0</v>
      </c>
      <c r="K206" s="202">
        <v>0</v>
      </c>
      <c r="L206" s="185">
        <v>136.66999999999999</v>
      </c>
      <c r="M206" s="202">
        <v>123</v>
      </c>
      <c r="N206" s="202">
        <v>55</v>
      </c>
      <c r="O206" s="202">
        <v>54</v>
      </c>
      <c r="P206" s="202">
        <v>14</v>
      </c>
      <c r="Q206" s="202">
        <v>34</v>
      </c>
      <c r="R206" s="202">
        <v>4</v>
      </c>
      <c r="S206" s="202">
        <v>90</v>
      </c>
      <c r="T206" s="202">
        <v>556</v>
      </c>
      <c r="V206" s="50">
        <f>+(Q206-R206)/(T206-R206)*100</f>
        <v>5.4347826086956523</v>
      </c>
      <c r="W206" s="6">
        <f>IF(V206&lt;LeagueRatings!$K$21,((LeagueRatings!$K$21-V206)/LeagueRatings!$K$21)*36,(LeagueRatings!$K$21-V206)*6.48)</f>
        <v>14.146785058710302</v>
      </c>
      <c r="X206" s="16">
        <f>INDEX('C-P-RollAdj'!$B$4:$B$76,MATCH(INT(W206),'C-P-RollAdj'!$A$4:$A$76,FALSE),0)</f>
        <v>-1.19</v>
      </c>
      <c r="Y206" s="16">
        <f>(P206/(T206-R206))*100</f>
        <v>2.5362318840579712</v>
      </c>
      <c r="Z206" s="6">
        <f>IF(Y206&lt;LeagueRatings!$K$19,((LeagueRatings!$K$19-Y206)/LeagueRatings!$K$19)*36,(LeagueRatings!$K$19-Y206)/LeagueRatings!$K$22)</f>
        <v>4.6023591343341783</v>
      </c>
      <c r="AA206" s="16">
        <f>INDEX('C-P-RollAdj'!$F$4:$F$76,MATCH(INT(Z206),'C-P-RollAdj'!$E$4:$E$76,FALSE),0)</f>
        <v>-0.28000000000000003</v>
      </c>
      <c r="AB206" s="17">
        <f>+((LeagueRatings!$I$17-E206)*5)+9.5</f>
        <v>12.514387243706363</v>
      </c>
      <c r="AC206" s="17">
        <f>IF(AB206&lt;4,4,AB206)</f>
        <v>12.514387243706363</v>
      </c>
      <c r="AD206" s="17">
        <f>IF(M206&lt;L206,((1-(M206/L206))*7)-0.07,(1-(M206/L206))*5)</f>
        <v>0.63015365478890684</v>
      </c>
      <c r="AE206" s="4">
        <f>+X206+AA206+AC206+AD206</f>
        <v>11.67454089849527</v>
      </c>
      <c r="AG206" s="58">
        <v>11</v>
      </c>
      <c r="AH206" s="219">
        <f>INDEX('C-P-RollAdj'!$J$4:$J$76,MATCH(INT(W206),'C-P-RollAdj'!$I$4:$I$76,FALSE),0)</f>
        <v>32</v>
      </c>
      <c r="AI206" s="219">
        <f>INDEX('C-P-RollAdj'!$J$4:$J$76,MATCH(INT(Z206),'C-P-RollAdj'!$I$4:$I$76,FALSE),0)</f>
        <v>14</v>
      </c>
      <c r="AJ206" s="14">
        <f>+AO206*LeagueRatings!$K$27</f>
        <v>76.111111111111114</v>
      </c>
      <c r="AK206" s="72">
        <f>F206*LeagueRatings!$K$27</f>
        <v>11.666666666666668</v>
      </c>
      <c r="AL206" s="72">
        <f>G206*LeagueRatings!$K$27</f>
        <v>11.666666666666668</v>
      </c>
      <c r="AM206" s="72">
        <f>T206*LeagueRatings!$K$27</f>
        <v>308.88888888888891</v>
      </c>
      <c r="AN206" s="24"/>
      <c r="AO206" s="14">
        <f>ROUNDUP(L206,0)</f>
        <v>137</v>
      </c>
    </row>
    <row r="207" spans="1:47" s="24" customFormat="1" x14ac:dyDescent="0.2">
      <c r="A207" s="41" t="s">
        <v>361</v>
      </c>
      <c r="B207" s="202" t="s">
        <v>171</v>
      </c>
      <c r="C207" s="202">
        <v>2</v>
      </c>
      <c r="D207" s="202">
        <v>5</v>
      </c>
      <c r="E207" s="185">
        <v>4.07</v>
      </c>
      <c r="F207" s="202">
        <v>9</v>
      </c>
      <c r="G207" s="202">
        <v>9</v>
      </c>
      <c r="H207" s="202">
        <v>1</v>
      </c>
      <c r="I207" s="202">
        <v>1</v>
      </c>
      <c r="J207" s="202">
        <v>0</v>
      </c>
      <c r="K207" s="202">
        <v>0</v>
      </c>
      <c r="L207" s="185">
        <v>55.33</v>
      </c>
      <c r="M207" s="202">
        <v>51</v>
      </c>
      <c r="N207" s="202">
        <v>25</v>
      </c>
      <c r="O207" s="202">
        <v>25</v>
      </c>
      <c r="P207" s="202">
        <v>8</v>
      </c>
      <c r="Q207" s="202">
        <v>15</v>
      </c>
      <c r="R207" s="202">
        <v>1</v>
      </c>
      <c r="S207" s="202">
        <v>29</v>
      </c>
      <c r="T207" s="202">
        <v>222</v>
      </c>
      <c r="U207" s="76"/>
      <c r="V207" s="50">
        <f>+(Q207-R207)/(T207-R207)*100</f>
        <v>6.3348416289592757</v>
      </c>
      <c r="W207" s="6">
        <f>IF(V207&lt;LeagueRatings!$K$21,((LeagueRatings!$K$21-V207)/LeagueRatings!$K$21)*36,(LeagueRatings!$K$21-V207)*6.48)</f>
        <v>10.527655344451466</v>
      </c>
      <c r="X207" s="16">
        <f>INDEX('C-P-RollAdj'!$B$4:$B$76,MATCH(INT(W207),'C-P-RollAdj'!$A$4:$A$76,FALSE),0)</f>
        <v>-0.83000000000000007</v>
      </c>
      <c r="Y207" s="16">
        <f>(P207/(T207-R207))*100</f>
        <v>3.6199095022624439</v>
      </c>
      <c r="Z207" s="6">
        <f>IF(Y207&lt;LeagueRatings!$K$19,((LeagueRatings!$K$19-Y207)/LeagueRatings!$K$19)*36,(LeagueRatings!$K$19-Y207)/LeagueRatings!$K$22)</f>
        <v>-5.7522127800463556</v>
      </c>
      <c r="AA207" s="16">
        <f>INDEX('C-P-RollAdj'!$F$4:$F$76,MATCH(INT(Z207),'C-P-RollAdj'!$E$4:$E$76,FALSE),0)</f>
        <v>0.51</v>
      </c>
      <c r="AB207" s="17">
        <f>+((LeagueRatings!$I$17-E207)*5)+9.5</f>
        <v>9.9643872437063621</v>
      </c>
      <c r="AC207" s="17">
        <f>IF(AB207&lt;4,4,AB207)</f>
        <v>9.9643872437063621</v>
      </c>
      <c r="AD207" s="17">
        <f>IF(M207&lt;L207,((1-(M207/L207))*7)-0.07,(1-(M207/L207))*5)</f>
        <v>0.47780408458340856</v>
      </c>
      <c r="AE207" s="4">
        <f>+X207+AA207+AC207+AD207</f>
        <v>10.12219132828977</v>
      </c>
      <c r="AG207" s="58">
        <v>10</v>
      </c>
      <c r="AH207" s="219">
        <f>INDEX('C-P-RollAdj'!$J$4:$J$76,MATCH(INT(W207),'C-P-RollAdj'!$I$4:$I$76,FALSE),0)</f>
        <v>24</v>
      </c>
      <c r="AI207" s="219">
        <f>INDEX('C-P-RollAdj'!$J$4:$J$76,MATCH(INT(Z207),'C-P-RollAdj'!$I$4:$I$76,FALSE),0)</f>
        <v>-16</v>
      </c>
      <c r="AJ207" s="14">
        <f>+AO207*LeagueRatings!$K$27</f>
        <v>31.111111111111114</v>
      </c>
      <c r="AK207" s="72">
        <f>F207*LeagueRatings!$K$27</f>
        <v>5</v>
      </c>
      <c r="AL207" s="72">
        <f>G207*LeagueRatings!$K$27</f>
        <v>5</v>
      </c>
      <c r="AM207" s="72">
        <f>T207*LeagueRatings!$K$27</f>
        <v>123.33333333333334</v>
      </c>
      <c r="AO207" s="14">
        <f>ROUNDUP(L207,0)</f>
        <v>56</v>
      </c>
    </row>
    <row r="208" spans="1:47" x14ac:dyDescent="0.2">
      <c r="A208" s="9"/>
      <c r="B208" s="129"/>
      <c r="L208" s="157">
        <f>(L206/100)/((L206+L207)/100)</f>
        <v>0.71182291666666664</v>
      </c>
      <c r="T208" s="158"/>
      <c r="U208" s="158"/>
      <c r="V208" s="153"/>
      <c r="W208" s="152">
        <f>W206*L208</f>
        <v>10.070005801947588</v>
      </c>
      <c r="X208" s="153"/>
      <c r="Y208" s="153"/>
      <c r="Z208" s="152">
        <f>Z206*L208</f>
        <v>3.2760647025492298</v>
      </c>
      <c r="AA208" s="153"/>
      <c r="AB208" s="103"/>
      <c r="AC208" s="103"/>
      <c r="AD208" s="103"/>
      <c r="AE208" s="154">
        <f>AE206*L208</f>
        <v>8.3102057531111893</v>
      </c>
      <c r="AG208" s="5"/>
      <c r="AH208" s="5"/>
      <c r="AI208" s="5"/>
      <c r="AJ208" s="103"/>
      <c r="AK208" s="72"/>
      <c r="AL208" s="72"/>
      <c r="AM208" s="72"/>
      <c r="AN208" s="30"/>
      <c r="AO208" s="14"/>
    </row>
    <row r="209" spans="1:46" x14ac:dyDescent="0.2">
      <c r="A209" s="9"/>
      <c r="B209" s="129"/>
      <c r="L209" s="157">
        <f>(L207/100)/((L206+L207)/100)</f>
        <v>0.28817708333333336</v>
      </c>
      <c r="T209" s="158"/>
      <c r="U209" s="158"/>
      <c r="V209" s="153"/>
      <c r="W209" s="152">
        <f>W207*L209</f>
        <v>3.0338290115026023</v>
      </c>
      <c r="X209" s="153"/>
      <c r="Y209" s="153"/>
      <c r="Z209" s="152">
        <f>Z207*L209</f>
        <v>-1.6576559016664838</v>
      </c>
      <c r="AA209" s="153"/>
      <c r="AB209" s="103"/>
      <c r="AC209" s="103"/>
      <c r="AD209" s="103"/>
      <c r="AE209" s="154">
        <f>AE207*L209</f>
        <v>2.9169835739285053</v>
      </c>
      <c r="AG209" s="5"/>
      <c r="AH209" s="5"/>
      <c r="AI209" s="5"/>
      <c r="AJ209" s="103"/>
      <c r="AK209" s="72"/>
      <c r="AL209" s="72"/>
      <c r="AM209" s="72"/>
      <c r="AN209" s="30"/>
      <c r="AO209" s="14"/>
    </row>
    <row r="210" spans="1:46" x14ac:dyDescent="0.2">
      <c r="A210" s="9"/>
      <c r="B210" s="129"/>
      <c r="T210" s="158"/>
      <c r="U210" s="158"/>
      <c r="V210" s="153"/>
      <c r="W210" s="152">
        <f>SUM(W208:W209)</f>
        <v>13.10383481345019</v>
      </c>
      <c r="X210" s="153"/>
      <c r="Y210" s="153"/>
      <c r="Z210" s="152">
        <f>SUM(Z208:Z209)</f>
        <v>1.618408800882746</v>
      </c>
      <c r="AA210" s="153"/>
      <c r="AB210" s="103"/>
      <c r="AC210" s="103"/>
      <c r="AD210" s="103"/>
      <c r="AE210" s="153">
        <f>SUM(AE208:AE209)</f>
        <v>11.227189327039694</v>
      </c>
      <c r="AF210" s="41" t="s">
        <v>361</v>
      </c>
      <c r="AG210" s="5" t="s">
        <v>68</v>
      </c>
      <c r="AH210" s="219">
        <f>INDEX('C-P-RollAdj'!$J$4:$J$76,MATCH(INT(W210),'C-P-RollAdj'!$I$4:$I$76,FALSE),0)</f>
        <v>31</v>
      </c>
      <c r="AI210" s="219">
        <f>INDEX('C-P-RollAdj'!$J$4:$J$76,MATCH(INT(Z210),'C-P-RollAdj'!$I$4:$I$76,FALSE),0)</f>
        <v>11</v>
      </c>
      <c r="AJ210" s="174">
        <f>SUM(AJ206:AJ209)</f>
        <v>107.22222222222223</v>
      </c>
      <c r="AK210" s="14">
        <f>SUM(AK206:AK209)</f>
        <v>16.666666666666668</v>
      </c>
      <c r="AL210" s="14">
        <f>SUM(AL206:AL209)</f>
        <v>16.666666666666668</v>
      </c>
      <c r="AM210" s="14">
        <f>SUM(AM206:AM209)</f>
        <v>432.22222222222229</v>
      </c>
      <c r="AN210" s="30"/>
      <c r="AO210" s="14"/>
    </row>
    <row r="211" spans="1:46" x14ac:dyDescent="0.2">
      <c r="B211" s="155"/>
      <c r="AK211" s="72"/>
      <c r="AL211" s="72"/>
      <c r="AM211" s="72"/>
      <c r="AN211" s="30"/>
      <c r="AO211" s="14"/>
    </row>
    <row r="212" spans="1:46" x14ac:dyDescent="0.2">
      <c r="A212" s="155" t="s">
        <v>837</v>
      </c>
      <c r="B212" s="155" t="s">
        <v>154</v>
      </c>
      <c r="C212" s="202">
        <v>0</v>
      </c>
      <c r="D212" s="202">
        <v>4</v>
      </c>
      <c r="E212" s="185">
        <v>6.35</v>
      </c>
      <c r="F212" s="202">
        <v>10</v>
      </c>
      <c r="G212" s="202">
        <v>0</v>
      </c>
      <c r="H212" s="202">
        <v>0</v>
      </c>
      <c r="I212" s="202">
        <v>0</v>
      </c>
      <c r="J212" s="202">
        <v>0</v>
      </c>
      <c r="K212" s="202">
        <v>0</v>
      </c>
      <c r="L212" s="185">
        <v>11.33</v>
      </c>
      <c r="M212" s="202">
        <v>11</v>
      </c>
      <c r="N212" s="202">
        <v>9</v>
      </c>
      <c r="O212" s="202">
        <v>8</v>
      </c>
      <c r="P212" s="202">
        <v>1</v>
      </c>
      <c r="Q212" s="202">
        <v>9</v>
      </c>
      <c r="R212" s="202">
        <v>2</v>
      </c>
      <c r="S212" s="202">
        <v>7</v>
      </c>
      <c r="T212" s="202">
        <v>54</v>
      </c>
      <c r="V212" s="50">
        <f>+(Q212-R212)/(T212-R212)*100</f>
        <v>13.461538461538462</v>
      </c>
      <c r="W212" s="6">
        <f>IF(V212&lt;LeagueRatings!$K$10,((LeagueRatings!$K$10-V212)/LeagueRatings!$K$10)*36,(LeagueRatings!$K$10-V212)*6.48)</f>
        <v>-31.064988736575572</v>
      </c>
      <c r="X212" s="16">
        <f>INDEX('C-P-RollAdj'!$B$4:$B$76,MATCH(INT(W212),'C-P-RollAdj'!$A$4:$A$76,FALSE),0)</f>
        <v>4.5999999999999996</v>
      </c>
      <c r="Y212" s="16">
        <f>(P212/(T212-R212))*100</f>
        <v>1.9230769230769231</v>
      </c>
      <c r="Z212" s="6">
        <f>IF(Y212&lt;LeagueRatings!$K$8,((LeagueRatings!$K$8-Y212)/LeagueRatings!$K$8)*36,(LeagueRatings!$K$8-Y212)/LeagueRatings!$K$11)</f>
        <v>14.38036809815951</v>
      </c>
      <c r="AA212" s="16">
        <f>INDEX('C-P-RollAdj'!$F$4:$F$76,MATCH(INT(Z212),'C-P-RollAdj'!$E$4:$E$76,FALSE),0)</f>
        <v>-1.05</v>
      </c>
      <c r="AB212" s="17">
        <f>+((LeagueRatings!$I$6-E212)*5)+9.5</f>
        <v>-1.2419485447225949</v>
      </c>
      <c r="AC212" s="17">
        <f>IF(AB212&lt;4,4,AB212)</f>
        <v>4</v>
      </c>
      <c r="AD212" s="17">
        <f>IF(M212&lt;L212,((1-(M212/L212))*7)-0.07,(1-(M212/L212))*5)</f>
        <v>0.13388349514563097</v>
      </c>
      <c r="AE212" s="4">
        <f>+X212+AA212+AC212+AD212</f>
        <v>7.683883495145631</v>
      </c>
      <c r="AG212" s="5" t="s">
        <v>34</v>
      </c>
      <c r="AH212" s="219">
        <f>INDEX('C-P-RollAdj'!$J$4:$J$76,MATCH(INT(W212),'C-P-RollAdj'!$I$4:$I$76,FALSE),0)</f>
        <v>-62</v>
      </c>
      <c r="AI212" s="219">
        <f>INDEX('C-P-RollAdj'!$J$4:$J$76,MATCH(INT(Z212),'C-P-RollAdj'!$I$4:$I$76,FALSE),0)</f>
        <v>32</v>
      </c>
      <c r="AJ212" s="14">
        <f>+AO212*LeagueRatings!$K$27</f>
        <v>6.666666666666667</v>
      </c>
      <c r="AK212" s="72">
        <f>F212*LeagueRatings!$K$27</f>
        <v>5.5555555555555554</v>
      </c>
      <c r="AL212" s="72">
        <f>G212*LeagueRatings!$K$27</f>
        <v>0</v>
      </c>
      <c r="AM212" s="72">
        <f>T212*LeagueRatings!$K$27</f>
        <v>30</v>
      </c>
      <c r="AN212"/>
      <c r="AO212" s="72">
        <f>ROUNDUP(L212,0)</f>
        <v>12</v>
      </c>
    </row>
    <row r="213" spans="1:46" s="12" customFormat="1" x14ac:dyDescent="0.2">
      <c r="A213" s="41" t="s">
        <v>818</v>
      </c>
      <c r="B213" s="202" t="s">
        <v>159</v>
      </c>
      <c r="C213" s="202">
        <v>0</v>
      </c>
      <c r="D213" s="202">
        <v>1</v>
      </c>
      <c r="E213" s="185">
        <v>14.73</v>
      </c>
      <c r="F213" s="202">
        <v>3</v>
      </c>
      <c r="G213" s="202">
        <v>0</v>
      </c>
      <c r="H213" s="202">
        <v>0</v>
      </c>
      <c r="I213" s="202">
        <v>0</v>
      </c>
      <c r="J213" s="202">
        <v>0</v>
      </c>
      <c r="K213" s="202">
        <v>1</v>
      </c>
      <c r="L213" s="185">
        <v>3.67</v>
      </c>
      <c r="M213" s="202">
        <v>8</v>
      </c>
      <c r="N213" s="202">
        <v>6</v>
      </c>
      <c r="O213" s="202">
        <v>6</v>
      </c>
      <c r="P213" s="202">
        <v>1</v>
      </c>
      <c r="Q213" s="202">
        <v>0</v>
      </c>
      <c r="R213" s="202">
        <v>0</v>
      </c>
      <c r="S213" s="202">
        <v>2</v>
      </c>
      <c r="T213" s="202">
        <v>20</v>
      </c>
      <c r="U213" s="76"/>
      <c r="V213" s="50">
        <f>+(Q213-R213)/(T213-R213)*100</f>
        <v>0</v>
      </c>
      <c r="W213" s="6">
        <f>IF(V213&lt;LeagueRatings!$K$21,((LeagueRatings!$K$21-V213)/LeagueRatings!$K$21)*36,(LeagueRatings!$K$21-V213)*6.48)</f>
        <v>36</v>
      </c>
      <c r="X213" s="16">
        <f>INDEX('C-P-RollAdj'!$B$4:$B$76,MATCH(INT(W213),'C-P-RollAdj'!$A$4:$A$76,FALSE),0)</f>
        <v>-3.62</v>
      </c>
      <c r="Y213" s="16">
        <f>(P213/(T213-R213))*100</f>
        <v>5</v>
      </c>
      <c r="Z213" s="6">
        <f>IF(Y213&lt;LeagueRatings!$K$19,((LeagueRatings!$K$19-Y213)/LeagueRatings!$K$19)*36,(LeagueRatings!$K$19-Y213)/LeagueRatings!$K$22)</f>
        <v>-16.903317073170733</v>
      </c>
      <c r="AA213" s="16">
        <f>INDEX('C-P-RollAdj'!$F$4:$F$76,MATCH(INT(Z213),'C-P-RollAdj'!$E$4:$E$76,FALSE),0)</f>
        <v>1.76</v>
      </c>
      <c r="AB213" s="17">
        <f>+((LeagueRatings!$I$17-E213)*5)+9.5</f>
        <v>-43.335612756293635</v>
      </c>
      <c r="AC213" s="17">
        <f>IF(AB213&lt;4,4,AB213)</f>
        <v>4</v>
      </c>
      <c r="AD213" s="17">
        <f>IF(M213&lt;L213,((1-(M213/L213))*7)-0.07,(1-(M213/L213))*5)</f>
        <v>-5.899182561307903</v>
      </c>
      <c r="AE213" s="4">
        <f>+X213+AA213+AC213+AD213</f>
        <v>-3.7591825613079033</v>
      </c>
      <c r="AG213" s="5" t="s">
        <v>26</v>
      </c>
      <c r="AH213" s="219">
        <f>INDEX('C-P-RollAdj'!$J$4:$J$76,MATCH(INT(W213),'C-P-RollAdj'!$I$4:$I$76,FALSE),0)</f>
        <v>66</v>
      </c>
      <c r="AI213" s="219">
        <f>INDEX('C-P-RollAdj'!$J$4:$J$76,MATCH(INT(Z213),'C-P-RollAdj'!$I$4:$I$76,FALSE),0)</f>
        <v>-35</v>
      </c>
      <c r="AJ213" s="14">
        <f>+AO213*LeagueRatings!$K$27</f>
        <v>2.2222222222222223</v>
      </c>
      <c r="AK213" s="72">
        <f>F213*LeagueRatings!$K$27</f>
        <v>1.6666666666666667</v>
      </c>
      <c r="AL213" s="72">
        <f>G213*LeagueRatings!$K$27</f>
        <v>0</v>
      </c>
      <c r="AM213" s="72">
        <f>T213*LeagueRatings!$K$27</f>
        <v>11.111111111111111</v>
      </c>
      <c r="AO213" s="14">
        <f>ROUNDUP(L213,0)</f>
        <v>4</v>
      </c>
    </row>
    <row r="214" spans="1:46" x14ac:dyDescent="0.2">
      <c r="A214" s="9"/>
      <c r="B214" s="129"/>
      <c r="L214" s="157">
        <f>(L212/100)/((L212+L213)/100)</f>
        <v>0.7553333333333333</v>
      </c>
      <c r="T214" s="158"/>
      <c r="U214" s="158"/>
      <c r="V214" s="153"/>
      <c r="W214" s="152">
        <f>W212*L214</f>
        <v>-23.464421492360081</v>
      </c>
      <c r="X214" s="153"/>
      <c r="Y214" s="153"/>
      <c r="Z214" s="152">
        <f>Z212*L214</f>
        <v>10.861971370143149</v>
      </c>
      <c r="AA214" s="153"/>
      <c r="AB214" s="103"/>
      <c r="AC214" s="103"/>
      <c r="AD214" s="103"/>
      <c r="AE214" s="154">
        <f>AE212*L214</f>
        <v>5.8038933333333329</v>
      </c>
      <c r="AG214" s="5"/>
      <c r="AH214" s="5"/>
      <c r="AI214" s="5"/>
      <c r="AJ214" s="103"/>
      <c r="AK214" s="72"/>
      <c r="AL214" s="72"/>
      <c r="AM214" s="72"/>
      <c r="AN214" s="30"/>
      <c r="AO214" s="14"/>
    </row>
    <row r="215" spans="1:46" x14ac:dyDescent="0.2">
      <c r="A215" s="9"/>
      <c r="B215" s="129"/>
      <c r="L215" s="157">
        <f>(L213/100)/((L212+L213)/100)</f>
        <v>0.24466666666666664</v>
      </c>
      <c r="T215" s="158"/>
      <c r="U215" s="158"/>
      <c r="V215" s="153"/>
      <c r="W215" s="152">
        <f>W213*L215</f>
        <v>8.8079999999999998</v>
      </c>
      <c r="X215" s="153"/>
      <c r="Y215" s="153"/>
      <c r="Z215" s="152">
        <f>Z213*L215</f>
        <v>-4.1356782439024391</v>
      </c>
      <c r="AA215" s="153"/>
      <c r="AB215" s="103"/>
      <c r="AC215" s="103"/>
      <c r="AD215" s="103"/>
      <c r="AE215" s="154">
        <f>AE213*L215</f>
        <v>-0.91974666666666693</v>
      </c>
      <c r="AG215" s="5"/>
      <c r="AH215" s="5"/>
      <c r="AI215" s="5"/>
      <c r="AJ215" s="103"/>
      <c r="AK215" s="72"/>
      <c r="AL215" s="72"/>
      <c r="AM215" s="72"/>
      <c r="AN215" s="30"/>
      <c r="AO215" s="14"/>
    </row>
    <row r="216" spans="1:46" x14ac:dyDescent="0.2">
      <c r="A216" s="9"/>
      <c r="B216" s="129"/>
      <c r="T216" s="158"/>
      <c r="U216" s="158"/>
      <c r="V216" s="153"/>
      <c r="W216" s="152">
        <f>SUM(W214:W215)</f>
        <v>-14.656421492360082</v>
      </c>
      <c r="X216" s="153"/>
      <c r="Y216" s="153"/>
      <c r="Z216" s="152">
        <f>SUM(Z214:Z215)</f>
        <v>6.7262931262407095</v>
      </c>
      <c r="AA216" s="153"/>
      <c r="AB216" s="103"/>
      <c r="AC216" s="103"/>
      <c r="AD216" s="103"/>
      <c r="AE216" s="153">
        <f>SUM(AE214:AE215)</f>
        <v>4.8841466666666662</v>
      </c>
      <c r="AF216" s="41" t="s">
        <v>818</v>
      </c>
      <c r="AG216" s="5" t="s">
        <v>24</v>
      </c>
      <c r="AH216" s="219">
        <f>INDEX('C-P-RollAdj'!$J$4:$J$76,MATCH(INT(W216),'C-P-RollAdj'!$I$4:$I$76,FALSE),0)</f>
        <v>-33</v>
      </c>
      <c r="AI216" s="219">
        <f>INDEX('C-P-RollAdj'!$J$4:$J$76,MATCH(INT(Z216),'C-P-RollAdj'!$I$4:$I$76,FALSE),0)</f>
        <v>16</v>
      </c>
      <c r="AJ216" s="174">
        <f>SUM(AJ212:AJ215)</f>
        <v>8.8888888888888893</v>
      </c>
      <c r="AK216" s="14">
        <f>SUM(AK212:AK215)</f>
        <v>7.2222222222222223</v>
      </c>
      <c r="AL216" s="14">
        <f>SUM(AL212:AL215)</f>
        <v>0</v>
      </c>
      <c r="AM216" s="14">
        <f>SUM(AM212:AM215)</f>
        <v>41.111111111111114</v>
      </c>
      <c r="AN216" s="30"/>
      <c r="AO216" s="14"/>
    </row>
    <row r="217" spans="1:46" x14ac:dyDescent="0.2">
      <c r="A217" s="204"/>
      <c r="B217" s="196"/>
      <c r="AK217" s="72"/>
      <c r="AL217" s="72"/>
      <c r="AM217" s="72"/>
      <c r="AN217" s="30"/>
      <c r="AO217" s="14"/>
    </row>
    <row r="218" spans="1:46" x14ac:dyDescent="0.2">
      <c r="A218" s="204" t="s">
        <v>1244</v>
      </c>
      <c r="B218" s="196" t="s">
        <v>154</v>
      </c>
      <c r="C218" s="202">
        <v>0</v>
      </c>
      <c r="D218" s="202">
        <v>1</v>
      </c>
      <c r="E218" s="185">
        <v>1</v>
      </c>
      <c r="F218" s="202">
        <v>34</v>
      </c>
      <c r="G218" s="202">
        <v>0</v>
      </c>
      <c r="H218" s="202">
        <v>0</v>
      </c>
      <c r="I218" s="202">
        <v>0</v>
      </c>
      <c r="J218" s="202">
        <v>0</v>
      </c>
      <c r="K218" s="202">
        <v>2</v>
      </c>
      <c r="L218" s="185">
        <v>36</v>
      </c>
      <c r="M218" s="202">
        <v>31</v>
      </c>
      <c r="N218" s="202">
        <v>6</v>
      </c>
      <c r="O218" s="202">
        <v>4</v>
      </c>
      <c r="P218" s="202">
        <v>1</v>
      </c>
      <c r="Q218" s="202">
        <v>11</v>
      </c>
      <c r="R218" s="202">
        <v>1</v>
      </c>
      <c r="S218" s="202">
        <v>47</v>
      </c>
      <c r="T218" s="202">
        <v>144</v>
      </c>
      <c r="V218" s="50">
        <f>+(Q218-R218)/(T218-R218)*100</f>
        <v>6.9930069930069934</v>
      </c>
      <c r="W218" s="6">
        <f>IF(V218&lt;LeagueRatings!$K$10,((LeagueRatings!$K$10-V218)/LeagueRatings!$K$10)*36,(LeagueRatings!$K$10-V218)*6.48)</f>
        <v>6.9551143601161938</v>
      </c>
      <c r="X218" s="16">
        <f>INDEX('C-P-RollAdj'!$B$4:$B$76,MATCH(INT(W218),'C-P-RollAdj'!$A$4:$A$76,FALSE),0)</f>
        <v>-0.48</v>
      </c>
      <c r="Y218" s="16">
        <f>(P218/(T218-R218))*100</f>
        <v>0.69930069930069927</v>
      </c>
      <c r="Z218" s="6">
        <f>IF(Y218&lt;LeagueRatings!$K$8,((LeagueRatings!$K$8-Y218)/LeagueRatings!$K$8)*36,(LeagueRatings!$K$8-Y218)/LeagueRatings!$K$11)</f>
        <v>28.138315672058006</v>
      </c>
      <c r="AA218" s="16">
        <f>INDEX('C-P-RollAdj'!$F$4:$F$76,MATCH(INT(Z218),'C-P-RollAdj'!$E$4:$E$76,FALSE),0)</f>
        <v>-2.38</v>
      </c>
      <c r="AB218" s="17">
        <f>+((LeagueRatings!$I$6-E218)*5)+9.5</f>
        <v>25.508051455277403</v>
      </c>
      <c r="AC218" s="17">
        <f>IF(AB218&lt;4,4,AB218)</f>
        <v>25.508051455277403</v>
      </c>
      <c r="AD218" s="17">
        <f>IF(M218&lt;L218,((1-(M218/L218))*7)-0.07,(1-(M218/L218))*5)</f>
        <v>0.90222222222222181</v>
      </c>
      <c r="AE218" s="4">
        <f>+X218+AA218+AC218+AD218</f>
        <v>23.550273677499625</v>
      </c>
      <c r="AG218" s="94" t="s">
        <v>668</v>
      </c>
      <c r="AH218" s="219">
        <f>INDEX('C-P-RollAdj'!$J$4:$J$76,MATCH(INT(W218),'C-P-RollAdj'!$I$4:$I$76,FALSE),0)</f>
        <v>16</v>
      </c>
      <c r="AI218" s="219">
        <f>INDEX('C-P-RollAdj'!$J$4:$J$76,MATCH(INT(Z218),'C-P-RollAdj'!$I$4:$I$76,FALSE),0)</f>
        <v>54</v>
      </c>
      <c r="AJ218" s="14">
        <f>+AO218*LeagueRatings!$K$27</f>
        <v>20</v>
      </c>
      <c r="AK218" s="72">
        <f>F218*LeagueRatings!$K$27</f>
        <v>18.888888888888889</v>
      </c>
      <c r="AL218" s="72">
        <f>G218*LeagueRatings!$K$27</f>
        <v>0</v>
      </c>
      <c r="AM218" s="72">
        <f>T218*LeagueRatings!$K$27</f>
        <v>80</v>
      </c>
      <c r="AN218" s="76"/>
      <c r="AO218" s="72">
        <f>ROUNDUP(L218,0)</f>
        <v>36</v>
      </c>
    </row>
    <row r="219" spans="1:46" customFormat="1" x14ac:dyDescent="0.2">
      <c r="A219" s="41" t="s">
        <v>569</v>
      </c>
      <c r="B219" s="202" t="s">
        <v>156</v>
      </c>
      <c r="C219" s="202">
        <v>1</v>
      </c>
      <c r="D219" s="202">
        <v>2</v>
      </c>
      <c r="E219" s="185">
        <v>3.79</v>
      </c>
      <c r="F219" s="202">
        <v>23</v>
      </c>
      <c r="G219" s="202">
        <v>0</v>
      </c>
      <c r="H219" s="202">
        <v>0</v>
      </c>
      <c r="I219" s="202">
        <v>0</v>
      </c>
      <c r="J219" s="202">
        <v>1</v>
      </c>
      <c r="K219" s="202">
        <v>3</v>
      </c>
      <c r="L219" s="185">
        <v>19</v>
      </c>
      <c r="M219" s="202">
        <v>15</v>
      </c>
      <c r="N219" s="202">
        <v>9</v>
      </c>
      <c r="O219" s="202">
        <v>8</v>
      </c>
      <c r="P219" s="202">
        <v>3</v>
      </c>
      <c r="Q219" s="202">
        <v>1</v>
      </c>
      <c r="R219" s="202">
        <v>0</v>
      </c>
      <c r="S219" s="202">
        <v>14</v>
      </c>
      <c r="T219" s="202">
        <v>71</v>
      </c>
      <c r="U219" s="76"/>
      <c r="V219" s="50">
        <f>+(Q219-R219)/(T219-R219)*100</f>
        <v>1.4084507042253522</v>
      </c>
      <c r="W219" s="6">
        <f>IF(V219&lt;LeagueRatings!$K$10,((LeagueRatings!$K$10-V219)/LeagueRatings!$K$10)*36,(LeagueRatings!$K$10-V219)*6.48)</f>
        <v>30.150114582389602</v>
      </c>
      <c r="X219" s="16">
        <f>INDEX('C-P-RollAdj'!$B$4:$B$76,MATCH(INT(W219),'C-P-RollAdj'!$A$4:$A$76,FALSE),0)</f>
        <v>-2.9000000000000004</v>
      </c>
      <c r="Y219" s="16">
        <f>(P219/(T219-R219))*100</f>
        <v>4.225352112676056</v>
      </c>
      <c r="Z219" s="6">
        <f>IF(Y219&lt;LeagueRatings!$K$8,((LeagueRatings!$K$8-Y219)/LeagueRatings!$K$8)*36,(LeagueRatings!$K$8-Y219)/LeagueRatings!$K$11)</f>
        <v>-8.1241498097879496</v>
      </c>
      <c r="AA219" s="16">
        <f>INDEX('C-P-RollAdj'!$F$4:$F$76,MATCH(INT(Z219),'C-P-RollAdj'!$E$4:$E$76,FALSE),0)</f>
        <v>0.81</v>
      </c>
      <c r="AB219" s="17">
        <f>+((LeagueRatings!$I$6-E219)*5)+9.5</f>
        <v>11.558051455277404</v>
      </c>
      <c r="AC219" s="17">
        <f>IF(AB219&lt;4,4,AB219)</f>
        <v>11.558051455277404</v>
      </c>
      <c r="AD219" s="17">
        <f>IF(M219&lt;L219,((1-(M219/L219))*7)-0.07,(1-(M219/L219))*5)</f>
        <v>1.4036842105263156</v>
      </c>
      <c r="AE219" s="4">
        <f>+X219+AA219+AC219+AD219</f>
        <v>10.871735665803719</v>
      </c>
      <c r="AF219" s="168"/>
      <c r="AG219" s="94" t="s">
        <v>68</v>
      </c>
      <c r="AH219" s="219">
        <f>INDEX('C-P-RollAdj'!$J$4:$J$76,MATCH(INT(W219),'C-P-RollAdj'!$I$4:$I$76,FALSE),0)</f>
        <v>56</v>
      </c>
      <c r="AI219" s="219">
        <f>INDEX('C-P-RollAdj'!$J$4:$J$76,MATCH(INT(Z219),'C-P-RollAdj'!$I$4:$I$76,FALSE),0)</f>
        <v>-23</v>
      </c>
      <c r="AJ219" s="14">
        <f>+AO219*LeagueRatings!$K$27</f>
        <v>10.555555555555555</v>
      </c>
      <c r="AK219" s="72">
        <f>F219*LeagueRatings!$K$27</f>
        <v>12.777777777777779</v>
      </c>
      <c r="AL219" s="72">
        <f>G219*LeagueRatings!$K$27</f>
        <v>0</v>
      </c>
      <c r="AM219" s="72">
        <f>T219*LeagueRatings!$K$27</f>
        <v>39.444444444444443</v>
      </c>
      <c r="AN219" s="76"/>
      <c r="AO219" s="72">
        <f>ROUNDUP(L219,0)</f>
        <v>19</v>
      </c>
      <c r="AP219" s="113"/>
      <c r="AQ219" s="113"/>
      <c r="AR219" s="113"/>
      <c r="AS219" s="76"/>
      <c r="AT219" s="144">
        <v>54.33</v>
      </c>
    </row>
    <row r="220" spans="1:46" x14ac:dyDescent="0.2">
      <c r="A220" s="9"/>
      <c r="B220" s="129"/>
      <c r="L220" s="157">
        <f>(L218/100)/((L218+L219)/100)</f>
        <v>0.65454545454545443</v>
      </c>
      <c r="T220" s="158"/>
      <c r="U220" s="158"/>
      <c r="V220" s="153"/>
      <c r="W220" s="152">
        <f>W218*L220</f>
        <v>4.5524384902578712</v>
      </c>
      <c r="X220" s="153"/>
      <c r="Y220" s="153"/>
      <c r="Z220" s="152">
        <f>Z218*L220</f>
        <v>18.417806621710692</v>
      </c>
      <c r="AA220" s="153"/>
      <c r="AB220" s="103"/>
      <c r="AC220" s="103"/>
      <c r="AD220" s="103"/>
      <c r="AE220" s="154">
        <f>AE218*L220</f>
        <v>15.414724588908843</v>
      </c>
      <c r="AG220" s="5"/>
      <c r="AH220" s="5"/>
      <c r="AI220" s="5"/>
      <c r="AJ220" s="103"/>
      <c r="AK220" s="72"/>
      <c r="AL220" s="72"/>
      <c r="AM220" s="72"/>
      <c r="AN220" s="30"/>
      <c r="AO220" s="14"/>
    </row>
    <row r="221" spans="1:46" x14ac:dyDescent="0.2">
      <c r="A221" s="9"/>
      <c r="B221" s="129"/>
      <c r="L221" s="157">
        <f>(L219/100)/((L218+L219)/100)</f>
        <v>0.3454545454545454</v>
      </c>
      <c r="T221" s="158"/>
      <c r="U221" s="158"/>
      <c r="V221" s="153"/>
      <c r="W221" s="152">
        <f>W219*L221</f>
        <v>10.415494128461861</v>
      </c>
      <c r="X221" s="153"/>
      <c r="Y221" s="153"/>
      <c r="Z221" s="152">
        <f>Z219*L221</f>
        <v>-2.8065244797449278</v>
      </c>
      <c r="AA221" s="153"/>
      <c r="AB221" s="103"/>
      <c r="AC221" s="103"/>
      <c r="AD221" s="103"/>
      <c r="AE221" s="154">
        <f>AE219*L221</f>
        <v>3.7556905027321932</v>
      </c>
      <c r="AG221" s="5"/>
      <c r="AH221" s="5"/>
      <c r="AI221" s="5"/>
      <c r="AJ221" s="103"/>
      <c r="AK221" s="72"/>
      <c r="AL221" s="72"/>
      <c r="AM221" s="72"/>
      <c r="AN221" s="30"/>
      <c r="AO221" s="14"/>
    </row>
    <row r="222" spans="1:46" x14ac:dyDescent="0.2">
      <c r="A222" s="9"/>
      <c r="B222" s="129"/>
      <c r="T222" s="158"/>
      <c r="U222" s="158"/>
      <c r="V222" s="153"/>
      <c r="W222" s="152">
        <f>SUM(W220:W221)</f>
        <v>14.967932618719733</v>
      </c>
      <c r="X222" s="153"/>
      <c r="Y222" s="153"/>
      <c r="Z222" s="152">
        <f>SUM(Z220:Z221)</f>
        <v>15.611282141965765</v>
      </c>
      <c r="AA222" s="153"/>
      <c r="AB222" s="103"/>
      <c r="AC222" s="103"/>
      <c r="AD222" s="103"/>
      <c r="AE222" s="153">
        <f>SUM(AE220:AE221)</f>
        <v>19.170415091641036</v>
      </c>
      <c r="AF222" s="41" t="s">
        <v>569</v>
      </c>
      <c r="AG222" s="5" t="s">
        <v>67</v>
      </c>
      <c r="AH222" s="219">
        <f>INDEX('C-P-RollAdj'!$J$4:$J$76,MATCH(INT(W222),'C-P-RollAdj'!$I$4:$I$76,FALSE),0)</f>
        <v>32</v>
      </c>
      <c r="AI222" s="219">
        <f>INDEX('C-P-RollAdj'!$J$4:$J$76,MATCH(INT(Z222),'C-P-RollAdj'!$I$4:$I$76,FALSE),0)</f>
        <v>33</v>
      </c>
      <c r="AJ222" s="174">
        <f>SUM(AJ218:AJ221)</f>
        <v>30.555555555555557</v>
      </c>
      <c r="AK222" s="14">
        <f>SUM(AK218:AK221)</f>
        <v>31.666666666666668</v>
      </c>
      <c r="AL222" s="14">
        <f>SUM(AL218:AL221)</f>
        <v>0</v>
      </c>
      <c r="AM222" s="14">
        <f>SUM(AM218:AM221)</f>
        <v>119.44444444444444</v>
      </c>
      <c r="AN222" s="30"/>
      <c r="AO222" s="14"/>
    </row>
    <row r="223" spans="1:46" x14ac:dyDescent="0.2">
      <c r="B223" s="155"/>
      <c r="AK223" s="72"/>
      <c r="AL223" s="72"/>
      <c r="AM223" s="72"/>
      <c r="AN223" s="30"/>
      <c r="AO223" s="14"/>
    </row>
    <row r="224" spans="1:46" x14ac:dyDescent="0.2">
      <c r="A224" s="155" t="s">
        <v>866</v>
      </c>
      <c r="B224" s="155" t="s">
        <v>171</v>
      </c>
      <c r="C224" s="202">
        <v>1</v>
      </c>
      <c r="D224" s="202">
        <v>0</v>
      </c>
      <c r="E224" s="185">
        <v>5.14</v>
      </c>
      <c r="F224" s="202">
        <v>33</v>
      </c>
      <c r="G224" s="202">
        <v>0</v>
      </c>
      <c r="H224" s="202">
        <v>0</v>
      </c>
      <c r="I224" s="202">
        <v>0</v>
      </c>
      <c r="J224" s="202">
        <v>0</v>
      </c>
      <c r="K224" s="202">
        <v>0</v>
      </c>
      <c r="L224" s="185">
        <v>35</v>
      </c>
      <c r="M224" s="202">
        <v>38</v>
      </c>
      <c r="N224" s="202">
        <v>21</v>
      </c>
      <c r="O224" s="202">
        <v>20</v>
      </c>
      <c r="P224" s="202">
        <v>3</v>
      </c>
      <c r="Q224" s="202">
        <v>14</v>
      </c>
      <c r="R224" s="202">
        <v>0</v>
      </c>
      <c r="S224" s="202">
        <v>22</v>
      </c>
      <c r="T224" s="202">
        <v>159</v>
      </c>
      <c r="V224" s="50">
        <f>+(Q224-R224)/(T224-R224)*100</f>
        <v>8.8050314465408803</v>
      </c>
      <c r="W224" s="6">
        <f>IF(V224&lt;LeagueRatings!$K$21,((LeagueRatings!$K$21-V224)/LeagueRatings!$K$21)*36,(LeagueRatings!$K$21-V224)*6.48)</f>
        <v>0.59504296304260185</v>
      </c>
      <c r="X224" s="16">
        <f>INDEX('C-P-RollAdj'!$B$4:$B$76,MATCH(INT(W224),'C-P-RollAdj'!$A$4:$A$76,FALSE),0)</f>
        <v>0</v>
      </c>
      <c r="Y224" s="16">
        <f>(P224/(T224-R224))*100</f>
        <v>1.8867924528301887</v>
      </c>
      <c r="Z224" s="6">
        <f>IF(Y224&lt;LeagueRatings!$K$19,((LeagueRatings!$K$19-Y224)/LeagueRatings!$K$19)*36,(LeagueRatings!$K$19-Y224)/LeagueRatings!$K$22)</f>
        <v>12.642186310178527</v>
      </c>
      <c r="AA224" s="16">
        <f>INDEX('C-P-RollAdj'!$F$4:$F$76,MATCH(INT(Z224),'C-P-RollAdj'!$E$4:$E$76,FALSE),0)</f>
        <v>-0.89</v>
      </c>
      <c r="AB224" s="17">
        <f>+((LeagueRatings!$I$17-E224)*5)+9.5</f>
        <v>4.6143872437063642</v>
      </c>
      <c r="AC224" s="17">
        <f>IF(AB224&lt;4,4,AB224)</f>
        <v>4.6143872437063642</v>
      </c>
      <c r="AD224" s="17">
        <f>IF(M224&lt;L224,((1-(M224/L224))*7)-0.07,(1-(M224/L224))*5)</f>
        <v>-0.42857142857142816</v>
      </c>
      <c r="AE224" s="4">
        <f>+X224+AA224+AC224+AD224</f>
        <v>3.2958158151349357</v>
      </c>
      <c r="AF224" s="12"/>
      <c r="AG224" s="5" t="s">
        <v>60</v>
      </c>
      <c r="AH224" s="219">
        <f>INDEX('C-P-RollAdj'!$J$4:$J$76,MATCH(INT(W224),'C-P-RollAdj'!$I$4:$I$76,FALSE),0)</f>
        <v>0</v>
      </c>
      <c r="AI224" s="219">
        <f>INDEX('C-P-RollAdj'!$J$4:$J$76,MATCH(INT(Z224),'C-P-RollAdj'!$I$4:$I$76,FALSE),0)</f>
        <v>26</v>
      </c>
      <c r="AJ224" s="14">
        <f>+AO224*LeagueRatings!$K$27</f>
        <v>19.444444444444446</v>
      </c>
      <c r="AK224" s="72">
        <f>F224*LeagueRatings!$K$27</f>
        <v>18.333333333333336</v>
      </c>
      <c r="AL224" s="72">
        <f>G224*LeagueRatings!$K$27</f>
        <v>0</v>
      </c>
      <c r="AM224" s="72">
        <f>T224*LeagueRatings!$K$27</f>
        <v>88.333333333333343</v>
      </c>
      <c r="AN224" s="12"/>
      <c r="AO224" s="14">
        <f>ROUNDUP(L224,0)</f>
        <v>35</v>
      </c>
    </row>
    <row r="225" spans="1:46" s="24" customFormat="1" x14ac:dyDescent="0.2">
      <c r="A225" s="41" t="s">
        <v>450</v>
      </c>
      <c r="B225" s="202" t="s">
        <v>146</v>
      </c>
      <c r="C225" s="202">
        <v>1</v>
      </c>
      <c r="D225" s="202">
        <v>0</v>
      </c>
      <c r="E225" s="185">
        <v>5.09</v>
      </c>
      <c r="F225" s="202">
        <v>26</v>
      </c>
      <c r="G225" s="202">
        <v>0</v>
      </c>
      <c r="H225" s="202">
        <v>0</v>
      </c>
      <c r="I225" s="202">
        <v>0</v>
      </c>
      <c r="J225" s="202">
        <v>4</v>
      </c>
      <c r="K225" s="202">
        <v>4</v>
      </c>
      <c r="L225" s="185">
        <v>23</v>
      </c>
      <c r="M225" s="202">
        <v>21</v>
      </c>
      <c r="N225" s="202">
        <v>14</v>
      </c>
      <c r="O225" s="202">
        <v>13</v>
      </c>
      <c r="P225" s="202">
        <v>5</v>
      </c>
      <c r="Q225" s="202">
        <v>8</v>
      </c>
      <c r="R225" s="202">
        <v>0</v>
      </c>
      <c r="S225" s="202">
        <v>20</v>
      </c>
      <c r="T225" s="202">
        <v>98</v>
      </c>
      <c r="U225" s="98"/>
      <c r="V225" s="50">
        <f>+(Q225-R225)/(T225-R225)*100</f>
        <v>8.1632653061224492</v>
      </c>
      <c r="W225" s="6">
        <f>IF(V225&lt;LeagueRatings!$K$10,((LeagueRatings!$K$10-V225)/LeagueRatings!$K$10)*36,(LeagueRatings!$K$10-V225)*6.48)</f>
        <v>2.0945416611968644</v>
      </c>
      <c r="X225" s="16">
        <f>INDEX('C-P-RollAdj'!$B$4:$B$76,MATCH(INT(W225),'C-P-RollAdj'!$A$4:$A$76,FALSE),0)</f>
        <v>-0.16</v>
      </c>
      <c r="Y225" s="16">
        <f>(P225/(T225-R225))*100</f>
        <v>5.1020408163265305</v>
      </c>
      <c r="Z225" s="6">
        <f>IF(Y225&lt;LeagueRatings!$K$8,((LeagueRatings!$K$8-Y225)/LeagueRatings!$K$8)*36,(LeagueRatings!$K$8-Y225)/LeagueRatings!$K$11)</f>
        <v>-15.085454884890883</v>
      </c>
      <c r="AA225" s="16">
        <f>INDEX('C-P-RollAdj'!$F$4:$F$76,MATCH(INT(Z225),'C-P-RollAdj'!$E$4:$E$76,FALSE),0)</f>
        <v>1.63</v>
      </c>
      <c r="AB225" s="17">
        <f>+((LeagueRatings!$I$6-E225)*5)+9.5</f>
        <v>5.0580514552774041</v>
      </c>
      <c r="AC225" s="17">
        <f>IF(AB225&lt;4,4,AB225)</f>
        <v>5.0580514552774041</v>
      </c>
      <c r="AD225" s="17">
        <f>IF(M225&lt;L225,((1-(M225/L225))*7)-0.07,(1-(M225/L225))*5)</f>
        <v>0.53869565217391346</v>
      </c>
      <c r="AE225" s="4">
        <f>+X225+AA225+AC225+AD225</f>
        <v>7.0667471074513175</v>
      </c>
      <c r="AG225" s="5" t="s">
        <v>66</v>
      </c>
      <c r="AH225" s="219">
        <f>INDEX('C-P-RollAdj'!$J$4:$J$76,MATCH(INT(W225),'C-P-RollAdj'!$I$4:$I$76,FALSE),0)</f>
        <v>12</v>
      </c>
      <c r="AI225" s="219">
        <f>INDEX('C-P-RollAdj'!$J$4:$J$76,MATCH(INT(Z225),'C-P-RollAdj'!$I$4:$I$76,FALSE),0)</f>
        <v>-34</v>
      </c>
      <c r="AJ225" s="14">
        <f>+AO225*LeagueRatings!$K$27</f>
        <v>12.777777777777779</v>
      </c>
      <c r="AK225" s="72">
        <f>F225*LeagueRatings!$K$27</f>
        <v>14.444444444444445</v>
      </c>
      <c r="AL225" s="72">
        <f>G225*LeagueRatings!$K$27</f>
        <v>0</v>
      </c>
      <c r="AM225" s="72">
        <f>T225*LeagueRatings!$K$27</f>
        <v>54.44444444444445</v>
      </c>
      <c r="AO225" s="72">
        <f>ROUNDUP(L225,0)</f>
        <v>23</v>
      </c>
      <c r="AP225" s="113"/>
      <c r="AQ225" s="113"/>
      <c r="AR225" s="113"/>
      <c r="AT225" s="144">
        <v>162.33000000000001</v>
      </c>
    </row>
    <row r="226" spans="1:46" x14ac:dyDescent="0.2">
      <c r="A226" s="9"/>
      <c r="B226" s="129"/>
      <c r="L226" s="157">
        <f>(L224/100)/((L224+L225)/100)</f>
        <v>0.60344827586206895</v>
      </c>
      <c r="T226" s="158"/>
      <c r="U226" s="158"/>
      <c r="V226" s="153"/>
      <c r="W226" s="152">
        <f>W224*L226</f>
        <v>0.35907765011191489</v>
      </c>
      <c r="X226" s="153"/>
      <c r="Y226" s="153"/>
      <c r="Z226" s="152">
        <f>Z224*L226</f>
        <v>7.6289055320042838</v>
      </c>
      <c r="AA226" s="153"/>
      <c r="AB226" s="103"/>
      <c r="AC226" s="103"/>
      <c r="AD226" s="103"/>
      <c r="AE226" s="154">
        <f>AE224*L226</f>
        <v>1.9888543712021163</v>
      </c>
      <c r="AG226" s="5"/>
      <c r="AH226" s="5"/>
      <c r="AI226" s="5"/>
      <c r="AJ226" s="103"/>
      <c r="AK226" s="72"/>
      <c r="AL226" s="72"/>
      <c r="AM226" s="72"/>
      <c r="AN226" s="30"/>
      <c r="AO226" s="14"/>
    </row>
    <row r="227" spans="1:46" x14ac:dyDescent="0.2">
      <c r="A227" s="9"/>
      <c r="B227" s="129"/>
      <c r="L227" s="157">
        <f>(L225/100)/((L224+L225)/100)</f>
        <v>0.39655172413793111</v>
      </c>
      <c r="T227" s="158"/>
      <c r="U227" s="158"/>
      <c r="V227" s="153"/>
      <c r="W227" s="152">
        <f>W225*L227</f>
        <v>0.83059410702634295</v>
      </c>
      <c r="X227" s="153"/>
      <c r="Y227" s="153"/>
      <c r="Z227" s="152">
        <f>Z225*L227</f>
        <v>-5.9821631440084548</v>
      </c>
      <c r="AA227" s="153"/>
      <c r="AB227" s="103"/>
      <c r="AC227" s="103"/>
      <c r="AD227" s="103"/>
      <c r="AE227" s="154">
        <f>AE225*L227</f>
        <v>2.8023307495065573</v>
      </c>
      <c r="AG227" s="5"/>
      <c r="AH227" s="5"/>
      <c r="AI227" s="5"/>
      <c r="AJ227" s="103"/>
      <c r="AK227" s="72"/>
      <c r="AL227" s="72"/>
      <c r="AM227" s="72"/>
      <c r="AN227" s="30"/>
      <c r="AO227" s="14"/>
    </row>
    <row r="228" spans="1:46" x14ac:dyDescent="0.2">
      <c r="A228" s="9"/>
      <c r="B228" s="129"/>
      <c r="T228" s="158"/>
      <c r="U228" s="158"/>
      <c r="V228" s="153"/>
      <c r="W228" s="152">
        <f>SUM(W226:W227)</f>
        <v>1.1896717571382578</v>
      </c>
      <c r="X228" s="153"/>
      <c r="Y228" s="153"/>
      <c r="Z228" s="152">
        <f>SUM(Z226:Z227)</f>
        <v>1.6467423879958289</v>
      </c>
      <c r="AA228" s="153"/>
      <c r="AB228" s="103"/>
      <c r="AC228" s="103"/>
      <c r="AD228" s="103"/>
      <c r="AE228" s="153">
        <f>SUM(AE226:AE227)</f>
        <v>4.7911851207086738</v>
      </c>
      <c r="AF228" s="41" t="s">
        <v>450</v>
      </c>
      <c r="AG228" s="5" t="s">
        <v>19</v>
      </c>
      <c r="AH228" s="219">
        <f>INDEX('C-P-RollAdj'!$J$4:$J$76,MATCH(INT(W228),'C-P-RollAdj'!$I$4:$I$76,FALSE),0)</f>
        <v>11</v>
      </c>
      <c r="AI228" s="219">
        <f>INDEX('C-P-RollAdj'!$J$4:$J$76,MATCH(INT(Z228),'C-P-RollAdj'!$I$4:$I$76,FALSE),0)</f>
        <v>11</v>
      </c>
      <c r="AJ228" s="174">
        <f>SUM(AJ224:AJ227)</f>
        <v>32.222222222222229</v>
      </c>
      <c r="AK228" s="14">
        <f>SUM(AK224:AK227)</f>
        <v>32.777777777777779</v>
      </c>
      <c r="AL228" s="14">
        <f>SUM(AL224:AL227)</f>
        <v>0</v>
      </c>
      <c r="AM228" s="14">
        <f>SUM(AM224:AM227)</f>
        <v>142.7777777777778</v>
      </c>
      <c r="AN228" s="30"/>
      <c r="AO228" s="14"/>
    </row>
    <row r="229" spans="1:46" x14ac:dyDescent="0.2">
      <c r="AK229" s="72"/>
      <c r="AL229" s="72"/>
      <c r="AM229" s="72"/>
      <c r="AN229" s="30"/>
      <c r="AO229" s="14"/>
    </row>
    <row r="230" spans="1:46" x14ac:dyDescent="0.2">
      <c r="A230" s="155" t="s">
        <v>1265</v>
      </c>
      <c r="B230" s="155" t="s">
        <v>160</v>
      </c>
      <c r="C230" s="202">
        <v>2</v>
      </c>
      <c r="D230" s="202">
        <v>3</v>
      </c>
      <c r="E230" s="185">
        <v>5.4</v>
      </c>
      <c r="F230" s="202">
        <v>21</v>
      </c>
      <c r="G230" s="202">
        <v>0</v>
      </c>
      <c r="H230" s="202">
        <v>0</v>
      </c>
      <c r="I230" s="202">
        <v>0</v>
      </c>
      <c r="J230" s="202">
        <v>0</v>
      </c>
      <c r="K230" s="202">
        <v>3</v>
      </c>
      <c r="L230" s="185">
        <v>21.67</v>
      </c>
      <c r="M230" s="202">
        <v>24</v>
      </c>
      <c r="N230" s="202">
        <v>13</v>
      </c>
      <c r="O230" s="202">
        <v>13</v>
      </c>
      <c r="P230" s="202">
        <v>4</v>
      </c>
      <c r="Q230" s="202">
        <v>7</v>
      </c>
      <c r="R230" s="202">
        <v>0</v>
      </c>
      <c r="S230" s="202">
        <v>24</v>
      </c>
      <c r="T230" s="202">
        <v>92</v>
      </c>
      <c r="V230" s="50">
        <f>+(Q230-R230)/(T230-R230)*100</f>
        <v>7.608695652173914</v>
      </c>
      <c r="W230" s="6">
        <f>IF(V230&lt;LeagueRatings!$K$21,((LeagueRatings!$K$21-V230)/LeagueRatings!$K$21)*36,(LeagueRatings!$K$21-V230)*6.48)</f>
        <v>5.4054990821944182</v>
      </c>
      <c r="X230" s="16">
        <f>INDEX('C-P-RollAdj'!$B$4:$B$76,MATCH(INT(W230),'C-P-RollAdj'!$A$4:$A$76,FALSE),0)</f>
        <v>-0.4</v>
      </c>
      <c r="Y230" s="16">
        <f>(P230/(T230-R230))*100</f>
        <v>4.3478260869565215</v>
      </c>
      <c r="Z230" s="6">
        <f>IF(Y230&lt;LeagueRatings!$K$19,((LeagueRatings!$K$19-Y230)/LeagueRatings!$K$19)*36,(LeagueRatings!$K$19-Y230)/LeagueRatings!$K$22)</f>
        <v>-11.633764581124069</v>
      </c>
      <c r="AA230" s="16">
        <f>INDEX('C-P-RollAdj'!$F$4:$F$76,MATCH(INT(Z230),'C-P-RollAdj'!$E$4:$E$76,FALSE),0)</f>
        <v>1.1400000000000001</v>
      </c>
      <c r="AB230" s="17">
        <f>+((LeagueRatings!$I$17-E230)*5)+9.5</f>
        <v>3.3143872437063608</v>
      </c>
      <c r="AC230" s="17">
        <f>IF(AB230&lt;4,4,AB230)</f>
        <v>4</v>
      </c>
      <c r="AD230" s="17">
        <f>IF(M230&lt;L230,((1-(M230/L230))*7)-0.07,(1-(M230/L230))*5)</f>
        <v>-0.53760959852330314</v>
      </c>
      <c r="AE230" s="4">
        <f>+X230+AA230+AC230+AD230</f>
        <v>4.2023904014766966</v>
      </c>
      <c r="AF230" s="12"/>
      <c r="AG230" s="5" t="s">
        <v>19</v>
      </c>
      <c r="AH230" s="219">
        <f>INDEX('C-P-RollAdj'!$J$4:$J$76,MATCH(INT(W230),'C-P-RollAdj'!$I$4:$I$76,FALSE),0)</f>
        <v>15</v>
      </c>
      <c r="AI230" s="219">
        <f>INDEX('C-P-RollAdj'!$J$4:$J$76,MATCH(INT(Z230),'C-P-RollAdj'!$I$4:$I$76,FALSE),0)</f>
        <v>-26</v>
      </c>
      <c r="AJ230" s="14">
        <f>+AO230*LeagueRatings!$K$27</f>
        <v>12.222222222222223</v>
      </c>
      <c r="AK230" s="72">
        <f>F230*LeagueRatings!$K$27</f>
        <v>11.666666666666668</v>
      </c>
      <c r="AL230" s="72">
        <f>G230*LeagueRatings!$K$27</f>
        <v>0</v>
      </c>
      <c r="AM230" s="72">
        <f>T230*LeagueRatings!$K$27</f>
        <v>51.111111111111114</v>
      </c>
      <c r="AN230" s="12"/>
      <c r="AO230" s="14">
        <f>ROUNDUP(L230,0)</f>
        <v>22</v>
      </c>
    </row>
    <row r="231" spans="1:46" s="24" customFormat="1" x14ac:dyDescent="0.2">
      <c r="A231" s="41" t="s">
        <v>761</v>
      </c>
      <c r="B231" s="202" t="s">
        <v>153</v>
      </c>
      <c r="C231" s="202">
        <v>0</v>
      </c>
      <c r="D231" s="202">
        <v>2</v>
      </c>
      <c r="E231" s="185">
        <v>14</v>
      </c>
      <c r="F231" s="202">
        <v>4</v>
      </c>
      <c r="G231" s="202">
        <v>2</v>
      </c>
      <c r="H231" s="202">
        <v>0</v>
      </c>
      <c r="I231" s="202">
        <v>0</v>
      </c>
      <c r="J231" s="202">
        <v>0</v>
      </c>
      <c r="K231" s="202">
        <v>0</v>
      </c>
      <c r="L231" s="185">
        <v>9</v>
      </c>
      <c r="M231" s="202">
        <v>16</v>
      </c>
      <c r="N231" s="202">
        <v>14</v>
      </c>
      <c r="O231" s="202">
        <v>14</v>
      </c>
      <c r="P231" s="202">
        <v>4</v>
      </c>
      <c r="Q231" s="202">
        <v>5</v>
      </c>
      <c r="R231" s="202">
        <v>0</v>
      </c>
      <c r="S231" s="202">
        <v>3</v>
      </c>
      <c r="T231" s="202">
        <v>49</v>
      </c>
      <c r="U231" s="76"/>
      <c r="V231" s="50">
        <f>+(Q231-R231)/(T231-R231)*100</f>
        <v>10.204081632653061</v>
      </c>
      <c r="W231" s="6">
        <f>IF(V231&lt;LeagueRatings!$K$10,((LeagueRatings!$K$10-V231)/LeagueRatings!$K$10)*36,(LeagueRatings!$K$10-V231)*6.48)</f>
        <v>-9.9566684853981755</v>
      </c>
      <c r="X231" s="16">
        <f>INDEX('C-P-RollAdj'!$B$4:$B$76,MATCH(INT(W231),'C-P-RollAdj'!$A$4:$A$76,FALSE),0)</f>
        <v>0.98</v>
      </c>
      <c r="Y231" s="16">
        <f>(P231/(T231-R231))*100</f>
        <v>8.1632653061224492</v>
      </c>
      <c r="Z231" s="6">
        <f>IF(Y231&lt;LeagueRatings!$K$8,((LeagueRatings!$K$8-Y231)/LeagueRatings!$K$8)*36,(LeagueRatings!$K$8-Y231)/LeagueRatings!$K$11)</f>
        <v>-39.39296277008637</v>
      </c>
      <c r="AA231" s="16">
        <v>4.8600000000000003</v>
      </c>
      <c r="AB231" s="17">
        <f>+((LeagueRatings!$I$6-E231)*5)+9.5</f>
        <v>-39.491948544722597</v>
      </c>
      <c r="AC231" s="17">
        <f>IF(AB231&lt;4,4,AB231)</f>
        <v>4</v>
      </c>
      <c r="AD231" s="17">
        <f>IF(M231&lt;L231,((1-(M231/L231))*7)-0.07,(1-(M231/L231))*5)</f>
        <v>-3.8888888888888884</v>
      </c>
      <c r="AE231" s="4">
        <f>+X231+AA231+AC231+AD231</f>
        <v>5.9511111111111115</v>
      </c>
      <c r="AG231" s="5" t="s">
        <v>66</v>
      </c>
      <c r="AH231" s="219">
        <f>INDEX('C-P-RollAdj'!$J$4:$J$76,MATCH(INT(W231),'C-P-RollAdj'!$I$4:$I$76,FALSE),0)</f>
        <v>-24</v>
      </c>
      <c r="AI231" s="219">
        <v>-66</v>
      </c>
      <c r="AJ231" s="14">
        <f>+AO231*LeagueRatings!$K$27</f>
        <v>5</v>
      </c>
      <c r="AK231" s="72">
        <f>F231*LeagueRatings!$K$27</f>
        <v>2.2222222222222223</v>
      </c>
      <c r="AL231" s="72">
        <f>G231*LeagueRatings!$K$27</f>
        <v>1.1111111111111112</v>
      </c>
      <c r="AM231" s="72">
        <f>T231*LeagueRatings!$K$27</f>
        <v>27.222222222222225</v>
      </c>
      <c r="AO231" s="72">
        <f>ROUNDUP(L231,0)</f>
        <v>9</v>
      </c>
      <c r="AP231" s="113"/>
      <c r="AQ231" s="113"/>
      <c r="AR231" s="113"/>
      <c r="AT231" s="97">
        <v>156.33000000000001</v>
      </c>
    </row>
    <row r="232" spans="1:46" x14ac:dyDescent="0.2">
      <c r="A232" s="9"/>
      <c r="B232" s="129"/>
      <c r="L232" s="157">
        <f>(L230/100)/((L230+L231)/100)</f>
        <v>0.70655363547440486</v>
      </c>
      <c r="T232" s="158"/>
      <c r="U232" s="158"/>
      <c r="V232" s="153"/>
      <c r="W232" s="152">
        <f>W230*L232</f>
        <v>3.819275028078025</v>
      </c>
      <c r="X232" s="153"/>
      <c r="Y232" s="153"/>
      <c r="Z232" s="152">
        <f>Z230*L232</f>
        <v>-8.2198786590465787</v>
      </c>
      <c r="AA232" s="153"/>
      <c r="AB232" s="103"/>
      <c r="AC232" s="103"/>
      <c r="AD232" s="103"/>
      <c r="AE232" s="154">
        <f>AE230*L232</f>
        <v>2.9692142158461037</v>
      </c>
      <c r="AG232" s="5"/>
      <c r="AH232" s="5"/>
      <c r="AI232" s="5"/>
      <c r="AJ232" s="103"/>
      <c r="AK232" s="72"/>
      <c r="AO232" s="14"/>
    </row>
    <row r="233" spans="1:46" x14ac:dyDescent="0.2">
      <c r="A233" s="9"/>
      <c r="B233" s="129"/>
      <c r="L233" s="157">
        <f>(L231/100)/((L230+L231)/100)</f>
        <v>0.29344636452559503</v>
      </c>
      <c r="T233" s="158"/>
      <c r="U233" s="158"/>
      <c r="V233" s="153"/>
      <c r="W233" s="152">
        <f>W231*L233</f>
        <v>-2.9217481698266572</v>
      </c>
      <c r="X233" s="153"/>
      <c r="Y233" s="153"/>
      <c r="Z233" s="152">
        <f>Z231*L233</f>
        <v>-11.559721712773959</v>
      </c>
      <c r="AA233" s="153"/>
      <c r="AB233" s="103"/>
      <c r="AC233" s="103"/>
      <c r="AD233" s="103"/>
      <c r="AE233" s="154">
        <f>AE231*L233</f>
        <v>1.74633192044343</v>
      </c>
      <c r="AG233" s="5"/>
      <c r="AH233" s="5"/>
      <c r="AI233" s="5"/>
      <c r="AJ233" s="103"/>
      <c r="AK233" s="72"/>
      <c r="AO233" s="14"/>
    </row>
    <row r="234" spans="1:46" x14ac:dyDescent="0.2">
      <c r="A234" s="9"/>
      <c r="B234" s="129"/>
      <c r="T234" s="158"/>
      <c r="U234" s="158"/>
      <c r="V234" s="153"/>
      <c r="W234" s="152">
        <f>SUM(W232:W233)</f>
        <v>0.8975268582513678</v>
      </c>
      <c r="X234" s="153"/>
      <c r="Y234" s="153"/>
      <c r="Z234" s="152">
        <f>SUM(Z232:Z233)</f>
        <v>-19.779600371820536</v>
      </c>
      <c r="AA234" s="153"/>
      <c r="AB234" s="103"/>
      <c r="AC234" s="103"/>
      <c r="AD234" s="103"/>
      <c r="AE234" s="153">
        <f>SUM(AE232:AE233)</f>
        <v>4.7155461362895341</v>
      </c>
      <c r="AF234" s="41" t="s">
        <v>761</v>
      </c>
      <c r="AG234" s="5" t="s">
        <v>24</v>
      </c>
      <c r="AH234" s="219">
        <f>INDEX('C-P-RollAdj'!$J$4:$J$76,MATCH(INT(W234),'C-P-RollAdj'!$I$4:$I$76,FALSE),0)</f>
        <v>0</v>
      </c>
      <c r="AI234" s="219">
        <f>INDEX('C-P-RollAdj'!$J$4:$J$76,MATCH(INT(Z234),'C-P-RollAdj'!$I$4:$I$76,FALSE),0)</f>
        <v>-42</v>
      </c>
      <c r="AJ234" s="174">
        <f>SUM(AJ230:AJ233)</f>
        <v>17.222222222222221</v>
      </c>
      <c r="AK234" s="14">
        <f>SUM(AK230:AK233)</f>
        <v>13.888888888888889</v>
      </c>
      <c r="AL234" s="14">
        <f>SUM(AL230:AL233)</f>
        <v>1.1111111111111112</v>
      </c>
      <c r="AM234" s="14">
        <f>SUM(AM230:AM233)</f>
        <v>78.333333333333343</v>
      </c>
      <c r="AO234" s="14"/>
    </row>
    <row r="235" spans="1:46" x14ac:dyDescent="0.2">
      <c r="AO235" s="14"/>
    </row>
    <row r="236" spans="1:46" x14ac:dyDescent="0.2">
      <c r="A236" s="155" t="s">
        <v>1251</v>
      </c>
      <c r="B236" s="155" t="s">
        <v>143</v>
      </c>
      <c r="C236" s="202">
        <v>0</v>
      </c>
      <c r="D236" s="202">
        <v>0</v>
      </c>
      <c r="E236" s="185">
        <v>0</v>
      </c>
      <c r="F236" s="202">
        <v>1</v>
      </c>
      <c r="G236" s="202">
        <v>0</v>
      </c>
      <c r="H236" s="202">
        <v>0</v>
      </c>
      <c r="I236" s="202">
        <v>0</v>
      </c>
      <c r="J236" s="202">
        <v>0</v>
      </c>
      <c r="K236" s="202">
        <v>0</v>
      </c>
      <c r="L236" s="185">
        <v>1</v>
      </c>
      <c r="M236" s="202">
        <v>0</v>
      </c>
      <c r="N236" s="202">
        <v>0</v>
      </c>
      <c r="O236" s="202">
        <v>0</v>
      </c>
      <c r="P236" s="202">
        <v>0</v>
      </c>
      <c r="Q236" s="202">
        <v>1</v>
      </c>
      <c r="R236" s="202">
        <v>0</v>
      </c>
      <c r="S236" s="202">
        <v>2</v>
      </c>
      <c r="T236" s="202">
        <v>4</v>
      </c>
      <c r="V236" s="50">
        <f>+(Q236-R236)/(T236-R236)*100</f>
        <v>25</v>
      </c>
      <c r="W236" s="6">
        <f>IF(V236&lt;LeagueRatings!$K$10,((LeagueRatings!$K$10-V236)/LeagueRatings!$K$10)*36,(LeagueRatings!$K$10-V236)*6.48)</f>
        <v>-105.83421950580636</v>
      </c>
      <c r="X236" s="16">
        <v>5.44</v>
      </c>
      <c r="Y236" s="16">
        <f>(P236/(T236-R236))*100</f>
        <v>0</v>
      </c>
      <c r="Z236" s="6">
        <f>IF(Y236&lt;LeagueRatings!$K$8,((LeagueRatings!$K$8-Y236)/LeagueRatings!$K$8)*36,(LeagueRatings!$K$8-Y236)/LeagueRatings!$K$11)</f>
        <v>36</v>
      </c>
      <c r="AA236" s="16">
        <v>4.8600000000000003</v>
      </c>
      <c r="AB236" s="17">
        <f>+((LeagueRatings!$I$6-E236)*5)+9.5</f>
        <v>30.508051455277403</v>
      </c>
      <c r="AC236" s="17">
        <f>IF(AB236&lt;4,4,AB236)</f>
        <v>30.508051455277403</v>
      </c>
      <c r="AD236" s="17">
        <f>IF(M236&lt;L236,((1-(M236/L236))*7)-0.07,(1-(M236/L236))*5)</f>
        <v>6.93</v>
      </c>
      <c r="AE236" s="4">
        <f>+X236+AA236+AC236+AD236</f>
        <v>47.738051455277407</v>
      </c>
      <c r="AF236" s="24"/>
      <c r="AG236" s="5" t="s">
        <v>1284</v>
      </c>
      <c r="AH236" s="219">
        <v>-66</v>
      </c>
      <c r="AI236" s="219">
        <f>INDEX('C-P-RollAdj'!$J$4:$J$76,MATCH(INT(Z236),'C-P-RollAdj'!$I$4:$I$76,FALSE),0)</f>
        <v>66</v>
      </c>
      <c r="AJ236" s="14">
        <f>+AO236*LeagueRatings!$K$27</f>
        <v>0.55555555555555558</v>
      </c>
      <c r="AK236" s="72">
        <f>F236*LeagueRatings!$K$27</f>
        <v>0.55555555555555558</v>
      </c>
      <c r="AL236" s="72">
        <f>G236*LeagueRatings!$K$27</f>
        <v>0</v>
      </c>
      <c r="AM236" s="72">
        <f>T236*LeagueRatings!$K$27</f>
        <v>2.2222222222222223</v>
      </c>
      <c r="AN236" s="24"/>
      <c r="AO236" s="72">
        <f>ROUNDUP(L236,0)</f>
        <v>1</v>
      </c>
    </row>
    <row r="237" spans="1:46" customFormat="1" x14ac:dyDescent="0.2">
      <c r="A237" s="41" t="s">
        <v>483</v>
      </c>
      <c r="B237" s="202" t="s">
        <v>162</v>
      </c>
      <c r="C237" s="202">
        <v>2</v>
      </c>
      <c r="D237" s="202">
        <v>4</v>
      </c>
      <c r="E237" s="185">
        <v>4.09</v>
      </c>
      <c r="F237" s="202">
        <v>57</v>
      </c>
      <c r="G237" s="202">
        <v>0</v>
      </c>
      <c r="H237" s="202">
        <v>0</v>
      </c>
      <c r="I237" s="202">
        <v>0</v>
      </c>
      <c r="J237" s="202">
        <v>0</v>
      </c>
      <c r="K237" s="202">
        <v>1</v>
      </c>
      <c r="L237" s="185">
        <v>55</v>
      </c>
      <c r="M237" s="202">
        <v>67</v>
      </c>
      <c r="N237" s="202">
        <v>31</v>
      </c>
      <c r="O237" s="202">
        <v>25</v>
      </c>
      <c r="P237" s="202">
        <v>3</v>
      </c>
      <c r="Q237" s="202">
        <v>17</v>
      </c>
      <c r="R237" s="202">
        <v>2</v>
      </c>
      <c r="S237" s="202">
        <v>35</v>
      </c>
      <c r="T237" s="202">
        <v>249</v>
      </c>
      <c r="U237" s="76"/>
      <c r="V237" s="50">
        <f>+(Q237-R237)/(T237-R237)*100</f>
        <v>6.0728744939271255</v>
      </c>
      <c r="W237" s="6">
        <f>IF(V237&lt;LeagueRatings!$K$21,((LeagueRatings!$K$21-V237)/LeagueRatings!$K$21)*36,(LeagueRatings!$K$21-V237)*6.48)</f>
        <v>11.581022980583171</v>
      </c>
      <c r="X237" s="16">
        <f>INDEX('C-P-RollAdj'!$B$4:$B$76,MATCH(INT(W237),'C-P-RollAdj'!$A$4:$A$76,FALSE),0)</f>
        <v>-0.92</v>
      </c>
      <c r="Y237" s="16">
        <f>(P237/(T237-R237))*100</f>
        <v>1.214574898785425</v>
      </c>
      <c r="Z237" s="6">
        <f>IF(Y237&lt;LeagueRatings!$K$19,((LeagueRatings!$K$19-Y237)/LeagueRatings!$K$19)*36,(LeagueRatings!$K$19-Y237)/LeagueRatings!$K$22)</f>
        <v>20.963998474973224</v>
      </c>
      <c r="AA237" s="16">
        <f>INDEX('C-P-RollAdj'!$F$4:$F$76,MATCH(INT(Z237),'C-P-RollAdj'!$E$4:$E$76,FALSE),0)</f>
        <v>-1.59</v>
      </c>
      <c r="AB237" s="17">
        <f>+((LeagueRatings!$I$17-E237)*5)+9.5</f>
        <v>9.8643872437063642</v>
      </c>
      <c r="AC237" s="17">
        <f>IF(AB237&lt;4,4,AB237)</f>
        <v>9.8643872437063642</v>
      </c>
      <c r="AD237" s="17">
        <f>IF(M237&lt;L237,((1-(M237/L237))*7)-0.07,(1-(M237/L237))*5)</f>
        <v>-1.0909090909090913</v>
      </c>
      <c r="AE237" s="4">
        <f>+X237+AA237+AC237+AD237</f>
        <v>6.2634781527972727</v>
      </c>
      <c r="AF237" s="168"/>
      <c r="AG237" s="5" t="s">
        <v>24</v>
      </c>
      <c r="AH237" s="219">
        <f>INDEX('C-P-RollAdj'!$J$4:$J$76,MATCH(INT(W237),'C-P-RollAdj'!$I$4:$I$76,FALSE),0)</f>
        <v>25</v>
      </c>
      <c r="AI237" s="219">
        <f>INDEX('C-P-RollAdj'!$J$4:$J$76,MATCH(INT(Z237),'C-P-RollAdj'!$I$4:$I$76,FALSE),0)</f>
        <v>42</v>
      </c>
      <c r="AJ237" s="14">
        <f>+AO237*LeagueRatings!$K$27</f>
        <v>30.555555555555557</v>
      </c>
      <c r="AK237" s="72">
        <f>F237*LeagueRatings!$K$27</f>
        <v>31.666666666666668</v>
      </c>
      <c r="AL237" s="72">
        <f>G237*LeagueRatings!$K$27</f>
        <v>0</v>
      </c>
      <c r="AM237" s="72">
        <f>T237*LeagueRatings!$K$27</f>
        <v>138.33333333333334</v>
      </c>
      <c r="AO237" s="14">
        <f>ROUNDUP(L237,0)</f>
        <v>55</v>
      </c>
    </row>
    <row r="238" spans="1:46" x14ac:dyDescent="0.2">
      <c r="A238" s="9"/>
      <c r="B238" s="129"/>
      <c r="L238" s="157">
        <f>(L236/100)/((L236+L237)/100)</f>
        <v>1.7857142857142856E-2</v>
      </c>
      <c r="T238" s="158"/>
      <c r="U238" s="158"/>
      <c r="V238" s="153"/>
      <c r="W238" s="152">
        <f>W236*L238</f>
        <v>-1.8898967768893993</v>
      </c>
      <c r="X238" s="153"/>
      <c r="Y238" s="153"/>
      <c r="Z238" s="152">
        <f>Z236*L238</f>
        <v>0.64285714285714279</v>
      </c>
      <c r="AA238" s="153"/>
      <c r="AB238" s="103"/>
      <c r="AC238" s="103"/>
      <c r="AD238" s="103"/>
      <c r="AE238" s="154">
        <f>AE236*L238</f>
        <v>0.85246520455852504</v>
      </c>
      <c r="AG238" s="5"/>
      <c r="AH238" s="5"/>
      <c r="AI238" s="5"/>
      <c r="AJ238" s="103"/>
      <c r="AK238" s="72"/>
      <c r="AO238" s="14"/>
    </row>
    <row r="239" spans="1:46" x14ac:dyDescent="0.2">
      <c r="A239" s="9"/>
      <c r="B239" s="129"/>
      <c r="L239" s="157">
        <f>(L237/100)/((L236+L237)/100)</f>
        <v>0.9821428571428571</v>
      </c>
      <c r="T239" s="158"/>
      <c r="U239" s="158"/>
      <c r="V239" s="153"/>
      <c r="W239" s="152">
        <f>W237*L239</f>
        <v>11.374218998787043</v>
      </c>
      <c r="X239" s="153"/>
      <c r="Y239" s="153"/>
      <c r="Z239" s="152">
        <f>Z237*L239</f>
        <v>20.5896413593487</v>
      </c>
      <c r="AA239" s="153"/>
      <c r="AB239" s="103"/>
      <c r="AC239" s="103"/>
      <c r="AD239" s="103"/>
      <c r="AE239" s="154">
        <f>AE237*L239</f>
        <v>6.1516303286401781</v>
      </c>
      <c r="AG239" s="5"/>
      <c r="AH239" s="5"/>
      <c r="AI239" s="5"/>
      <c r="AJ239" s="103"/>
      <c r="AK239" s="72"/>
      <c r="AO239" s="14"/>
    </row>
    <row r="240" spans="1:46" x14ac:dyDescent="0.2">
      <c r="A240" s="9"/>
      <c r="B240" s="129"/>
      <c r="T240" s="158"/>
      <c r="U240" s="158"/>
      <c r="V240" s="153"/>
      <c r="W240" s="152">
        <f>SUM(W238:W239)</f>
        <v>9.484322221897644</v>
      </c>
      <c r="X240" s="153"/>
      <c r="Y240" s="153"/>
      <c r="Z240" s="152">
        <f>SUM(Z238:Z239)</f>
        <v>21.232498502205843</v>
      </c>
      <c r="AA240" s="153"/>
      <c r="AB240" s="103"/>
      <c r="AC240" s="103"/>
      <c r="AD240" s="103"/>
      <c r="AE240" s="153">
        <f>SUM(AE238:AE239)</f>
        <v>7.0040955331987034</v>
      </c>
      <c r="AF240" s="41" t="s">
        <v>483</v>
      </c>
      <c r="AG240" s="5" t="s">
        <v>24</v>
      </c>
      <c r="AH240" s="219">
        <f>INDEX('C-P-RollAdj'!$J$4:$J$76,MATCH(INT(W240),'C-P-RollAdj'!$I$4:$I$76,FALSE),0)</f>
        <v>23</v>
      </c>
      <c r="AI240" s="219">
        <f>INDEX('C-P-RollAdj'!$J$4:$J$76,MATCH(INT(Z240),'C-P-RollAdj'!$I$4:$I$76,FALSE),0)</f>
        <v>43</v>
      </c>
      <c r="AJ240" s="174">
        <f>SUM(AJ236:AJ239)</f>
        <v>31.111111111111114</v>
      </c>
      <c r="AK240" s="14">
        <f>SUM(AK236:AK239)</f>
        <v>32.222222222222221</v>
      </c>
      <c r="AL240" s="14">
        <f>SUM(AL236:AL239)</f>
        <v>0</v>
      </c>
      <c r="AM240" s="14">
        <f>SUM(AM236:AM239)</f>
        <v>140.55555555555557</v>
      </c>
      <c r="AO240" s="14"/>
    </row>
    <row r="241" spans="1:46" x14ac:dyDescent="0.2">
      <c r="B241" s="155"/>
      <c r="AO241" s="14"/>
      <c r="AP241" s="112"/>
      <c r="AQ241" s="112"/>
      <c r="AR241" s="112"/>
    </row>
    <row r="242" spans="1:46" x14ac:dyDescent="0.2">
      <c r="A242" s="155" t="s">
        <v>852</v>
      </c>
      <c r="B242" s="155" t="s">
        <v>146</v>
      </c>
      <c r="C242" s="202">
        <v>1</v>
      </c>
      <c r="D242" s="202">
        <v>1</v>
      </c>
      <c r="E242" s="185">
        <v>4.6100000000000003</v>
      </c>
      <c r="F242" s="202">
        <v>11</v>
      </c>
      <c r="G242" s="202">
        <v>0</v>
      </c>
      <c r="H242" s="202">
        <v>0</v>
      </c>
      <c r="I242" s="202">
        <v>0</v>
      </c>
      <c r="J242" s="202">
        <v>0</v>
      </c>
      <c r="K242" s="202">
        <v>1</v>
      </c>
      <c r="L242" s="185">
        <v>13.67</v>
      </c>
      <c r="M242" s="202">
        <v>15</v>
      </c>
      <c r="N242" s="202">
        <v>7</v>
      </c>
      <c r="O242" s="202">
        <v>7</v>
      </c>
      <c r="P242" s="202">
        <v>3</v>
      </c>
      <c r="Q242" s="202">
        <v>3</v>
      </c>
      <c r="R242" s="202">
        <v>0</v>
      </c>
      <c r="S242" s="202">
        <v>8</v>
      </c>
      <c r="T242" s="202">
        <v>56</v>
      </c>
      <c r="V242" s="50">
        <f>+(Q242-R242)/(T242-R242)*100</f>
        <v>5.3571428571428568</v>
      </c>
      <c r="W242" s="6">
        <f>IF(V242&lt;LeagueRatings!$K$10,((LeagueRatings!$K$10-V242)/LeagueRatings!$K$10)*36,(LeagueRatings!$K$10-V242)*6.48)</f>
        <v>13.749542965160446</v>
      </c>
      <c r="X242" s="16">
        <f>INDEX('C-P-RollAdj'!$B$4:$B$76,MATCH(INT(W242),'C-P-RollAdj'!$A$4:$A$76,FALSE),0)</f>
        <v>-1.1000000000000001</v>
      </c>
      <c r="Y242" s="16">
        <f>(P242/(T242-R242))*100</f>
        <v>5.3571428571428568</v>
      </c>
      <c r="Z242" s="6">
        <f>IF(Y242&lt;LeagueRatings!$K$8,((LeagueRatings!$K$8-Y242)/LeagueRatings!$K$8)*36,(LeagueRatings!$K$8-Y242)/LeagueRatings!$K$11)</f>
        <v>-17.111080541990503</v>
      </c>
      <c r="AA242" s="16">
        <f>INDEX('C-P-RollAdj'!$F$4:$F$76,MATCH(INT(Z242),'C-P-RollAdj'!$E$4:$E$76,FALSE),0)</f>
        <v>1.8900000000000001</v>
      </c>
      <c r="AB242" s="17">
        <f>+((LeagueRatings!$I$6-E242)*5)+9.5</f>
        <v>7.4580514552774018</v>
      </c>
      <c r="AC242" s="17">
        <f>IF(AB242&lt;4,4,AB242)</f>
        <v>7.4580514552774018</v>
      </c>
      <c r="AD242" s="17">
        <f>IF(M242&lt;L242,((1-(M242/L242))*7)-0.07,(1-(M242/L242))*5)</f>
        <v>-0.48646671543525977</v>
      </c>
      <c r="AE242" s="4">
        <f>+X242+AA242+AC242+AD242</f>
        <v>7.7615847398421423</v>
      </c>
      <c r="AG242" s="5" t="s">
        <v>55</v>
      </c>
      <c r="AH242" s="219">
        <f>INDEX('C-P-RollAdj'!$J$4:$J$76,MATCH(INT(W242),'C-P-RollAdj'!$I$4:$I$76,FALSE),0)</f>
        <v>31</v>
      </c>
      <c r="AI242" s="219">
        <f>INDEX('C-P-RollAdj'!$J$4:$J$76,MATCH(INT(Z242),'C-P-RollAdj'!$I$4:$I$76,FALSE),0)</f>
        <v>-36</v>
      </c>
      <c r="AJ242" s="14">
        <f>+AO242*LeagueRatings!$K$27</f>
        <v>7.7777777777777786</v>
      </c>
      <c r="AK242" s="72">
        <f>F242*LeagueRatings!$K$27</f>
        <v>6.1111111111111116</v>
      </c>
      <c r="AL242" s="72">
        <f>G242*LeagueRatings!$K$27</f>
        <v>0</v>
      </c>
      <c r="AM242" s="72">
        <f>T242*LeagueRatings!$K$27</f>
        <v>31.111111111111114</v>
      </c>
      <c r="AN242" s="24"/>
      <c r="AO242" s="72">
        <f>ROUNDUP(L242,0)</f>
        <v>14</v>
      </c>
    </row>
    <row r="243" spans="1:46" s="24" customFormat="1" x14ac:dyDescent="0.2">
      <c r="A243" s="41" t="s">
        <v>464</v>
      </c>
      <c r="B243" s="202" t="s">
        <v>153</v>
      </c>
      <c r="C243" s="202">
        <v>2</v>
      </c>
      <c r="D243" s="202">
        <v>4</v>
      </c>
      <c r="E243" s="185">
        <v>4.8099999999999996</v>
      </c>
      <c r="F243" s="202">
        <v>38</v>
      </c>
      <c r="G243" s="202">
        <v>0</v>
      </c>
      <c r="H243" s="202">
        <v>0</v>
      </c>
      <c r="I243" s="202">
        <v>0</v>
      </c>
      <c r="J243" s="202">
        <v>1</v>
      </c>
      <c r="K243" s="202">
        <v>4</v>
      </c>
      <c r="L243" s="185">
        <v>33.67</v>
      </c>
      <c r="M243" s="202">
        <v>37</v>
      </c>
      <c r="N243" s="202">
        <v>21</v>
      </c>
      <c r="O243" s="202">
        <v>18</v>
      </c>
      <c r="P243" s="202">
        <v>7</v>
      </c>
      <c r="Q243" s="202">
        <v>4</v>
      </c>
      <c r="R243" s="202">
        <v>2</v>
      </c>
      <c r="S243" s="202">
        <v>22</v>
      </c>
      <c r="T243" s="202">
        <v>138</v>
      </c>
      <c r="U243" s="76"/>
      <c r="V243" s="50">
        <f>+(Q243-R243)/(T243-R243)*100</f>
        <v>1.4705882352941175</v>
      </c>
      <c r="W243" s="6">
        <f>IF(V243&lt;LeagueRatings!$K$10,((LeagueRatings!$K$10-V243)/LeagueRatings!$K$10)*36,(LeagueRatings!$K$10-V243)*6.48)</f>
        <v>29.892031402200907</v>
      </c>
      <c r="X243" s="16">
        <f>INDEX('C-P-RollAdj'!$B$4:$B$76,MATCH(INT(W243),'C-P-RollAdj'!$A$4:$A$76,FALSE),0)</f>
        <v>-2.7800000000000002</v>
      </c>
      <c r="Y243" s="16">
        <f>(P243/(T243-R243))*100</f>
        <v>5.1470588235294112</v>
      </c>
      <c r="Z243" s="6">
        <f>IF(Y243&lt;LeagueRatings!$K$8,((LeagueRatings!$K$8-Y243)/LeagueRatings!$K$8)*36,(LeagueRatings!$K$8-Y243)/LeagueRatings!$K$11)</f>
        <v>-15.442918236143754</v>
      </c>
      <c r="AA243" s="16">
        <f>INDEX('C-P-RollAdj'!$F$4:$F$76,MATCH(INT(Z243),'C-P-RollAdj'!$E$4:$E$76,FALSE),0)</f>
        <v>1.63</v>
      </c>
      <c r="AB243" s="17">
        <f>+((LeagueRatings!$I$6-E243)*5)+9.5</f>
        <v>6.4580514552774053</v>
      </c>
      <c r="AC243" s="17">
        <f>IF(AB243&lt;4,4,AB243)</f>
        <v>6.4580514552774053</v>
      </c>
      <c r="AD243" s="17">
        <f>IF(M243&lt;L243,((1-(M243/L243))*7)-0.07,(1-(M243/L243))*5)</f>
        <v>-0.49450549450549386</v>
      </c>
      <c r="AE243" s="4">
        <f>+X243+AA243+AC243+AD243</f>
        <v>4.8135459607719113</v>
      </c>
      <c r="AG243" s="5" t="s">
        <v>19</v>
      </c>
      <c r="AH243" s="219">
        <f>INDEX('C-P-RollAdj'!$J$4:$J$76,MATCH(INT(W243),'C-P-RollAdj'!$I$4:$I$76,FALSE),0)</f>
        <v>55</v>
      </c>
      <c r="AI243" s="219">
        <f>INDEX('C-P-RollAdj'!$J$4:$J$76,MATCH(INT(Z243),'C-P-RollAdj'!$I$4:$I$76,FALSE),0)</f>
        <v>-34</v>
      </c>
      <c r="AJ243" s="14">
        <f>+AO243*LeagueRatings!$K$27</f>
        <v>18.888888888888889</v>
      </c>
      <c r="AK243" s="72">
        <f>F243*LeagueRatings!$K$27</f>
        <v>21.111111111111111</v>
      </c>
      <c r="AL243" s="72">
        <f>G243*LeagueRatings!$K$27</f>
        <v>0</v>
      </c>
      <c r="AM243" s="72">
        <f>T243*LeagueRatings!$K$27</f>
        <v>76.666666666666671</v>
      </c>
      <c r="AO243" s="72">
        <f>ROUNDUP(L243,0)</f>
        <v>34</v>
      </c>
      <c r="AP243" s="113"/>
      <c r="AQ243" s="113"/>
      <c r="AR243" s="113"/>
      <c r="AT243" s="97">
        <v>40.33</v>
      </c>
    </row>
    <row r="244" spans="1:46" x14ac:dyDescent="0.2">
      <c r="A244" s="9"/>
      <c r="B244" s="129"/>
      <c r="L244" s="157">
        <f>(L242/100)/((L242+L243)/100)</f>
        <v>0.28876214617659479</v>
      </c>
      <c r="T244" s="158"/>
      <c r="U244" s="158"/>
      <c r="V244" s="153"/>
      <c r="W244" s="152">
        <f>W242*L244</f>
        <v>3.970347535567031</v>
      </c>
      <c r="X244" s="153"/>
      <c r="Y244" s="153"/>
      <c r="Z244" s="152">
        <f>Z242*L244</f>
        <v>-4.9410323407057488</v>
      </c>
      <c r="AA244" s="153"/>
      <c r="AB244" s="103"/>
      <c r="AC244" s="103"/>
      <c r="AD244" s="103"/>
      <c r="AE244" s="154">
        <f>AE242*L244</f>
        <v>2.2412518672083239</v>
      </c>
      <c r="AG244" s="5"/>
      <c r="AH244" s="5"/>
      <c r="AI244" s="5"/>
      <c r="AJ244" s="103"/>
      <c r="AK244" s="72"/>
      <c r="AO244" s="14"/>
    </row>
    <row r="245" spans="1:46" x14ac:dyDescent="0.2">
      <c r="A245" s="9"/>
      <c r="B245" s="129"/>
      <c r="L245" s="157">
        <f>(L243/100)/((L242+L243)/100)</f>
        <v>0.7112378538234051</v>
      </c>
      <c r="T245" s="158"/>
      <c r="U245" s="158"/>
      <c r="V245" s="153"/>
      <c r="W245" s="152">
        <f>W243*L245</f>
        <v>21.260344260923205</v>
      </c>
      <c r="X245" s="153"/>
      <c r="Y245" s="153"/>
      <c r="Z245" s="152">
        <f>Z243*L245</f>
        <v>-10.983588023045208</v>
      </c>
      <c r="AA245" s="153"/>
      <c r="AB245" s="103"/>
      <c r="AC245" s="103"/>
      <c r="AD245" s="103"/>
      <c r="AE245" s="154">
        <f>AE243*L245</f>
        <v>3.4235760984197348</v>
      </c>
      <c r="AG245" s="5"/>
      <c r="AH245" s="5"/>
      <c r="AI245" s="5"/>
      <c r="AJ245" s="103"/>
      <c r="AK245" s="72"/>
      <c r="AO245" s="14"/>
    </row>
    <row r="246" spans="1:46" x14ac:dyDescent="0.2">
      <c r="A246" s="9"/>
      <c r="B246" s="129"/>
      <c r="T246" s="158"/>
      <c r="U246" s="158"/>
      <c r="V246" s="153"/>
      <c r="W246" s="152">
        <f>SUM(W244:W245)</f>
        <v>25.230691796490234</v>
      </c>
      <c r="X246" s="153"/>
      <c r="Y246" s="153"/>
      <c r="Z246" s="152">
        <f>SUM(Z244:Z245)</f>
        <v>-15.924620363750957</v>
      </c>
      <c r="AA246" s="153"/>
      <c r="AB246" s="103"/>
      <c r="AC246" s="103"/>
      <c r="AD246" s="103"/>
      <c r="AE246" s="153">
        <f>SUM(AE244:AE245)</f>
        <v>5.6648279656280582</v>
      </c>
      <c r="AF246" s="41" t="s">
        <v>464</v>
      </c>
      <c r="AG246" s="5" t="s">
        <v>24</v>
      </c>
      <c r="AH246" s="219">
        <f>INDEX('C-P-RollAdj'!$J$4:$J$76,MATCH(INT(W246),'C-P-RollAdj'!$I$4:$I$76,FALSE),0)</f>
        <v>51</v>
      </c>
      <c r="AI246" s="219">
        <f>INDEX('C-P-RollAdj'!$J$4:$J$76,MATCH(INT(Z246),'C-P-RollAdj'!$I$4:$I$76,FALSE),0)</f>
        <v>-34</v>
      </c>
      <c r="AJ246" s="174">
        <f>SUM(AJ242:AJ245)</f>
        <v>26.666666666666668</v>
      </c>
      <c r="AK246" s="14">
        <f>SUM(AK242:AK245)</f>
        <v>27.222222222222221</v>
      </c>
      <c r="AL246" s="14">
        <f>SUM(AL242:AL245)</f>
        <v>0</v>
      </c>
      <c r="AM246" s="14">
        <f>SUM(AM242:AM245)</f>
        <v>107.77777777777779</v>
      </c>
      <c r="AO246" s="14"/>
    </row>
    <row r="247" spans="1:46" x14ac:dyDescent="0.2">
      <c r="B247" s="155"/>
      <c r="AO247" s="14"/>
    </row>
    <row r="248" spans="1:46" x14ac:dyDescent="0.2">
      <c r="A248" s="155" t="s">
        <v>868</v>
      </c>
      <c r="B248" s="155" t="s">
        <v>145</v>
      </c>
      <c r="C248" s="202">
        <v>2</v>
      </c>
      <c r="D248" s="202">
        <v>9</v>
      </c>
      <c r="E248" s="185">
        <v>7.06</v>
      </c>
      <c r="F248" s="202">
        <v>18</v>
      </c>
      <c r="G248" s="202">
        <v>11</v>
      </c>
      <c r="H248" s="202">
        <v>0</v>
      </c>
      <c r="I248" s="202">
        <v>0</v>
      </c>
      <c r="J248" s="202">
        <v>0</v>
      </c>
      <c r="K248" s="202">
        <v>1</v>
      </c>
      <c r="L248" s="185">
        <v>66.33</v>
      </c>
      <c r="M248" s="202">
        <v>84</v>
      </c>
      <c r="N248" s="202">
        <v>57</v>
      </c>
      <c r="O248" s="202">
        <v>52</v>
      </c>
      <c r="P248" s="202">
        <v>14</v>
      </c>
      <c r="Q248" s="202">
        <v>25</v>
      </c>
      <c r="R248" s="202">
        <v>0</v>
      </c>
      <c r="S248" s="202">
        <v>50</v>
      </c>
      <c r="T248" s="202">
        <v>305</v>
      </c>
      <c r="V248" s="50">
        <f>+(Q248-R248)/(T248-R248)*100</f>
        <v>8.1967213114754092</v>
      </c>
      <c r="W248" s="6">
        <f>IF(V248&lt;LeagueRatings!$K$10,((LeagueRatings!$K$10-V248)/LeagueRatings!$K$10)*36,(LeagueRatings!$K$10-V248)*6.48)</f>
        <v>1.9555848647263634</v>
      </c>
      <c r="X248" s="16">
        <f>INDEX('C-P-RollAdj'!$B$4:$B$76,MATCH(INT(W248),'C-P-RollAdj'!$A$4:$A$76,FALSE),0)</f>
        <v>-0.08</v>
      </c>
      <c r="Y248" s="16">
        <f>(P248/(T248-R248))*100</f>
        <v>4.5901639344262293</v>
      </c>
      <c r="Z248" s="6">
        <f>IF(Y248&lt;LeagueRatings!$K$8,((LeagueRatings!$K$8-Y248)/LeagueRatings!$K$8)*36,(LeagueRatings!$K$8-Y248)/LeagueRatings!$K$11)</f>
        <v>-11.020920779497539</v>
      </c>
      <c r="AA248" s="16">
        <f>INDEX('C-P-RollAdj'!$F$4:$F$76,MATCH(INT(Z248),'C-P-RollAdj'!$E$4:$E$76,FALSE),0)</f>
        <v>1.1400000000000001</v>
      </c>
      <c r="AB248" s="17">
        <f>+((LeagueRatings!$I$6-E248)*5)+9.5</f>
        <v>-4.7919485447225938</v>
      </c>
      <c r="AC248" s="17">
        <f>IF(AB248&lt;4,4,AB248)</f>
        <v>4</v>
      </c>
      <c r="AD248" s="17">
        <f>IF(M248&lt;L248,((1-(M248/L248))*7)-0.07,(1-(M248/L248))*5)</f>
        <v>-1.3319764812302126</v>
      </c>
      <c r="AE248" s="4">
        <f>+X248+AA248+AC248+AD248</f>
        <v>3.7280235187697879</v>
      </c>
      <c r="AG248" s="5" t="s">
        <v>19</v>
      </c>
      <c r="AH248" s="219">
        <f>INDEX('C-P-RollAdj'!$J$4:$J$76,MATCH(INT(W248),'C-P-RollAdj'!$I$4:$I$76,FALSE),0)</f>
        <v>11</v>
      </c>
      <c r="AI248" s="219">
        <f>INDEX('C-P-RollAdj'!$J$4:$J$76,MATCH(INT(Z248),'C-P-RollAdj'!$I$4:$I$76,FALSE),0)</f>
        <v>-26</v>
      </c>
      <c r="AJ248" s="14">
        <f>+AO248*LeagueRatings!$K$27</f>
        <v>37.222222222222221</v>
      </c>
      <c r="AK248" s="72">
        <f>F248*LeagueRatings!$K$27</f>
        <v>10</v>
      </c>
      <c r="AL248" s="72">
        <f>G248*LeagueRatings!$K$27</f>
        <v>6.1111111111111116</v>
      </c>
      <c r="AM248" s="72">
        <f>T248*LeagueRatings!$K$27</f>
        <v>169.44444444444446</v>
      </c>
      <c r="AN248" s="24"/>
      <c r="AO248" s="72">
        <f>ROUNDUP(L248,0)</f>
        <v>67</v>
      </c>
    </row>
    <row r="249" spans="1:46" s="24" customFormat="1" x14ac:dyDescent="0.2">
      <c r="A249" s="41" t="s">
        <v>492</v>
      </c>
      <c r="B249" s="202" t="s">
        <v>170</v>
      </c>
      <c r="C249" s="202">
        <v>1</v>
      </c>
      <c r="D249" s="202">
        <v>2</v>
      </c>
      <c r="E249" s="185">
        <v>5.4</v>
      </c>
      <c r="F249" s="202">
        <v>20</v>
      </c>
      <c r="G249" s="202">
        <v>0</v>
      </c>
      <c r="H249" s="202">
        <v>0</v>
      </c>
      <c r="I249" s="202">
        <v>0</v>
      </c>
      <c r="J249" s="202">
        <v>0</v>
      </c>
      <c r="K249" s="202">
        <v>1</v>
      </c>
      <c r="L249" s="185">
        <v>16.670000000000002</v>
      </c>
      <c r="M249" s="202">
        <v>16</v>
      </c>
      <c r="N249" s="202">
        <v>11</v>
      </c>
      <c r="O249" s="202">
        <v>10</v>
      </c>
      <c r="P249" s="202">
        <v>1</v>
      </c>
      <c r="Q249" s="202">
        <v>6</v>
      </c>
      <c r="R249" s="202">
        <v>0</v>
      </c>
      <c r="S249" s="202">
        <v>21</v>
      </c>
      <c r="T249" s="202">
        <v>72</v>
      </c>
      <c r="U249" s="76"/>
      <c r="V249" s="50">
        <f>+(Q249-R249)/(T249-R249)*100</f>
        <v>8.3333333333333321</v>
      </c>
      <c r="W249" s="6">
        <f>IF(V249&lt;LeagueRatings!$K$21,((LeagueRatings!$K$21-V249)/LeagueRatings!$K$21)*36,(LeagueRatings!$K$21-V249)*6.48)</f>
        <v>2.4917370900224665</v>
      </c>
      <c r="X249" s="16">
        <f>INDEX('C-P-RollAdj'!$B$4:$B$76,MATCH(INT(W249),'C-P-RollAdj'!$A$4:$A$76,FALSE),0)</f>
        <v>-0.16</v>
      </c>
      <c r="Y249" s="16">
        <f>(P249/(T249-R249))*100</f>
        <v>1.3888888888888888</v>
      </c>
      <c r="Z249" s="6">
        <f>IF(Y249&lt;LeagueRatings!$K$19,((LeagueRatings!$K$19-Y249)/LeagueRatings!$K$19)*36,(LeagueRatings!$K$19-Y249)/LeagueRatings!$K$22)</f>
        <v>18.806053811659194</v>
      </c>
      <c r="AA249" s="16">
        <f>INDEX('C-P-RollAdj'!$F$4:$F$76,MATCH(INT(Z249),'C-P-RollAdj'!$E$4:$E$76,FALSE),0)</f>
        <v>-1.4100000000000001</v>
      </c>
      <c r="AB249" s="17">
        <f>+((LeagueRatings!$I$17-E249)*5)+9.5</f>
        <v>3.3143872437063608</v>
      </c>
      <c r="AC249" s="17">
        <f>IF(AB249&lt;4,4,AB249)</f>
        <v>4</v>
      </c>
      <c r="AD249" s="17">
        <f>IF(M249&lt;L249,((1-(M249/L249))*7)-0.07,(1-(M249/L249))*5)</f>
        <v>0.21134373125375</v>
      </c>
      <c r="AE249" s="4">
        <f>+X249+AA249+AC249+AD249</f>
        <v>2.6413437312537495</v>
      </c>
      <c r="AG249" s="58">
        <v>4</v>
      </c>
      <c r="AH249" s="219">
        <f>INDEX('C-P-RollAdj'!$J$4:$J$76,MATCH(INT(W249),'C-P-RollAdj'!$I$4:$I$76,FALSE),0)</f>
        <v>12</v>
      </c>
      <c r="AI249" s="219">
        <f>INDEX('C-P-RollAdj'!$J$4:$J$76,MATCH(INT(Z249),'C-P-RollAdj'!$I$4:$I$76,FALSE),0)</f>
        <v>36</v>
      </c>
      <c r="AJ249" s="14">
        <f>+AO249*LeagueRatings!$K$27</f>
        <v>9.4444444444444446</v>
      </c>
      <c r="AK249" s="72">
        <f>F249*LeagueRatings!$K$27</f>
        <v>11.111111111111111</v>
      </c>
      <c r="AL249" s="72">
        <f>G249*LeagueRatings!$K$27</f>
        <v>0</v>
      </c>
      <c r="AM249" s="72">
        <f>T249*LeagueRatings!$K$27</f>
        <v>40</v>
      </c>
      <c r="AO249" s="14">
        <f>ROUNDUP(L249,0)</f>
        <v>17</v>
      </c>
    </row>
    <row r="250" spans="1:46" x14ac:dyDescent="0.2">
      <c r="A250" s="9"/>
      <c r="B250" s="129"/>
      <c r="L250" s="157">
        <f>(L248/100)/((L248+L249)/100)</f>
        <v>0.79915662650602415</v>
      </c>
      <c r="T250" s="158"/>
      <c r="U250" s="158"/>
      <c r="V250" s="153"/>
      <c r="W250" s="152">
        <f>W248*L250</f>
        <v>1.5628186033409601</v>
      </c>
      <c r="X250" s="153"/>
      <c r="Y250" s="153"/>
      <c r="Z250" s="152">
        <f>Z248*L250</f>
        <v>-8.8074418711333955</v>
      </c>
      <c r="AA250" s="153"/>
      <c r="AB250" s="103"/>
      <c r="AC250" s="103"/>
      <c r="AD250" s="103"/>
      <c r="AE250" s="154">
        <f>AE248*L250</f>
        <v>2.9792746987951815</v>
      </c>
      <c r="AG250" s="5"/>
      <c r="AH250" s="5"/>
      <c r="AI250" s="5"/>
      <c r="AJ250" s="103"/>
      <c r="AK250" s="72"/>
      <c r="AO250" s="14"/>
    </row>
    <row r="251" spans="1:46" x14ac:dyDescent="0.2">
      <c r="A251" s="9"/>
      <c r="B251" s="129"/>
      <c r="L251" s="157">
        <f>(L249/100)/((L248+L249)/100)</f>
        <v>0.20084337349397594</v>
      </c>
      <c r="T251" s="158"/>
      <c r="U251" s="158"/>
      <c r="V251" s="153"/>
      <c r="W251" s="152">
        <f>W249*L251</f>
        <v>0.50044888302017498</v>
      </c>
      <c r="X251" s="153"/>
      <c r="Y251" s="153"/>
      <c r="Z251" s="152">
        <f>Z249*L251</f>
        <v>3.7770712896428771</v>
      </c>
      <c r="AA251" s="153"/>
      <c r="AB251" s="103"/>
      <c r="AC251" s="103"/>
      <c r="AD251" s="103"/>
      <c r="AE251" s="154">
        <f>AE249*L251</f>
        <v>0.53049638554216882</v>
      </c>
      <c r="AG251" s="5"/>
      <c r="AH251" s="5"/>
      <c r="AI251" s="5"/>
      <c r="AJ251" s="103"/>
      <c r="AK251" s="72"/>
      <c r="AO251" s="14"/>
    </row>
    <row r="252" spans="1:46" x14ac:dyDescent="0.2">
      <c r="A252" s="9"/>
      <c r="B252" s="129"/>
      <c r="T252" s="158"/>
      <c r="U252" s="158"/>
      <c r="V252" s="153"/>
      <c r="W252" s="152">
        <f>SUM(W250:W251)</f>
        <v>2.0632674863611351</v>
      </c>
      <c r="X252" s="153"/>
      <c r="Y252" s="153"/>
      <c r="Z252" s="152">
        <f>SUM(Z250:Z251)</f>
        <v>-5.0303705814905184</v>
      </c>
      <c r="AA252" s="153"/>
      <c r="AB252" s="103"/>
      <c r="AC252" s="103"/>
      <c r="AD252" s="103"/>
      <c r="AE252" s="153">
        <f>SUM(AE250:AE251)</f>
        <v>3.5097710843373502</v>
      </c>
      <c r="AF252" s="41" t="s">
        <v>492</v>
      </c>
      <c r="AG252" s="5" t="s">
        <v>60</v>
      </c>
      <c r="AH252" s="219">
        <f>INDEX('C-P-RollAdj'!$J$4:$J$76,MATCH(INT(W252),'C-P-RollAdj'!$I$4:$I$76,FALSE),0)</f>
        <v>12</v>
      </c>
      <c r="AI252" s="219">
        <f>INDEX('C-P-RollAdj'!$J$4:$J$76,MATCH(INT(Z252),'C-P-RollAdj'!$I$4:$I$76,FALSE),0)</f>
        <v>-16</v>
      </c>
      <c r="AJ252" s="174">
        <f>SUM(AJ248:AJ251)</f>
        <v>46.666666666666664</v>
      </c>
      <c r="AK252" s="14">
        <f>SUM(AK248:AK251)</f>
        <v>21.111111111111111</v>
      </c>
      <c r="AL252" s="14">
        <f>SUM(AL248:AL251)</f>
        <v>6.1111111111111116</v>
      </c>
      <c r="AM252" s="14">
        <f>SUM(AM248:AM251)</f>
        <v>209.44444444444446</v>
      </c>
      <c r="AO252" s="14"/>
    </row>
    <row r="253" spans="1:46" x14ac:dyDescent="0.2">
      <c r="B253" s="155"/>
      <c r="AO253" s="14"/>
    </row>
    <row r="254" spans="1:46" x14ac:dyDescent="0.2">
      <c r="A254" s="155" t="s">
        <v>1250</v>
      </c>
      <c r="B254" s="155" t="s">
        <v>156</v>
      </c>
      <c r="C254" s="202">
        <v>1</v>
      </c>
      <c r="D254" s="202">
        <v>1</v>
      </c>
      <c r="E254" s="185">
        <v>3.86</v>
      </c>
      <c r="F254" s="202">
        <v>5</v>
      </c>
      <c r="G254" s="202">
        <v>5</v>
      </c>
      <c r="H254" s="202">
        <v>0</v>
      </c>
      <c r="I254" s="202">
        <v>0</v>
      </c>
      <c r="J254" s="202">
        <v>0</v>
      </c>
      <c r="K254" s="202">
        <v>0</v>
      </c>
      <c r="L254" s="185">
        <v>23.33</v>
      </c>
      <c r="M254" s="202">
        <v>23</v>
      </c>
      <c r="N254" s="202">
        <v>11</v>
      </c>
      <c r="O254" s="202">
        <v>10</v>
      </c>
      <c r="P254" s="202">
        <v>3</v>
      </c>
      <c r="Q254" s="202">
        <v>12</v>
      </c>
      <c r="R254" s="202">
        <v>0</v>
      </c>
      <c r="S254" s="202">
        <v>18</v>
      </c>
      <c r="T254" s="202">
        <v>103</v>
      </c>
      <c r="V254" s="50">
        <f>+(Q254-R254)/(T254-R254)*100</f>
        <v>11.650485436893204</v>
      </c>
      <c r="W254" s="6">
        <f>IF(V254&lt;LeagueRatings!$K$10,((LeagueRatings!$K$10-V254)/LeagueRatings!$K$10)*36,(LeagueRatings!$K$10-V254)*6.48)</f>
        <v>-19.329365136874301</v>
      </c>
      <c r="X254" s="16">
        <f>INDEX('C-P-RollAdj'!$B$4:$B$76,MATCH(INT(W254),'C-P-RollAdj'!$A$4:$A$76,FALSE),0)</f>
        <v>2.38</v>
      </c>
      <c r="Y254" s="16">
        <f>(P254/(T254-R254))*100</f>
        <v>2.912621359223301</v>
      </c>
      <c r="Z254" s="6">
        <f>IF(Y254&lt;LeagueRatings!$K$8,((LeagueRatings!$K$8-Y254)/LeagueRatings!$K$8)*36,(LeagueRatings!$K$8-Y254)/LeagueRatings!$K$11)</f>
        <v>3.2557031389600346</v>
      </c>
      <c r="AA254" s="16">
        <f>INDEX('C-P-RollAdj'!$F$4:$F$76,MATCH(INT(Z254),'C-P-RollAdj'!$E$4:$E$76,FALSE),0)</f>
        <v>-0.21000000000000002</v>
      </c>
      <c r="AB254" s="17">
        <f>+((LeagueRatings!$I$6-E254)*5)+9.5</f>
        <v>11.208051455277404</v>
      </c>
      <c r="AC254" s="17">
        <f>IF(AB254&lt;4,4,AB254)</f>
        <v>11.208051455277404</v>
      </c>
      <c r="AD254" s="17">
        <f>IF(M254&lt;L254,((1-(M254/L254))*7)-0.07,(1-(M254/L254))*5)</f>
        <v>2.901414487783921E-2</v>
      </c>
      <c r="AE254" s="4">
        <f>+X254+AA254+AC254+AD254</f>
        <v>13.407065600155244</v>
      </c>
      <c r="AF254" s="24"/>
      <c r="AG254" s="5" t="s">
        <v>16</v>
      </c>
      <c r="AH254" s="219">
        <f>INDEX('C-P-RollAdj'!$J$4:$J$76,MATCH(INT(W254),'C-P-RollAdj'!$I$4:$I$76,FALSE),0)</f>
        <v>-42</v>
      </c>
      <c r="AI254" s="219">
        <f>INDEX('C-P-RollAdj'!$J$4:$J$76,MATCH(INT(Z254),'C-P-RollAdj'!$I$4:$I$76,FALSE),0)</f>
        <v>13</v>
      </c>
      <c r="AJ254" s="14">
        <f>+AO254*LeagueRatings!$K$27</f>
        <v>13.333333333333334</v>
      </c>
      <c r="AK254" s="72">
        <f>F254*LeagueRatings!$K$27</f>
        <v>2.7777777777777777</v>
      </c>
      <c r="AL254" s="72">
        <f>G254*LeagueRatings!$K$27</f>
        <v>2.7777777777777777</v>
      </c>
      <c r="AM254" s="72">
        <f>T254*LeagueRatings!$K$27</f>
        <v>57.222222222222221</v>
      </c>
      <c r="AN254" s="24"/>
      <c r="AO254" s="72">
        <f>ROUNDUP(L254,0)</f>
        <v>24</v>
      </c>
    </row>
    <row r="255" spans="1:46" s="24" customFormat="1" x14ac:dyDescent="0.2">
      <c r="A255" s="41" t="s">
        <v>831</v>
      </c>
      <c r="B255" s="202" t="s">
        <v>149</v>
      </c>
      <c r="C255" s="202">
        <v>2</v>
      </c>
      <c r="D255" s="202">
        <v>1</v>
      </c>
      <c r="E255" s="185">
        <v>3.68</v>
      </c>
      <c r="F255" s="202">
        <v>8</v>
      </c>
      <c r="G255" s="202">
        <v>8</v>
      </c>
      <c r="H255" s="202">
        <v>0</v>
      </c>
      <c r="I255" s="202">
        <v>0</v>
      </c>
      <c r="J255" s="202">
        <v>0</v>
      </c>
      <c r="K255" s="202">
        <v>0</v>
      </c>
      <c r="L255" s="185">
        <v>36.67</v>
      </c>
      <c r="M255" s="202">
        <v>30</v>
      </c>
      <c r="N255" s="202">
        <v>20</v>
      </c>
      <c r="O255" s="202">
        <v>15</v>
      </c>
      <c r="P255" s="202">
        <v>6</v>
      </c>
      <c r="Q255" s="202">
        <v>7</v>
      </c>
      <c r="R255" s="202">
        <v>0</v>
      </c>
      <c r="S255" s="202">
        <v>27</v>
      </c>
      <c r="T255" s="202">
        <v>148</v>
      </c>
      <c r="U255" s="76"/>
      <c r="V255" s="50">
        <f>+(Q255-R255)/(T255-R255)*100</f>
        <v>4.7297297297297298</v>
      </c>
      <c r="W255" s="6">
        <f>IF(V255&lt;LeagueRatings!$K$10,((LeagueRatings!$K$10-V255)/LeagueRatings!$K$10)*36,(LeagueRatings!$K$10-V255)*6.48)</f>
        <v>16.355452347619128</v>
      </c>
      <c r="X255" s="16">
        <f>INDEX('C-P-RollAdj'!$B$4:$B$76,MATCH(INT(W255),'C-P-RollAdj'!$A$4:$A$76,FALSE),0)</f>
        <v>-1.39</v>
      </c>
      <c r="Y255" s="16">
        <f>(P255/(T255-R255))*100</f>
        <v>4.0540540540540544</v>
      </c>
      <c r="Z255" s="6">
        <f>IF(Y255&lt;LeagueRatings!$K$8,((LeagueRatings!$K$8-Y255)/LeagueRatings!$K$8)*36,(LeagueRatings!$K$8-Y255)/LeagueRatings!$K$11)</f>
        <v>-6.7639656989681081</v>
      </c>
      <c r="AA255" s="16">
        <f>INDEX('C-P-RollAdj'!$F$4:$F$76,MATCH(INT(Z255),'C-P-RollAdj'!$E$4:$E$76,FALSE),0)</f>
        <v>0.61</v>
      </c>
      <c r="AB255" s="17">
        <f>+((LeagueRatings!$I$6-E255)*5)+9.5</f>
        <v>12.108051455277403</v>
      </c>
      <c r="AC255" s="17">
        <f>IF(AB255&lt;4,4,AB255)</f>
        <v>12.108051455277403</v>
      </c>
      <c r="AD255" s="17">
        <f>IF(M255&lt;L255,((1-(M255/L255))*7)-0.07,(1-(M255/L255))*5)</f>
        <v>1.2032478865557679</v>
      </c>
      <c r="AE255" s="4">
        <f>+X255+AA255+AC255+AD255</f>
        <v>12.531299341833172</v>
      </c>
      <c r="AG255" s="5" t="s">
        <v>59</v>
      </c>
      <c r="AH255" s="219">
        <f>INDEX('C-P-RollAdj'!$J$4:$J$76,MATCH(INT(W255),'C-P-RollAdj'!$I$4:$I$76,FALSE),0)</f>
        <v>34</v>
      </c>
      <c r="AI255" s="219">
        <f>INDEX('C-P-RollAdj'!$J$4:$J$76,MATCH(INT(Z255),'C-P-RollAdj'!$I$4:$I$76,FALSE),0)</f>
        <v>-21</v>
      </c>
      <c r="AJ255" s="14">
        <f>+AO255*LeagueRatings!$K$27</f>
        <v>20.555555555555557</v>
      </c>
      <c r="AK255" s="72">
        <f>F255*LeagueRatings!$K$27</f>
        <v>4.4444444444444446</v>
      </c>
      <c r="AL255" s="72">
        <f>G255*LeagueRatings!$K$27</f>
        <v>4.4444444444444446</v>
      </c>
      <c r="AM255" s="72">
        <f>T255*LeagueRatings!$K$27</f>
        <v>82.222222222222229</v>
      </c>
      <c r="AO255" s="72">
        <f>ROUNDUP(L255,0)</f>
        <v>37</v>
      </c>
      <c r="AP255" s="113"/>
      <c r="AQ255" s="113"/>
      <c r="AR255" s="113"/>
      <c r="AT255" s="97">
        <v>182</v>
      </c>
    </row>
    <row r="256" spans="1:46" x14ac:dyDescent="0.2">
      <c r="A256" s="9"/>
      <c r="B256" s="129"/>
      <c r="L256" s="157">
        <f>(L254/100)/((L254+L255)/100)</f>
        <v>0.38883333333333331</v>
      </c>
      <c r="T256" s="158"/>
      <c r="U256" s="158"/>
      <c r="V256" s="153"/>
      <c r="W256" s="152">
        <f>W254*L256</f>
        <v>-7.5159014773879571</v>
      </c>
      <c r="X256" s="153"/>
      <c r="Y256" s="153"/>
      <c r="Z256" s="152">
        <f>Z254*L256</f>
        <v>1.2659259038656268</v>
      </c>
      <c r="AA256" s="153"/>
      <c r="AB256" s="103"/>
      <c r="AC256" s="103"/>
      <c r="AD256" s="103"/>
      <c r="AE256" s="154">
        <f>AE254*L256</f>
        <v>5.2131140075270306</v>
      </c>
      <c r="AG256" s="5"/>
      <c r="AH256" s="5"/>
      <c r="AI256" s="5"/>
      <c r="AJ256" s="103"/>
      <c r="AK256" s="72"/>
      <c r="AO256" s="14"/>
    </row>
    <row r="257" spans="1:47" x14ac:dyDescent="0.2">
      <c r="A257" s="9"/>
      <c r="B257" s="129"/>
      <c r="L257" s="157">
        <f>(L255/100)/((L254+L255)/100)</f>
        <v>0.61116666666666675</v>
      </c>
      <c r="T257" s="158"/>
      <c r="U257" s="158"/>
      <c r="V257" s="153"/>
      <c r="W257" s="152">
        <f>W255*L257</f>
        <v>9.9959072931198918</v>
      </c>
      <c r="X257" s="153"/>
      <c r="Y257" s="153"/>
      <c r="Z257" s="152">
        <f>Z255*L257</f>
        <v>-4.1339103696860091</v>
      </c>
      <c r="AA257" s="153"/>
      <c r="AB257" s="103"/>
      <c r="AC257" s="103"/>
      <c r="AD257" s="103"/>
      <c r="AE257" s="154">
        <f>AE255*L257</f>
        <v>7.658712447750375</v>
      </c>
      <c r="AG257" s="5"/>
      <c r="AH257" s="5"/>
      <c r="AI257" s="5"/>
      <c r="AJ257" s="103"/>
      <c r="AK257" s="72"/>
      <c r="AO257" s="14"/>
    </row>
    <row r="258" spans="1:47" x14ac:dyDescent="0.2">
      <c r="A258" s="9"/>
      <c r="B258" s="129"/>
      <c r="T258" s="158"/>
      <c r="U258" s="158"/>
      <c r="V258" s="153"/>
      <c r="W258" s="152">
        <f>SUM(W256:W257)</f>
        <v>2.4800058157319347</v>
      </c>
      <c r="X258" s="153"/>
      <c r="Y258" s="153"/>
      <c r="Z258" s="152">
        <f>SUM(Z256:Z257)</f>
        <v>-2.8679844658203821</v>
      </c>
      <c r="AA258" s="153"/>
      <c r="AB258" s="103"/>
      <c r="AC258" s="103"/>
      <c r="AD258" s="103"/>
      <c r="AE258" s="153">
        <f>SUM(AE256:AE257)</f>
        <v>12.871826455277406</v>
      </c>
      <c r="AF258" s="41" t="s">
        <v>831</v>
      </c>
      <c r="AG258" s="5" t="s">
        <v>16</v>
      </c>
      <c r="AH258" s="219">
        <f>INDEX('C-P-RollAdj'!$J$4:$J$76,MATCH(INT(W258),'C-P-RollAdj'!$I$4:$I$76,FALSE),0)</f>
        <v>12</v>
      </c>
      <c r="AI258" s="219">
        <f>INDEX('C-P-RollAdj'!$J$4:$J$76,MATCH(INT(Z258),'C-P-RollAdj'!$I$4:$I$76,FALSE),0)</f>
        <v>-13</v>
      </c>
      <c r="AJ258" s="174">
        <f>SUM(AJ254:AJ257)</f>
        <v>33.888888888888893</v>
      </c>
      <c r="AK258" s="14">
        <f>SUM(AK254:AK257)</f>
        <v>7.2222222222222223</v>
      </c>
      <c r="AL258" s="14">
        <f>SUM(AL254:AL257)</f>
        <v>7.2222222222222223</v>
      </c>
      <c r="AM258" s="14">
        <f>SUM(AM254:AM257)</f>
        <v>139.44444444444446</v>
      </c>
      <c r="AO258" s="14"/>
    </row>
    <row r="259" spans="1:47" x14ac:dyDescent="0.2">
      <c r="B259" s="155"/>
      <c r="AO259" s="14"/>
    </row>
    <row r="260" spans="1:47" x14ac:dyDescent="0.2">
      <c r="A260" s="155" t="s">
        <v>894</v>
      </c>
      <c r="B260" s="155" t="s">
        <v>159</v>
      </c>
      <c r="C260" s="202">
        <v>0</v>
      </c>
      <c r="D260" s="202">
        <v>1</v>
      </c>
      <c r="E260" s="185">
        <v>1.88</v>
      </c>
      <c r="F260" s="202">
        <v>3</v>
      </c>
      <c r="G260" s="202">
        <v>0</v>
      </c>
      <c r="H260" s="202">
        <v>0</v>
      </c>
      <c r="I260" s="202">
        <v>0</v>
      </c>
      <c r="J260" s="202">
        <v>0</v>
      </c>
      <c r="K260" s="202">
        <v>0</v>
      </c>
      <c r="L260" s="185">
        <v>14.33</v>
      </c>
      <c r="M260" s="202">
        <v>10</v>
      </c>
      <c r="N260" s="202">
        <v>3</v>
      </c>
      <c r="O260" s="202">
        <v>3</v>
      </c>
      <c r="P260" s="202">
        <v>1</v>
      </c>
      <c r="Q260" s="202">
        <v>5</v>
      </c>
      <c r="R260" s="202">
        <v>1</v>
      </c>
      <c r="S260" s="202">
        <v>19</v>
      </c>
      <c r="T260" s="202">
        <v>58</v>
      </c>
      <c r="V260" s="50">
        <f>+(Q260-R260)/(T260-R260)*100</f>
        <v>7.0175438596491224</v>
      </c>
      <c r="W260" s="6">
        <f>IF(V260&lt;LeagueRatings!$K$21,((LeagueRatings!$K$21-V260)/LeagueRatings!$K$21)*36,(LeagueRatings!$K$21-V260)*6.48)</f>
        <v>7.7825154442294426</v>
      </c>
      <c r="X260" s="16">
        <f>INDEX('C-P-RollAdj'!$B$4:$B$76,MATCH(INT(W260),'C-P-RollAdj'!$A$4:$A$76,FALSE),0)</f>
        <v>-0.56000000000000005</v>
      </c>
      <c r="Y260" s="16">
        <f>(P260/(T260-R260))*100</f>
        <v>1.7543859649122806</v>
      </c>
      <c r="Z260" s="6">
        <f>IF(Y260&lt;LeagueRatings!$K$19,((LeagueRatings!$K$19-Y260)/LeagueRatings!$K$19)*36,(LeagueRatings!$K$19-Y260)/LeagueRatings!$K$22)</f>
        <v>14.281331130516877</v>
      </c>
      <c r="AA260" s="16">
        <f>INDEX('C-P-RollAdj'!$F$4:$F$76,MATCH(INT(Z260),'C-P-RollAdj'!$E$4:$E$76,FALSE),0)</f>
        <v>-1.05</v>
      </c>
      <c r="AB260" s="17">
        <f>+((LeagueRatings!$I$17-E260)*5)+9.5</f>
        <v>20.914387243706365</v>
      </c>
      <c r="AC260" s="17">
        <f>IF(AB260&lt;4,4,AB260)</f>
        <v>20.914387243706365</v>
      </c>
      <c r="AD260" s="17">
        <f>IF(M260&lt;L260,((1-(M260/L260))*7)-0.07,(1-(M260/L260))*5)</f>
        <v>2.0451430565247732</v>
      </c>
      <c r="AE260" s="4">
        <f>+X260+AA260+AC260+AD260</f>
        <v>21.349530300231137</v>
      </c>
      <c r="AF260" s="24"/>
      <c r="AG260" s="58">
        <v>20</v>
      </c>
      <c r="AH260" s="219">
        <f>INDEX('C-P-RollAdj'!$J$4:$J$76,MATCH(INT(W260),'C-P-RollAdj'!$I$4:$I$76,FALSE),0)</f>
        <v>21</v>
      </c>
      <c r="AI260" s="219">
        <f>INDEX('C-P-RollAdj'!$J$4:$J$76,MATCH(INT(Z260),'C-P-RollAdj'!$I$4:$I$76,FALSE),0)</f>
        <v>32</v>
      </c>
      <c r="AJ260" s="14">
        <f>+AO260*LeagueRatings!$K$27</f>
        <v>8.3333333333333339</v>
      </c>
      <c r="AK260" s="72">
        <f>F260*LeagueRatings!$K$27</f>
        <v>1.6666666666666667</v>
      </c>
      <c r="AL260" s="72">
        <f>G260*LeagueRatings!$K$27</f>
        <v>0</v>
      </c>
      <c r="AM260" s="72">
        <f>T260*LeagueRatings!$K$27</f>
        <v>32.222222222222221</v>
      </c>
      <c r="AN260" s="24"/>
      <c r="AO260" s="14">
        <f>ROUNDUP(L260,0)</f>
        <v>15</v>
      </c>
    </row>
    <row r="261" spans="1:47" s="23" customFormat="1" ht="12.75" customHeight="1" x14ac:dyDescent="0.2">
      <c r="A261" s="41" t="s">
        <v>583</v>
      </c>
      <c r="B261" s="202" t="s">
        <v>154</v>
      </c>
      <c r="C261" s="202">
        <v>1</v>
      </c>
      <c r="D261" s="202">
        <v>4</v>
      </c>
      <c r="E261" s="185">
        <v>4.0999999999999996</v>
      </c>
      <c r="F261" s="202">
        <v>32</v>
      </c>
      <c r="G261" s="202">
        <v>10</v>
      </c>
      <c r="H261" s="202">
        <v>0</v>
      </c>
      <c r="I261" s="202">
        <v>0</v>
      </c>
      <c r="J261" s="202">
        <v>0</v>
      </c>
      <c r="K261" s="202">
        <v>0</v>
      </c>
      <c r="L261" s="185">
        <v>74.67</v>
      </c>
      <c r="M261" s="202">
        <v>80</v>
      </c>
      <c r="N261" s="202">
        <v>35</v>
      </c>
      <c r="O261" s="202">
        <v>34</v>
      </c>
      <c r="P261" s="202">
        <v>14</v>
      </c>
      <c r="Q261" s="202">
        <v>17</v>
      </c>
      <c r="R261" s="202">
        <v>1</v>
      </c>
      <c r="S261" s="202">
        <v>62</v>
      </c>
      <c r="T261" s="202">
        <v>318</v>
      </c>
      <c r="U261" s="76"/>
      <c r="V261" s="50">
        <f>+(Q261-R261)/(T261-R261)*100</f>
        <v>5.0473186119873814</v>
      </c>
      <c r="W261" s="6">
        <f>IF(V261&lt;LeagueRatings!$K$10,((LeagueRatings!$K$10-V261)/LeagueRatings!$K$10)*36,(LeagueRatings!$K$10-V261)*6.48)</f>
        <v>15.036372762128032</v>
      </c>
      <c r="X261" s="16">
        <f>INDEX('C-P-RollAdj'!$B$4:$B$76,MATCH(INT(W261),'C-P-RollAdj'!$A$4:$A$76,FALSE),0)</f>
        <v>-1.29</v>
      </c>
      <c r="Y261" s="16">
        <f>(P261/(T261-R261))*100</f>
        <v>4.4164037854889591</v>
      </c>
      <c r="Z261" s="6">
        <f>IF(Y261&lt;LeagueRatings!$K$8,((LeagueRatings!$K$8-Y261)/LeagueRatings!$K$8)*36,(LeagueRatings!$K$8-Y261)/LeagueRatings!$K$11)</f>
        <v>-9.6411865572918956</v>
      </c>
      <c r="AA261" s="16">
        <f>INDEX('C-P-RollAdj'!$F$4:$F$76,MATCH(INT(Z261),'C-P-RollAdj'!$E$4:$E$76,FALSE),0)</f>
        <v>0.92</v>
      </c>
      <c r="AB261" s="17">
        <f>+((LeagueRatings!$I$6-E261)*5)+9.5</f>
        <v>10.008051455277405</v>
      </c>
      <c r="AC261" s="17">
        <f>IF(AB261&lt;4,4,AB261)</f>
        <v>10.008051455277405</v>
      </c>
      <c r="AD261" s="17">
        <f>IF(M261&lt;L261,((1-(M261/L261))*7)-0.07,(1-(M261/L261))*5)</f>
        <v>-0.35690370965581919</v>
      </c>
      <c r="AE261" s="4">
        <f>+X261+AA261+AC261+AD261</f>
        <v>9.2811477456215865</v>
      </c>
      <c r="AG261" s="5" t="s">
        <v>34</v>
      </c>
      <c r="AH261" s="219">
        <f>INDEX('C-P-RollAdj'!$J$4:$J$76,MATCH(INT(W261),'C-P-RollAdj'!$I$4:$I$76,FALSE),0)</f>
        <v>33</v>
      </c>
      <c r="AI261" s="219">
        <f>INDEX('C-P-RollAdj'!$J$4:$J$76,MATCH(INT(Z261),'C-P-RollAdj'!$I$4:$I$76,FALSE),0)</f>
        <v>-24</v>
      </c>
      <c r="AJ261" s="14">
        <f>+AO261*LeagueRatings!$K$27</f>
        <v>41.666666666666671</v>
      </c>
      <c r="AK261" s="72">
        <f>F261*LeagueRatings!$K$27</f>
        <v>17.777777777777779</v>
      </c>
      <c r="AL261" s="72">
        <f>G261*LeagueRatings!$K$27</f>
        <v>5.5555555555555554</v>
      </c>
      <c r="AM261" s="72">
        <f>T261*LeagueRatings!$K$27</f>
        <v>176.66666666666669</v>
      </c>
      <c r="AN261" s="24"/>
      <c r="AO261" s="72">
        <f>ROUNDUP(L261,0)</f>
        <v>75</v>
      </c>
      <c r="AP261" s="113"/>
      <c r="AQ261" s="113"/>
      <c r="AR261" s="113"/>
      <c r="AS261" s="24"/>
      <c r="AT261" s="97">
        <v>68</v>
      </c>
      <c r="AU261" s="24"/>
    </row>
    <row r="262" spans="1:47" x14ac:dyDescent="0.2">
      <c r="A262" s="9"/>
      <c r="B262" s="129"/>
      <c r="L262" s="157">
        <f>(L260/100)/((L260+L261)/100)</f>
        <v>0.16101123595505618</v>
      </c>
      <c r="T262" s="158"/>
      <c r="U262" s="158"/>
      <c r="V262" s="153"/>
      <c r="W262" s="152">
        <f>W260*L262</f>
        <v>1.2530724305146956</v>
      </c>
      <c r="X262" s="153"/>
      <c r="Y262" s="153"/>
      <c r="Z262" s="152">
        <f>Z260*L262</f>
        <v>2.2994547764079423</v>
      </c>
      <c r="AA262" s="153"/>
      <c r="AB262" s="103"/>
      <c r="AC262" s="103"/>
      <c r="AD262" s="103"/>
      <c r="AE262" s="154">
        <f>AE260*L262</f>
        <v>3.4375142607001368</v>
      </c>
      <c r="AG262" s="5"/>
      <c r="AH262" s="5"/>
      <c r="AI262" s="5"/>
      <c r="AJ262" s="103"/>
      <c r="AK262" s="72"/>
      <c r="AL262" s="72"/>
      <c r="AM262" s="72"/>
      <c r="AO262" s="14"/>
    </row>
    <row r="263" spans="1:47" x14ac:dyDescent="0.2">
      <c r="A263" s="9"/>
      <c r="B263" s="129"/>
      <c r="L263" s="157">
        <f>(L261/100)/((L260+L261)/100)</f>
        <v>0.83898876404494382</v>
      </c>
      <c r="T263" s="158"/>
      <c r="U263" s="158"/>
      <c r="V263" s="153"/>
      <c r="W263" s="152">
        <f>W261*L263</f>
        <v>12.615347799416856</v>
      </c>
      <c r="X263" s="153"/>
      <c r="Y263" s="153"/>
      <c r="Z263" s="152">
        <f>Z261*L263</f>
        <v>-8.0888471936290536</v>
      </c>
      <c r="AA263" s="153"/>
      <c r="AB263" s="103"/>
      <c r="AC263" s="103"/>
      <c r="AD263" s="103"/>
      <c r="AE263" s="154">
        <f>AE261*L263</f>
        <v>7.7867786760175717</v>
      </c>
      <c r="AG263" s="5"/>
      <c r="AH263" s="5"/>
      <c r="AI263" s="5"/>
      <c r="AJ263" s="103"/>
      <c r="AK263" s="72"/>
      <c r="AL263" s="72"/>
      <c r="AM263" s="72"/>
      <c r="AO263" s="14"/>
    </row>
    <row r="264" spans="1:47" x14ac:dyDescent="0.2">
      <c r="A264" s="9"/>
      <c r="B264" s="129"/>
      <c r="T264" s="158"/>
      <c r="U264" s="158"/>
      <c r="V264" s="153"/>
      <c r="W264" s="152">
        <f>SUM(W262:W263)</f>
        <v>13.868420229931552</v>
      </c>
      <c r="X264" s="153"/>
      <c r="Y264" s="153"/>
      <c r="Z264" s="152">
        <f>SUM(Z262:Z263)</f>
        <v>-5.7893924172211113</v>
      </c>
      <c r="AA264" s="153"/>
      <c r="AB264" s="103"/>
      <c r="AC264" s="103"/>
      <c r="AD264" s="103"/>
      <c r="AE264" s="153">
        <f>SUM(AE262:AE263)</f>
        <v>11.224292936717708</v>
      </c>
      <c r="AF264" s="41" t="s">
        <v>583</v>
      </c>
      <c r="AG264" s="5" t="s">
        <v>68</v>
      </c>
      <c r="AH264" s="219">
        <f>INDEX('C-P-RollAdj'!$J$4:$J$76,MATCH(INT(W264),'C-P-RollAdj'!$I$4:$I$76,FALSE),0)</f>
        <v>31</v>
      </c>
      <c r="AI264" s="219">
        <f>INDEX('C-P-RollAdj'!$J$4:$J$76,MATCH(INT(Z264),'C-P-RollAdj'!$I$4:$I$76,FALSE),0)</f>
        <v>-16</v>
      </c>
      <c r="AJ264" s="174">
        <f>SUM(AJ260:AJ263)</f>
        <v>50.000000000000007</v>
      </c>
      <c r="AK264" s="14">
        <f>SUM(AK260:AK263)</f>
        <v>19.444444444444446</v>
      </c>
      <c r="AL264" s="14">
        <f>SUM(AL260:AL263)</f>
        <v>5.5555555555555554</v>
      </c>
      <c r="AM264" s="14">
        <f>SUM(AM260:AM263)</f>
        <v>208.88888888888891</v>
      </c>
      <c r="AO264" s="14"/>
    </row>
    <row r="265" spans="1:47" x14ac:dyDescent="0.2">
      <c r="B265" s="155"/>
      <c r="AO265" s="14"/>
    </row>
    <row r="266" spans="1:47" x14ac:dyDescent="0.2">
      <c r="A266" s="155" t="s">
        <v>836</v>
      </c>
      <c r="B266" s="155" t="s">
        <v>153</v>
      </c>
      <c r="C266" s="202">
        <v>1</v>
      </c>
      <c r="D266" s="202">
        <v>2</v>
      </c>
      <c r="E266" s="185">
        <v>5.91</v>
      </c>
      <c r="F266" s="202">
        <v>25</v>
      </c>
      <c r="G266" s="202">
        <v>0</v>
      </c>
      <c r="H266" s="202">
        <v>0</v>
      </c>
      <c r="I266" s="202">
        <v>0</v>
      </c>
      <c r="J266" s="202">
        <v>0</v>
      </c>
      <c r="K266" s="202">
        <v>1</v>
      </c>
      <c r="L266" s="185">
        <v>21.33</v>
      </c>
      <c r="M266" s="202">
        <v>29</v>
      </c>
      <c r="N266" s="202">
        <v>17</v>
      </c>
      <c r="O266" s="202">
        <v>14</v>
      </c>
      <c r="P266" s="202">
        <v>1</v>
      </c>
      <c r="Q266" s="202">
        <v>13</v>
      </c>
      <c r="R266" s="202">
        <v>1</v>
      </c>
      <c r="S266" s="202">
        <v>15</v>
      </c>
      <c r="T266" s="202">
        <v>108</v>
      </c>
      <c r="V266" s="50">
        <f>+(Q266-R266)/(T266-R266)*100</f>
        <v>11.214953271028037</v>
      </c>
      <c r="W266" s="6">
        <f>IF(V266&lt;LeagueRatings!$K$10,((LeagueRatings!$K$10-V266)/LeagueRatings!$K$10)*36,(LeagueRatings!$K$10-V266)*6.48)</f>
        <v>-16.507116702068018</v>
      </c>
      <c r="X266" s="16">
        <f>INDEX('C-P-RollAdj'!$B$4:$B$76,MATCH(INT(W266),'C-P-RollAdj'!$A$4:$A$76,FALSE),0)</f>
        <v>1.93</v>
      </c>
      <c r="Y266" s="16">
        <f>(P266/(T266-R266))*100</f>
        <v>0.93457943925233633</v>
      </c>
      <c r="Z266" s="6">
        <f>IF(Y266&lt;LeagueRatings!$K$8,((LeagueRatings!$K$8-Y266)/LeagueRatings!$K$8)*36,(LeagueRatings!$K$8-Y266)/LeagueRatings!$K$11)</f>
        <v>25.493263000974718</v>
      </c>
      <c r="AA266" s="16">
        <f>INDEX('C-P-RollAdj'!$F$4:$F$76,MATCH(INT(Z266),'C-P-RollAdj'!$E$4:$E$76,FALSE),0)</f>
        <v>-2.08</v>
      </c>
      <c r="AB266" s="17">
        <f>+((LeagueRatings!$I$6-E266)*5)+9.5</f>
        <v>0.95805145527740265</v>
      </c>
      <c r="AC266" s="17">
        <f>IF(AB266&lt;4,4,AB266)</f>
        <v>4</v>
      </c>
      <c r="AD266" s="17">
        <f>IF(M266&lt;L266,((1-(M266/L266))*7)-0.07,(1-(M266/L266))*5)</f>
        <v>-1.7979371776840136</v>
      </c>
      <c r="AE266" s="4">
        <f>+X266+AA266+AC266+AD266</f>
        <v>2.0520628223159862</v>
      </c>
      <c r="AF266" s="23"/>
      <c r="AG266" s="5" t="s">
        <v>78</v>
      </c>
      <c r="AH266" s="219">
        <f>INDEX('C-P-RollAdj'!$J$4:$J$76,MATCH(INT(W266),'C-P-RollAdj'!$I$4:$I$76,FALSE),0)</f>
        <v>-35</v>
      </c>
      <c r="AI266" s="219">
        <f>INDEX('C-P-RollAdj'!$J$4:$J$76,MATCH(INT(Z266),'C-P-RollAdj'!$I$4:$I$76,FALSE),0)</f>
        <v>51</v>
      </c>
      <c r="AJ266" s="14">
        <f>+AO266*LeagueRatings!$K$27</f>
        <v>12.222222222222223</v>
      </c>
      <c r="AK266" s="72">
        <f>F266*LeagueRatings!$K$27</f>
        <v>13.888888888888889</v>
      </c>
      <c r="AL266" s="72">
        <f>G266*LeagueRatings!$K$27</f>
        <v>0</v>
      </c>
      <c r="AM266" s="72">
        <f>T266*LeagueRatings!$K$27</f>
        <v>60</v>
      </c>
      <c r="AN266" s="24"/>
      <c r="AO266" s="72">
        <f>ROUNDUP(L266,0)</f>
        <v>22</v>
      </c>
    </row>
    <row r="267" spans="1:47" s="24" customFormat="1" x14ac:dyDescent="0.2">
      <c r="A267" s="41" t="s">
        <v>335</v>
      </c>
      <c r="B267" s="202" t="s">
        <v>167</v>
      </c>
      <c r="C267" s="202">
        <v>0</v>
      </c>
      <c r="D267" s="202">
        <v>0</v>
      </c>
      <c r="E267" s="185">
        <v>13.5</v>
      </c>
      <c r="F267" s="202">
        <v>16</v>
      </c>
      <c r="G267" s="202">
        <v>0</v>
      </c>
      <c r="H267" s="202">
        <v>0</v>
      </c>
      <c r="I267" s="202">
        <v>0</v>
      </c>
      <c r="J267" s="202">
        <v>0</v>
      </c>
      <c r="K267" s="202">
        <v>0</v>
      </c>
      <c r="L267" s="185">
        <v>8.67</v>
      </c>
      <c r="M267" s="202">
        <v>18</v>
      </c>
      <c r="N267" s="202">
        <v>13</v>
      </c>
      <c r="O267" s="202">
        <v>13</v>
      </c>
      <c r="P267" s="202">
        <v>1</v>
      </c>
      <c r="Q267" s="202">
        <v>5</v>
      </c>
      <c r="R267" s="202">
        <v>1</v>
      </c>
      <c r="S267" s="202">
        <v>6</v>
      </c>
      <c r="T267" s="202">
        <v>51</v>
      </c>
      <c r="U267" s="76"/>
      <c r="V267" s="50">
        <f>+(Q267-R267)/(T267-R267)*100</f>
        <v>8</v>
      </c>
      <c r="W267" s="6">
        <f>IF(V267&lt;LeagueRatings!$K$21,((LeagueRatings!$K$21-V267)/LeagueRatings!$K$21)*36,(LeagueRatings!$K$21-V267)*6.48)</f>
        <v>3.8320676064215631</v>
      </c>
      <c r="X267" s="16">
        <f>INDEX('C-P-RollAdj'!$B$4:$B$76,MATCH(INT(W267),'C-P-RollAdj'!$A$4:$A$76,FALSE),0)</f>
        <v>-0.24</v>
      </c>
      <c r="Y267" s="16">
        <f>(P267/(T267-R267))*100</f>
        <v>2</v>
      </c>
      <c r="Z267" s="6">
        <f>IF(Y267&lt;LeagueRatings!$K$19,((LeagueRatings!$K$19-Y267)/LeagueRatings!$K$19)*36,(LeagueRatings!$K$19-Y267)/LeagueRatings!$K$22)</f>
        <v>11.24071748878924</v>
      </c>
      <c r="AA267" s="16">
        <f>INDEX('C-P-RollAdj'!$F$4:$F$76,MATCH(INT(Z267),'C-P-RollAdj'!$E$4:$E$76,FALSE),0)</f>
        <v>-0.81</v>
      </c>
      <c r="AB267" s="17">
        <f>+((LeagueRatings!$I$17-E267)*5)+9.5</f>
        <v>-37.185612756293636</v>
      </c>
      <c r="AC267" s="17">
        <f>IF(AB267&lt;4,4,AB267)</f>
        <v>4</v>
      </c>
      <c r="AD267" s="17">
        <f>IF(M267&lt;L267,((1-(M267/L267))*7)-0.07,(1-(M267/L267))*5)</f>
        <v>-5.3806228373702414</v>
      </c>
      <c r="AE267" s="4">
        <f>+X267+AA267+AC267+AD267</f>
        <v>-2.4306228373702412</v>
      </c>
      <c r="AG267" s="58">
        <v>1</v>
      </c>
      <c r="AH267" s="219">
        <f>INDEX('C-P-RollAdj'!$J$4:$J$76,MATCH(INT(W267),'C-P-RollAdj'!$I$4:$I$76,FALSE),0)</f>
        <v>13</v>
      </c>
      <c r="AI267" s="219">
        <f>INDEX('C-P-RollAdj'!$J$4:$J$76,MATCH(INT(Z267),'C-P-RollAdj'!$I$4:$I$76,FALSE),0)</f>
        <v>25</v>
      </c>
      <c r="AJ267" s="14">
        <f>+AO267*LeagueRatings!$K$27</f>
        <v>5</v>
      </c>
      <c r="AK267" s="72">
        <f>F267*LeagueRatings!$K$27</f>
        <v>8.8888888888888893</v>
      </c>
      <c r="AL267" s="72">
        <f>G267*LeagueRatings!$K$27</f>
        <v>0</v>
      </c>
      <c r="AM267" s="72">
        <f>T267*LeagueRatings!$K$27</f>
        <v>28.333333333333336</v>
      </c>
      <c r="AO267" s="14">
        <f>ROUNDUP(L267,0)</f>
        <v>9</v>
      </c>
    </row>
    <row r="268" spans="1:47" x14ac:dyDescent="0.2">
      <c r="A268" s="9"/>
      <c r="B268" s="129"/>
      <c r="L268" s="157">
        <f>(L266/100)/((L266+L267)/100)</f>
        <v>0.71099999999999997</v>
      </c>
      <c r="T268" s="158"/>
      <c r="U268" s="158"/>
      <c r="V268" s="153"/>
      <c r="W268" s="152">
        <f>W266*L268</f>
        <v>-11.73655997517036</v>
      </c>
      <c r="X268" s="153"/>
      <c r="Y268" s="153"/>
      <c r="Z268" s="152">
        <f>Z266*L268</f>
        <v>18.125709993693025</v>
      </c>
      <c r="AA268" s="153"/>
      <c r="AB268" s="103"/>
      <c r="AC268" s="103"/>
      <c r="AD268" s="103"/>
      <c r="AE268" s="154">
        <f>AE266*L268</f>
        <v>1.4590166666666662</v>
      </c>
      <c r="AG268" s="5"/>
      <c r="AH268" s="5"/>
      <c r="AI268" s="5"/>
      <c r="AJ268" s="103"/>
      <c r="AK268" s="72"/>
      <c r="AL268" s="72"/>
      <c r="AM268" s="72"/>
      <c r="AO268" s="14"/>
    </row>
    <row r="269" spans="1:47" x14ac:dyDescent="0.2">
      <c r="A269" s="9"/>
      <c r="B269" s="129"/>
      <c r="L269" s="157">
        <f>(L267/100)/((L266+L267)/100)</f>
        <v>0.28900000000000003</v>
      </c>
      <c r="T269" s="158"/>
      <c r="U269" s="158"/>
      <c r="V269" s="153"/>
      <c r="W269" s="152">
        <f>W267*L269</f>
        <v>1.1074675382558319</v>
      </c>
      <c r="X269" s="153"/>
      <c r="Y269" s="153"/>
      <c r="Z269" s="152">
        <f>Z267*L269</f>
        <v>3.248567354260091</v>
      </c>
      <c r="AA269" s="153"/>
      <c r="AB269" s="103"/>
      <c r="AC269" s="103"/>
      <c r="AD269" s="103"/>
      <c r="AE269" s="154">
        <f>AE267*L269</f>
        <v>-0.7024499999999998</v>
      </c>
      <c r="AG269" s="5"/>
      <c r="AH269" s="5"/>
      <c r="AI269" s="5"/>
      <c r="AJ269" s="103"/>
      <c r="AK269" s="72"/>
      <c r="AL269" s="72"/>
      <c r="AM269" s="72"/>
      <c r="AO269" s="14"/>
    </row>
    <row r="270" spans="1:47" x14ac:dyDescent="0.2">
      <c r="A270" s="9"/>
      <c r="B270" s="129"/>
      <c r="T270" s="158"/>
      <c r="U270" s="158"/>
      <c r="V270" s="153"/>
      <c r="W270" s="152">
        <f>SUM(W268:W269)</f>
        <v>-10.629092436914528</v>
      </c>
      <c r="X270" s="153"/>
      <c r="Y270" s="153"/>
      <c r="Z270" s="152">
        <f>SUM(Z268:Z269)</f>
        <v>21.374277347953118</v>
      </c>
      <c r="AA270" s="153"/>
      <c r="AB270" s="103"/>
      <c r="AC270" s="103"/>
      <c r="AD270" s="103"/>
      <c r="AE270" s="153">
        <f>SUM(AE268:AE269)</f>
        <v>0.75656666666666639</v>
      </c>
      <c r="AF270" s="41" t="s">
        <v>335</v>
      </c>
      <c r="AG270" s="5" t="s">
        <v>50</v>
      </c>
      <c r="AH270" s="219">
        <f>INDEX('C-P-RollAdj'!$J$4:$J$76,MATCH(INT(W270),'C-P-RollAdj'!$I$4:$I$76,FALSE),0)</f>
        <v>-25</v>
      </c>
      <c r="AI270" s="219">
        <f>INDEX('C-P-RollAdj'!$J$4:$J$76,MATCH(INT(Z270),'C-P-RollAdj'!$I$4:$I$76,FALSE),0)</f>
        <v>43</v>
      </c>
      <c r="AJ270" s="174">
        <f>SUM(AJ266:AJ269)</f>
        <v>17.222222222222221</v>
      </c>
      <c r="AK270" s="14">
        <f>SUM(AK266:AK269)</f>
        <v>22.777777777777779</v>
      </c>
      <c r="AL270" s="14">
        <f>SUM(AL266:AL269)</f>
        <v>0</v>
      </c>
      <c r="AM270" s="14">
        <f>SUM(AM266:AM269)</f>
        <v>88.333333333333343</v>
      </c>
      <c r="AO270" s="14"/>
    </row>
    <row r="271" spans="1:47" x14ac:dyDescent="0.2">
      <c r="A271" s="204"/>
      <c r="B271" s="196"/>
      <c r="AO271" s="14"/>
    </row>
    <row r="272" spans="1:47" x14ac:dyDescent="0.2">
      <c r="A272" s="204" t="s">
        <v>1245</v>
      </c>
      <c r="B272" s="196" t="s">
        <v>168</v>
      </c>
      <c r="C272" s="202">
        <v>2</v>
      </c>
      <c r="D272" s="202">
        <v>1</v>
      </c>
      <c r="E272" s="185">
        <v>1.59</v>
      </c>
      <c r="F272" s="202">
        <v>37</v>
      </c>
      <c r="G272" s="202">
        <v>0</v>
      </c>
      <c r="H272" s="202">
        <v>0</v>
      </c>
      <c r="I272" s="202">
        <v>0</v>
      </c>
      <c r="J272" s="202">
        <v>17</v>
      </c>
      <c r="K272" s="202">
        <v>17</v>
      </c>
      <c r="L272" s="185">
        <v>39.67</v>
      </c>
      <c r="M272" s="202">
        <v>31</v>
      </c>
      <c r="N272" s="202">
        <v>9</v>
      </c>
      <c r="O272" s="202">
        <v>7</v>
      </c>
      <c r="P272" s="202">
        <v>3</v>
      </c>
      <c r="Q272" s="202">
        <v>8</v>
      </c>
      <c r="R272" s="202">
        <v>1</v>
      </c>
      <c r="S272" s="202">
        <v>40</v>
      </c>
      <c r="T272" s="202">
        <v>161</v>
      </c>
      <c r="V272" s="50">
        <f>+(Q272-R272)/(T272-R272)*100</f>
        <v>4.375</v>
      </c>
      <c r="W272" s="6">
        <f>IF(V272&lt;LeagueRatings!$K$21,((LeagueRatings!$K$21-V272)/LeagueRatings!$K$21)*36,(LeagueRatings!$K$21-V272)*6.48)</f>
        <v>18.408161972261794</v>
      </c>
      <c r="X272" s="16">
        <f>INDEX('C-P-RollAdj'!$B$4:$B$76,MATCH(INT(W272),'C-P-RollAdj'!$A$4:$A$76,FALSE),0)</f>
        <v>-1.5899999999999999</v>
      </c>
      <c r="Y272" s="16">
        <f>(P272/(T272-R272))*100</f>
        <v>1.875</v>
      </c>
      <c r="Z272" s="6">
        <f>IF(Y272&lt;LeagueRatings!$K$19,((LeagueRatings!$K$19-Y272)/LeagueRatings!$K$19)*36,(LeagueRatings!$K$19-Y272)/LeagueRatings!$K$22)</f>
        <v>12.788172645739913</v>
      </c>
      <c r="AA272" s="16">
        <f>INDEX('C-P-RollAdj'!$F$4:$F$76,MATCH(INT(Z272),'C-P-RollAdj'!$E$4:$E$76,FALSE),0)</f>
        <v>-0.89</v>
      </c>
      <c r="AB272" s="17">
        <f>+((LeagueRatings!$I$17-E272)*5)+9.5</f>
        <v>22.364387243706364</v>
      </c>
      <c r="AC272" s="17">
        <f>IF(AB272&lt;4,4,AB272)</f>
        <v>22.364387243706364</v>
      </c>
      <c r="AD272" s="17">
        <f>IF(M272&lt;L272,((1-(M272/L272))*7)-0.07,(1-(M272/L272))*5)</f>
        <v>1.4598714393748429</v>
      </c>
      <c r="AE272" s="4">
        <f>+X272+AA272+AC272+AD272</f>
        <v>21.344258683081208</v>
      </c>
      <c r="AF272" s="24"/>
      <c r="AG272" s="58">
        <v>20</v>
      </c>
      <c r="AH272" s="219">
        <f>INDEX('C-P-RollAdj'!$J$4:$J$76,MATCH(INT(W272),'C-P-RollAdj'!$I$4:$I$76,FALSE),0)</f>
        <v>36</v>
      </c>
      <c r="AI272" s="219">
        <f>INDEX('C-P-RollAdj'!$J$4:$J$76,MATCH(INT(Z272),'C-P-RollAdj'!$I$4:$I$76,FALSE),0)</f>
        <v>26</v>
      </c>
      <c r="AJ272" s="14">
        <f>+AO272*LeagueRatings!$K$27</f>
        <v>22.222222222222221</v>
      </c>
      <c r="AK272" s="72">
        <f>F272*LeagueRatings!$K$27</f>
        <v>20.555555555555557</v>
      </c>
      <c r="AL272" s="72">
        <f>G272*LeagueRatings!$K$27</f>
        <v>0</v>
      </c>
      <c r="AM272" s="72">
        <f>T272*LeagueRatings!$K$27</f>
        <v>89.444444444444443</v>
      </c>
      <c r="AN272" s="24"/>
      <c r="AO272" s="14">
        <f>ROUNDUP(L272,0)</f>
        <v>40</v>
      </c>
    </row>
    <row r="273" spans="1:46" s="24" customFormat="1" x14ac:dyDescent="0.2">
      <c r="A273" s="41" t="s">
        <v>420</v>
      </c>
      <c r="B273" s="202" t="s">
        <v>173</v>
      </c>
      <c r="C273" s="202">
        <v>2</v>
      </c>
      <c r="D273" s="202">
        <v>2</v>
      </c>
      <c r="E273" s="185">
        <v>3.04</v>
      </c>
      <c r="F273" s="202">
        <v>22</v>
      </c>
      <c r="G273" s="202">
        <v>0</v>
      </c>
      <c r="H273" s="202">
        <v>0</v>
      </c>
      <c r="I273" s="202">
        <v>0</v>
      </c>
      <c r="J273" s="202">
        <v>7</v>
      </c>
      <c r="K273" s="202">
        <v>9</v>
      </c>
      <c r="L273" s="185">
        <v>23.67</v>
      </c>
      <c r="M273" s="202">
        <v>22</v>
      </c>
      <c r="N273" s="202">
        <v>13</v>
      </c>
      <c r="O273" s="202">
        <v>8</v>
      </c>
      <c r="P273" s="202">
        <v>4</v>
      </c>
      <c r="Q273" s="202">
        <v>4</v>
      </c>
      <c r="R273" s="202">
        <v>1</v>
      </c>
      <c r="S273" s="202">
        <v>16</v>
      </c>
      <c r="T273" s="202">
        <v>99</v>
      </c>
      <c r="U273" s="76"/>
      <c r="V273" s="50">
        <f>+(Q273-R273)/(T273-R273)*100</f>
        <v>3.0612244897959182</v>
      </c>
      <c r="W273" s="6">
        <f>IF(V273&lt;LeagueRatings!$K$21,((LeagueRatings!$K$21-V273)/LeagueRatings!$K$21)*36,(LeagueRatings!$K$21-V273)*6.48)</f>
        <v>23.690842196334781</v>
      </c>
      <c r="X273" s="16">
        <f>INDEX('C-P-RollAdj'!$B$4:$B$76,MATCH(INT(W273),'C-P-RollAdj'!$A$4:$A$76,FALSE),0)</f>
        <v>-2.11</v>
      </c>
      <c r="Y273" s="16">
        <f>(P273/(T273-R273))*100</f>
        <v>4.0816326530612246</v>
      </c>
      <c r="Z273" s="6">
        <f>IF(Y273&lt;LeagueRatings!$K$19,((LeagueRatings!$K$19-Y273)/LeagueRatings!$K$19)*36,(LeagueRatings!$K$19-Y273)/LeagueRatings!$K$22)</f>
        <v>-9.4829268292682922</v>
      </c>
      <c r="AA273" s="16">
        <f>INDEX('C-P-RollAdj'!$F$4:$F$76,MATCH(INT(Z273),'C-P-RollAdj'!$E$4:$E$76,FALSE),0)</f>
        <v>0.92</v>
      </c>
      <c r="AB273" s="17">
        <f>+((LeagueRatings!$I$17-E273)*5)+9.5</f>
        <v>15.114387243706362</v>
      </c>
      <c r="AC273" s="17">
        <f>IF(AB273&lt;4,4,AB273)</f>
        <v>15.114387243706362</v>
      </c>
      <c r="AD273" s="17">
        <f>IF(M273&lt;L273,((1-(M273/L273))*7)-0.07,(1-(M273/L273))*5)</f>
        <v>0.42387410223912175</v>
      </c>
      <c r="AE273" s="4">
        <f>+X273+AA273+AC273+AD273</f>
        <v>14.348261345945485</v>
      </c>
      <c r="AG273" s="58">
        <v>14</v>
      </c>
      <c r="AH273" s="219">
        <f>INDEX('C-P-RollAdj'!$J$4:$J$76,MATCH(INT(W273),'C-P-RollAdj'!$I$4:$I$76,FALSE),0)</f>
        <v>45</v>
      </c>
      <c r="AI273" s="219">
        <f>INDEX('C-P-RollAdj'!$J$4:$J$76,MATCH(INT(Z273),'C-P-RollAdj'!$I$4:$I$76,FALSE),0)</f>
        <v>-24</v>
      </c>
      <c r="AJ273" s="14">
        <f>+AO273*LeagueRatings!$K$27</f>
        <v>13.333333333333334</v>
      </c>
      <c r="AK273" s="72">
        <f>F273*LeagueRatings!$K$27</f>
        <v>12.222222222222223</v>
      </c>
      <c r="AL273" s="72">
        <f>G273*LeagueRatings!$K$27</f>
        <v>0</v>
      </c>
      <c r="AM273" s="72">
        <f>T273*LeagueRatings!$K$27</f>
        <v>55</v>
      </c>
      <c r="AO273" s="14">
        <f>ROUNDUP(L273,0)</f>
        <v>24</v>
      </c>
    </row>
    <row r="274" spans="1:46" x14ac:dyDescent="0.2">
      <c r="A274" s="9"/>
      <c r="B274" s="129"/>
      <c r="L274" s="157">
        <f>(L272/100)/((L272+L273)/100)</f>
        <v>0.62630249447426578</v>
      </c>
      <c r="T274" s="158"/>
      <c r="U274" s="158"/>
      <c r="V274" s="153"/>
      <c r="W274" s="152">
        <f>W272*L274</f>
        <v>11.529077761913882</v>
      </c>
      <c r="X274" s="153"/>
      <c r="Y274" s="153"/>
      <c r="Z274" s="152">
        <f>Z272*L274</f>
        <v>8.0092644277944789</v>
      </c>
      <c r="AA274" s="153"/>
      <c r="AB274" s="103"/>
      <c r="AC274" s="103"/>
      <c r="AD274" s="103"/>
      <c r="AE274" s="154">
        <f>AE272*L274</f>
        <v>13.367962455917768</v>
      </c>
      <c r="AG274" s="5"/>
      <c r="AH274" s="5"/>
      <c r="AI274" s="5"/>
      <c r="AJ274" s="103"/>
      <c r="AK274" s="72"/>
      <c r="AL274" s="72"/>
      <c r="AM274" s="72"/>
      <c r="AO274" s="14"/>
    </row>
    <row r="275" spans="1:46" x14ac:dyDescent="0.2">
      <c r="A275" s="9"/>
      <c r="B275" s="129"/>
      <c r="L275" s="157">
        <f>(L273/100)/((L272+L273)/100)</f>
        <v>0.37369750552573411</v>
      </c>
      <c r="T275" s="158"/>
      <c r="U275" s="158"/>
      <c r="V275" s="153"/>
      <c r="W275" s="152">
        <f>W273*L275</f>
        <v>8.8532086325741108</v>
      </c>
      <c r="X275" s="153"/>
      <c r="Y275" s="153"/>
      <c r="Z275" s="152">
        <f>Z273*L275</f>
        <v>-3.5437461011806199</v>
      </c>
      <c r="AA275" s="153"/>
      <c r="AB275" s="103"/>
      <c r="AC275" s="103"/>
      <c r="AD275" s="103"/>
      <c r="AE275" s="154">
        <f>AE273*L275</f>
        <v>5.3619094736111395</v>
      </c>
      <c r="AG275" s="5"/>
      <c r="AH275" s="5"/>
      <c r="AI275" s="5"/>
      <c r="AJ275" s="103"/>
      <c r="AK275" s="72"/>
      <c r="AL275" s="72"/>
      <c r="AM275" s="72"/>
      <c r="AO275" s="14"/>
    </row>
    <row r="276" spans="1:46" x14ac:dyDescent="0.2">
      <c r="A276" s="9"/>
      <c r="B276" s="129"/>
      <c r="T276" s="158"/>
      <c r="U276" s="158"/>
      <c r="V276" s="153"/>
      <c r="W276" s="152">
        <f>SUM(W274:W275)</f>
        <v>20.382286394487991</v>
      </c>
      <c r="X276" s="153"/>
      <c r="Y276" s="153"/>
      <c r="Z276" s="152">
        <f>SUM(Z274:Z275)</f>
        <v>4.4655183266138589</v>
      </c>
      <c r="AA276" s="153"/>
      <c r="AB276" s="103"/>
      <c r="AC276" s="103"/>
      <c r="AD276" s="103"/>
      <c r="AE276" s="153">
        <f>SUM(AE274:AE275)</f>
        <v>18.729871929528908</v>
      </c>
      <c r="AF276" s="41" t="s">
        <v>420</v>
      </c>
      <c r="AG276" s="5" t="s">
        <v>63</v>
      </c>
      <c r="AH276" s="219">
        <f>INDEX('C-P-RollAdj'!$J$4:$J$76,MATCH(INT(W276),'C-P-RollAdj'!$I$4:$I$76,FALSE),0)</f>
        <v>42</v>
      </c>
      <c r="AI276" s="121">
        <f>INDEX('C-P-RollAdj'!$J$4:$J$76,MATCH(INT(Z276),'C-P-RollAdj'!$I$4:$I$76,FALSE),0)</f>
        <v>14</v>
      </c>
      <c r="AJ276" s="174">
        <f>SUM(AJ272:AJ275)</f>
        <v>35.555555555555557</v>
      </c>
      <c r="AK276" s="14">
        <f>SUM(AK272:AK275)</f>
        <v>32.777777777777779</v>
      </c>
      <c r="AL276" s="14">
        <f>SUM(AL272:AL275)</f>
        <v>0</v>
      </c>
      <c r="AM276" s="14">
        <f>SUM(AM272:AM275)</f>
        <v>144.44444444444446</v>
      </c>
      <c r="AO276" s="14"/>
    </row>
    <row r="277" spans="1:46" x14ac:dyDescent="0.2">
      <c r="B277" s="155"/>
      <c r="AO277" s="14"/>
    </row>
    <row r="278" spans="1:46" x14ac:dyDescent="0.2">
      <c r="A278" s="155" t="s">
        <v>889</v>
      </c>
      <c r="B278" s="155" t="s">
        <v>159</v>
      </c>
      <c r="C278" s="202">
        <v>2</v>
      </c>
      <c r="D278" s="202">
        <v>1</v>
      </c>
      <c r="E278" s="185">
        <v>3.1</v>
      </c>
      <c r="F278" s="202">
        <v>48</v>
      </c>
      <c r="G278" s="202">
        <v>0</v>
      </c>
      <c r="H278" s="202">
        <v>0</v>
      </c>
      <c r="I278" s="202">
        <v>0</v>
      </c>
      <c r="J278" s="202">
        <v>0</v>
      </c>
      <c r="K278" s="202">
        <v>3</v>
      </c>
      <c r="L278" s="185">
        <v>29</v>
      </c>
      <c r="M278" s="202">
        <v>25</v>
      </c>
      <c r="N278" s="202">
        <v>12</v>
      </c>
      <c r="O278" s="202">
        <v>10</v>
      </c>
      <c r="P278" s="202">
        <v>2</v>
      </c>
      <c r="Q278" s="202">
        <v>11</v>
      </c>
      <c r="R278" s="202">
        <v>1</v>
      </c>
      <c r="S278" s="202">
        <v>37</v>
      </c>
      <c r="T278" s="202">
        <v>128</v>
      </c>
      <c r="V278" s="50">
        <f>+(Q278-R278)/(T278-R278)*100</f>
        <v>7.8740157480314963</v>
      </c>
      <c r="W278" s="6">
        <f>IF(V278&lt;LeagueRatings!$K$21,((LeagueRatings!$K$21-V278)/LeagueRatings!$K$21)*36,(LeagueRatings!$K$21-V278)*6.48)</f>
        <v>4.338649218918861</v>
      </c>
      <c r="X278" s="16">
        <f>INDEX('C-P-RollAdj'!$B$4:$B$76,MATCH(INT(W278),'C-P-RollAdj'!$A$4:$A$76,FALSE),0)</f>
        <v>-0.32</v>
      </c>
      <c r="Y278" s="16">
        <f>(P278/(T278-R278))*100</f>
        <v>1.5748031496062991</v>
      </c>
      <c r="Z278" s="6">
        <f>IF(Y278&lt;LeagueRatings!$K$19,((LeagueRatings!$K$19-Y278)/LeagueRatings!$K$19)*36,(LeagueRatings!$K$19-Y278)/LeagueRatings!$K$22)</f>
        <v>16.504501959676567</v>
      </c>
      <c r="AA278" s="16">
        <f>INDEX('C-P-RollAdj'!$F$4:$F$76,MATCH(INT(Z278),'C-P-RollAdj'!$E$4:$E$76,FALSE),0)</f>
        <v>-1.23</v>
      </c>
      <c r="AB278" s="17">
        <f>+((LeagueRatings!$I$17-E278)*5)+9.5</f>
        <v>14.814387243706362</v>
      </c>
      <c r="AC278" s="17">
        <f>IF(AB278&lt;4,4,AB278)</f>
        <v>14.814387243706362</v>
      </c>
      <c r="AD278" s="17">
        <f>IF(M278&lt;L278,((1-(M278/L278))*7)-0.07,(1-(M278/L278))*5)</f>
        <v>0.89551724137931066</v>
      </c>
      <c r="AE278" s="4">
        <f>+X278+AA278+AC278+AD278</f>
        <v>14.159904485085672</v>
      </c>
      <c r="AF278" s="24"/>
      <c r="AG278" s="58">
        <v>13</v>
      </c>
      <c r="AH278" s="219">
        <f>INDEX('C-P-RollAdj'!$J$4:$J$76,MATCH(INT(W278),'C-P-RollAdj'!$I$4:$I$76,FALSE),0)</f>
        <v>14</v>
      </c>
      <c r="AI278" s="219">
        <f>INDEX('C-P-RollAdj'!$J$4:$J$76,MATCH(INT(Z278),'C-P-RollAdj'!$I$4:$I$76,FALSE),0)</f>
        <v>34</v>
      </c>
      <c r="AJ278" s="14">
        <f>+AO278*LeagueRatings!$K$27</f>
        <v>16.111111111111111</v>
      </c>
      <c r="AK278" s="72">
        <f>F278*LeagueRatings!$K$27</f>
        <v>26.666666666666668</v>
      </c>
      <c r="AL278" s="72">
        <f>G278*LeagueRatings!$K$27</f>
        <v>0</v>
      </c>
      <c r="AM278" s="72">
        <f>T278*LeagueRatings!$K$27</f>
        <v>71.111111111111114</v>
      </c>
      <c r="AN278" s="24"/>
      <c r="AO278" s="14">
        <f>ROUNDUP(L278,0)</f>
        <v>29</v>
      </c>
    </row>
    <row r="279" spans="1:46" s="33" customFormat="1" x14ac:dyDescent="0.2">
      <c r="A279" s="41" t="s">
        <v>609</v>
      </c>
      <c r="B279" s="202" t="s">
        <v>164</v>
      </c>
      <c r="C279" s="202">
        <v>0</v>
      </c>
      <c r="D279" s="202">
        <v>3</v>
      </c>
      <c r="E279" s="185">
        <v>6.75</v>
      </c>
      <c r="F279" s="202">
        <v>22</v>
      </c>
      <c r="G279" s="202">
        <v>0</v>
      </c>
      <c r="H279" s="202">
        <v>0</v>
      </c>
      <c r="I279" s="202">
        <v>0</v>
      </c>
      <c r="J279" s="202">
        <v>0</v>
      </c>
      <c r="K279" s="202">
        <v>0</v>
      </c>
      <c r="L279" s="185">
        <v>12</v>
      </c>
      <c r="M279" s="202">
        <v>14</v>
      </c>
      <c r="N279" s="202">
        <v>12</v>
      </c>
      <c r="O279" s="202">
        <v>9</v>
      </c>
      <c r="P279" s="202">
        <v>2</v>
      </c>
      <c r="Q279" s="202">
        <v>4</v>
      </c>
      <c r="R279" s="202">
        <v>1</v>
      </c>
      <c r="S279" s="202">
        <v>14</v>
      </c>
      <c r="T279" s="202">
        <v>55</v>
      </c>
      <c r="U279" s="76"/>
      <c r="V279" s="50">
        <f>+(Q279-R279)/(T279-R279)*100</f>
        <v>5.5555555555555554</v>
      </c>
      <c r="W279" s="6">
        <f>IF(V279&lt;LeagueRatings!$K$10,((LeagueRatings!$K$10-V279)/LeagueRatings!$K$10)*36,(LeagueRatings!$K$10-V279)*6.48)</f>
        <v>12.92545196387009</v>
      </c>
      <c r="X279" s="16">
        <f>INDEX('C-P-RollAdj'!$B$4:$B$76,MATCH(INT(W279),'C-P-RollAdj'!$A$4:$A$76,FALSE),0)</f>
        <v>-1.01</v>
      </c>
      <c r="Y279" s="16">
        <f>(P279/(T279-R279))*100</f>
        <v>3.7037037037037033</v>
      </c>
      <c r="Z279" s="6">
        <f>IF(Y279&lt;LeagueRatings!$K$8,((LeagueRatings!$K$8-Y279)/LeagueRatings!$K$8)*36,(LeagueRatings!$K$8-Y279)/LeagueRatings!$K$11)</f>
        <v>-3.9820253570855355</v>
      </c>
      <c r="AA279" s="16">
        <f>INDEX('C-P-RollAdj'!$F$4:$F$76,MATCH(INT(Z279),'C-P-RollAdj'!$E$4:$E$76,FALSE),0)</f>
        <v>0.32999999999999996</v>
      </c>
      <c r="AB279" s="17">
        <f>+((LeagueRatings!$I$6-E279)*5)+9.5</f>
        <v>-3.2419485447225966</v>
      </c>
      <c r="AC279" s="17">
        <f>IF(AB279&lt;4,4,AB279)</f>
        <v>4</v>
      </c>
      <c r="AD279" s="17">
        <f>IF(M279&lt;L279,((1-(M279/L279))*7)-0.07,(1-(M279/L279))*5)</f>
        <v>-0.8333333333333337</v>
      </c>
      <c r="AE279" s="4">
        <f>+X279+AA279+AC279+AD279</f>
        <v>2.4866666666666664</v>
      </c>
      <c r="AG279" s="5" t="s">
        <v>78</v>
      </c>
      <c r="AH279" s="219">
        <f>INDEX('C-P-RollAdj'!$J$4:$J$76,MATCH(INT(W279),'C-P-RollAdj'!$I$4:$I$76,FALSE),0)</f>
        <v>26</v>
      </c>
      <c r="AI279" s="219">
        <f>INDEX('C-P-RollAdj'!$J$4:$J$76,MATCH(INT(Z279),'C-P-RollAdj'!$I$4:$I$76,FALSE),0)</f>
        <v>-14</v>
      </c>
      <c r="AJ279" s="14">
        <f>+AO279*LeagueRatings!$K$27</f>
        <v>6.666666666666667</v>
      </c>
      <c r="AK279" s="72">
        <f>F279*LeagueRatings!$K$27</f>
        <v>12.222222222222223</v>
      </c>
      <c r="AL279" s="72">
        <f>G279*LeagueRatings!$K$27</f>
        <v>0</v>
      </c>
      <c r="AM279" s="72">
        <f>T279*LeagueRatings!$K$27</f>
        <v>30.555555555555557</v>
      </c>
      <c r="AN279"/>
      <c r="AO279" s="72">
        <f>ROUNDUP(L279,0)</f>
        <v>12</v>
      </c>
      <c r="AP279" s="113"/>
      <c r="AQ279" s="113"/>
      <c r="AR279" s="113"/>
      <c r="AS279"/>
      <c r="AT279" s="97">
        <v>141.66999999999999</v>
      </c>
    </row>
    <row r="280" spans="1:46" x14ac:dyDescent="0.2">
      <c r="A280" s="9"/>
      <c r="B280" s="129"/>
      <c r="L280" s="157">
        <f>(L278/100)/((L278+L279)/100)</f>
        <v>0.70731707317073167</v>
      </c>
      <c r="T280" s="158"/>
      <c r="U280" s="158"/>
      <c r="V280" s="153"/>
      <c r="W280" s="152">
        <f>W278*L280</f>
        <v>3.0688006670401697</v>
      </c>
      <c r="X280" s="153"/>
      <c r="Y280" s="153"/>
      <c r="Z280" s="152">
        <f>Z278*L280</f>
        <v>11.673916020259034</v>
      </c>
      <c r="AA280" s="153"/>
      <c r="AB280" s="103"/>
      <c r="AC280" s="103"/>
      <c r="AD280" s="103"/>
      <c r="AE280" s="154">
        <f>AE278*L280</f>
        <v>10.015542196767914</v>
      </c>
      <c r="AG280" s="5"/>
      <c r="AH280" s="5"/>
      <c r="AI280" s="5"/>
      <c r="AJ280" s="103"/>
      <c r="AK280" s="72"/>
      <c r="AL280" s="72"/>
      <c r="AM280" s="72"/>
      <c r="AO280" s="14"/>
    </row>
    <row r="281" spans="1:46" x14ac:dyDescent="0.2">
      <c r="A281" s="9"/>
      <c r="B281" s="129"/>
      <c r="L281" s="157">
        <f>(L279/100)/((L278+L279)/100)</f>
        <v>0.29268292682926828</v>
      </c>
      <c r="T281" s="158"/>
      <c r="U281" s="158"/>
      <c r="V281" s="153"/>
      <c r="W281" s="152">
        <f>W279*L281</f>
        <v>3.7830591113766117</v>
      </c>
      <c r="X281" s="153"/>
      <c r="Y281" s="153"/>
      <c r="Z281" s="152">
        <f>Z279*L281</f>
        <v>-1.1654708362201567</v>
      </c>
      <c r="AA281" s="153"/>
      <c r="AB281" s="103"/>
      <c r="AC281" s="103"/>
      <c r="AD281" s="103"/>
      <c r="AE281" s="154">
        <f>AE279*L281</f>
        <v>0.72780487804878036</v>
      </c>
      <c r="AG281" s="5"/>
      <c r="AH281" s="5"/>
      <c r="AI281" s="5"/>
      <c r="AJ281" s="103"/>
      <c r="AK281" s="72"/>
      <c r="AL281" s="72"/>
      <c r="AM281" s="72"/>
      <c r="AO281" s="14"/>
    </row>
    <row r="282" spans="1:46" x14ac:dyDescent="0.2">
      <c r="A282" s="9"/>
      <c r="B282" s="129"/>
      <c r="T282" s="158"/>
      <c r="U282" s="158"/>
      <c r="V282" s="153"/>
      <c r="W282" s="152">
        <f>SUM(W280:W281)</f>
        <v>6.851859778416781</v>
      </c>
      <c r="X282" s="153"/>
      <c r="Y282" s="153"/>
      <c r="Z282" s="152">
        <f>SUM(Z280:Z281)</f>
        <v>10.508445184038877</v>
      </c>
      <c r="AA282" s="153"/>
      <c r="AB282" s="103"/>
      <c r="AC282" s="103"/>
      <c r="AD282" s="103"/>
      <c r="AE282" s="153">
        <f>SUM(AE280:AE281)</f>
        <v>10.743347074816695</v>
      </c>
      <c r="AF282" s="41" t="s">
        <v>609</v>
      </c>
      <c r="AG282" s="5" t="s">
        <v>68</v>
      </c>
      <c r="AH282" s="219">
        <f>INDEX('C-P-RollAdj'!$J$4:$J$76,MATCH(INT(W282),'C-P-RollAdj'!$I$4:$I$76,FALSE),0)</f>
        <v>16</v>
      </c>
      <c r="AI282" s="121">
        <f>INDEX('C-P-RollAdj'!$J$4:$J$76,MATCH(INT(Z282),'C-P-RollAdj'!$I$4:$I$76,FALSE),0)</f>
        <v>24</v>
      </c>
      <c r="AJ282" s="174">
        <f>SUM(AJ278:AJ281)</f>
        <v>22.777777777777779</v>
      </c>
      <c r="AK282" s="14">
        <f>SUM(AK278:AK281)</f>
        <v>38.888888888888893</v>
      </c>
      <c r="AL282" s="14">
        <f>SUM(AL278:AL281)</f>
        <v>0</v>
      </c>
      <c r="AM282" s="14">
        <f>SUM(AM278:AM281)</f>
        <v>101.66666666666667</v>
      </c>
      <c r="AO282" s="14"/>
    </row>
    <row r="283" spans="1:46" x14ac:dyDescent="0.2">
      <c r="A283" s="204"/>
      <c r="B283" s="196"/>
      <c r="AO283" s="14"/>
    </row>
    <row r="284" spans="1:46" x14ac:dyDescent="0.2">
      <c r="A284" s="204" t="s">
        <v>856</v>
      </c>
      <c r="B284" s="196" t="s">
        <v>149</v>
      </c>
      <c r="C284" s="202">
        <v>9</v>
      </c>
      <c r="D284" s="202">
        <v>4</v>
      </c>
      <c r="E284" s="185">
        <v>2.5299999999999998</v>
      </c>
      <c r="F284" s="202">
        <v>21</v>
      </c>
      <c r="G284" s="202">
        <v>21</v>
      </c>
      <c r="H284" s="202">
        <v>3</v>
      </c>
      <c r="I284" s="202">
        <v>1</v>
      </c>
      <c r="J284" s="202">
        <v>0</v>
      </c>
      <c r="K284" s="202">
        <v>0</v>
      </c>
      <c r="L284" s="185">
        <v>146</v>
      </c>
      <c r="M284" s="202">
        <v>133</v>
      </c>
      <c r="N284" s="202">
        <v>50</v>
      </c>
      <c r="O284" s="202">
        <v>41</v>
      </c>
      <c r="P284" s="202">
        <v>13</v>
      </c>
      <c r="Q284" s="202">
        <v>29</v>
      </c>
      <c r="R284" s="202">
        <v>2</v>
      </c>
      <c r="S284" s="202">
        <v>138</v>
      </c>
      <c r="T284" s="202">
        <v>592</v>
      </c>
      <c r="V284" s="50">
        <f>+(Q284-R284)/(T284-R284)*100</f>
        <v>4.5762711864406782</v>
      </c>
      <c r="W284" s="6">
        <f>IF(V284&lt;LeagueRatings!$K$10,((LeagueRatings!$K$10-V284)/LeagueRatings!$K$10)*36,(LeagueRatings!$K$10-V284)*6.48)</f>
        <v>16.992829922781123</v>
      </c>
      <c r="X284" s="16">
        <f>INDEX('C-P-RollAdj'!$B$4:$B$76,MATCH(INT(W284),'C-P-RollAdj'!$A$4:$A$76,FALSE),0)</f>
        <v>-1.39</v>
      </c>
      <c r="Y284" s="16">
        <f>(P284/(T284-R284))*100</f>
        <v>2.2033898305084745</v>
      </c>
      <c r="Z284" s="6">
        <f>IF(Y284&lt;LeagueRatings!$K$8,((LeagueRatings!$K$8-Y284)/LeagueRatings!$K$8)*36,(LeagueRatings!$K$8-Y284)/LeagueRatings!$K$11)</f>
        <v>11.229031922637001</v>
      </c>
      <c r="AA284" s="16">
        <f>INDEX('C-P-RollAdj'!$F$4:$F$76,MATCH(INT(Z284),'C-P-RollAdj'!$E$4:$E$76,FALSE),0)</f>
        <v>-0.81</v>
      </c>
      <c r="AB284" s="17">
        <f>+((LeagueRatings!$I$6-E284)*5)+9.5</f>
        <v>17.858051455277405</v>
      </c>
      <c r="AC284" s="17">
        <f>IF(AB284&lt;4,4,AB284)</f>
        <v>17.858051455277405</v>
      </c>
      <c r="AD284" s="17">
        <f>IF(M284&lt;L284,((1-(M284/L284))*7)-0.07,(1-(M284/L284))*5)</f>
        <v>0.55328767123287692</v>
      </c>
      <c r="AE284" s="4">
        <f>+X284+AA284+AC284+AD284</f>
        <v>16.211339126510282</v>
      </c>
      <c r="AF284" s="33"/>
      <c r="AG284" s="5" t="s">
        <v>31</v>
      </c>
      <c r="AH284" s="219">
        <f>INDEX('C-P-RollAdj'!$J$4:$J$76,MATCH(INT(W284),'C-P-RollAdj'!$I$4:$I$76,FALSE),0)</f>
        <v>34</v>
      </c>
      <c r="AI284" s="219">
        <f>INDEX('C-P-RollAdj'!$J$4:$J$76,MATCH(INT(Z284),'C-P-RollAdj'!$I$4:$I$76,FALSE),0)</f>
        <v>25</v>
      </c>
      <c r="AJ284" s="14">
        <f>+AO284*LeagueRatings!$K$27</f>
        <v>81.111111111111114</v>
      </c>
      <c r="AK284" s="72">
        <f>F284*LeagueRatings!$K$27</f>
        <v>11.666666666666668</v>
      </c>
      <c r="AL284" s="72">
        <f>G284*LeagueRatings!$K$27</f>
        <v>11.666666666666668</v>
      </c>
      <c r="AM284" s="72">
        <f>T284*LeagueRatings!$K$27</f>
        <v>328.88888888888891</v>
      </c>
      <c r="AN284"/>
      <c r="AO284" s="72">
        <f>ROUNDUP(L284,0)</f>
        <v>146</v>
      </c>
    </row>
    <row r="285" spans="1:46" s="24" customFormat="1" x14ac:dyDescent="0.2">
      <c r="A285" s="41" t="s">
        <v>628</v>
      </c>
      <c r="B285" s="202" t="s">
        <v>156</v>
      </c>
      <c r="C285" s="202">
        <v>9</v>
      </c>
      <c r="D285" s="202">
        <v>1</v>
      </c>
      <c r="E285" s="185">
        <v>2.2999999999999998</v>
      </c>
      <c r="F285" s="202">
        <v>11</v>
      </c>
      <c r="G285" s="202">
        <v>11</v>
      </c>
      <c r="H285" s="202">
        <v>0</v>
      </c>
      <c r="I285" s="202">
        <v>0</v>
      </c>
      <c r="J285" s="202">
        <v>0</v>
      </c>
      <c r="K285" s="202">
        <v>0</v>
      </c>
      <c r="L285" s="185">
        <v>74.33</v>
      </c>
      <c r="M285" s="202">
        <v>57</v>
      </c>
      <c r="N285" s="202">
        <v>20</v>
      </c>
      <c r="O285" s="202">
        <v>19</v>
      </c>
      <c r="P285" s="202">
        <v>4</v>
      </c>
      <c r="Q285" s="202">
        <v>18</v>
      </c>
      <c r="R285" s="202">
        <v>0</v>
      </c>
      <c r="S285" s="202">
        <v>87</v>
      </c>
      <c r="T285" s="202">
        <v>296</v>
      </c>
      <c r="U285" s="76"/>
      <c r="V285" s="50">
        <f>+(Q285-R285)/(T285-R285)*100</f>
        <v>6.0810810810810816</v>
      </c>
      <c r="W285" s="6">
        <f>IF(V285&lt;LeagueRatings!$K$10,((LeagueRatings!$K$10-V285)/LeagueRatings!$K$10)*36,(LeagueRatings!$K$10-V285)*6.48)</f>
        <v>10.74272444693888</v>
      </c>
      <c r="X285" s="16">
        <f>INDEX('C-P-RollAdj'!$B$4:$B$76,MATCH(INT(W285),'C-P-RollAdj'!$A$4:$A$76,FALSE),0)</f>
        <v>-0.83000000000000007</v>
      </c>
      <c r="Y285" s="16">
        <f>(P285/(T285-R285))*100</f>
        <v>1.3513513513513513</v>
      </c>
      <c r="Z285" s="6">
        <f>IF(Y285&lt;LeagueRatings!$K$8,((LeagueRatings!$K$8-Y285)/LeagueRatings!$K$8)*36,(LeagueRatings!$K$8-Y285)/LeagueRatings!$K$11)</f>
        <v>20.807826231139114</v>
      </c>
      <c r="AA285" s="16">
        <f>INDEX('C-P-RollAdj'!$F$4:$F$76,MATCH(INT(Z285),'C-P-RollAdj'!$E$4:$E$76,FALSE),0)</f>
        <v>-1.59</v>
      </c>
      <c r="AB285" s="17">
        <f>+((LeagueRatings!$I$6-E285)*5)+9.5</f>
        <v>19.008051455277403</v>
      </c>
      <c r="AC285" s="17">
        <f>IF(AB285&lt;4,4,AB285)</f>
        <v>19.008051455277403</v>
      </c>
      <c r="AD285" s="17">
        <f>IF(M285&lt;L285,((1-(M285/L285))*7)-0.07,(1-(M285/L285))*5)</f>
        <v>1.5620462801022466</v>
      </c>
      <c r="AE285" s="4">
        <f>+X285+AA285+AC285+AD285</f>
        <v>18.150097735379649</v>
      </c>
      <c r="AG285" s="5" t="s">
        <v>53</v>
      </c>
      <c r="AH285" s="219">
        <f>INDEX('C-P-RollAdj'!$J$4:$J$76,MATCH(INT(W285),'C-P-RollAdj'!$I$4:$I$76,FALSE),0)</f>
        <v>24</v>
      </c>
      <c r="AI285" s="219">
        <f>INDEX('C-P-RollAdj'!$J$4:$J$76,MATCH(INT(Z285),'C-P-RollAdj'!$I$4:$I$76,FALSE),0)</f>
        <v>42</v>
      </c>
      <c r="AJ285" s="14">
        <f>+AO285*LeagueRatings!$K$27</f>
        <v>41.666666666666671</v>
      </c>
      <c r="AK285" s="72">
        <f>F285*LeagueRatings!$K$27</f>
        <v>6.1111111111111116</v>
      </c>
      <c r="AL285" s="72">
        <f>G285*LeagueRatings!$K$27</f>
        <v>6.1111111111111116</v>
      </c>
      <c r="AM285" s="72">
        <f>T285*LeagueRatings!$K$27</f>
        <v>164.44444444444446</v>
      </c>
      <c r="AO285" s="72">
        <f>ROUNDUP(L285,0)</f>
        <v>75</v>
      </c>
      <c r="AP285" s="113"/>
      <c r="AQ285" s="113"/>
      <c r="AR285" s="113"/>
      <c r="AT285" s="144">
        <v>77</v>
      </c>
    </row>
    <row r="286" spans="1:46" x14ac:dyDescent="0.2">
      <c r="A286" s="9"/>
      <c r="B286" s="129"/>
      <c r="L286" s="157">
        <f>(L284/100)/((L284+L285)/100)</f>
        <v>0.66264240003630914</v>
      </c>
      <c r="T286" s="158"/>
      <c r="U286" s="158"/>
      <c r="V286" s="153"/>
      <c r="W286" s="152">
        <f>W284*L286</f>
        <v>11.260169603440493</v>
      </c>
      <c r="X286" s="153"/>
      <c r="Y286" s="153"/>
      <c r="Z286" s="152">
        <f>Z284*L286</f>
        <v>7.4408326633005126</v>
      </c>
      <c r="AA286" s="153"/>
      <c r="AB286" s="103"/>
      <c r="AC286" s="103"/>
      <c r="AD286" s="103"/>
      <c r="AE286" s="154">
        <f>AE284*L286</f>
        <v>10.742320666593297</v>
      </c>
      <c r="AG286" s="5"/>
      <c r="AH286" s="5"/>
      <c r="AI286" s="5"/>
      <c r="AJ286" s="103"/>
      <c r="AK286" s="72"/>
      <c r="AL286" s="72"/>
      <c r="AM286" s="72"/>
      <c r="AO286" s="14"/>
    </row>
    <row r="287" spans="1:46" x14ac:dyDescent="0.2">
      <c r="A287" s="9"/>
      <c r="B287" s="129"/>
      <c r="L287" s="157">
        <f>(L285/100)/((L284+L285)/100)</f>
        <v>0.3373575999636908</v>
      </c>
      <c r="T287" s="158"/>
      <c r="U287" s="158"/>
      <c r="V287" s="153"/>
      <c r="W287" s="152">
        <f>W285*L287</f>
        <v>3.6241397364905681</v>
      </c>
      <c r="X287" s="153"/>
      <c r="Y287" s="153"/>
      <c r="Z287" s="152">
        <f>Z285*L287</f>
        <v>7.0196783177986211</v>
      </c>
      <c r="AA287" s="153"/>
      <c r="AB287" s="103"/>
      <c r="AC287" s="103"/>
      <c r="AD287" s="103"/>
      <c r="AE287" s="154">
        <f>AE285*L287</f>
        <v>6.1230734111140981</v>
      </c>
      <c r="AG287" s="5"/>
      <c r="AH287" s="5"/>
      <c r="AI287" s="5"/>
      <c r="AJ287" s="103"/>
      <c r="AK287" s="72"/>
      <c r="AL287" s="72"/>
      <c r="AM287" s="72"/>
      <c r="AO287" s="14"/>
    </row>
    <row r="288" spans="1:46" x14ac:dyDescent="0.2">
      <c r="A288" s="9"/>
      <c r="B288" s="129"/>
      <c r="T288" s="158"/>
      <c r="U288" s="158"/>
      <c r="V288" s="153"/>
      <c r="W288" s="152">
        <f>SUM(W286:W287)</f>
        <v>14.884309339931061</v>
      </c>
      <c r="X288" s="153"/>
      <c r="Y288" s="153"/>
      <c r="Z288" s="152">
        <f>SUM(Z286:Z287)</f>
        <v>14.460510981099134</v>
      </c>
      <c r="AA288" s="153"/>
      <c r="AB288" s="103"/>
      <c r="AC288" s="103"/>
      <c r="AD288" s="103"/>
      <c r="AE288" s="153">
        <f>SUM(AE286:AE287)</f>
        <v>16.865394077707396</v>
      </c>
      <c r="AF288" s="41" t="s">
        <v>628</v>
      </c>
      <c r="AG288" s="5" t="s">
        <v>31</v>
      </c>
      <c r="AH288" s="219">
        <f>INDEX('C-P-RollAdj'!$J$4:$J$76,MATCH(INT(W288),'C-P-RollAdj'!$I$4:$I$76,FALSE),0)</f>
        <v>32</v>
      </c>
      <c r="AI288" s="121">
        <f>INDEX('C-P-RollAdj'!$J$4:$J$76,MATCH(INT(Z288),'C-P-RollAdj'!$I$4:$I$76,FALSE),0)</f>
        <v>32</v>
      </c>
      <c r="AJ288" s="174">
        <f>SUM(AJ284:AJ287)</f>
        <v>122.77777777777779</v>
      </c>
      <c r="AK288" s="14">
        <f>SUM(AK284:AK287)</f>
        <v>17.777777777777779</v>
      </c>
      <c r="AL288" s="14">
        <f>SUM(AL284:AL287)</f>
        <v>17.777777777777779</v>
      </c>
      <c r="AM288" s="14">
        <f>SUM(AM284:AM287)</f>
        <v>493.33333333333337</v>
      </c>
      <c r="AO288" s="14"/>
    </row>
    <row r="289" spans="1:47" x14ac:dyDescent="0.2">
      <c r="AO289" s="14"/>
    </row>
    <row r="290" spans="1:47" x14ac:dyDescent="0.2">
      <c r="A290" s="155" t="s">
        <v>1257</v>
      </c>
      <c r="B290" s="155" t="s">
        <v>159</v>
      </c>
      <c r="C290" s="202">
        <v>1</v>
      </c>
      <c r="D290" s="202">
        <v>1</v>
      </c>
      <c r="E290" s="185">
        <v>4.1100000000000003</v>
      </c>
      <c r="F290" s="202">
        <v>12</v>
      </c>
      <c r="G290" s="202">
        <v>0</v>
      </c>
      <c r="H290" s="202">
        <v>0</v>
      </c>
      <c r="I290" s="202">
        <v>0</v>
      </c>
      <c r="J290" s="202">
        <v>0</v>
      </c>
      <c r="K290" s="202">
        <v>2</v>
      </c>
      <c r="L290" s="185">
        <v>15.33</v>
      </c>
      <c r="M290" s="202">
        <v>15</v>
      </c>
      <c r="N290" s="202">
        <v>7</v>
      </c>
      <c r="O290" s="202">
        <v>7</v>
      </c>
      <c r="P290" s="202">
        <v>1</v>
      </c>
      <c r="Q290" s="202">
        <v>4</v>
      </c>
      <c r="R290" s="202">
        <v>2</v>
      </c>
      <c r="S290" s="202">
        <v>11</v>
      </c>
      <c r="T290" s="202">
        <v>63</v>
      </c>
      <c r="V290" s="50">
        <f>+(Q290-R290)/(T290-R290)*100</f>
        <v>3.278688524590164</v>
      </c>
      <c r="W290" s="6">
        <f>IF(V290&lt;LeagueRatings!$K$21,((LeagueRatings!$K$21-V290)/LeagueRatings!$K$21)*36,(LeagueRatings!$K$21-V290)*6.48)</f>
        <v>22.816421150172772</v>
      </c>
      <c r="X290" s="16">
        <f>INDEX('C-P-RollAdj'!$B$4:$B$76,MATCH(INT(W290),'C-P-RollAdj'!$A$4:$A$76,FALSE),0)</f>
        <v>-2</v>
      </c>
      <c r="Y290" s="16">
        <f>(P290/(T290-R290))*100</f>
        <v>1.639344262295082</v>
      </c>
      <c r="Z290" s="6">
        <f>IF(Y290&lt;LeagueRatings!$K$19,((LeagueRatings!$K$19-Y290)/LeagueRatings!$K$19)*36,(LeagueRatings!$K$19-Y290)/LeagueRatings!$K$22)</f>
        <v>15.705506138351835</v>
      </c>
      <c r="AA290" s="16">
        <f>INDEX('C-P-RollAdj'!$F$4:$F$76,MATCH(INT(Z290),'C-P-RollAdj'!$E$4:$E$76,FALSE),0)</f>
        <v>-1.1400000000000001</v>
      </c>
      <c r="AB290" s="17">
        <f>+((LeagueRatings!$I$17-E290)*5)+9.5</f>
        <v>9.764387243706361</v>
      </c>
      <c r="AC290" s="17">
        <f>IF(AB290&lt;4,4,AB290)</f>
        <v>9.764387243706361</v>
      </c>
      <c r="AD290" s="17">
        <f>IF(M290&lt;L290,((1-(M290/L290))*7)-0.07,(1-(M290/L290))*5)</f>
        <v>8.0684931506849689E-2</v>
      </c>
      <c r="AE290" s="4">
        <f>+X290+AA290+AC290+AD290</f>
        <v>6.7050721752132105</v>
      </c>
      <c r="AF290" s="24"/>
      <c r="AG290" s="58">
        <v>6</v>
      </c>
      <c r="AH290" s="219">
        <f>INDEX('C-P-RollAdj'!$J$4:$J$76,MATCH(INT(W290),'C-P-RollAdj'!$I$4:$I$76,FALSE),0)</f>
        <v>44</v>
      </c>
      <c r="AI290" s="219">
        <f>INDEX('C-P-RollAdj'!$J$4:$J$76,MATCH(INT(Z290),'C-P-RollAdj'!$I$4:$I$76,FALSE),0)</f>
        <v>33</v>
      </c>
      <c r="AJ290" s="14">
        <f>+AO290*LeagueRatings!$K$27</f>
        <v>8.8888888888888893</v>
      </c>
      <c r="AK290" s="72">
        <f>F290*LeagueRatings!$K$27</f>
        <v>6.666666666666667</v>
      </c>
      <c r="AL290" s="72">
        <f>G290*LeagueRatings!$K$27</f>
        <v>0</v>
      </c>
      <c r="AM290" s="72">
        <f>T290*LeagueRatings!$K$27</f>
        <v>35</v>
      </c>
      <c r="AN290" s="24"/>
      <c r="AO290" s="14">
        <f>ROUNDUP(L290,0)</f>
        <v>16</v>
      </c>
    </row>
    <row r="291" spans="1:47" s="24" customFormat="1" x14ac:dyDescent="0.2">
      <c r="A291" s="41" t="s">
        <v>424</v>
      </c>
      <c r="B291" s="202" t="s">
        <v>154</v>
      </c>
      <c r="C291" s="202">
        <v>0</v>
      </c>
      <c r="D291" s="202">
        <v>1</v>
      </c>
      <c r="E291" s="185">
        <v>7.56</v>
      </c>
      <c r="F291" s="202">
        <v>8</v>
      </c>
      <c r="G291" s="202">
        <v>0</v>
      </c>
      <c r="H291" s="202">
        <v>0</v>
      </c>
      <c r="I291" s="202">
        <v>0</v>
      </c>
      <c r="J291" s="202">
        <v>0</v>
      </c>
      <c r="K291" s="202">
        <v>1</v>
      </c>
      <c r="L291" s="185">
        <v>8.33</v>
      </c>
      <c r="M291" s="202">
        <v>10</v>
      </c>
      <c r="N291" s="202">
        <v>7</v>
      </c>
      <c r="O291" s="202">
        <v>7</v>
      </c>
      <c r="P291" s="202">
        <v>2</v>
      </c>
      <c r="Q291" s="202">
        <v>7</v>
      </c>
      <c r="R291" s="202">
        <v>1</v>
      </c>
      <c r="S291" s="202">
        <v>5</v>
      </c>
      <c r="T291" s="202">
        <v>43</v>
      </c>
      <c r="U291" s="76"/>
      <c r="V291" s="50">
        <f>+(Q291-R291)/(T291-R291)*100</f>
        <v>14.285714285714285</v>
      </c>
      <c r="W291" s="6">
        <f>IF(V291&lt;LeagueRatings!$K$10,((LeagueRatings!$K$10-V291)/LeagueRatings!$K$10)*36,(LeagueRatings!$K$10-V291)*6.48)</f>
        <v>-36.405648077234908</v>
      </c>
      <c r="X291" s="16">
        <v>5.44</v>
      </c>
      <c r="Y291" s="16">
        <f>(P291/(T291-R291))*100</f>
        <v>4.7619047619047619</v>
      </c>
      <c r="Z291" s="6">
        <f>IF(Y291&lt;LeagueRatings!$K$8,((LeagueRatings!$K$8-Y291)/LeagueRatings!$K$8)*36,(LeagueRatings!$K$8-Y291)/LeagueRatings!$K$11)</f>
        <v>-12.384620675424719</v>
      </c>
      <c r="AA291" s="16">
        <f>INDEX('C-P-RollAdj'!$F$4:$F$76,MATCH(INT(Z291),'C-P-RollAdj'!$E$4:$E$76,FALSE),0)</f>
        <v>1.2599999999999998</v>
      </c>
      <c r="AB291" s="17">
        <f>+((LeagueRatings!$I$6-E291)*5)+9.5</f>
        <v>-7.2919485447225938</v>
      </c>
      <c r="AC291" s="17">
        <f>IF(AB291&lt;4,4,AB291)</f>
        <v>4</v>
      </c>
      <c r="AD291" s="17">
        <f>IF(M291&lt;L291,((1-(M291/L291))*7)-0.07,(1-(M291/L291))*5)</f>
        <v>-1.0024009603841533</v>
      </c>
      <c r="AE291" s="4">
        <f>+X291+AA291+AC291+AD291</f>
        <v>9.6975990396158451</v>
      </c>
      <c r="AG291" s="94" t="s">
        <v>39</v>
      </c>
      <c r="AH291" s="219">
        <v>-66</v>
      </c>
      <c r="AI291" s="219">
        <f>INDEX('C-P-RollAdj'!$J$4:$J$76,MATCH(INT(Z291),'C-P-RollAdj'!$I$4:$I$76,FALSE),0)</f>
        <v>-31</v>
      </c>
      <c r="AJ291" s="14">
        <f>+AO291*LeagueRatings!$K$27</f>
        <v>5</v>
      </c>
      <c r="AK291" s="72">
        <f>F291*LeagueRatings!$K$27</f>
        <v>4.4444444444444446</v>
      </c>
      <c r="AL291" s="72">
        <f>G291*LeagueRatings!$K$27</f>
        <v>0</v>
      </c>
      <c r="AM291" s="72">
        <f>T291*LeagueRatings!$K$27</f>
        <v>23.888888888888889</v>
      </c>
      <c r="AN291" s="76"/>
      <c r="AO291" s="72">
        <f>ROUNDUP(L291,0)</f>
        <v>9</v>
      </c>
      <c r="AP291" s="113"/>
      <c r="AQ291" s="113"/>
      <c r="AR291" s="113"/>
      <c r="AS291" s="76"/>
      <c r="AT291" s="97">
        <v>53</v>
      </c>
      <c r="AU291"/>
    </row>
    <row r="292" spans="1:47" x14ac:dyDescent="0.2">
      <c r="A292" s="9"/>
      <c r="B292" s="129"/>
      <c r="L292" s="157">
        <f>(L290/100)/((L290+L291)/100)</f>
        <v>0.64792899408284022</v>
      </c>
      <c r="T292" s="158"/>
      <c r="U292" s="158"/>
      <c r="V292" s="153"/>
      <c r="W292" s="152">
        <f>W290*L292</f>
        <v>14.783420804401885</v>
      </c>
      <c r="X292" s="153"/>
      <c r="Y292" s="153"/>
      <c r="Z292" s="152">
        <f>Z290*L292</f>
        <v>10.176052793784176</v>
      </c>
      <c r="AA292" s="153"/>
      <c r="AB292" s="103"/>
      <c r="AC292" s="103"/>
      <c r="AD292" s="103"/>
      <c r="AE292" s="154">
        <f>AE290*L292</f>
        <v>4.3444106697387372</v>
      </c>
      <c r="AG292" s="5"/>
      <c r="AH292" s="5"/>
      <c r="AI292" s="5"/>
      <c r="AJ292" s="103"/>
      <c r="AK292" s="72"/>
      <c r="AL292" s="72"/>
      <c r="AM292" s="72"/>
      <c r="AO292" s="14"/>
    </row>
    <row r="293" spans="1:47" x14ac:dyDescent="0.2">
      <c r="A293" s="9"/>
      <c r="B293" s="129"/>
      <c r="L293" s="157">
        <f>(L291/100)/((L290+L291)/100)</f>
        <v>0.35207100591715973</v>
      </c>
      <c r="T293" s="158"/>
      <c r="U293" s="158"/>
      <c r="V293" s="153"/>
      <c r="W293" s="152">
        <f>W291*L293</f>
        <v>-12.817373139618207</v>
      </c>
      <c r="X293" s="153"/>
      <c r="Y293" s="153"/>
      <c r="Z293" s="152">
        <f>Z291*L293</f>
        <v>-4.3602658590992345</v>
      </c>
      <c r="AA293" s="153"/>
      <c r="AB293" s="103"/>
      <c r="AC293" s="103"/>
      <c r="AD293" s="103"/>
      <c r="AE293" s="154">
        <f>AE291*L293</f>
        <v>3.4142434488588327</v>
      </c>
      <c r="AG293" s="5"/>
      <c r="AH293" s="5"/>
      <c r="AI293" s="5"/>
      <c r="AJ293" s="103"/>
      <c r="AK293" s="72"/>
      <c r="AL293" s="72"/>
      <c r="AM293" s="72"/>
      <c r="AO293" s="14"/>
    </row>
    <row r="294" spans="1:47" x14ac:dyDescent="0.2">
      <c r="A294" s="9"/>
      <c r="B294" s="129"/>
      <c r="T294" s="158"/>
      <c r="U294" s="158"/>
      <c r="V294" s="153"/>
      <c r="W294" s="152">
        <f>SUM(W292:W293)</f>
        <v>1.9660476647836784</v>
      </c>
      <c r="X294" s="153"/>
      <c r="Y294" s="153"/>
      <c r="Z294" s="152">
        <f>SUM(Z292:Z293)</f>
        <v>5.815786934684942</v>
      </c>
      <c r="AA294" s="153"/>
      <c r="AB294" s="103"/>
      <c r="AC294" s="103"/>
      <c r="AD294" s="103"/>
      <c r="AE294" s="153">
        <f>SUM(AE292:AE293)</f>
        <v>7.7586541185975699</v>
      </c>
      <c r="AF294" s="41" t="s">
        <v>424</v>
      </c>
      <c r="AG294" s="5" t="s">
        <v>55</v>
      </c>
      <c r="AH294" s="219">
        <f>INDEX('C-P-RollAdj'!$J$4:$J$76,MATCH(INT(W294),'C-P-RollAdj'!$I$4:$I$76,FALSE),0)</f>
        <v>11</v>
      </c>
      <c r="AI294" s="121">
        <f>INDEX('C-P-RollAdj'!$J$4:$J$76,MATCH(INT(Z294),'C-P-RollAdj'!$I$4:$I$76,FALSE),0)</f>
        <v>15</v>
      </c>
      <c r="AJ294" s="174">
        <f>SUM(AJ290:AJ293)</f>
        <v>13.888888888888889</v>
      </c>
      <c r="AK294" s="14">
        <f>SUM(AK290:AK293)</f>
        <v>11.111111111111111</v>
      </c>
      <c r="AL294" s="14">
        <f>SUM(AL290:AL293)</f>
        <v>0</v>
      </c>
      <c r="AM294" s="14">
        <f>SUM(AM290:AM293)</f>
        <v>58.888888888888886</v>
      </c>
      <c r="AO294" s="14"/>
    </row>
    <row r="295" spans="1:47" x14ac:dyDescent="0.2">
      <c r="A295" s="204"/>
      <c r="B295" s="196"/>
      <c r="AO295" s="14"/>
    </row>
    <row r="296" spans="1:47" x14ac:dyDescent="0.2">
      <c r="A296" s="204" t="s">
        <v>887</v>
      </c>
      <c r="B296" s="196" t="s">
        <v>159</v>
      </c>
      <c r="C296" s="202">
        <v>2</v>
      </c>
      <c r="D296" s="202">
        <v>2</v>
      </c>
      <c r="E296" s="185">
        <v>4.2</v>
      </c>
      <c r="F296" s="202">
        <v>38</v>
      </c>
      <c r="G296" s="202">
        <v>0</v>
      </c>
      <c r="H296" s="202">
        <v>0</v>
      </c>
      <c r="I296" s="202">
        <v>0</v>
      </c>
      <c r="J296" s="202">
        <v>3</v>
      </c>
      <c r="K296" s="202">
        <v>5</v>
      </c>
      <c r="L296" s="185">
        <v>40.67</v>
      </c>
      <c r="M296" s="202">
        <v>47</v>
      </c>
      <c r="N296" s="202">
        <v>19</v>
      </c>
      <c r="O296" s="202">
        <v>19</v>
      </c>
      <c r="P296" s="202">
        <v>2</v>
      </c>
      <c r="Q296" s="202">
        <v>14</v>
      </c>
      <c r="R296" s="202">
        <v>5</v>
      </c>
      <c r="S296" s="202">
        <v>34</v>
      </c>
      <c r="T296" s="202">
        <v>181</v>
      </c>
      <c r="V296" s="50">
        <f>+(Q296-R296)/(T296-R296)*100</f>
        <v>5.1136363636363642</v>
      </c>
      <c r="W296" s="6">
        <f>IF(V296&lt;LeagueRatings!$K$21,((LeagueRatings!$K$21-V296)/LeagueRatings!$K$21)*36,(LeagueRatings!$K$21-V296)*6.48)</f>
        <v>15.438111396150145</v>
      </c>
      <c r="X296" s="16">
        <f>INDEX('C-P-RollAdj'!$B$4:$B$76,MATCH(INT(W296),'C-P-RollAdj'!$A$4:$A$76,FALSE),0)</f>
        <v>-1.29</v>
      </c>
      <c r="Y296" s="16">
        <f>(P296/(T296-R296))*100</f>
        <v>1.1363636363636365</v>
      </c>
      <c r="Z296" s="6">
        <f>IF(Y296&lt;LeagueRatings!$K$19,((LeagueRatings!$K$19-Y296)/LeagueRatings!$K$19)*36,(LeagueRatings!$K$19-Y296)/LeagueRatings!$K$22)</f>
        <v>21.932225845902977</v>
      </c>
      <c r="AA296" s="16">
        <f>INDEX('C-P-RollAdj'!$F$4:$F$76,MATCH(INT(Z296),'C-P-RollAdj'!$E$4:$E$76,FALSE),0)</f>
        <v>-1.6800000000000002</v>
      </c>
      <c r="AB296" s="17">
        <f>+((LeagueRatings!$I$17-E296)*5)+9.5</f>
        <v>9.3143872437063617</v>
      </c>
      <c r="AC296" s="17">
        <f>IF(AB296&lt;4,4,AB296)</f>
        <v>9.3143872437063617</v>
      </c>
      <c r="AD296" s="17">
        <f>IF(M296&lt;L296,((1-(M296/L296))*7)-0.07,(1-(M296/L296))*5)</f>
        <v>-0.77821490041799835</v>
      </c>
      <c r="AE296" s="4">
        <f>+X296+AA296+AC296+AD296</f>
        <v>5.566172343288363</v>
      </c>
      <c r="AF296" s="24"/>
      <c r="AG296" s="58">
        <v>5</v>
      </c>
      <c r="AH296" s="219">
        <f>INDEX('C-P-RollAdj'!$J$4:$J$76,MATCH(INT(W296),'C-P-RollAdj'!$I$4:$I$76,FALSE),0)</f>
        <v>33</v>
      </c>
      <c r="AI296" s="219">
        <f>INDEX('C-P-RollAdj'!$J$4:$J$76,MATCH(INT(Z296),'C-P-RollAdj'!$I$4:$I$76,FALSE),0)</f>
        <v>43</v>
      </c>
      <c r="AJ296" s="14">
        <f>+AO296*LeagueRatings!$K$27</f>
        <v>22.777777777777779</v>
      </c>
      <c r="AK296" s="72">
        <f>F296*LeagueRatings!$K$27</f>
        <v>21.111111111111111</v>
      </c>
      <c r="AL296" s="72">
        <f>G296*LeagueRatings!$K$27</f>
        <v>0</v>
      </c>
      <c r="AM296" s="72">
        <f>T296*LeagueRatings!$K$27</f>
        <v>100.55555555555556</v>
      </c>
      <c r="AN296" s="24"/>
      <c r="AO296" s="14">
        <f>ROUNDUP(L296,0)</f>
        <v>41</v>
      </c>
    </row>
    <row r="297" spans="1:47" s="24" customFormat="1" x14ac:dyDescent="0.2">
      <c r="A297" s="41" t="s">
        <v>516</v>
      </c>
      <c r="B297" s="202" t="s">
        <v>167</v>
      </c>
      <c r="C297" s="202">
        <v>1</v>
      </c>
      <c r="D297" s="202">
        <v>1</v>
      </c>
      <c r="E297" s="185">
        <v>1.17</v>
      </c>
      <c r="F297" s="202">
        <v>17</v>
      </c>
      <c r="G297" s="202">
        <v>0</v>
      </c>
      <c r="H297" s="202">
        <v>0</v>
      </c>
      <c r="I297" s="202">
        <v>0</v>
      </c>
      <c r="J297" s="202">
        <v>1</v>
      </c>
      <c r="K297" s="202">
        <v>3</v>
      </c>
      <c r="L297" s="185">
        <v>15.33</v>
      </c>
      <c r="M297" s="202">
        <v>11</v>
      </c>
      <c r="N297" s="202">
        <v>2</v>
      </c>
      <c r="O297" s="202">
        <v>2</v>
      </c>
      <c r="P297" s="202">
        <v>1</v>
      </c>
      <c r="Q297" s="202">
        <v>5</v>
      </c>
      <c r="R297" s="202">
        <v>1</v>
      </c>
      <c r="S297" s="202">
        <v>17</v>
      </c>
      <c r="T297" s="202">
        <v>60</v>
      </c>
      <c r="U297" s="76"/>
      <c r="V297" s="50">
        <f>+(Q297-R297)/(T297-R297)*100</f>
        <v>6.7796610169491522</v>
      </c>
      <c r="W297" s="6">
        <f>IF(V297&lt;LeagueRatings!$K$21,((LeagueRatings!$K$21-V297)/LeagueRatings!$K$21)*36,(LeagueRatings!$K$21-V297)*6.48)</f>
        <v>8.7390403444250548</v>
      </c>
      <c r="X297" s="16">
        <f>INDEX('C-P-RollAdj'!$B$4:$B$76,MATCH(INT(W297),'C-P-RollAdj'!$A$4:$A$76,FALSE),0)</f>
        <v>-0.65</v>
      </c>
      <c r="Y297" s="16">
        <f>(P297/(T297-R297))*100</f>
        <v>1.6949152542372881</v>
      </c>
      <c r="Z297" s="6">
        <f>IF(Y297&lt;LeagueRatings!$K$19,((LeagueRatings!$K$19-Y297)/LeagueRatings!$K$19)*36,(LeagueRatings!$K$19-Y297)/LeagueRatings!$K$22)</f>
        <v>15.017557193889186</v>
      </c>
      <c r="AA297" s="16">
        <f>INDEX('C-P-RollAdj'!$F$4:$F$76,MATCH(INT(Z297),'C-P-RollAdj'!$E$4:$E$76,FALSE),0)</f>
        <v>-1.1400000000000001</v>
      </c>
      <c r="AB297" s="17">
        <f>+((LeagueRatings!$I$17-E297)*5)+9.5</f>
        <v>24.464387243706362</v>
      </c>
      <c r="AC297" s="17">
        <f>IF(AB297&lt;4,4,AB297)</f>
        <v>24.464387243706362</v>
      </c>
      <c r="AD297" s="55">
        <f>IF(M297&lt;L297,((1-(M297/L297))*7)-0.07,(1-(M297/L297))*5)</f>
        <v>1.9071689497716897</v>
      </c>
      <c r="AE297" s="4">
        <f>+X297+AA297+AC297+AD297</f>
        <v>24.581556193478054</v>
      </c>
      <c r="AG297" s="58">
        <v>24</v>
      </c>
      <c r="AH297" s="219">
        <f>INDEX('C-P-RollAdj'!$J$4:$J$76,MATCH(INT(W297),'C-P-RollAdj'!$I$4:$I$76,FALSE),0)</f>
        <v>22</v>
      </c>
      <c r="AI297" s="219">
        <f>INDEX('C-P-RollAdj'!$J$4:$J$76,MATCH(INT(Z297),'C-P-RollAdj'!$I$4:$I$76,FALSE),0)</f>
        <v>33</v>
      </c>
      <c r="AJ297" s="14">
        <f>+AO297*LeagueRatings!$K$27</f>
        <v>8.8888888888888893</v>
      </c>
      <c r="AK297" s="72">
        <f>F297*LeagueRatings!$K$27</f>
        <v>9.4444444444444446</v>
      </c>
      <c r="AL297" s="72">
        <f>G297*LeagueRatings!$K$27</f>
        <v>0</v>
      </c>
      <c r="AM297" s="72">
        <f>T297*LeagueRatings!$K$27</f>
        <v>33.333333333333336</v>
      </c>
      <c r="AO297" s="14">
        <f>ROUNDUP(L297,0)</f>
        <v>16</v>
      </c>
    </row>
    <row r="298" spans="1:47" x14ac:dyDescent="0.2">
      <c r="A298" s="9"/>
      <c r="B298" s="129"/>
      <c r="L298" s="157">
        <f>(L296/100)/((L296+L297)/100)</f>
        <v>0.72624999999999995</v>
      </c>
      <c r="T298" s="158"/>
      <c r="U298" s="158"/>
      <c r="V298" s="153"/>
      <c r="W298" s="152">
        <f>W296*L298</f>
        <v>11.211928401454042</v>
      </c>
      <c r="X298" s="153"/>
      <c r="Y298" s="153"/>
      <c r="Z298" s="152">
        <f>Z296*L298</f>
        <v>15.928279020587036</v>
      </c>
      <c r="AA298" s="153"/>
      <c r="AB298" s="103"/>
      <c r="AC298" s="103"/>
      <c r="AD298" s="103"/>
      <c r="AE298" s="154">
        <f>AE296*L298</f>
        <v>4.0424326643131732</v>
      </c>
      <c r="AG298" s="5"/>
      <c r="AH298" s="5"/>
      <c r="AI298" s="5"/>
      <c r="AJ298" s="103"/>
      <c r="AK298" s="72"/>
      <c r="AL298" s="72"/>
      <c r="AM298" s="72"/>
      <c r="AO298" s="14"/>
    </row>
    <row r="299" spans="1:47" x14ac:dyDescent="0.2">
      <c r="A299" s="9"/>
      <c r="B299" s="129"/>
      <c r="L299" s="157">
        <f>(L297/100)/((L296+L297)/100)</f>
        <v>0.27374999999999994</v>
      </c>
      <c r="T299" s="158"/>
      <c r="U299" s="158"/>
      <c r="V299" s="153"/>
      <c r="W299" s="152">
        <f>W297*L299</f>
        <v>2.3923122942863584</v>
      </c>
      <c r="X299" s="153"/>
      <c r="Y299" s="153"/>
      <c r="Z299" s="152">
        <f>Z297*L299</f>
        <v>4.1110562818271639</v>
      </c>
      <c r="AA299" s="153"/>
      <c r="AB299" s="103"/>
      <c r="AC299" s="103"/>
      <c r="AD299" s="103"/>
      <c r="AE299" s="154">
        <f>AE297*L299</f>
        <v>6.7292010079646154</v>
      </c>
      <c r="AG299" s="5"/>
      <c r="AH299" s="5"/>
      <c r="AI299" s="5"/>
      <c r="AJ299" s="103"/>
      <c r="AK299" s="72"/>
      <c r="AL299" s="72"/>
      <c r="AM299" s="72"/>
      <c r="AO299" s="14"/>
    </row>
    <row r="300" spans="1:47" x14ac:dyDescent="0.2">
      <c r="A300" s="9"/>
      <c r="B300" s="129"/>
      <c r="T300" s="158"/>
      <c r="U300" s="158"/>
      <c r="V300" s="153"/>
      <c r="W300" s="152">
        <f>SUM(W298:W299)</f>
        <v>13.604240695740401</v>
      </c>
      <c r="X300" s="153"/>
      <c r="Y300" s="153"/>
      <c r="Z300" s="152">
        <f>SUM(Z298:Z299)</f>
        <v>20.039335302414202</v>
      </c>
      <c r="AA300" s="153"/>
      <c r="AB300" s="103"/>
      <c r="AC300" s="103"/>
      <c r="AD300" s="103"/>
      <c r="AE300" s="153">
        <f>SUM(AE298:AE299)</f>
        <v>10.771633672277789</v>
      </c>
      <c r="AF300" s="41" t="s">
        <v>516</v>
      </c>
      <c r="AG300" s="5" t="s">
        <v>39</v>
      </c>
      <c r="AH300" s="219">
        <f>INDEX('C-P-RollAdj'!$J$4:$J$76,MATCH(INT(W300),'C-P-RollAdj'!$I$4:$I$76,FALSE),0)</f>
        <v>31</v>
      </c>
      <c r="AI300" s="121">
        <f>INDEX('C-P-RollAdj'!$J$4:$J$76,MATCH(INT(Z300),'C-P-RollAdj'!$I$4:$I$76,FALSE),0)</f>
        <v>42</v>
      </c>
      <c r="AJ300" s="174">
        <f>SUM(AJ296:AJ299)</f>
        <v>31.666666666666668</v>
      </c>
      <c r="AK300" s="14">
        <f>SUM(AK296:AK299)</f>
        <v>30.555555555555557</v>
      </c>
      <c r="AL300" s="14">
        <f>SUM(AL296:AL299)</f>
        <v>0</v>
      </c>
      <c r="AM300" s="14">
        <f>SUM(AM296:AM299)</f>
        <v>133.88888888888889</v>
      </c>
      <c r="AO300" s="14"/>
    </row>
    <row r="301" spans="1:47" x14ac:dyDescent="0.2">
      <c r="AO301" s="14"/>
    </row>
    <row r="302" spans="1:47" x14ac:dyDescent="0.2">
      <c r="A302" s="155" t="s">
        <v>1263</v>
      </c>
      <c r="B302" s="155" t="s">
        <v>163</v>
      </c>
      <c r="C302" s="202">
        <v>0</v>
      </c>
      <c r="D302" s="202">
        <v>1</v>
      </c>
      <c r="E302" s="185">
        <v>5.79</v>
      </c>
      <c r="F302" s="202">
        <v>9</v>
      </c>
      <c r="G302" s="202">
        <v>0</v>
      </c>
      <c r="H302" s="202">
        <v>0</v>
      </c>
      <c r="I302" s="202">
        <v>0</v>
      </c>
      <c r="J302" s="202">
        <v>0</v>
      </c>
      <c r="K302" s="202">
        <v>0</v>
      </c>
      <c r="L302" s="185">
        <v>9.33</v>
      </c>
      <c r="M302" s="202">
        <v>13</v>
      </c>
      <c r="N302" s="202">
        <v>6</v>
      </c>
      <c r="O302" s="202">
        <v>6</v>
      </c>
      <c r="P302" s="202">
        <v>0</v>
      </c>
      <c r="Q302" s="202">
        <v>2</v>
      </c>
      <c r="R302" s="202">
        <v>0</v>
      </c>
      <c r="S302" s="202">
        <v>5</v>
      </c>
      <c r="T302" s="202">
        <v>43</v>
      </c>
      <c r="V302" s="50">
        <f>+(Q302-R302)/(T302-R302)*100</f>
        <v>4.6511627906976747</v>
      </c>
      <c r="W302" s="6">
        <f>IF(V302&lt;LeagueRatings!$K$21,((LeagueRatings!$K$21-V302)/LeagueRatings!$K$21)*36,(LeagueRatings!$K$21-V302)*6.48)</f>
        <v>17.297713724663698</v>
      </c>
      <c r="X302" s="16">
        <f>INDEX('C-P-RollAdj'!$B$4:$B$76,MATCH(INT(W302),'C-P-RollAdj'!$A$4:$A$76,FALSE),0)</f>
        <v>-1.49</v>
      </c>
      <c r="Y302" s="16">
        <f>(P302/(T302-R302))*100</f>
        <v>0</v>
      </c>
      <c r="Z302" s="6">
        <f>IF(Y302&lt;LeagueRatings!$K$19,((LeagueRatings!$K$19-Y302)/LeagueRatings!$K$19)*36,(LeagueRatings!$K$19-Y302)/LeagueRatings!$K$22)</f>
        <v>36</v>
      </c>
      <c r="AA302" s="16">
        <f>INDEX('C-P-RollAdj'!$F$4:$F$76,MATCH(INT(Z302),'C-P-RollAdj'!$E$4:$E$76,FALSE),0)</f>
        <v>-3.26</v>
      </c>
      <c r="AB302" s="17">
        <f>+((LeagueRatings!$I$17-E302)*5)+9.5</f>
        <v>1.3643872437063624</v>
      </c>
      <c r="AC302" s="17">
        <f>IF(AB302&lt;4,4,AB302)</f>
        <v>4</v>
      </c>
      <c r="AD302" s="17">
        <f>IF(M302&lt;L302,((1-(M302/L302))*7)-0.07,(1-(M302/L302))*5)</f>
        <v>-1.9667738478027863</v>
      </c>
      <c r="AE302" s="4">
        <f>+X302+AA302+AC302+AD302</f>
        <v>-2.7167738478027861</v>
      </c>
      <c r="AF302" s="24"/>
      <c r="AG302" s="58">
        <v>1</v>
      </c>
      <c r="AH302" s="219">
        <f>INDEX('C-P-RollAdj'!$J$4:$J$76,MATCH(INT(W302),'C-P-RollAdj'!$I$4:$I$76,FALSE),0)</f>
        <v>35</v>
      </c>
      <c r="AI302" s="219">
        <f>INDEX('C-P-RollAdj'!$J$4:$J$76,MATCH(INT(Z302),'C-P-RollAdj'!$I$4:$I$76,FALSE),0)</f>
        <v>66</v>
      </c>
      <c r="AJ302" s="14">
        <f>+AO302*LeagueRatings!$K$27</f>
        <v>5.5555555555555554</v>
      </c>
      <c r="AK302" s="72">
        <f>F302*LeagueRatings!$K$27</f>
        <v>5</v>
      </c>
      <c r="AL302" s="72">
        <f>G302*LeagueRatings!$K$27</f>
        <v>0</v>
      </c>
      <c r="AM302" s="72">
        <f>T302*LeagueRatings!$K$27</f>
        <v>23.888888888888889</v>
      </c>
      <c r="AN302" s="24"/>
      <c r="AO302" s="14">
        <f>ROUNDUP(L302,0)</f>
        <v>10</v>
      </c>
    </row>
    <row r="303" spans="1:47" s="24" customFormat="1" x14ac:dyDescent="0.2">
      <c r="A303" s="41" t="s">
        <v>1113</v>
      </c>
      <c r="B303" s="202" t="s">
        <v>168</v>
      </c>
      <c r="C303" s="202">
        <v>1</v>
      </c>
      <c r="D303" s="202">
        <v>0</v>
      </c>
      <c r="E303" s="185">
        <v>10.38</v>
      </c>
      <c r="F303" s="202">
        <v>6</v>
      </c>
      <c r="G303" s="202">
        <v>0</v>
      </c>
      <c r="H303" s="202">
        <v>0</v>
      </c>
      <c r="I303" s="202">
        <v>0</v>
      </c>
      <c r="J303" s="202">
        <v>0</v>
      </c>
      <c r="K303" s="202">
        <v>1</v>
      </c>
      <c r="L303" s="185">
        <v>4.33</v>
      </c>
      <c r="M303" s="202">
        <v>9</v>
      </c>
      <c r="N303" s="202">
        <v>5</v>
      </c>
      <c r="O303" s="202">
        <v>5</v>
      </c>
      <c r="P303" s="202">
        <v>0</v>
      </c>
      <c r="Q303" s="202">
        <v>1</v>
      </c>
      <c r="R303" s="202">
        <v>0</v>
      </c>
      <c r="S303" s="202">
        <v>1</v>
      </c>
      <c r="T303" s="202">
        <v>22</v>
      </c>
      <c r="U303" s="76"/>
      <c r="V303" s="50">
        <f>+(Q303-R303)/(T303-R303)*100</f>
        <v>4.5454545454545459</v>
      </c>
      <c r="W303" s="6">
        <f>IF(V303&lt;LeagueRatings!$K$21,((LeagueRatings!$K$21-V303)/LeagueRatings!$K$21)*36,(LeagueRatings!$K$21-V303)*6.48)</f>
        <v>17.722765685466797</v>
      </c>
      <c r="X303" s="16">
        <f>INDEX('C-P-RollAdj'!$B$4:$B$76,MATCH(INT(W303),'C-P-RollAdj'!$A$4:$A$76,FALSE),0)</f>
        <v>-1.49</v>
      </c>
      <c r="Y303" s="16">
        <f>(P303/(T303-R303))*100</f>
        <v>0</v>
      </c>
      <c r="Z303" s="6">
        <f>IF(Y303&lt;LeagueRatings!$K$19,((LeagueRatings!$K$19-Y303)/LeagueRatings!$K$19)*36,(LeagueRatings!$K$19-Y303)/LeagueRatings!$K$22)</f>
        <v>36</v>
      </c>
      <c r="AA303" s="16">
        <f>INDEX('C-P-RollAdj'!$F$4:$F$76,MATCH(INT(Z303),'C-P-RollAdj'!$E$4:$E$76,FALSE),0)</f>
        <v>-3.26</v>
      </c>
      <c r="AB303" s="17">
        <f>+((LeagueRatings!$I$17-E303)*5)+9.5</f>
        <v>-21.585612756293642</v>
      </c>
      <c r="AC303" s="17">
        <f>IF(AB303&lt;4,4,AB303)</f>
        <v>4</v>
      </c>
      <c r="AD303" s="17">
        <f>IF(M303&lt;L303,((1-(M303/L303))*7)-0.07,(1-(M303/L303))*5)</f>
        <v>-5.3926096997690536</v>
      </c>
      <c r="AE303" s="4">
        <f>+X303+AA303+AC303+AD303</f>
        <v>-6.1426096997690536</v>
      </c>
      <c r="AG303" s="58">
        <v>1</v>
      </c>
      <c r="AH303" s="219">
        <f>INDEX('C-P-RollAdj'!$J$4:$J$76,MATCH(INT(W303),'C-P-RollAdj'!$I$4:$I$76,FALSE),0)</f>
        <v>35</v>
      </c>
      <c r="AI303" s="219">
        <f>INDEX('C-P-RollAdj'!$J$4:$J$76,MATCH(INT(Z303),'C-P-RollAdj'!$I$4:$I$76,FALSE),0)</f>
        <v>66</v>
      </c>
      <c r="AJ303" s="14">
        <f>+AO303*LeagueRatings!$K$27</f>
        <v>2.7777777777777777</v>
      </c>
      <c r="AK303" s="72">
        <f>F303*LeagueRatings!$K$27</f>
        <v>3.3333333333333335</v>
      </c>
      <c r="AL303" s="72">
        <f>G303*LeagueRatings!$K$27</f>
        <v>0</v>
      </c>
      <c r="AM303" s="72">
        <f>T303*LeagueRatings!$K$27</f>
        <v>12.222222222222223</v>
      </c>
      <c r="AO303" s="14">
        <f>ROUNDUP(L303,0)</f>
        <v>5</v>
      </c>
    </row>
    <row r="304" spans="1:47" x14ac:dyDescent="0.2">
      <c r="A304" s="9"/>
      <c r="B304" s="129"/>
      <c r="L304" s="157">
        <f>(L302/100)/((L302+L303)/100)</f>
        <v>0.68301610541727664</v>
      </c>
      <c r="T304" s="158"/>
      <c r="U304" s="158"/>
      <c r="V304" s="153"/>
      <c r="W304" s="152">
        <f>W302*L304</f>
        <v>11.814617060842773</v>
      </c>
      <c r="X304" s="153"/>
      <c r="Y304" s="153"/>
      <c r="Z304" s="152">
        <f>Z302*L304</f>
        <v>24.58857979502196</v>
      </c>
      <c r="AA304" s="153"/>
      <c r="AB304" s="103"/>
      <c r="AC304" s="103"/>
      <c r="AD304" s="103"/>
      <c r="AE304" s="154">
        <f>AE302*L304</f>
        <v>-1.855600292825768</v>
      </c>
      <c r="AG304" s="5"/>
      <c r="AH304" s="5"/>
      <c r="AI304" s="5"/>
      <c r="AJ304" s="103"/>
      <c r="AK304" s="72"/>
      <c r="AL304" s="72"/>
      <c r="AM304" s="72"/>
      <c r="AO304" s="14"/>
    </row>
    <row r="305" spans="1:42" x14ac:dyDescent="0.2">
      <c r="A305" s="9"/>
      <c r="B305" s="129"/>
      <c r="L305" s="157">
        <f>(L303/100)/((L302+L303)/100)</f>
        <v>0.31698389458272325</v>
      </c>
      <c r="T305" s="158"/>
      <c r="U305" s="158"/>
      <c r="V305" s="153"/>
      <c r="W305" s="152">
        <f>W303*L305</f>
        <v>5.6178312897563121</v>
      </c>
      <c r="X305" s="153"/>
      <c r="Y305" s="153"/>
      <c r="Z305" s="152">
        <f>Z303*L305</f>
        <v>11.411420204978036</v>
      </c>
      <c r="AA305" s="153"/>
      <c r="AB305" s="103"/>
      <c r="AC305" s="103"/>
      <c r="AD305" s="103"/>
      <c r="AE305" s="154">
        <f>AE303*L305</f>
        <v>-1.9471083455344069</v>
      </c>
      <c r="AG305" s="5"/>
      <c r="AH305" s="5"/>
      <c r="AI305" s="5"/>
      <c r="AJ305" s="103"/>
      <c r="AK305" s="72"/>
      <c r="AL305" s="72"/>
      <c r="AM305" s="72"/>
      <c r="AO305" s="14"/>
    </row>
    <row r="306" spans="1:42" x14ac:dyDescent="0.2">
      <c r="A306" s="9"/>
      <c r="B306" s="129"/>
      <c r="T306" s="158"/>
      <c r="U306" s="158"/>
      <c r="V306" s="153"/>
      <c r="W306" s="152">
        <f>SUM(W304:W305)</f>
        <v>17.432448350599085</v>
      </c>
      <c r="X306" s="153"/>
      <c r="Y306" s="153"/>
      <c r="Z306" s="152">
        <f>SUM(Z304:Z305)</f>
        <v>36</v>
      </c>
      <c r="AA306" s="153"/>
      <c r="AB306" s="103"/>
      <c r="AC306" s="103"/>
      <c r="AD306" s="103"/>
      <c r="AE306" s="153">
        <f>SUM(AE304:AE305)</f>
        <v>-3.8027086383601749</v>
      </c>
      <c r="AF306" s="41" t="s">
        <v>1113</v>
      </c>
      <c r="AG306" s="5" t="s">
        <v>26</v>
      </c>
      <c r="AH306" s="219">
        <f>INDEX('C-P-RollAdj'!$J$4:$J$76,MATCH(INT(W306),'C-P-RollAdj'!$I$4:$I$76,FALSE),0)</f>
        <v>35</v>
      </c>
      <c r="AI306" s="121">
        <f>INDEX('C-P-RollAdj'!$J$4:$J$76,MATCH(INT(Z306),'C-P-RollAdj'!$I$4:$I$76,FALSE),0)</f>
        <v>66</v>
      </c>
      <c r="AJ306" s="174">
        <f>SUM(AJ302:AJ305)</f>
        <v>8.3333333333333321</v>
      </c>
      <c r="AK306" s="14">
        <f>SUM(AK302:AK305)</f>
        <v>8.3333333333333339</v>
      </c>
      <c r="AL306" s="14">
        <f>SUM(AL302:AL305)</f>
        <v>0</v>
      </c>
      <c r="AM306" s="14">
        <f>SUM(AM302:AM305)</f>
        <v>36.111111111111114</v>
      </c>
      <c r="AO306" s="14"/>
    </row>
    <row r="307" spans="1:42" x14ac:dyDescent="0.2">
      <c r="B307" s="155"/>
      <c r="AO307" s="14"/>
    </row>
    <row r="308" spans="1:42" x14ac:dyDescent="0.2">
      <c r="A308" s="155" t="s">
        <v>840</v>
      </c>
      <c r="B308" s="155" t="s">
        <v>154</v>
      </c>
      <c r="C308" s="202">
        <v>5</v>
      </c>
      <c r="D308" s="202">
        <v>5</v>
      </c>
      <c r="E308" s="185">
        <v>5.68</v>
      </c>
      <c r="F308" s="202">
        <v>54</v>
      </c>
      <c r="G308" s="202">
        <v>0</v>
      </c>
      <c r="H308" s="202">
        <v>0</v>
      </c>
      <c r="I308" s="202">
        <v>0</v>
      </c>
      <c r="J308" s="202">
        <v>16</v>
      </c>
      <c r="K308" s="202">
        <v>22</v>
      </c>
      <c r="L308" s="185">
        <v>50.67</v>
      </c>
      <c r="M308" s="202">
        <v>51</v>
      </c>
      <c r="N308" s="202">
        <v>32</v>
      </c>
      <c r="O308" s="202">
        <v>32</v>
      </c>
      <c r="P308" s="202">
        <v>8</v>
      </c>
      <c r="Q308" s="202">
        <v>25</v>
      </c>
      <c r="R308" s="202">
        <v>3</v>
      </c>
      <c r="S308" s="202">
        <v>43</v>
      </c>
      <c r="T308" s="202">
        <v>227</v>
      </c>
      <c r="V308" s="50">
        <f>+(Q308-R308)/(T308-R308)*100</f>
        <v>9.8214285714285712</v>
      </c>
      <c r="W308" s="6">
        <f>IF(V308&lt;LeagueRatings!$K$10,((LeagueRatings!$K$10-V308)/LeagueRatings!$K$10)*36,(LeagueRatings!$K$10-V308)*6.48)</f>
        <v>-7.4770766486634814</v>
      </c>
      <c r="X308" s="16">
        <f>INDEX('C-P-RollAdj'!$B$4:$B$76,MATCH(INT(W308),'C-P-RollAdj'!$A$4:$A$76,FALSE),0)</f>
        <v>0.76</v>
      </c>
      <c r="Y308" s="16">
        <f>(P308/(T308-R308))*100</f>
        <v>3.5714285714285712</v>
      </c>
      <c r="Z308" s="6">
        <f>IF(Y308&lt;LeagueRatings!$K$8,((LeagueRatings!$K$8-Y308)/LeagueRatings!$K$8)*36,(LeagueRatings!$K$8-Y308)/LeagueRatings!$K$11)</f>
        <v>-2.9317009422931393</v>
      </c>
      <c r="AA308" s="16">
        <f>INDEX('C-P-RollAdj'!$F$4:$F$76,MATCH(INT(Z308),'C-P-RollAdj'!$E$4:$E$76,FALSE),0)</f>
        <v>0.24</v>
      </c>
      <c r="AB308" s="17">
        <f>+((LeagueRatings!$I$6-E308)*5)+9.5</f>
        <v>2.1080514552774048</v>
      </c>
      <c r="AC308" s="17">
        <f>IF(AB308&lt;4,4,AB308)</f>
        <v>4</v>
      </c>
      <c r="AD308" s="17">
        <f>IF(M308&lt;L308,((1-(M308/L308))*7)-0.07,(1-(M308/L308))*5)</f>
        <v>-3.2563647128478479E-2</v>
      </c>
      <c r="AE308" s="4">
        <f>+X308+AA308+AC308+AD308</f>
        <v>4.9674363528715215</v>
      </c>
      <c r="AF308" s="24"/>
      <c r="AG308" s="94" t="s">
        <v>24</v>
      </c>
      <c r="AH308" s="219">
        <f>INDEX('C-P-RollAdj'!$J$4:$J$76,MATCH(INT(W308),'C-P-RollAdj'!$I$4:$I$76,FALSE),0)</f>
        <v>-22</v>
      </c>
      <c r="AI308" s="219">
        <f>INDEX('C-P-RollAdj'!$J$4:$J$76,MATCH(INT(Z308),'C-P-RollAdj'!$I$4:$I$76,FALSE),0)</f>
        <v>-13</v>
      </c>
      <c r="AJ308" s="14">
        <f>+AO308*LeagueRatings!$K$27</f>
        <v>28.333333333333336</v>
      </c>
      <c r="AK308" s="72">
        <f>F308*LeagueRatings!$K$27</f>
        <v>30</v>
      </c>
      <c r="AL308" s="72">
        <f>G308*LeagueRatings!$K$27</f>
        <v>0</v>
      </c>
      <c r="AM308" s="72">
        <f>T308*LeagueRatings!$K$27</f>
        <v>126.11111111111111</v>
      </c>
      <c r="AN308" s="76"/>
      <c r="AO308" s="72">
        <f>ROUNDUP(L308,0)</f>
        <v>51</v>
      </c>
      <c r="AP308" s="72"/>
    </row>
    <row r="309" spans="1:42" customFormat="1" x14ac:dyDescent="0.2">
      <c r="A309" s="216" t="s">
        <v>629</v>
      </c>
      <c r="B309" s="202" t="s">
        <v>161</v>
      </c>
      <c r="C309" s="202">
        <v>2</v>
      </c>
      <c r="D309" s="202">
        <v>0</v>
      </c>
      <c r="E309" s="185">
        <v>0.75</v>
      </c>
      <c r="F309" s="202">
        <v>14</v>
      </c>
      <c r="G309" s="202">
        <v>0</v>
      </c>
      <c r="H309" s="202">
        <v>0</v>
      </c>
      <c r="I309" s="202">
        <v>0</v>
      </c>
      <c r="J309" s="202">
        <v>0</v>
      </c>
      <c r="K309" s="202">
        <v>1</v>
      </c>
      <c r="L309" s="185">
        <v>12</v>
      </c>
      <c r="M309" s="202">
        <v>8</v>
      </c>
      <c r="N309" s="202">
        <v>4</v>
      </c>
      <c r="O309" s="202">
        <v>1</v>
      </c>
      <c r="P309" s="202">
        <v>1</v>
      </c>
      <c r="Q309" s="202">
        <v>4</v>
      </c>
      <c r="R309" s="202">
        <v>0</v>
      </c>
      <c r="S309" s="202">
        <v>15</v>
      </c>
      <c r="T309" s="202">
        <v>50</v>
      </c>
      <c r="U309" s="76"/>
      <c r="V309" s="50">
        <f>+(Q309-R309)/(T309-R309)*100</f>
        <v>8</v>
      </c>
      <c r="W309" s="6">
        <f>IF(V309&lt;LeagueRatings!$K$21,((LeagueRatings!$K$21-V309)/LeagueRatings!$K$21)*36,(LeagueRatings!$K$21-V309)*6.48)</f>
        <v>3.8320676064215631</v>
      </c>
      <c r="X309" s="16">
        <f>INDEX('C-P-RollAdj'!$B$4:$B$76,MATCH(INT(W309),'C-P-RollAdj'!$A$4:$A$76,FALSE),0)</f>
        <v>-0.24</v>
      </c>
      <c r="Y309" s="16">
        <f>(P309/(T309-R309))*100</f>
        <v>2</v>
      </c>
      <c r="Z309" s="6">
        <f>IF(Y309&lt;LeagueRatings!$K$19,((LeagueRatings!$K$19-Y309)/LeagueRatings!$K$19)*36,(LeagueRatings!$K$19-Y309)/LeagueRatings!$K$22)</f>
        <v>11.24071748878924</v>
      </c>
      <c r="AA309" s="16">
        <f>INDEX('C-P-RollAdj'!$F$4:$F$76,MATCH(INT(Z309),'C-P-RollAdj'!$E$4:$E$76,FALSE),0)</f>
        <v>-0.81</v>
      </c>
      <c r="AB309" s="17">
        <f>+((LeagueRatings!$I$17-E309)*5)+9.5</f>
        <v>26.564387243706364</v>
      </c>
      <c r="AC309" s="17">
        <f>IF(AB309&lt;4,4,AB309)</f>
        <v>26.564387243706364</v>
      </c>
      <c r="AD309" s="17">
        <f>IF(M309&lt;L309,((1-(M309/L309))*7)-0.07,(1-(M309/L309))*5)</f>
        <v>2.2633333333333336</v>
      </c>
      <c r="AE309" s="4">
        <f>+X309+AA309+AC309+AD309</f>
        <v>27.777720577039695</v>
      </c>
      <c r="AF309" s="168"/>
      <c r="AG309" s="5" t="s">
        <v>142</v>
      </c>
      <c r="AH309" s="219">
        <f>INDEX('C-P-RollAdj'!$J$4:$J$76,MATCH(INT(W309),'C-P-RollAdj'!$I$4:$I$76,FALSE),0)</f>
        <v>13</v>
      </c>
      <c r="AI309" s="219">
        <f>INDEX('C-P-RollAdj'!$J$4:$J$76,MATCH(INT(Z309),'C-P-RollAdj'!$I$4:$I$76,FALSE),0)</f>
        <v>25</v>
      </c>
      <c r="AJ309" s="14">
        <f>+AO309*LeagueRatings!$K$27</f>
        <v>6.666666666666667</v>
      </c>
      <c r="AK309" s="72">
        <f>F309*LeagueRatings!$K$27</f>
        <v>7.7777777777777786</v>
      </c>
      <c r="AL309" s="72">
        <f>G309*LeagueRatings!$K$27</f>
        <v>0</v>
      </c>
      <c r="AM309" s="72">
        <f>T309*LeagueRatings!$K$27</f>
        <v>27.777777777777779</v>
      </c>
      <c r="AO309" s="14">
        <f>ROUNDUP(L309,0)</f>
        <v>12</v>
      </c>
    </row>
    <row r="310" spans="1:42" x14ac:dyDescent="0.2">
      <c r="A310" s="9"/>
      <c r="B310" s="129"/>
      <c r="L310" s="157">
        <f>(L308/100)/((L308+L309)/100)</f>
        <v>0.80852082336045961</v>
      </c>
      <c r="T310" s="158"/>
      <c r="U310" s="158"/>
      <c r="V310" s="153"/>
      <c r="W310" s="152">
        <f>W308*L310</f>
        <v>-6.0453721683066641</v>
      </c>
      <c r="X310" s="153"/>
      <c r="Y310" s="153"/>
      <c r="Z310" s="152">
        <f>Z308*L310</f>
        <v>-2.3703412597094844</v>
      </c>
      <c r="AA310" s="153"/>
      <c r="AB310" s="103"/>
      <c r="AC310" s="103"/>
      <c r="AD310" s="103"/>
      <c r="AE310" s="154">
        <f>AE308*L310</f>
        <v>4.0162757300143612</v>
      </c>
      <c r="AG310" s="5"/>
      <c r="AH310" s="5"/>
      <c r="AI310" s="5"/>
      <c r="AJ310" s="103"/>
      <c r="AK310" s="72"/>
      <c r="AL310" s="72"/>
      <c r="AM310" s="72"/>
      <c r="AO310" s="14"/>
    </row>
    <row r="311" spans="1:42" x14ac:dyDescent="0.2">
      <c r="A311" s="9"/>
      <c r="B311" s="129"/>
      <c r="L311" s="157">
        <f>(L309/100)/((L308+L309)/100)</f>
        <v>0.19147917663954042</v>
      </c>
      <c r="T311" s="158"/>
      <c r="U311" s="158"/>
      <c r="V311" s="153"/>
      <c r="W311" s="152">
        <f>W309*L311</f>
        <v>0.73376115010465537</v>
      </c>
      <c r="X311" s="153"/>
      <c r="Y311" s="153"/>
      <c r="Z311" s="152">
        <f>Z309*L311</f>
        <v>2.1523633295910463</v>
      </c>
      <c r="AA311" s="153"/>
      <c r="AB311" s="103"/>
      <c r="AC311" s="103"/>
      <c r="AD311" s="103"/>
      <c r="AE311" s="154">
        <f>AE309*L311</f>
        <v>5.3188550650147803</v>
      </c>
      <c r="AG311" s="5"/>
      <c r="AH311" s="5"/>
      <c r="AI311" s="5"/>
      <c r="AJ311" s="103"/>
      <c r="AK311" s="72"/>
      <c r="AL311" s="72"/>
      <c r="AM311" s="72"/>
      <c r="AO311" s="14"/>
    </row>
    <row r="312" spans="1:42" x14ac:dyDescent="0.2">
      <c r="A312" s="9"/>
      <c r="B312" s="129"/>
      <c r="T312" s="158"/>
      <c r="U312" s="158"/>
      <c r="V312" s="153"/>
      <c r="W312" s="152">
        <f>SUM(W310:W311)</f>
        <v>-5.3116110182020089</v>
      </c>
      <c r="X312" s="153"/>
      <c r="Y312" s="153"/>
      <c r="Z312" s="152">
        <f>SUM(Z310:Z311)</f>
        <v>-0.21797793011843813</v>
      </c>
      <c r="AA312" s="153"/>
      <c r="AB312" s="103"/>
      <c r="AC312" s="103"/>
      <c r="AD312" s="103"/>
      <c r="AE312" s="153">
        <f>SUM(AE310:AE311)</f>
        <v>9.3351307950291407</v>
      </c>
      <c r="AF312" s="216" t="s">
        <v>629</v>
      </c>
      <c r="AG312" s="5" t="s">
        <v>39</v>
      </c>
      <c r="AH312" s="219">
        <f>INDEX('C-P-RollAdj'!$J$4:$J$76,MATCH(INT(W312),'C-P-RollAdj'!$I$4:$I$76,FALSE),0)</f>
        <v>-16</v>
      </c>
      <c r="AI312" s="121">
        <f>INDEX('C-P-RollAdj'!$J$4:$J$76,MATCH(INT(Z312),'C-P-RollAdj'!$I$4:$I$76,FALSE),0)</f>
        <v>-11</v>
      </c>
      <c r="AJ312" s="174">
        <f>SUM(AJ308:AJ311)</f>
        <v>35</v>
      </c>
      <c r="AK312" s="14">
        <f>SUM(AK308:AK311)</f>
        <v>37.777777777777779</v>
      </c>
      <c r="AL312" s="14">
        <f>SUM(AL308:AL311)</f>
        <v>0</v>
      </c>
      <c r="AM312" s="14">
        <f>SUM(AM308:AM311)</f>
        <v>153.88888888888889</v>
      </c>
      <c r="AO312" s="14"/>
    </row>
    <row r="313" spans="1:42" x14ac:dyDescent="0.2">
      <c r="AO313" s="14"/>
    </row>
    <row r="314" spans="1:42" x14ac:dyDescent="0.2">
      <c r="A314" s="155" t="s">
        <v>1259</v>
      </c>
      <c r="B314" s="155" t="s">
        <v>148</v>
      </c>
      <c r="C314" s="202">
        <v>2</v>
      </c>
      <c r="D314" s="202">
        <v>3</v>
      </c>
      <c r="E314" s="185">
        <v>4.43</v>
      </c>
      <c r="F314" s="202">
        <v>45</v>
      </c>
      <c r="G314" s="202">
        <v>0</v>
      </c>
      <c r="H314" s="202">
        <v>0</v>
      </c>
      <c r="I314" s="202">
        <v>0</v>
      </c>
      <c r="J314" s="202">
        <v>0</v>
      </c>
      <c r="K314" s="202">
        <v>2</v>
      </c>
      <c r="L314" s="185">
        <v>20.329999999999998</v>
      </c>
      <c r="M314" s="202">
        <v>23</v>
      </c>
      <c r="N314" s="202">
        <v>15</v>
      </c>
      <c r="O314" s="202">
        <v>10</v>
      </c>
      <c r="P314" s="202">
        <v>1</v>
      </c>
      <c r="Q314" s="202">
        <v>10</v>
      </c>
      <c r="R314" s="202">
        <v>3</v>
      </c>
      <c r="S314" s="202">
        <v>24</v>
      </c>
      <c r="T314" s="202">
        <v>94</v>
      </c>
      <c r="V314" s="50">
        <f>+(Q314-R314)/(T314-R314)*100</f>
        <v>7.6923076923076925</v>
      </c>
      <c r="W314" s="6">
        <f>IF(V314&lt;LeagueRatings!$K$10,((LeagueRatings!$K$10-V314)/LeagueRatings!$K$10)*36,(LeagueRatings!$K$10-V314)*6.48)</f>
        <v>4.0506257961278145</v>
      </c>
      <c r="X314" s="16">
        <f>INDEX('C-P-RollAdj'!$B$4:$B$76,MATCH(INT(W314),'C-P-RollAdj'!$A$4:$A$76,FALSE),0)</f>
        <v>-0.32</v>
      </c>
      <c r="Y314" s="16">
        <f>(P314/(T314-R314))*100</f>
        <v>1.098901098901099</v>
      </c>
      <c r="Z314" s="6">
        <f>IF(Y314&lt;LeagueRatings!$K$8,((LeagueRatings!$K$8-Y314)/LeagueRatings!$K$8)*36,(LeagueRatings!$K$8-Y314)/LeagueRatings!$K$11)</f>
        <v>23.645924627519719</v>
      </c>
      <c r="AA314" s="16">
        <f>INDEX('C-P-RollAdj'!$F$4:$F$76,MATCH(INT(Z314),'C-P-RollAdj'!$E$4:$E$76,FALSE),0)</f>
        <v>-1.88</v>
      </c>
      <c r="AB314" s="17">
        <f>+((LeagueRatings!$I$6-E314)*5)+9.5</f>
        <v>8.3580514552774048</v>
      </c>
      <c r="AC314" s="17">
        <f>IF(AB314&lt;4,4,AB314)</f>
        <v>8.3580514552774048</v>
      </c>
      <c r="AD314" s="17">
        <f>IF(M314&lt;L314,((1-(M314/L314))*7)-0.07,(1-(M314/L314))*5)</f>
        <v>-0.65666502705361562</v>
      </c>
      <c r="AE314" s="4">
        <f>+X314+AA314+AC314+AD314</f>
        <v>5.5013864282237899</v>
      </c>
      <c r="AF314" s="24"/>
      <c r="AG314" s="94" t="s">
        <v>19</v>
      </c>
      <c r="AH314" s="219">
        <f>INDEX('C-P-RollAdj'!$J$4:$J$76,MATCH(INT(W314),'C-P-RollAdj'!$I$4:$I$76,FALSE),0)</f>
        <v>14</v>
      </c>
      <c r="AI314" s="219">
        <f>INDEX('C-P-RollAdj'!$J$4:$J$76,MATCH(INT(Z314),'C-P-RollAdj'!$I$4:$I$76,FALSE),0)</f>
        <v>45</v>
      </c>
      <c r="AJ314" s="14">
        <f>+AO314*LeagueRatings!$K$27</f>
        <v>11.666666666666668</v>
      </c>
      <c r="AK314" s="72">
        <f>F314*LeagueRatings!$K$27</f>
        <v>25</v>
      </c>
      <c r="AL314" s="72">
        <f>G314*LeagueRatings!$K$27</f>
        <v>0</v>
      </c>
      <c r="AM314" s="72">
        <f>T314*LeagueRatings!$K$27</f>
        <v>52.222222222222221</v>
      </c>
      <c r="AN314" s="76"/>
      <c r="AO314" s="72">
        <f>ROUNDUP(L314,0)</f>
        <v>21</v>
      </c>
    </row>
    <row r="315" spans="1:42" s="24" customFormat="1" x14ac:dyDescent="0.2">
      <c r="A315" s="41" t="s">
        <v>471</v>
      </c>
      <c r="B315" s="202" t="s">
        <v>170</v>
      </c>
      <c r="C315" s="202">
        <v>0</v>
      </c>
      <c r="D315" s="202">
        <v>1</v>
      </c>
      <c r="E315" s="185">
        <v>7.36</v>
      </c>
      <c r="F315" s="202">
        <v>27</v>
      </c>
      <c r="G315" s="202">
        <v>0</v>
      </c>
      <c r="H315" s="202">
        <v>0</v>
      </c>
      <c r="I315" s="202">
        <v>0</v>
      </c>
      <c r="J315" s="202">
        <v>0</v>
      </c>
      <c r="K315" s="202">
        <v>2</v>
      </c>
      <c r="L315" s="185">
        <v>14.67</v>
      </c>
      <c r="M315" s="202">
        <v>17</v>
      </c>
      <c r="N315" s="202">
        <v>14</v>
      </c>
      <c r="O315" s="202">
        <v>12</v>
      </c>
      <c r="P315" s="202">
        <v>2</v>
      </c>
      <c r="Q315" s="202">
        <v>4</v>
      </c>
      <c r="R315" s="202">
        <v>1</v>
      </c>
      <c r="S315" s="202">
        <v>17</v>
      </c>
      <c r="T315" s="202">
        <v>64</v>
      </c>
      <c r="U315" s="76"/>
      <c r="V315" s="50">
        <f>+(Q315-R315)/(T315-R315)*100</f>
        <v>4.7619047619047619</v>
      </c>
      <c r="W315" s="6">
        <f>IF(V315&lt;LeagueRatings!$K$21,((LeagueRatings!$K$21-V315)/LeagueRatings!$K$21)*36,(LeagueRatings!$K$21-V315)*6.48)</f>
        <v>16.85242119429855</v>
      </c>
      <c r="X315" s="16">
        <f>INDEX('C-P-RollAdj'!$B$4:$B$76,MATCH(INT(W315),'C-P-RollAdj'!$A$4:$A$76,FALSE),0)</f>
        <v>-1.39</v>
      </c>
      <c r="Y315" s="16">
        <f>(P315/(T315-R315))*100</f>
        <v>3.1746031746031744</v>
      </c>
      <c r="Z315" s="6">
        <f>IF(Y315&lt;LeagueRatings!$K$19,((LeagueRatings!$K$19-Y315)/LeagueRatings!$K$19)*36,(LeagueRatings!$K$19-Y315)/LeagueRatings!$K$22)</f>
        <v>-2.1541463414634121</v>
      </c>
      <c r="AA315" s="16">
        <f>INDEX('C-P-RollAdj'!$F$4:$F$76,MATCH(INT(Z315),'C-P-RollAdj'!$E$4:$E$76,FALSE),0)</f>
        <v>0.24</v>
      </c>
      <c r="AB315" s="17">
        <f>+((LeagueRatings!$I$17-E315)*5)+9.5</f>
        <v>-6.485612756293639</v>
      </c>
      <c r="AC315" s="17">
        <f>IF(AB315&lt;4,4,AB315)</f>
        <v>4</v>
      </c>
      <c r="AD315" s="17">
        <f>IF(M315&lt;L315,((1-(M315/L315))*7)-0.07,(1-(M315/L315))*5)</f>
        <v>-0.79413769597818651</v>
      </c>
      <c r="AE315" s="4">
        <f>+X315+AA315+AC315+AD315</f>
        <v>2.0558623040218134</v>
      </c>
      <c r="AG315" s="58">
        <v>3</v>
      </c>
      <c r="AH315" s="219">
        <f>INDEX('C-P-RollAdj'!$J$4:$J$76,MATCH(INT(W315),'C-P-RollAdj'!$I$4:$I$76,FALSE),0)</f>
        <v>34</v>
      </c>
      <c r="AI315" s="219">
        <f>INDEX('C-P-RollAdj'!$J$4:$J$76,MATCH(INT(Z315),'C-P-RollAdj'!$I$4:$I$76,FALSE),0)</f>
        <v>-13</v>
      </c>
      <c r="AJ315" s="14">
        <f>+AO315*LeagueRatings!$K$27</f>
        <v>8.3333333333333339</v>
      </c>
      <c r="AK315" s="72">
        <f>F315*LeagueRatings!$K$27</f>
        <v>15</v>
      </c>
      <c r="AL315" s="72">
        <f>G315*LeagueRatings!$K$27</f>
        <v>0</v>
      </c>
      <c r="AM315" s="72">
        <f>T315*LeagueRatings!$K$27</f>
        <v>35.555555555555557</v>
      </c>
      <c r="AO315" s="14">
        <f>ROUNDUP(L315,0)</f>
        <v>15</v>
      </c>
    </row>
    <row r="316" spans="1:42" x14ac:dyDescent="0.2">
      <c r="A316" s="9"/>
      <c r="B316" s="129"/>
      <c r="L316" s="157">
        <f>(L314/100)/((L314+L315)/100)</f>
        <v>0.58085714285714285</v>
      </c>
      <c r="T316" s="158"/>
      <c r="U316" s="158"/>
      <c r="V316" s="153"/>
      <c r="W316" s="152">
        <f>W314*L316</f>
        <v>2.3528349267222417</v>
      </c>
      <c r="X316" s="153"/>
      <c r="Y316" s="153"/>
      <c r="Z316" s="152">
        <f>Z314*L316</f>
        <v>13.734904219356453</v>
      </c>
      <c r="AA316" s="153"/>
      <c r="AB316" s="103"/>
      <c r="AC316" s="103"/>
      <c r="AD316" s="103"/>
      <c r="AE316" s="154">
        <f>AE314*L316</f>
        <v>3.195519602451133</v>
      </c>
      <c r="AG316" s="5"/>
      <c r="AH316" s="5"/>
      <c r="AI316" s="5"/>
      <c r="AJ316" s="103"/>
      <c r="AK316" s="72"/>
      <c r="AL316" s="72"/>
      <c r="AM316" s="72"/>
      <c r="AO316" s="14"/>
    </row>
    <row r="317" spans="1:42" x14ac:dyDescent="0.2">
      <c r="A317" s="9"/>
      <c r="B317" s="129"/>
      <c r="L317" s="157">
        <f>(L315/100)/((L314+L315)/100)</f>
        <v>0.41914285714285715</v>
      </c>
      <c r="T317" s="158"/>
      <c r="U317" s="158"/>
      <c r="V317" s="153"/>
      <c r="W317" s="152">
        <f>W315*L317</f>
        <v>7.0635719691531351</v>
      </c>
      <c r="X317" s="153"/>
      <c r="Y317" s="153"/>
      <c r="Z317" s="152">
        <f>Z315*L317</f>
        <v>-0.90289505226480737</v>
      </c>
      <c r="AA317" s="153"/>
      <c r="AB317" s="103"/>
      <c r="AC317" s="103"/>
      <c r="AD317" s="103"/>
      <c r="AE317" s="154">
        <f>AE315*L317</f>
        <v>0.86170000000000002</v>
      </c>
      <c r="AG317" s="5"/>
      <c r="AH317" s="5"/>
      <c r="AI317" s="5"/>
      <c r="AJ317" s="103"/>
      <c r="AK317" s="72"/>
      <c r="AL317" s="72"/>
      <c r="AM317" s="72"/>
      <c r="AO317" s="14"/>
    </row>
    <row r="318" spans="1:42" x14ac:dyDescent="0.2">
      <c r="A318" s="9"/>
      <c r="B318" s="129"/>
      <c r="T318" s="158"/>
      <c r="U318" s="158"/>
      <c r="V318" s="153"/>
      <c r="W318" s="152">
        <f>SUM(W316:W317)</f>
        <v>9.4164068958753759</v>
      </c>
      <c r="X318" s="153"/>
      <c r="Y318" s="153"/>
      <c r="Z318" s="152">
        <f>SUM(Z316:Z317)</f>
        <v>12.832009167091647</v>
      </c>
      <c r="AA318" s="153"/>
      <c r="AB318" s="103"/>
      <c r="AC318" s="103"/>
      <c r="AD318" s="103"/>
      <c r="AE318" s="153">
        <f>SUM(AE316:AE317)</f>
        <v>4.0572196024511333</v>
      </c>
      <c r="AF318" s="41" t="s">
        <v>471</v>
      </c>
      <c r="AG318" s="5" t="s">
        <v>60</v>
      </c>
      <c r="AH318" s="219">
        <f>INDEX('C-P-RollAdj'!$J$4:$J$76,MATCH(INT(W318),'C-P-RollAdj'!$I$4:$I$76,FALSE),0)</f>
        <v>23</v>
      </c>
      <c r="AI318" s="121">
        <f>INDEX('C-P-RollAdj'!$J$4:$J$76,MATCH(INT(Z318),'C-P-RollAdj'!$I$4:$I$76,FALSE),0)</f>
        <v>26</v>
      </c>
      <c r="AJ318" s="174">
        <f>SUM(AJ314:AJ317)</f>
        <v>20</v>
      </c>
      <c r="AK318" s="14">
        <f>SUM(AK314:AK317)</f>
        <v>40</v>
      </c>
      <c r="AL318" s="14">
        <f>SUM(AL314:AL317)</f>
        <v>0</v>
      </c>
      <c r="AM318" s="14">
        <f>SUM(AM314:AM317)</f>
        <v>87.777777777777771</v>
      </c>
      <c r="AO318" s="14"/>
    </row>
    <row r="319" spans="1:42" x14ac:dyDescent="0.2">
      <c r="A319" s="204"/>
      <c r="B319" s="196"/>
      <c r="AO319" s="14"/>
    </row>
    <row r="320" spans="1:42" x14ac:dyDescent="0.2">
      <c r="A320" s="204" t="s">
        <v>851</v>
      </c>
      <c r="B320" s="196" t="s">
        <v>149</v>
      </c>
      <c r="C320" s="202">
        <v>3</v>
      </c>
      <c r="D320" s="202">
        <v>1</v>
      </c>
      <c r="E320" s="185">
        <v>2.85</v>
      </c>
      <c r="F320" s="202">
        <v>43</v>
      </c>
      <c r="G320" s="202">
        <v>0</v>
      </c>
      <c r="H320" s="202">
        <v>0</v>
      </c>
      <c r="I320" s="202">
        <v>0</v>
      </c>
      <c r="J320" s="202">
        <v>23</v>
      </c>
      <c r="K320" s="202">
        <v>26</v>
      </c>
      <c r="L320" s="185">
        <v>41</v>
      </c>
      <c r="M320" s="202">
        <v>32</v>
      </c>
      <c r="N320" s="202">
        <v>13</v>
      </c>
      <c r="O320" s="202">
        <v>13</v>
      </c>
      <c r="P320" s="202">
        <v>8</v>
      </c>
      <c r="Q320" s="202">
        <v>11</v>
      </c>
      <c r="R320" s="202">
        <v>1</v>
      </c>
      <c r="S320" s="202">
        <v>36</v>
      </c>
      <c r="T320" s="202">
        <v>165</v>
      </c>
      <c r="V320" s="50">
        <f>+(Q320-R320)/(T320-R320)*100</f>
        <v>6.0975609756097562</v>
      </c>
      <c r="W320" s="6">
        <f>IF(V320&lt;LeagueRatings!$K$10,((LeagueRatings!$K$10-V320)/LeagueRatings!$K$10)*36,(LeagueRatings!$K$10-V320)*6.48)</f>
        <v>10.674276545711072</v>
      </c>
      <c r="X320" s="16">
        <f>INDEX('C-P-RollAdj'!$B$4:$B$76,MATCH(INT(W320),'C-P-RollAdj'!$A$4:$A$76,FALSE),0)</f>
        <v>-0.83000000000000007</v>
      </c>
      <c r="Y320" s="16">
        <f>(P320/(T320-R320))*100</f>
        <v>4.8780487804878048</v>
      </c>
      <c r="Z320" s="6">
        <f>IF(Y320&lt;LeagueRatings!$K$8,((LeagueRatings!$K$8-Y320)/LeagueRatings!$K$8)*36,(LeagueRatings!$K$8-Y320)/LeagueRatings!$K$11)</f>
        <v>-13.30685674694975</v>
      </c>
      <c r="AA320" s="16">
        <f>INDEX('C-P-RollAdj'!$F$4:$F$76,MATCH(INT(Z320),'C-P-RollAdj'!$E$4:$E$76,FALSE),0)</f>
        <v>1.38</v>
      </c>
      <c r="AB320" s="17">
        <f>+((LeagueRatings!$I$6-E320)*5)+9.5</f>
        <v>16.258051455277403</v>
      </c>
      <c r="AC320" s="17">
        <f>IF(AB320&lt;4,4,AB320)</f>
        <v>16.258051455277403</v>
      </c>
      <c r="AD320" s="17">
        <f>IF(M320&lt;L320,((1-(M320/L320))*7)-0.07,(1-(M320/L320))*5)</f>
        <v>1.4665853658536583</v>
      </c>
      <c r="AE320" s="4">
        <f>+X320+AA320+AC320+AD320</f>
        <v>18.274636821131061</v>
      </c>
      <c r="AF320" s="24"/>
      <c r="AG320" s="94" t="s">
        <v>63</v>
      </c>
      <c r="AH320" s="219">
        <f>INDEX('C-P-RollAdj'!$J$4:$J$76,MATCH(INT(W320),'C-P-RollAdj'!$I$4:$I$76,FALSE),0)</f>
        <v>24</v>
      </c>
      <c r="AI320" s="219">
        <f>INDEX('C-P-RollAdj'!$J$4:$J$76,MATCH(INT(Z320),'C-P-RollAdj'!$I$4:$I$76,FALSE),0)</f>
        <v>-32</v>
      </c>
      <c r="AJ320" s="14">
        <f>+AO320*LeagueRatings!$K$27</f>
        <v>22.777777777777779</v>
      </c>
      <c r="AK320" s="72">
        <f>F320*LeagueRatings!$K$27</f>
        <v>23.888888888888889</v>
      </c>
      <c r="AL320" s="72">
        <f>G320*LeagueRatings!$K$27</f>
        <v>0</v>
      </c>
      <c r="AM320" s="72">
        <f>T320*LeagueRatings!$K$27</f>
        <v>91.666666666666671</v>
      </c>
      <c r="AN320" s="76"/>
      <c r="AO320" s="72">
        <f>ROUNDUP(L320,0)</f>
        <v>41</v>
      </c>
    </row>
    <row r="321" spans="1:41" s="24" customFormat="1" x14ac:dyDescent="0.2">
      <c r="A321" s="41" t="s">
        <v>644</v>
      </c>
      <c r="B321" s="202" t="s">
        <v>169</v>
      </c>
      <c r="C321" s="202">
        <v>0</v>
      </c>
      <c r="D321" s="202">
        <v>0</v>
      </c>
      <c r="E321" s="185">
        <v>2.0299999999999998</v>
      </c>
      <c r="F321" s="202">
        <v>29</v>
      </c>
      <c r="G321" s="202">
        <v>0</v>
      </c>
      <c r="H321" s="202">
        <v>0</v>
      </c>
      <c r="I321" s="202">
        <v>0</v>
      </c>
      <c r="J321" s="202">
        <v>1</v>
      </c>
      <c r="K321" s="202">
        <v>4</v>
      </c>
      <c r="L321" s="185">
        <v>26.67</v>
      </c>
      <c r="M321" s="202">
        <v>23</v>
      </c>
      <c r="N321" s="202">
        <v>7</v>
      </c>
      <c r="O321" s="202">
        <v>6</v>
      </c>
      <c r="P321" s="202">
        <v>0</v>
      </c>
      <c r="Q321" s="202">
        <v>8</v>
      </c>
      <c r="R321" s="202">
        <v>0</v>
      </c>
      <c r="S321" s="202">
        <v>28</v>
      </c>
      <c r="T321" s="202">
        <v>107</v>
      </c>
      <c r="U321" s="76"/>
      <c r="V321" s="50">
        <f>+(Q321-R321)/(T321-R321)*100</f>
        <v>7.4766355140186906</v>
      </c>
      <c r="W321" s="6">
        <f>IF(V321&lt;LeagueRatings!$K$21,((LeagueRatings!$K$21-V321)/LeagueRatings!$K$21)*36,(LeagueRatings!$K$21-V321)*6.48)</f>
        <v>5.9365117817023991</v>
      </c>
      <c r="X321" s="16">
        <f>INDEX('C-P-RollAdj'!$B$4:$B$76,MATCH(INT(W321),'C-P-RollAdj'!$A$4:$A$76,FALSE),0)</f>
        <v>-0.4</v>
      </c>
      <c r="Y321" s="16">
        <f>(P321/(T321-R321))*100</f>
        <v>0</v>
      </c>
      <c r="Z321" s="6">
        <f>IF(Y321&lt;LeagueRatings!$K$19,((LeagueRatings!$K$19-Y321)/LeagueRatings!$K$19)*36,(LeagueRatings!$K$19-Y321)/LeagueRatings!$K$22)</f>
        <v>36</v>
      </c>
      <c r="AA321" s="16">
        <f>INDEX('C-P-RollAdj'!$F$4:$F$76,MATCH(INT(Z321),'C-P-RollAdj'!$E$4:$E$76,FALSE),0)</f>
        <v>-3.26</v>
      </c>
      <c r="AB321" s="17">
        <f>+((LeagueRatings!$I$17-E321)*5)+9.5</f>
        <v>20.164387243706365</v>
      </c>
      <c r="AC321" s="17">
        <f>IF(AB321&lt;4,4,AB321)</f>
        <v>20.164387243706365</v>
      </c>
      <c r="AD321" s="17">
        <f>IF(M321&lt;L321,((1-(M321/L321))*7)-0.07,(1-(M321/L321))*5)</f>
        <v>0.8932545931758531</v>
      </c>
      <c r="AE321" s="4">
        <f>+X321+AA321+AC321+AD321</f>
        <v>17.397641836882219</v>
      </c>
      <c r="AG321" s="58">
        <v>16</v>
      </c>
      <c r="AH321" s="219">
        <f>INDEX('C-P-RollAdj'!$J$4:$J$76,MATCH(INT(W321),'C-P-RollAdj'!$I$4:$I$76,FALSE),0)</f>
        <v>15</v>
      </c>
      <c r="AI321" s="219">
        <f>INDEX('C-P-RollAdj'!$J$4:$J$76,MATCH(INT(Z321),'C-P-RollAdj'!$I$4:$I$76,FALSE),0)</f>
        <v>66</v>
      </c>
      <c r="AJ321" s="14">
        <f>+AO321*LeagueRatings!$K$27</f>
        <v>15</v>
      </c>
      <c r="AK321" s="72">
        <f>F321*LeagueRatings!$K$27</f>
        <v>16.111111111111111</v>
      </c>
      <c r="AL321" s="72">
        <f>G321*LeagueRatings!$K$27</f>
        <v>0</v>
      </c>
      <c r="AM321" s="72">
        <f>T321*LeagueRatings!$K$27</f>
        <v>59.44444444444445</v>
      </c>
      <c r="AO321" s="14">
        <f>ROUNDUP(L321,0)</f>
        <v>27</v>
      </c>
    </row>
    <row r="322" spans="1:41" x14ac:dyDescent="0.2">
      <c r="A322" s="9"/>
      <c r="B322" s="129"/>
      <c r="L322" s="157">
        <f>(L320/100)/((L320+L321)/100)</f>
        <v>0.60588148367075512</v>
      </c>
      <c r="T322" s="158"/>
      <c r="U322" s="158"/>
      <c r="V322" s="153"/>
      <c r="W322" s="152">
        <f>W320*L322</f>
        <v>6.4673465106273671</v>
      </c>
      <c r="X322" s="153"/>
      <c r="Y322" s="153"/>
      <c r="Z322" s="152">
        <f>Z320*L322</f>
        <v>-8.0623781088361124</v>
      </c>
      <c r="AA322" s="153"/>
      <c r="AB322" s="103"/>
      <c r="AC322" s="103"/>
      <c r="AD322" s="103"/>
      <c r="AE322" s="154">
        <f>AE320*L322</f>
        <v>11.0722640707311</v>
      </c>
      <c r="AG322" s="5"/>
      <c r="AH322" s="5"/>
      <c r="AI322" s="5"/>
      <c r="AJ322" s="103"/>
      <c r="AK322" s="72"/>
      <c r="AL322" s="72"/>
      <c r="AM322" s="72"/>
      <c r="AO322" s="14"/>
    </row>
    <row r="323" spans="1:41" x14ac:dyDescent="0.2">
      <c r="A323" s="9"/>
      <c r="B323" s="129"/>
      <c r="L323" s="157">
        <f>(L321/100)/((L320+L321)/100)</f>
        <v>0.39411851632924488</v>
      </c>
      <c r="T323" s="158"/>
      <c r="U323" s="158"/>
      <c r="V323" s="153"/>
      <c r="W323" s="152">
        <f>W321*L323</f>
        <v>2.3396892155756315</v>
      </c>
      <c r="X323" s="153"/>
      <c r="Y323" s="153"/>
      <c r="Z323" s="152">
        <f>Z321*L323</f>
        <v>14.188266587852816</v>
      </c>
      <c r="AA323" s="153"/>
      <c r="AB323" s="103"/>
      <c r="AC323" s="103"/>
      <c r="AD323" s="103"/>
      <c r="AE323" s="154">
        <f>AE321*L323</f>
        <v>6.8567327883796185</v>
      </c>
      <c r="AG323" s="5"/>
      <c r="AH323" s="5"/>
      <c r="AI323" s="5"/>
      <c r="AJ323" s="103"/>
      <c r="AK323" s="72"/>
      <c r="AL323" s="72"/>
      <c r="AM323" s="72"/>
      <c r="AO323" s="14"/>
    </row>
    <row r="324" spans="1:41" x14ac:dyDescent="0.2">
      <c r="A324" s="9"/>
      <c r="B324" s="129"/>
      <c r="T324" s="158"/>
      <c r="U324" s="158"/>
      <c r="V324" s="153"/>
      <c r="W324" s="152">
        <f>SUM(W322:W323)</f>
        <v>8.807035726202999</v>
      </c>
      <c r="X324" s="153"/>
      <c r="Y324" s="153"/>
      <c r="Z324" s="152">
        <f>SUM(Z322:Z323)</f>
        <v>6.1258884790167034</v>
      </c>
      <c r="AA324" s="153"/>
      <c r="AB324" s="103"/>
      <c r="AC324" s="103"/>
      <c r="AD324" s="103"/>
      <c r="AE324" s="153">
        <f>SUM(AE322:AE323)</f>
        <v>17.928996859110718</v>
      </c>
      <c r="AF324" s="41" t="s">
        <v>644</v>
      </c>
      <c r="AG324" s="5" t="s">
        <v>53</v>
      </c>
      <c r="AH324" s="219">
        <f>INDEX('C-P-RollAdj'!$J$4:$J$76,MATCH(INT(W324),'C-P-RollAdj'!$I$4:$I$76,FALSE),0)</f>
        <v>22</v>
      </c>
      <c r="AI324" s="121">
        <f>INDEX('C-P-RollAdj'!$J$4:$J$76,MATCH(INT(Z324),'C-P-RollAdj'!$I$4:$I$76,FALSE),0)</f>
        <v>16</v>
      </c>
      <c r="AJ324" s="174">
        <f>SUM(AJ320:AJ323)</f>
        <v>37.777777777777779</v>
      </c>
      <c r="AK324" s="14">
        <f>SUM(AK320:AK323)</f>
        <v>40</v>
      </c>
      <c r="AL324" s="14">
        <f>SUM(AL320:AL323)</f>
        <v>0</v>
      </c>
      <c r="AM324" s="14">
        <f>SUM(AM320:AM323)</f>
        <v>151.11111111111111</v>
      </c>
      <c r="AO324" s="14"/>
    </row>
    <row r="325" spans="1:41" x14ac:dyDescent="0.2">
      <c r="A325" s="122"/>
      <c r="B325" s="122"/>
      <c r="AO325" s="14"/>
    </row>
    <row r="326" spans="1:41" x14ac:dyDescent="0.2">
      <c r="A326" s="204" t="s">
        <v>893</v>
      </c>
      <c r="B326" s="196" t="s">
        <v>160</v>
      </c>
      <c r="C326" s="202">
        <v>7</v>
      </c>
      <c r="D326" s="202">
        <v>6</v>
      </c>
      <c r="E326" s="185">
        <v>3.54</v>
      </c>
      <c r="F326" s="202">
        <v>20</v>
      </c>
      <c r="G326" s="202">
        <v>20</v>
      </c>
      <c r="H326" s="202">
        <v>0</v>
      </c>
      <c r="I326" s="202">
        <v>0</v>
      </c>
      <c r="J326" s="202">
        <v>0</v>
      </c>
      <c r="K326" s="202">
        <v>0</v>
      </c>
      <c r="L326" s="185">
        <v>119.33</v>
      </c>
      <c r="M326" s="202">
        <v>132</v>
      </c>
      <c r="N326" s="202">
        <v>50</v>
      </c>
      <c r="O326" s="202">
        <v>47</v>
      </c>
      <c r="P326" s="202">
        <v>8</v>
      </c>
      <c r="Q326" s="202">
        <v>36</v>
      </c>
      <c r="R326" s="202">
        <v>2</v>
      </c>
      <c r="S326" s="202">
        <v>90</v>
      </c>
      <c r="T326" s="202">
        <v>509</v>
      </c>
      <c r="V326" s="50">
        <f>+(Q326-R326)/(T326-R326)*100</f>
        <v>6.7061143984220903</v>
      </c>
      <c r="W326" s="6">
        <f>IF(V326&lt;LeagueRatings!$K$21,((LeagueRatings!$K$21-V326)/LeagueRatings!$K$21)*36,(LeagueRatings!$K$21-V326)*6.48)</f>
        <v>9.0347706759944089</v>
      </c>
      <c r="X326" s="16">
        <f>INDEX('C-P-RollAdj'!$B$4:$B$76,MATCH(INT(W326),'C-P-RollAdj'!$A$4:$A$76,FALSE),0)</f>
        <v>-0.74</v>
      </c>
      <c r="Y326" s="16">
        <f>(P326/(T326-R326))*100</f>
        <v>1.5779092702169626</v>
      </c>
      <c r="Z326" s="6">
        <f>IF(Y326&lt;LeagueRatings!$K$19,((LeagueRatings!$K$19-Y326)/LeagueRatings!$K$19)*36,(LeagueRatings!$K$19-Y326)/LeagueRatings!$K$22)</f>
        <v>16.466049300819911</v>
      </c>
      <c r="AA326" s="16">
        <f>INDEX('C-P-RollAdj'!$F$4:$F$76,MATCH(INT(Z326),'C-P-RollAdj'!$E$4:$E$76,FALSE),0)</f>
        <v>-1.23</v>
      </c>
      <c r="AB326" s="17">
        <f>+((LeagueRatings!$I$17-E326)*5)+9.5</f>
        <v>12.614387243706362</v>
      </c>
      <c r="AC326" s="17">
        <f>IF(AB326&lt;4,4,AB326)</f>
        <v>12.614387243706362</v>
      </c>
      <c r="AD326" s="17">
        <f>IF(M326&lt;L326,((1-(M326/L326))*7)-0.07,(1-(M326/L326))*5)</f>
        <v>-0.53088075085896302</v>
      </c>
      <c r="AE326" s="4">
        <f>+X326+AA326+AC326+AD326</f>
        <v>10.113506492847399</v>
      </c>
      <c r="AF326" s="24"/>
      <c r="AG326" s="58">
        <v>10</v>
      </c>
      <c r="AH326" s="219">
        <f>INDEX('C-P-RollAdj'!$J$4:$J$76,MATCH(INT(W326),'C-P-RollAdj'!$I$4:$I$76,FALSE),0)</f>
        <v>23</v>
      </c>
      <c r="AI326" s="219">
        <f>INDEX('C-P-RollAdj'!$J$4:$J$76,MATCH(INT(Z326),'C-P-RollAdj'!$I$4:$I$76,FALSE),0)</f>
        <v>34</v>
      </c>
      <c r="AJ326" s="14">
        <f>+AO326*LeagueRatings!$K$27</f>
        <v>66.666666666666671</v>
      </c>
      <c r="AK326" s="72">
        <f>F326*LeagueRatings!$K$27</f>
        <v>11.111111111111111</v>
      </c>
      <c r="AL326" s="72">
        <f>G326*LeagueRatings!$K$27</f>
        <v>11.111111111111111</v>
      </c>
      <c r="AM326" s="72">
        <f>T326*LeagueRatings!$K$27</f>
        <v>282.77777777777777</v>
      </c>
      <c r="AN326" s="24"/>
      <c r="AO326" s="14">
        <f>ROUNDUP(L326,0)</f>
        <v>120</v>
      </c>
    </row>
    <row r="327" spans="1:41" s="24" customFormat="1" x14ac:dyDescent="0.2">
      <c r="A327" s="41" t="s">
        <v>336</v>
      </c>
      <c r="B327" s="202" t="s">
        <v>165</v>
      </c>
      <c r="C327" s="202">
        <v>5</v>
      </c>
      <c r="D327" s="202">
        <v>6</v>
      </c>
      <c r="E327" s="185">
        <v>4.3499999999999996</v>
      </c>
      <c r="F327" s="202">
        <v>12</v>
      </c>
      <c r="G327" s="202">
        <v>12</v>
      </c>
      <c r="H327" s="202">
        <v>0</v>
      </c>
      <c r="I327" s="202">
        <v>0</v>
      </c>
      <c r="J327" s="202">
        <v>0</v>
      </c>
      <c r="K327" s="202">
        <v>0</v>
      </c>
      <c r="L327" s="185">
        <v>70.33</v>
      </c>
      <c r="M327" s="202">
        <v>66</v>
      </c>
      <c r="N327" s="202">
        <v>36</v>
      </c>
      <c r="O327" s="202">
        <v>34</v>
      </c>
      <c r="P327" s="202">
        <v>7</v>
      </c>
      <c r="Q327" s="202">
        <v>23</v>
      </c>
      <c r="R327" s="202">
        <v>2</v>
      </c>
      <c r="S327" s="202">
        <v>49</v>
      </c>
      <c r="T327" s="202">
        <v>292</v>
      </c>
      <c r="U327" s="76"/>
      <c r="V327" s="50">
        <f>+(Q327-R327)/(T327-R327)*100</f>
        <v>7.2413793103448283</v>
      </c>
      <c r="W327" s="6">
        <f>IF(V327&lt;LeagueRatings!$K$21,((LeagueRatings!$K$21-V327)/LeagueRatings!$K$21)*36,(LeagueRatings!$K$21-V327)*6.48)</f>
        <v>6.8824749885712393</v>
      </c>
      <c r="X327" s="16">
        <f>INDEX('C-P-RollAdj'!$B$4:$B$76,MATCH(INT(W327),'C-P-RollAdj'!$A$4:$A$76,FALSE),0)</f>
        <v>-0.48</v>
      </c>
      <c r="Y327" s="16">
        <f>(P327/(T327-R327))*100</f>
        <v>2.4137931034482758</v>
      </c>
      <c r="Z327" s="6">
        <f>IF(Y327&lt;LeagueRatings!$K$19,((LeagueRatings!$K$19-Y327)/LeagueRatings!$K$19)*36,(LeagueRatings!$K$19-Y327)/LeagueRatings!$K$22)</f>
        <v>6.1181073140559787</v>
      </c>
      <c r="AA327" s="16">
        <f>INDEX('C-P-RollAdj'!$F$4:$F$76,MATCH(INT(Z327),'C-P-RollAdj'!$E$4:$E$76,FALSE),0)</f>
        <v>-0.42000000000000004</v>
      </c>
      <c r="AB327" s="17">
        <f>+((LeagueRatings!$I$17-E327)*5)+9.5</f>
        <v>8.5643872437063635</v>
      </c>
      <c r="AC327" s="17">
        <f>IF(AB327&lt;4,4,AB327)</f>
        <v>8.5643872437063635</v>
      </c>
      <c r="AD327" s="17">
        <f>IF(M327&lt;L327,((1-(M327/L327))*7)-0.07,(1-(M327/L327))*5)</f>
        <v>0.3609682923361292</v>
      </c>
      <c r="AE327" s="4">
        <f>+X327+AA327+AC327+AD327</f>
        <v>8.0253555360424915</v>
      </c>
      <c r="AG327" s="5" t="s">
        <v>55</v>
      </c>
      <c r="AH327" s="219">
        <f>INDEX('C-P-RollAdj'!$J$4:$J$76,MATCH(INT(W327),'C-P-RollAdj'!$I$4:$I$76,FALSE),0)</f>
        <v>16</v>
      </c>
      <c r="AI327" s="219">
        <f>INDEX('C-P-RollAdj'!$J$4:$J$76,MATCH(INT(Z327),'C-P-RollAdj'!$I$4:$I$76,FALSE),0)</f>
        <v>16</v>
      </c>
      <c r="AJ327" s="14">
        <f>+AO327*LeagueRatings!$K$27</f>
        <v>39.444444444444443</v>
      </c>
      <c r="AK327" s="72">
        <f>F327*LeagueRatings!$K$27</f>
        <v>6.666666666666667</v>
      </c>
      <c r="AL327" s="72">
        <f>G327*LeagueRatings!$K$27</f>
        <v>6.666666666666667</v>
      </c>
      <c r="AM327" s="72">
        <f>T327*LeagueRatings!$K$27</f>
        <v>162.22222222222223</v>
      </c>
      <c r="AO327" s="14">
        <f>ROUNDUP(L327,0)</f>
        <v>71</v>
      </c>
    </row>
    <row r="328" spans="1:41" x14ac:dyDescent="0.2">
      <c r="A328" s="204"/>
      <c r="B328" s="196"/>
      <c r="L328" s="157">
        <f>(L326/100)/((L326+L327)/100)</f>
        <v>0.6291785300010545</v>
      </c>
      <c r="T328" s="158"/>
      <c r="U328" s="158"/>
      <c r="V328" s="153"/>
      <c r="W328" s="152">
        <f>W326*L328</f>
        <v>5.684483732818796</v>
      </c>
      <c r="X328" s="153"/>
      <c r="Y328" s="153"/>
      <c r="Z328" s="152">
        <f>Z326*L328</f>
        <v>10.360084694014763</v>
      </c>
      <c r="AA328" s="153"/>
      <c r="AB328" s="103"/>
      <c r="AC328" s="103"/>
      <c r="AD328" s="103"/>
      <c r="AE328" s="154">
        <f>AE326*L328</f>
        <v>6.3632011483258468</v>
      </c>
      <c r="AG328" s="5"/>
      <c r="AH328" s="5"/>
      <c r="AI328" s="5"/>
      <c r="AJ328" s="103"/>
      <c r="AK328" s="72"/>
      <c r="AL328" s="72"/>
      <c r="AM328" s="72"/>
      <c r="AO328" s="14"/>
    </row>
    <row r="329" spans="1:41" x14ac:dyDescent="0.2">
      <c r="B329" s="155"/>
      <c r="L329" s="157">
        <f>(L327/100)/((L326+L327)/100)</f>
        <v>0.3708214699989455</v>
      </c>
      <c r="T329" s="158"/>
      <c r="U329" s="158"/>
      <c r="V329" s="153"/>
      <c r="W329" s="152">
        <f>W327*L329</f>
        <v>2.5521694924929625</v>
      </c>
      <c r="X329" s="153"/>
      <c r="Y329" s="153"/>
      <c r="Z329" s="152">
        <f>Z327*L329</f>
        <v>2.2687255478095381</v>
      </c>
      <c r="AA329" s="153"/>
      <c r="AB329" s="103"/>
      <c r="AC329" s="103"/>
      <c r="AD329" s="103"/>
      <c r="AE329" s="154">
        <f>AE327*L329</f>
        <v>2.9759741371394521</v>
      </c>
      <c r="AG329" s="5"/>
      <c r="AH329" s="5"/>
      <c r="AI329" s="5"/>
      <c r="AJ329" s="103"/>
      <c r="AK329" s="72"/>
      <c r="AL329" s="72"/>
      <c r="AM329" s="72"/>
      <c r="AO329" s="14"/>
    </row>
    <row r="330" spans="1:41" x14ac:dyDescent="0.2">
      <c r="A330" s="221" t="s">
        <v>1266</v>
      </c>
      <c r="B330" s="221" t="s">
        <v>154</v>
      </c>
      <c r="T330" s="158"/>
      <c r="U330" s="158"/>
      <c r="V330" s="153"/>
      <c r="W330" s="152">
        <f>SUM(W328:W329)</f>
        <v>8.236653225311759</v>
      </c>
      <c r="X330" s="153"/>
      <c r="Y330" s="153"/>
      <c r="Z330" s="152">
        <f>SUM(Z328:Z329)</f>
        <v>12.628810241824301</v>
      </c>
      <c r="AA330" s="153"/>
      <c r="AB330" s="103"/>
      <c r="AC330" s="103"/>
      <c r="AD330" s="103"/>
      <c r="AE330" s="153">
        <f>SUM(AE328:AE329)</f>
        <v>9.3391752854652985</v>
      </c>
      <c r="AF330" s="41" t="s">
        <v>336</v>
      </c>
      <c r="AG330" s="5" t="s">
        <v>34</v>
      </c>
      <c r="AH330" s="219">
        <f>INDEX('C-P-RollAdj'!$J$4:$J$76,MATCH(INT(W330),'C-P-RollAdj'!$I$4:$I$76,FALSE),0)</f>
        <v>22</v>
      </c>
      <c r="AI330" s="121">
        <f>INDEX('C-P-RollAdj'!$J$4:$J$76,MATCH(INT(Z330),'C-P-RollAdj'!$I$4:$I$76,FALSE),0)</f>
        <v>26</v>
      </c>
      <c r="AJ330" s="174">
        <f>SUM(AJ326:AJ329)</f>
        <v>106.11111111111111</v>
      </c>
      <c r="AK330" s="14">
        <f>SUM(AK326:AK329)</f>
        <v>17.777777777777779</v>
      </c>
      <c r="AL330" s="14">
        <f>SUM(AL326:AL329)</f>
        <v>17.777777777777779</v>
      </c>
      <c r="AM330" s="14">
        <f>SUM(AM326:AM329)</f>
        <v>445</v>
      </c>
      <c r="AO330" s="14"/>
    </row>
    <row r="331" spans="1:41" x14ac:dyDescent="0.2">
      <c r="A331" s="221"/>
      <c r="B331" s="221" t="s">
        <v>156</v>
      </c>
      <c r="AO331" s="14"/>
    </row>
    <row r="332" spans="1:41" x14ac:dyDescent="0.2">
      <c r="A332" s="221"/>
      <c r="B332" s="221"/>
      <c r="AO332" s="14"/>
    </row>
    <row r="333" spans="1:41" x14ac:dyDescent="0.2">
      <c r="A333" s="221" t="s">
        <v>1267</v>
      </c>
      <c r="B333" s="221" t="s">
        <v>166</v>
      </c>
      <c r="AO333" s="14"/>
    </row>
    <row r="334" spans="1:41" x14ac:dyDescent="0.2">
      <c r="A334" s="221"/>
      <c r="B334" s="221" t="s">
        <v>144</v>
      </c>
      <c r="AO334" s="14"/>
    </row>
    <row r="335" spans="1:41" x14ac:dyDescent="0.2">
      <c r="B335" s="155"/>
      <c r="AO335" s="14"/>
    </row>
    <row r="336" spans="1:41" x14ac:dyDescent="0.2">
      <c r="A336" s="221" t="s">
        <v>1249</v>
      </c>
      <c r="B336" s="221" t="s">
        <v>155</v>
      </c>
      <c r="AO336" s="14"/>
    </row>
    <row r="337" spans="1:41" x14ac:dyDescent="0.2">
      <c r="A337" s="221"/>
      <c r="B337" s="221" t="s">
        <v>167</v>
      </c>
      <c r="AO337" s="14"/>
    </row>
    <row r="338" spans="1:41" x14ac:dyDescent="0.2">
      <c r="A338" s="221"/>
      <c r="B338" s="221"/>
      <c r="AO338" s="14"/>
    </row>
    <row r="339" spans="1:41" x14ac:dyDescent="0.2">
      <c r="A339" s="221" t="s">
        <v>885</v>
      </c>
      <c r="B339" s="221" t="s">
        <v>145</v>
      </c>
      <c r="AO339" s="14"/>
    </row>
    <row r="340" spans="1:41" x14ac:dyDescent="0.2">
      <c r="A340" s="221"/>
      <c r="B340" s="221" t="s">
        <v>143</v>
      </c>
      <c r="AO340" s="14"/>
    </row>
    <row r="341" spans="1:41" x14ac:dyDescent="0.2">
      <c r="A341" s="221"/>
      <c r="B341" s="221"/>
      <c r="AO341" s="14"/>
    </row>
    <row r="342" spans="1:41" x14ac:dyDescent="0.2">
      <c r="A342" s="221" t="s">
        <v>883</v>
      </c>
      <c r="B342" s="221" t="s">
        <v>165</v>
      </c>
      <c r="AO342" s="14"/>
    </row>
    <row r="343" spans="1:41" x14ac:dyDescent="0.2">
      <c r="A343" s="221"/>
      <c r="B343" s="221" t="s">
        <v>160</v>
      </c>
      <c r="AO343" s="14"/>
    </row>
    <row r="344" spans="1:41" x14ac:dyDescent="0.2">
      <c r="A344" s="221"/>
      <c r="B344" s="221"/>
      <c r="AO344" s="14"/>
    </row>
    <row r="345" spans="1:41" x14ac:dyDescent="0.2">
      <c r="A345" s="221" t="s">
        <v>1252</v>
      </c>
      <c r="B345" s="221" t="s">
        <v>155</v>
      </c>
      <c r="AO345" s="14"/>
    </row>
    <row r="346" spans="1:41" x14ac:dyDescent="0.2">
      <c r="A346" s="221"/>
      <c r="B346" s="221" t="s">
        <v>170</v>
      </c>
      <c r="AO346" s="14"/>
    </row>
    <row r="347" spans="1:41" x14ac:dyDescent="0.2">
      <c r="A347" s="221"/>
      <c r="B347" s="221"/>
      <c r="AO347" s="14"/>
    </row>
    <row r="348" spans="1:41" x14ac:dyDescent="0.2">
      <c r="A348" s="221" t="s">
        <v>1255</v>
      </c>
      <c r="B348" s="221" t="s">
        <v>244</v>
      </c>
      <c r="AO348" s="14"/>
    </row>
    <row r="349" spans="1:41" x14ac:dyDescent="0.2">
      <c r="A349" s="221"/>
      <c r="B349" s="221" t="s">
        <v>160</v>
      </c>
      <c r="AO349" s="14"/>
    </row>
    <row r="350" spans="1:41" x14ac:dyDescent="0.2">
      <c r="A350" s="221"/>
      <c r="B350" s="221"/>
      <c r="AO350" s="14"/>
    </row>
    <row r="351" spans="1:41" x14ac:dyDescent="0.2">
      <c r="A351" s="221" t="s">
        <v>839</v>
      </c>
      <c r="B351" s="221" t="s">
        <v>154</v>
      </c>
      <c r="AO351" s="14"/>
    </row>
    <row r="352" spans="1:41" x14ac:dyDescent="0.2">
      <c r="A352" s="221"/>
      <c r="B352" s="221" t="s">
        <v>161</v>
      </c>
      <c r="AO352" s="14"/>
    </row>
    <row r="353" spans="1:41" x14ac:dyDescent="0.2">
      <c r="B353" s="155"/>
      <c r="AO353" s="14"/>
    </row>
    <row r="354" spans="1:41" x14ac:dyDescent="0.2">
      <c r="A354" s="221" t="s">
        <v>832</v>
      </c>
      <c r="B354" s="221" t="s">
        <v>152</v>
      </c>
      <c r="AO354" s="14"/>
    </row>
    <row r="355" spans="1:41" x14ac:dyDescent="0.2">
      <c r="A355" s="221"/>
      <c r="B355" s="221" t="s">
        <v>165</v>
      </c>
      <c r="AO355" s="14"/>
    </row>
    <row r="356" spans="1:41" x14ac:dyDescent="0.2">
      <c r="B356" s="155"/>
      <c r="AO356" s="14"/>
    </row>
    <row r="357" spans="1:41" x14ac:dyDescent="0.2">
      <c r="A357" s="221" t="s">
        <v>833</v>
      </c>
      <c r="B357" s="221" t="s">
        <v>146</v>
      </c>
      <c r="AO357" s="14"/>
    </row>
    <row r="358" spans="1:41" x14ac:dyDescent="0.2">
      <c r="A358" s="221"/>
      <c r="B358" s="221" t="s">
        <v>155</v>
      </c>
      <c r="AO358" s="14"/>
    </row>
    <row r="359" spans="1:41" x14ac:dyDescent="0.2">
      <c r="B359" s="155"/>
      <c r="AO359" s="14"/>
    </row>
    <row r="360" spans="1:41" x14ac:dyDescent="0.2">
      <c r="A360" s="221" t="s">
        <v>892</v>
      </c>
      <c r="B360" s="221" t="s">
        <v>160</v>
      </c>
      <c r="AO360" s="14"/>
    </row>
    <row r="361" spans="1:41" x14ac:dyDescent="0.2">
      <c r="A361" s="221"/>
      <c r="B361" s="221" t="s">
        <v>161</v>
      </c>
      <c r="AO361" s="14"/>
    </row>
    <row r="362" spans="1:41" x14ac:dyDescent="0.2">
      <c r="B362" s="155"/>
      <c r="AO362" s="14"/>
    </row>
    <row r="363" spans="1:41" x14ac:dyDescent="0.2">
      <c r="A363" s="221" t="s">
        <v>1258</v>
      </c>
      <c r="B363" s="221" t="s">
        <v>165</v>
      </c>
      <c r="AO363" s="14"/>
    </row>
    <row r="364" spans="1:41" x14ac:dyDescent="0.2">
      <c r="A364" s="221"/>
      <c r="B364" s="221" t="s">
        <v>153</v>
      </c>
      <c r="AO364" s="14"/>
    </row>
    <row r="365" spans="1:41" x14ac:dyDescent="0.2">
      <c r="B365" s="155"/>
      <c r="AO365" s="14"/>
    </row>
    <row r="366" spans="1:41" x14ac:dyDescent="0.2">
      <c r="A366" s="221" t="s">
        <v>854</v>
      </c>
      <c r="B366" s="221" t="s">
        <v>161</v>
      </c>
      <c r="AO366" s="14"/>
    </row>
    <row r="367" spans="1:41" x14ac:dyDescent="0.2">
      <c r="A367" s="221"/>
      <c r="B367" s="221" t="s">
        <v>156</v>
      </c>
      <c r="AO367" s="14"/>
    </row>
    <row r="368" spans="1:41" x14ac:dyDescent="0.2">
      <c r="B368" s="155"/>
      <c r="AO368" s="14"/>
    </row>
    <row r="369" spans="1:41" x14ac:dyDescent="0.2">
      <c r="A369" s="221" t="s">
        <v>1260</v>
      </c>
      <c r="B369" s="221" t="s">
        <v>156</v>
      </c>
      <c r="AO369" s="14"/>
    </row>
    <row r="370" spans="1:41" x14ac:dyDescent="0.2">
      <c r="A370" s="221"/>
      <c r="B370" s="221" t="s">
        <v>163</v>
      </c>
      <c r="AO370" s="14"/>
    </row>
    <row r="371" spans="1:41" x14ac:dyDescent="0.2">
      <c r="B371" s="155"/>
      <c r="AO371" s="14"/>
    </row>
    <row r="372" spans="1:41" x14ac:dyDescent="0.2">
      <c r="A372" s="221" t="s">
        <v>1261</v>
      </c>
      <c r="B372" s="221" t="s">
        <v>160</v>
      </c>
      <c r="AO372" s="14"/>
    </row>
    <row r="373" spans="1:41" x14ac:dyDescent="0.2">
      <c r="A373" s="221"/>
      <c r="B373" s="221" t="s">
        <v>152</v>
      </c>
      <c r="AO373" s="14"/>
    </row>
    <row r="374" spans="1:41" x14ac:dyDescent="0.2">
      <c r="A374" s="221"/>
      <c r="B374" s="221"/>
      <c r="AO374" s="14"/>
    </row>
    <row r="375" spans="1:41" x14ac:dyDescent="0.2">
      <c r="A375" s="221" t="s">
        <v>863</v>
      </c>
      <c r="B375" s="221" t="s">
        <v>151</v>
      </c>
      <c r="AO375" s="14"/>
    </row>
    <row r="376" spans="1:41" x14ac:dyDescent="0.2">
      <c r="A376" s="221"/>
      <c r="B376" s="221" t="s">
        <v>167</v>
      </c>
      <c r="AO376" s="14"/>
    </row>
    <row r="377" spans="1:41" x14ac:dyDescent="0.2">
      <c r="A377" s="221"/>
      <c r="B377" s="221"/>
      <c r="AO377" s="14"/>
    </row>
    <row r="378" spans="1:41" x14ac:dyDescent="0.2">
      <c r="A378" s="221" t="s">
        <v>838</v>
      </c>
      <c r="B378" s="221" t="s">
        <v>146</v>
      </c>
      <c r="AO378" s="14"/>
    </row>
    <row r="379" spans="1:41" x14ac:dyDescent="0.2">
      <c r="A379" s="221"/>
      <c r="B379" s="221" t="s">
        <v>153</v>
      </c>
      <c r="AO379" s="14"/>
    </row>
    <row r="380" spans="1:41" x14ac:dyDescent="0.2">
      <c r="A380" s="221"/>
      <c r="B380" s="221"/>
      <c r="AO380" s="14"/>
    </row>
    <row r="381" spans="1:41" x14ac:dyDescent="0.2">
      <c r="A381" s="221" t="s">
        <v>1268</v>
      </c>
      <c r="B381" s="221" t="s">
        <v>145</v>
      </c>
      <c r="AO381" s="14"/>
    </row>
    <row r="382" spans="1:41" x14ac:dyDescent="0.2">
      <c r="A382" s="221"/>
      <c r="B382" s="221" t="s">
        <v>163</v>
      </c>
      <c r="AO382" s="14"/>
    </row>
    <row r="383" spans="1:41" x14ac:dyDescent="0.2">
      <c r="A383" s="222"/>
      <c r="B383" s="223"/>
      <c r="AO383" s="14"/>
    </row>
    <row r="384" spans="1:41" x14ac:dyDescent="0.2">
      <c r="A384" s="221" t="s">
        <v>858</v>
      </c>
      <c r="B384" s="221" t="s">
        <v>152</v>
      </c>
      <c r="AO384" s="14"/>
    </row>
    <row r="385" spans="1:41" x14ac:dyDescent="0.2">
      <c r="A385" s="221"/>
      <c r="B385" s="221" t="s">
        <v>154</v>
      </c>
      <c r="AO385" s="14"/>
    </row>
    <row r="386" spans="1:41" x14ac:dyDescent="0.2">
      <c r="A386" s="222"/>
      <c r="B386" s="223"/>
      <c r="AO386" s="14"/>
    </row>
    <row r="387" spans="1:41" x14ac:dyDescent="0.2">
      <c r="A387" s="224"/>
      <c r="B387" s="224"/>
      <c r="AO387" s="14"/>
    </row>
    <row r="388" spans="1:41" x14ac:dyDescent="0.2">
      <c r="A388" s="224"/>
      <c r="B388" s="224"/>
      <c r="AO388" s="14"/>
    </row>
    <row r="389" spans="1:41" x14ac:dyDescent="0.2">
      <c r="A389" s="222"/>
      <c r="B389" s="223"/>
      <c r="AO389" s="14"/>
    </row>
    <row r="390" spans="1:41" x14ac:dyDescent="0.2">
      <c r="B390" s="155"/>
      <c r="AO390" s="14"/>
    </row>
    <row r="391" spans="1:41" x14ac:dyDescent="0.2">
      <c r="A391" t="s">
        <v>408</v>
      </c>
      <c r="B391" s="76" t="s">
        <v>148</v>
      </c>
      <c r="AO391" s="14"/>
    </row>
    <row r="392" spans="1:41" x14ac:dyDescent="0.2">
      <c r="A392" s="41" t="s">
        <v>408</v>
      </c>
      <c r="B392" s="76" t="s">
        <v>169</v>
      </c>
      <c r="AO392" s="14"/>
    </row>
    <row r="393" spans="1:41" x14ac:dyDescent="0.2">
      <c r="C393" s="76">
        <v>2</v>
      </c>
      <c r="D393" s="76">
        <v>3</v>
      </c>
      <c r="E393" s="97">
        <v>3.92</v>
      </c>
      <c r="F393" s="76">
        <v>49</v>
      </c>
      <c r="G393" s="76">
        <v>0</v>
      </c>
      <c r="H393" s="76">
        <v>0</v>
      </c>
      <c r="I393" s="76">
        <v>0</v>
      </c>
      <c r="J393" s="76">
        <v>10</v>
      </c>
      <c r="K393" s="76">
        <v>13</v>
      </c>
      <c r="AK393" s="72"/>
      <c r="AL393" s="72"/>
      <c r="AM393" s="72"/>
      <c r="AN393" s="30"/>
      <c r="AO393" s="14"/>
    </row>
    <row r="394" spans="1:41" x14ac:dyDescent="0.2">
      <c r="C394" s="76">
        <v>0</v>
      </c>
      <c r="D394" s="76">
        <v>1</v>
      </c>
      <c r="E394" s="97">
        <v>4.09</v>
      </c>
      <c r="F394" s="76">
        <v>13</v>
      </c>
      <c r="G394" s="76">
        <v>0</v>
      </c>
      <c r="H394" s="76">
        <v>0</v>
      </c>
      <c r="I394" s="76">
        <v>0</v>
      </c>
      <c r="J394" s="76">
        <v>0</v>
      </c>
      <c r="K394" s="76">
        <v>0</v>
      </c>
      <c r="AK394" s="72"/>
      <c r="AL394" s="72"/>
      <c r="AM394" s="72"/>
      <c r="AN394" s="30"/>
      <c r="AO394" s="14"/>
    </row>
    <row r="395" spans="1:41" x14ac:dyDescent="0.2">
      <c r="AK395" s="72"/>
      <c r="AL395" s="72"/>
      <c r="AM395" s="72"/>
      <c r="AN395" s="30"/>
      <c r="AO395" s="14">
        <f t="shared" ref="AO395:AO426" si="0">ROUNDUP(L512,0)</f>
        <v>1</v>
      </c>
    </row>
    <row r="396" spans="1:41" x14ac:dyDescent="0.2">
      <c r="L396" s="97">
        <v>43.67</v>
      </c>
      <c r="M396" s="76">
        <v>34</v>
      </c>
      <c r="N396" s="76">
        <v>21</v>
      </c>
      <c r="O396" s="76">
        <v>19</v>
      </c>
      <c r="P396" s="76">
        <v>6</v>
      </c>
      <c r="Q396" s="76">
        <v>30</v>
      </c>
      <c r="R396" s="76">
        <v>3</v>
      </c>
      <c r="S396" s="76">
        <v>51</v>
      </c>
      <c r="T396" s="76">
        <v>196</v>
      </c>
      <c r="V396" s="151">
        <f>+(Q396-R396)/(T396-R396)*100</f>
        <v>13.989637305699482</v>
      </c>
      <c r="W396" s="152">
        <f>IF(V396&lt;LeagueRatings!$K$21,((LeagueRatings!$K$21-V396)/LeagueRatings!$K$21)*36,(LeagueRatings!$K$21-V396)*6.48)</f>
        <v>-32.637308761601609</v>
      </c>
      <c r="X396" s="146">
        <v>5.44</v>
      </c>
      <c r="Y396" s="153">
        <f>(P396/(T396-R396))*100</f>
        <v>3.1088082901554404</v>
      </c>
      <c r="Z396" s="152">
        <f>IF(Y396&lt;LeagueRatings!$K$19,((LeagueRatings!$K$19-Y396)/LeagueRatings!$K$19)*36,(LeagueRatings!$K$19-Y396)/LeagueRatings!$K$22)</f>
        <v>-1.6225249589283441</v>
      </c>
      <c r="AA396" s="146">
        <v>0.61</v>
      </c>
      <c r="AB396" s="103">
        <f>+((LeagueRatings!$I$17-E393)*5)+9.5</f>
        <v>10.714387243706362</v>
      </c>
      <c r="AC396" s="103">
        <f>IF(AB396&lt;4,4,AB396)</f>
        <v>10.714387243706362</v>
      </c>
      <c r="AD396" s="103">
        <f>IF(M396&lt;L396,((1-(M396/L396))*7)-0.07,(1-(M396/L396))*5)</f>
        <v>1.4800343485230132</v>
      </c>
      <c r="AE396" s="154">
        <f>+X396+AA396+AC396+AD396</f>
        <v>18.244421592229376</v>
      </c>
      <c r="AJ396" s="103">
        <f>+AO234*LeagueRatings!$K$27</f>
        <v>0</v>
      </c>
      <c r="AK396" s="72">
        <f>F393*LeagueRatings!$K$27</f>
        <v>27.222222222222225</v>
      </c>
      <c r="AL396" s="72">
        <f>G393*LeagueRatings!$K$27</f>
        <v>0</v>
      </c>
      <c r="AM396" s="72">
        <f>T396*LeagueRatings!$K$27</f>
        <v>108.8888888888889</v>
      </c>
      <c r="AN396" s="30"/>
      <c r="AO396" s="14">
        <f t="shared" si="0"/>
        <v>1</v>
      </c>
    </row>
    <row r="397" spans="1:41" x14ac:dyDescent="0.2">
      <c r="A397" t="s">
        <v>363</v>
      </c>
      <c r="B397" s="76" t="s">
        <v>162</v>
      </c>
      <c r="L397" s="97">
        <v>11</v>
      </c>
      <c r="M397" s="76">
        <v>9</v>
      </c>
      <c r="N397" s="76">
        <v>5</v>
      </c>
      <c r="O397" s="76">
        <v>5</v>
      </c>
      <c r="P397" s="76">
        <v>0</v>
      </c>
      <c r="Q397" s="76">
        <v>6</v>
      </c>
      <c r="R397" s="76">
        <v>0</v>
      </c>
      <c r="S397" s="76">
        <v>12</v>
      </c>
      <c r="T397" s="76">
        <v>47</v>
      </c>
      <c r="U397" s="138"/>
      <c r="V397" s="151">
        <f>+(Q397-R397)/(T397-R397)*100</f>
        <v>12.76595744680851</v>
      </c>
      <c r="W397" s="152">
        <f>IF(V397&lt;LeagueRatings!$K$21,((LeagueRatings!$K$21-V397)/LeagueRatings!$K$21)*36,(LeagueRatings!$K$21-V397)*6.48)</f>
        <v>-24.707863275988117</v>
      </c>
      <c r="X397" s="153">
        <v>4.18</v>
      </c>
      <c r="Y397" s="153">
        <f>(P397/(T397-R397))*100</f>
        <v>0</v>
      </c>
      <c r="Z397" s="152">
        <f>IF(Y397&lt;LeagueRatings!$K$19,((LeagueRatings!$K$19-Y397)/LeagueRatings!$K$19)*36,(LeagueRatings!$K$19-Y397)/LeagueRatings!$K$22)</f>
        <v>36</v>
      </c>
      <c r="AA397" s="153">
        <v>-3.26</v>
      </c>
      <c r="AB397" s="103">
        <f>+((LeagueRatings!$I$17-E394)*5)+9.5</f>
        <v>9.8643872437063642</v>
      </c>
      <c r="AC397" s="103">
        <f>IF(AB397&lt;4,4,AB397)</f>
        <v>9.8643872437063642</v>
      </c>
      <c r="AD397" s="103">
        <f>IF(M397&lt;L397,((1-(M397/L397))*7)-0.07,(1-(M397/L397))*5)</f>
        <v>1.2027272727272724</v>
      </c>
      <c r="AE397" s="154">
        <f>+X397+AA397+AC397+AD397</f>
        <v>11.987114516433637</v>
      </c>
      <c r="AG397" s="58"/>
      <c r="AH397" s="5"/>
      <c r="AI397" s="5"/>
      <c r="AJ397" s="103">
        <f>+AO235*LeagueRatings!$K$27</f>
        <v>0</v>
      </c>
      <c r="AK397" s="72">
        <f>F394*LeagueRatings!$K$27</f>
        <v>7.2222222222222223</v>
      </c>
      <c r="AL397" s="72">
        <f>G394*LeagueRatings!$K$27</f>
        <v>0</v>
      </c>
      <c r="AM397" s="72">
        <f>T397*LeagueRatings!$K$27</f>
        <v>26.111111111111111</v>
      </c>
      <c r="AN397" s="30"/>
      <c r="AO397" s="14">
        <f t="shared" si="0"/>
        <v>0</v>
      </c>
    </row>
    <row r="398" spans="1:41" x14ac:dyDescent="0.2">
      <c r="A398" s="41" t="s">
        <v>363</v>
      </c>
      <c r="B398" s="76" t="s">
        <v>166</v>
      </c>
      <c r="L398" s="157">
        <f>(L396/100)/((L396+L397)/100)</f>
        <v>0.79879275653923554</v>
      </c>
      <c r="T398" s="158"/>
      <c r="U398" s="158"/>
      <c r="V398" s="153"/>
      <c r="W398" s="152">
        <f>W396*L398</f>
        <v>-26.070445831701893</v>
      </c>
      <c r="X398" s="153"/>
      <c r="Y398" s="153"/>
      <c r="Z398" s="152">
        <f>Z396*L398</f>
        <v>-1.2960611844960819</v>
      </c>
      <c r="AA398" s="153"/>
      <c r="AB398" s="103"/>
      <c r="AC398" s="103"/>
      <c r="AD398" s="103"/>
      <c r="AE398" s="154">
        <f>AE396*L398</f>
        <v>14.573511815120852</v>
      </c>
      <c r="AG398" s="5"/>
      <c r="AH398" s="5"/>
      <c r="AI398" s="5"/>
      <c r="AJ398" s="103"/>
      <c r="AK398" s="72">
        <f>F395*LeagueRatings!$K$27</f>
        <v>0</v>
      </c>
      <c r="AL398" s="72">
        <f>G395*LeagueRatings!$K$27</f>
        <v>0</v>
      </c>
      <c r="AM398" s="72">
        <f>T398*LeagueRatings!$K$27</f>
        <v>0</v>
      </c>
      <c r="AN398" s="30"/>
      <c r="AO398" s="14">
        <f t="shared" si="0"/>
        <v>0</v>
      </c>
    </row>
    <row r="399" spans="1:41" x14ac:dyDescent="0.2">
      <c r="C399" s="76">
        <v>4</v>
      </c>
      <c r="D399" s="76">
        <v>2</v>
      </c>
      <c r="E399" s="97">
        <v>1.86</v>
      </c>
      <c r="F399" s="76">
        <v>51</v>
      </c>
      <c r="G399" s="76">
        <v>0</v>
      </c>
      <c r="H399" s="76">
        <v>0</v>
      </c>
      <c r="I399" s="76">
        <v>0</v>
      </c>
      <c r="J399" s="76">
        <v>7</v>
      </c>
      <c r="K399" s="76">
        <v>13</v>
      </c>
      <c r="L399" s="157">
        <f>(L397/100)/((L396+L397)/100)</f>
        <v>0.2012072434607646</v>
      </c>
      <c r="T399" s="158"/>
      <c r="U399" s="158"/>
      <c r="V399" s="153"/>
      <c r="W399" s="152">
        <f>W397*L399</f>
        <v>-4.9714010615670263</v>
      </c>
      <c r="X399" s="153"/>
      <c r="Y399" s="153"/>
      <c r="Z399" s="152">
        <f>Z397*L399</f>
        <v>7.2434607645875255</v>
      </c>
      <c r="AA399" s="153"/>
      <c r="AB399" s="103"/>
      <c r="AC399" s="103"/>
      <c r="AD399" s="103"/>
      <c r="AE399" s="154">
        <f>AE397*L399</f>
        <v>2.4118942689001286</v>
      </c>
      <c r="AG399" s="5"/>
      <c r="AH399" s="5"/>
      <c r="AI399" s="5"/>
      <c r="AJ399" s="103"/>
      <c r="AK399" s="72">
        <f>F396*LeagueRatings!$K$27</f>
        <v>0</v>
      </c>
      <c r="AL399" s="72">
        <f>G396*LeagueRatings!$K$27</f>
        <v>0</v>
      </c>
      <c r="AM399" s="72">
        <f>T399*LeagueRatings!$K$27</f>
        <v>0</v>
      </c>
      <c r="AN399" s="30"/>
      <c r="AO399" s="14">
        <f t="shared" si="0"/>
        <v>98</v>
      </c>
    </row>
    <row r="400" spans="1:41" x14ac:dyDescent="0.2">
      <c r="C400" s="76">
        <v>0</v>
      </c>
      <c r="D400" s="76">
        <v>1</v>
      </c>
      <c r="E400" s="97">
        <v>4.3499999999999996</v>
      </c>
      <c r="F400" s="76">
        <v>11</v>
      </c>
      <c r="G400" s="76">
        <v>0</v>
      </c>
      <c r="H400" s="76">
        <v>0</v>
      </c>
      <c r="I400" s="76">
        <v>0</v>
      </c>
      <c r="J400" s="76">
        <v>0</v>
      </c>
      <c r="K400" s="76">
        <v>2</v>
      </c>
      <c r="T400" s="158"/>
      <c r="U400" s="158"/>
      <c r="V400" s="153"/>
      <c r="W400" s="152">
        <f>SUM(W398:W399)</f>
        <v>-31.041846893268918</v>
      </c>
      <c r="X400" s="153"/>
      <c r="Y400" s="153"/>
      <c r="Z400" s="152">
        <f>SUM(Z398:Z399)</f>
        <v>5.9473995800914441</v>
      </c>
      <c r="AA400" s="153"/>
      <c r="AB400" s="103"/>
      <c r="AC400" s="103"/>
      <c r="AD400" s="103"/>
      <c r="AE400" s="153">
        <f>SUM(AE398:AE399)</f>
        <v>16.98540608402098</v>
      </c>
      <c r="AF400" s="171" t="s">
        <v>408</v>
      </c>
      <c r="AG400" s="5" t="s">
        <v>21</v>
      </c>
      <c r="AH400" s="5" t="s">
        <v>61</v>
      </c>
      <c r="AI400" s="5" t="s">
        <v>57</v>
      </c>
      <c r="AJ400" s="174">
        <f>SUM(AJ396:AJ399)</f>
        <v>0</v>
      </c>
      <c r="AK400" s="14">
        <f>SUM(AK396:AK399)</f>
        <v>34.44444444444445</v>
      </c>
      <c r="AL400" s="14">
        <f>SUM(AL396:AL399)</f>
        <v>0</v>
      </c>
      <c r="AM400" s="14">
        <f>SUM(AM396:AM399)</f>
        <v>135</v>
      </c>
      <c r="AN400" s="30"/>
      <c r="AO400" s="14">
        <f t="shared" si="0"/>
        <v>31</v>
      </c>
    </row>
    <row r="401" spans="1:41" x14ac:dyDescent="0.2">
      <c r="AO401" s="14">
        <f t="shared" si="0"/>
        <v>1</v>
      </c>
    </row>
    <row r="402" spans="1:41" x14ac:dyDescent="0.2">
      <c r="L402" s="97">
        <v>48.33</v>
      </c>
      <c r="M402" s="76">
        <v>32</v>
      </c>
      <c r="N402" s="76">
        <v>10</v>
      </c>
      <c r="O402" s="76">
        <v>10</v>
      </c>
      <c r="P402" s="76">
        <v>3</v>
      </c>
      <c r="Q402" s="76">
        <v>17</v>
      </c>
      <c r="R402" s="76">
        <v>0</v>
      </c>
      <c r="S402" s="76">
        <v>37</v>
      </c>
      <c r="T402" s="76">
        <v>189</v>
      </c>
      <c r="V402" s="50">
        <f>+(Q402-R402)/(T402-R402)*100</f>
        <v>8.9947089947089935</v>
      </c>
      <c r="W402" s="152">
        <f>IF(V402&lt;LeagueRatings!$K$10,((LeagueRatings!$K$10-V402)/LeagueRatings!$K$10)*36,(LeagueRatings!$K$10-V402)*6.48)</f>
        <v>-2.1199337915206176</v>
      </c>
      <c r="X402" s="153">
        <v>0.45</v>
      </c>
      <c r="Y402" s="153">
        <f>(P402/(T402-R402))*100</f>
        <v>1.5873015873015872</v>
      </c>
      <c r="Z402" s="152">
        <f>IF(Y402&lt;LeagueRatings!$K$8,((LeagueRatings!$K$8-Y402)/LeagueRatings!$K$8)*36,(LeagueRatings!$K$8-Y402)/LeagueRatings!$K$11)</f>
        <v>18.155224461972928</v>
      </c>
      <c r="AA402" s="153">
        <v>-0.89</v>
      </c>
      <c r="AB402" s="103">
        <f>+((LeagueRatings!$I$6-E399)*5)+9.5</f>
        <v>21.208051455277403</v>
      </c>
      <c r="AC402" s="103">
        <f>IF(AB402&lt;4,4,AB402)</f>
        <v>21.208051455277403</v>
      </c>
      <c r="AD402" s="103">
        <f>IF(M402&lt;L402,((1-(M402/L402))*7)-0.07,(1-(M402/L402))*5)</f>
        <v>2.2951975998344714</v>
      </c>
      <c r="AE402" s="154">
        <f>+X402+AA402+AC402+AD402</f>
        <v>23.063249055111871</v>
      </c>
      <c r="AG402" s="7"/>
      <c r="AH402" s="7"/>
      <c r="AI402" s="7"/>
      <c r="AJ402" s="103">
        <f>+AO246*LeagueRatings!$K$27</f>
        <v>0</v>
      </c>
      <c r="AK402" s="72">
        <f>F399*LeagueRatings!$K$27</f>
        <v>28.333333333333336</v>
      </c>
      <c r="AL402" s="72">
        <f>G399*LeagueRatings!$K$27</f>
        <v>0</v>
      </c>
      <c r="AM402" s="72">
        <f>T402*LeagueRatings!$K$27</f>
        <v>105</v>
      </c>
      <c r="AN402" s="30"/>
      <c r="AO402" s="14">
        <f t="shared" si="0"/>
        <v>1</v>
      </c>
    </row>
    <row r="403" spans="1:41" x14ac:dyDescent="0.2">
      <c r="A403" t="s">
        <v>382</v>
      </c>
      <c r="B403" s="76" t="s">
        <v>146</v>
      </c>
      <c r="L403" s="97">
        <v>10.33</v>
      </c>
      <c r="M403" s="76">
        <v>9</v>
      </c>
      <c r="N403" s="76">
        <v>5</v>
      </c>
      <c r="O403" s="76">
        <v>5</v>
      </c>
      <c r="P403" s="76">
        <v>1</v>
      </c>
      <c r="Q403" s="76">
        <v>2</v>
      </c>
      <c r="R403" s="76">
        <v>0</v>
      </c>
      <c r="S403" s="76">
        <v>12</v>
      </c>
      <c r="T403" s="76">
        <v>42</v>
      </c>
      <c r="U403" s="138"/>
      <c r="V403" s="151">
        <f>+(Q403-R403)/(T403-R403)*100</f>
        <v>4.7619047619047619</v>
      </c>
      <c r="W403" s="152">
        <f>IF(V403&lt;LeagueRatings!$K$21,((LeagueRatings!$K$21-V403)/LeagueRatings!$K$21)*36,(LeagueRatings!$K$21-V403)*6.48)</f>
        <v>16.85242119429855</v>
      </c>
      <c r="X403" s="153">
        <v>-1.29</v>
      </c>
      <c r="Y403" s="153">
        <f>(P403/(T403-R403))*100</f>
        <v>2.3809523809523809</v>
      </c>
      <c r="Z403" s="152">
        <f>IF(Y403&lt;LeagueRatings!$K$19,((LeagueRatings!$K$19-Y403)/LeagueRatings!$K$19)*36,(LeagueRatings!$K$19-Y403)/LeagueRatings!$K$22)</f>
        <v>6.5246636771300466</v>
      </c>
      <c r="AA403" s="153">
        <v>0.08</v>
      </c>
      <c r="AB403" s="103">
        <f>+((LeagueRatings!$I$17-E400)*5)+9.5</f>
        <v>8.5643872437063635</v>
      </c>
      <c r="AC403" s="103">
        <f>IF(AB403&lt;4,4,AB403)</f>
        <v>8.5643872437063635</v>
      </c>
      <c r="AD403" s="103">
        <f>IF(M403&lt;L403,((1-(M403/L403))*7)-0.07,(1-(M403/L403))*5)</f>
        <v>0.83125847047434664</v>
      </c>
      <c r="AE403" s="154">
        <f>+X403+AA403+AC403+AD403</f>
        <v>8.1856457141807102</v>
      </c>
      <c r="AG403" s="5"/>
      <c r="AH403" s="5"/>
      <c r="AI403" s="5"/>
      <c r="AJ403" s="103">
        <f>+AO247*LeagueRatings!$K$27</f>
        <v>0</v>
      </c>
      <c r="AK403" s="72">
        <f>F400*LeagueRatings!$K$27</f>
        <v>6.1111111111111116</v>
      </c>
      <c r="AL403" s="72">
        <f>G400*LeagueRatings!$K$27</f>
        <v>0</v>
      </c>
      <c r="AM403" s="72">
        <f>T403*LeagueRatings!$K$27</f>
        <v>23.333333333333336</v>
      </c>
      <c r="AN403" s="30"/>
      <c r="AO403" s="14">
        <f t="shared" si="0"/>
        <v>0</v>
      </c>
    </row>
    <row r="404" spans="1:41" x14ac:dyDescent="0.2">
      <c r="A404" s="41" t="s">
        <v>382</v>
      </c>
      <c r="B404" s="76" t="s">
        <v>152</v>
      </c>
      <c r="L404" s="157">
        <f>(L402/100)/((L402+L403)/100)</f>
        <v>0.82390044323218548</v>
      </c>
      <c r="T404" s="158"/>
      <c r="U404" s="158"/>
      <c r="V404" s="153"/>
      <c r="W404" s="152">
        <f>W402*L404</f>
        <v>-1.7466143904567244</v>
      </c>
      <c r="X404" s="153"/>
      <c r="Y404" s="153"/>
      <c r="Z404" s="152">
        <f>Z402*L404</f>
        <v>14.958097481199312</v>
      </c>
      <c r="AA404" s="153"/>
      <c r="AB404" s="103"/>
      <c r="AC404" s="103"/>
      <c r="AD404" s="103"/>
      <c r="AE404" s="154">
        <f>AE402*L404</f>
        <v>19.001821118880954</v>
      </c>
      <c r="AG404" s="5"/>
      <c r="AH404" s="5"/>
      <c r="AI404" s="5"/>
      <c r="AJ404" s="103"/>
      <c r="AK404" s="72">
        <f>F401*LeagueRatings!$K$27</f>
        <v>0</v>
      </c>
      <c r="AL404" s="72">
        <f>G401*LeagueRatings!$K$27</f>
        <v>0</v>
      </c>
      <c r="AM404" s="72">
        <f>T404*LeagueRatings!$K$27</f>
        <v>0</v>
      </c>
      <c r="AN404" s="30"/>
      <c r="AO404" s="14">
        <f t="shared" si="0"/>
        <v>0</v>
      </c>
    </row>
    <row r="405" spans="1:41" x14ac:dyDescent="0.2">
      <c r="C405" s="76">
        <v>1</v>
      </c>
      <c r="D405" s="76">
        <v>1</v>
      </c>
      <c r="E405" s="97">
        <v>4.55</v>
      </c>
      <c r="F405" s="76">
        <v>28</v>
      </c>
      <c r="G405" s="76">
        <v>0</v>
      </c>
      <c r="H405" s="76">
        <v>0</v>
      </c>
      <c r="I405" s="76">
        <v>0</v>
      </c>
      <c r="J405" s="76">
        <v>0</v>
      </c>
      <c r="K405" s="76">
        <v>1</v>
      </c>
      <c r="L405" s="157">
        <f>(L403/100)/((L402+L403)/100)</f>
        <v>0.17609955676781452</v>
      </c>
      <c r="T405" s="158"/>
      <c r="U405" s="158"/>
      <c r="V405" s="153"/>
      <c r="W405" s="152">
        <f>W403*L405</f>
        <v>2.9677039027804981</v>
      </c>
      <c r="X405" s="153"/>
      <c r="Y405" s="153"/>
      <c r="Z405" s="152">
        <f>Z403*L405</f>
        <v>1.14899038160166</v>
      </c>
      <c r="AA405" s="153"/>
      <c r="AB405" s="103"/>
      <c r="AC405" s="103"/>
      <c r="AD405" s="103"/>
      <c r="AE405" s="154">
        <f>AE403*L405</f>
        <v>1.4414885821255836</v>
      </c>
      <c r="AG405" s="5"/>
      <c r="AH405" s="5"/>
      <c r="AI405" s="5"/>
      <c r="AJ405" s="103"/>
      <c r="AK405" s="72">
        <f>F402*LeagueRatings!$K$27</f>
        <v>0</v>
      </c>
      <c r="AL405" s="72">
        <f>G402*LeagueRatings!$K$27</f>
        <v>0</v>
      </c>
      <c r="AM405" s="72">
        <f>T405*LeagueRatings!$K$27</f>
        <v>0</v>
      </c>
      <c r="AN405" s="30"/>
      <c r="AO405" s="14">
        <f t="shared" si="0"/>
        <v>110</v>
      </c>
    </row>
    <row r="406" spans="1:41" x14ac:dyDescent="0.2">
      <c r="C406" s="76">
        <v>2</v>
      </c>
      <c r="D406" s="76">
        <v>3</v>
      </c>
      <c r="E406" s="97">
        <v>4.25</v>
      </c>
      <c r="F406" s="76">
        <v>12</v>
      </c>
      <c r="G406" s="76">
        <v>12</v>
      </c>
      <c r="H406" s="76">
        <v>0</v>
      </c>
      <c r="I406" s="76">
        <v>0</v>
      </c>
      <c r="J406" s="76">
        <v>0</v>
      </c>
      <c r="K406" s="76">
        <v>0</v>
      </c>
      <c r="T406" s="158"/>
      <c r="U406" s="158"/>
      <c r="V406" s="153"/>
      <c r="W406" s="152">
        <f>SUM(W404:W405)</f>
        <v>1.2210895123237737</v>
      </c>
      <c r="X406" s="153"/>
      <c r="Y406" s="153"/>
      <c r="Z406" s="152">
        <f>SUM(Z404:Z405)</f>
        <v>16.107087862800974</v>
      </c>
      <c r="AA406" s="153"/>
      <c r="AB406" s="103"/>
      <c r="AC406" s="103"/>
      <c r="AD406" s="103"/>
      <c r="AE406" s="153">
        <f>SUM(AE404:AE405)</f>
        <v>20.443309701006537</v>
      </c>
      <c r="AF406" s="41" t="s">
        <v>363</v>
      </c>
      <c r="AG406" s="5" t="s">
        <v>63</v>
      </c>
      <c r="AH406" s="5" t="s">
        <v>29</v>
      </c>
      <c r="AI406" s="5" t="s">
        <v>62</v>
      </c>
      <c r="AJ406" s="103">
        <f>SUM(AJ402:AJ405)</f>
        <v>0</v>
      </c>
      <c r="AK406" s="14">
        <f>SUM(AK402:AK405)</f>
        <v>34.44444444444445</v>
      </c>
      <c r="AL406" s="14">
        <f>SUM(AL402:AL405)</f>
        <v>0</v>
      </c>
      <c r="AM406" s="14">
        <f>SUM(AM402:AM405)</f>
        <v>128.33333333333334</v>
      </c>
      <c r="AN406" s="30"/>
      <c r="AO406" s="14">
        <f t="shared" si="0"/>
        <v>91</v>
      </c>
    </row>
    <row r="407" spans="1:41" x14ac:dyDescent="0.2">
      <c r="AK407" s="72">
        <f>F404*LeagueRatings!$K$27</f>
        <v>0</v>
      </c>
      <c r="AL407" s="72">
        <f>G404*LeagueRatings!$K$27</f>
        <v>0</v>
      </c>
      <c r="AM407" s="72">
        <f>T407*LeagueRatings!$K$27</f>
        <v>0</v>
      </c>
      <c r="AN407" s="30"/>
      <c r="AO407" s="14">
        <f t="shared" si="0"/>
        <v>1</v>
      </c>
    </row>
    <row r="408" spans="1:41" x14ac:dyDescent="0.2">
      <c r="L408" s="97">
        <v>31.67</v>
      </c>
      <c r="M408" s="76">
        <v>34</v>
      </c>
      <c r="N408" s="76">
        <v>17</v>
      </c>
      <c r="O408" s="76">
        <v>16</v>
      </c>
      <c r="P408" s="76">
        <v>3</v>
      </c>
      <c r="Q408" s="76">
        <v>15</v>
      </c>
      <c r="R408" s="76">
        <v>2</v>
      </c>
      <c r="S408" s="76">
        <v>29</v>
      </c>
      <c r="T408" s="76">
        <v>143</v>
      </c>
      <c r="V408" s="151">
        <f>+(Q408-R408)/(T408-R408)*100</f>
        <v>9.2198581560283674</v>
      </c>
      <c r="W408" s="152">
        <f>IF(V408&lt;LeagueRatings!$K$10,((LeagueRatings!$K$10-V408)/LeagueRatings!$K$10)*36,(LeagueRatings!$K$10-V408)*6.48)</f>
        <v>-3.5789003568701609</v>
      </c>
      <c r="X408" s="153">
        <v>0.65</v>
      </c>
      <c r="Y408" s="153">
        <f>(P408/(T408-R408))*100</f>
        <v>2.1276595744680851</v>
      </c>
      <c r="Z408" s="152">
        <f>IF(Y408&lt;LeagueRatings!$K$8,((LeagueRatings!$K$8-Y408)/LeagueRatings!$K$8)*36,(LeagueRatings!$K$8-Y408)/LeagueRatings!$K$11)</f>
        <v>12.080407257538184</v>
      </c>
      <c r="AA408" s="153">
        <v>-0.21</v>
      </c>
      <c r="AB408" s="103">
        <f>+((LeagueRatings!$I$6-E405)*5)+9.5</f>
        <v>7.7580514552774043</v>
      </c>
      <c r="AC408" s="103">
        <f>IF(AB408&lt;4,4,AB408)</f>
        <v>7.7580514552774043</v>
      </c>
      <c r="AD408" s="103">
        <f>IF(M408&lt;L408,((1-(M408/L408))*7)-0.07,(1-(M408/L408))*5)</f>
        <v>-0.36785601515629929</v>
      </c>
      <c r="AE408" s="154">
        <f>+X408+AA408+AC408+AD408</f>
        <v>7.8301954401211056</v>
      </c>
      <c r="AG408" s="7"/>
      <c r="AH408" s="7"/>
      <c r="AI408" s="7"/>
      <c r="AJ408" s="103">
        <f>+AO258*LeagueRatings!$K$27</f>
        <v>0</v>
      </c>
      <c r="AK408" s="72">
        <f>F405*LeagueRatings!$K$27</f>
        <v>15.555555555555557</v>
      </c>
      <c r="AL408" s="72">
        <f>G405*LeagueRatings!$K$27</f>
        <v>0</v>
      </c>
      <c r="AM408" s="72">
        <f>T408*LeagueRatings!$K$27</f>
        <v>79.444444444444443</v>
      </c>
      <c r="AN408" s="30"/>
      <c r="AO408" s="14">
        <f t="shared" si="0"/>
        <v>1</v>
      </c>
    </row>
    <row r="409" spans="1:41" x14ac:dyDescent="0.2">
      <c r="A409" t="s">
        <v>577</v>
      </c>
      <c r="B409" s="76" t="s">
        <v>151</v>
      </c>
      <c r="L409" s="97">
        <v>65.266999999999996</v>
      </c>
      <c r="M409" s="76">
        <v>67</v>
      </c>
      <c r="N409" s="76">
        <v>34</v>
      </c>
      <c r="O409" s="76">
        <v>31</v>
      </c>
      <c r="P409" s="76">
        <v>7</v>
      </c>
      <c r="Q409" s="76">
        <v>19</v>
      </c>
      <c r="R409" s="76">
        <v>1</v>
      </c>
      <c r="S409" s="76">
        <v>55</v>
      </c>
      <c r="T409" s="76">
        <v>286</v>
      </c>
      <c r="U409" s="138"/>
      <c r="V409" s="162">
        <f>+(Q409-R409)/(T409-R409)*100</f>
        <v>6.3157894736842106</v>
      </c>
      <c r="W409" s="163">
        <f>IF(V409&lt;LeagueRatings!$K$21,((LeagueRatings!$K$21-V409)/LeagueRatings!$K$21)*36,(LeagueRatings!$K$21-V409)*6.48)</f>
        <v>10.604263899806497</v>
      </c>
      <c r="X409" s="164">
        <v>-0.65</v>
      </c>
      <c r="Y409" s="164">
        <f>(P409/(T409-R409))*100</f>
        <v>2.4561403508771931</v>
      </c>
      <c r="Z409" s="163">
        <f>IF(Y409&lt;LeagueRatings!$K$19,((LeagueRatings!$K$19-Y409)/LeagueRatings!$K$19)*36,(LeagueRatings!$K$19-Y409)/LeagueRatings!$K$22)</f>
        <v>5.5938635827236256</v>
      </c>
      <c r="AA409" s="164">
        <v>0.16</v>
      </c>
      <c r="AB409" s="71">
        <f>+((LeagueRatings!$I$17-E406)*5)+9.5</f>
        <v>9.0643872437063635</v>
      </c>
      <c r="AC409" s="71">
        <f>IF(AB409&lt;4,4,AB409)</f>
        <v>9.0643872437063635</v>
      </c>
      <c r="AD409" s="103">
        <f>IF(M409&lt;L409,((1-(M409/L409))*7)-0.07,(1-(M409/L409))*5)</f>
        <v>-0.13276234544256749</v>
      </c>
      <c r="AE409" s="165">
        <f>+X409+AA409+AC409+AD409</f>
        <v>8.4416248982637967</v>
      </c>
      <c r="AG409" s="7"/>
      <c r="AH409" s="7"/>
      <c r="AI409" s="7"/>
      <c r="AJ409" s="103">
        <f>+AO259*LeagueRatings!$K$27</f>
        <v>0</v>
      </c>
      <c r="AK409" s="72">
        <f>F406*LeagueRatings!$K$27</f>
        <v>6.666666666666667</v>
      </c>
      <c r="AL409" s="72">
        <f>G406*LeagueRatings!$K$27</f>
        <v>6.666666666666667</v>
      </c>
      <c r="AM409" s="72">
        <f>T409*LeagueRatings!$K$27</f>
        <v>158.88888888888889</v>
      </c>
      <c r="AN409" s="30"/>
      <c r="AO409" s="14">
        <f t="shared" si="0"/>
        <v>0</v>
      </c>
    </row>
    <row r="410" spans="1:41" x14ac:dyDescent="0.2">
      <c r="A410" s="41" t="s">
        <v>577</v>
      </c>
      <c r="B410" s="76" t="s">
        <v>165</v>
      </c>
      <c r="L410" s="157">
        <f>(L408/100)/((L408+L409)/100)</f>
        <v>0.32670703652887961</v>
      </c>
      <c r="T410" s="158"/>
      <c r="U410" s="158"/>
      <c r="V410" s="153"/>
      <c r="W410" s="152">
        <f>W408*L410</f>
        <v>-1.1692519296252</v>
      </c>
      <c r="X410" s="153"/>
      <c r="Y410" s="153"/>
      <c r="Z410" s="152">
        <f>Z408*L410</f>
        <v>3.9467540551722697</v>
      </c>
      <c r="AA410" s="153"/>
      <c r="AB410" s="103"/>
      <c r="AC410" s="103"/>
      <c r="AD410" s="103"/>
      <c r="AE410" s="154">
        <f>AE408*L410</f>
        <v>2.5581799476839127</v>
      </c>
      <c r="AG410" s="5"/>
      <c r="AH410" s="5"/>
      <c r="AI410" s="5"/>
      <c r="AJ410" s="103"/>
      <c r="AK410" s="72">
        <f>F407*LeagueRatings!$K$27</f>
        <v>0</v>
      </c>
      <c r="AL410" s="72">
        <f>G407*LeagueRatings!$K$27</f>
        <v>0</v>
      </c>
      <c r="AM410" s="72">
        <f>T410*LeagueRatings!$K$27</f>
        <v>0</v>
      </c>
      <c r="AN410" s="30"/>
      <c r="AO410" s="14">
        <f t="shared" si="0"/>
        <v>0</v>
      </c>
    </row>
    <row r="411" spans="1:41" x14ac:dyDescent="0.2">
      <c r="C411" s="76">
        <v>5</v>
      </c>
      <c r="D411" s="76">
        <v>13</v>
      </c>
      <c r="E411" s="97">
        <v>4.9400000000000004</v>
      </c>
      <c r="F411" s="76">
        <v>23</v>
      </c>
      <c r="G411" s="76">
        <v>23</v>
      </c>
      <c r="H411" s="76">
        <v>0</v>
      </c>
      <c r="I411" s="76">
        <v>0</v>
      </c>
      <c r="J411" s="76">
        <v>0</v>
      </c>
      <c r="K411" s="76">
        <v>0</v>
      </c>
      <c r="L411" s="157">
        <f>(L409/100)/((L408+L409)/100)</f>
        <v>0.67329296347112044</v>
      </c>
      <c r="T411" s="158"/>
      <c r="U411" s="158"/>
      <c r="V411" s="153"/>
      <c r="W411" s="152">
        <f>W409*L411</f>
        <v>7.1397762665305375</v>
      </c>
      <c r="X411" s="153"/>
      <c r="Y411" s="153"/>
      <c r="Z411" s="152">
        <f>Z409*L411</f>
        <v>3.7663089888651688</v>
      </c>
      <c r="AA411" s="153"/>
      <c r="AB411" s="103"/>
      <c r="AC411" s="103"/>
      <c r="AD411" s="103"/>
      <c r="AE411" s="154">
        <f>AE409*L411</f>
        <v>5.6836866442636271</v>
      </c>
      <c r="AG411" s="5"/>
      <c r="AH411" s="5"/>
      <c r="AI411" s="5"/>
      <c r="AJ411" s="103"/>
      <c r="AK411" s="72">
        <f>F408*LeagueRatings!$K$27</f>
        <v>0</v>
      </c>
      <c r="AL411" s="72">
        <f>G408*LeagueRatings!$K$27</f>
        <v>0</v>
      </c>
      <c r="AM411" s="72">
        <f>T411*LeagueRatings!$K$27</f>
        <v>0</v>
      </c>
      <c r="AN411" s="30"/>
      <c r="AO411" s="14">
        <f t="shared" si="0"/>
        <v>97</v>
      </c>
    </row>
    <row r="412" spans="1:41" x14ac:dyDescent="0.2">
      <c r="C412" s="76">
        <v>2</v>
      </c>
      <c r="D412" s="76">
        <v>4</v>
      </c>
      <c r="E412" s="97">
        <v>8.0299999999999994</v>
      </c>
      <c r="F412" s="76">
        <v>9</v>
      </c>
      <c r="G412" s="76">
        <v>3</v>
      </c>
      <c r="H412" s="76">
        <v>0</v>
      </c>
      <c r="I412" s="76">
        <v>0</v>
      </c>
      <c r="J412" s="76">
        <v>0</v>
      </c>
      <c r="K412" s="76">
        <v>0</v>
      </c>
      <c r="T412" s="158"/>
      <c r="U412" s="158"/>
      <c r="V412" s="153"/>
      <c r="W412" s="152">
        <f>SUM(W410:W411)</f>
        <v>5.9705243369053376</v>
      </c>
      <c r="X412" s="153"/>
      <c r="Y412" s="153"/>
      <c r="Z412" s="152">
        <f>SUM(Z410:Z411)</f>
        <v>7.7130630440374386</v>
      </c>
      <c r="AA412" s="153"/>
      <c r="AB412" s="103"/>
      <c r="AC412" s="103"/>
      <c r="AD412" s="103"/>
      <c r="AE412" s="153">
        <f>SUM(AE410:AE411)</f>
        <v>8.2418665919475398</v>
      </c>
      <c r="AF412" s="41" t="s">
        <v>382</v>
      </c>
      <c r="AG412" s="5" t="s">
        <v>24</v>
      </c>
      <c r="AH412" s="5" t="s">
        <v>22</v>
      </c>
      <c r="AI412" s="5" t="s">
        <v>45</v>
      </c>
      <c r="AJ412" s="174">
        <f>SUM(AJ408:AJ411)</f>
        <v>0</v>
      </c>
      <c r="AK412" s="14">
        <f>SUM(AK408:AK411)</f>
        <v>22.222222222222225</v>
      </c>
      <c r="AL412" s="14">
        <f>SUM(AL408:AL411)</f>
        <v>6.666666666666667</v>
      </c>
      <c r="AM412" s="14">
        <f>SUM(AM408:AM411)</f>
        <v>238.33333333333331</v>
      </c>
      <c r="AN412" s="30"/>
      <c r="AO412" s="14">
        <f t="shared" si="0"/>
        <v>22</v>
      </c>
    </row>
    <row r="413" spans="1:41" x14ac:dyDescent="0.2">
      <c r="AK413" s="72">
        <f>F410*LeagueRatings!$K$27</f>
        <v>0</v>
      </c>
      <c r="AL413" s="72">
        <f>G410*LeagueRatings!$K$27</f>
        <v>0</v>
      </c>
      <c r="AM413" s="72">
        <f>T413*LeagueRatings!$K$27</f>
        <v>0</v>
      </c>
      <c r="AN413" s="30"/>
      <c r="AO413" s="14">
        <f t="shared" si="0"/>
        <v>1</v>
      </c>
    </row>
    <row r="414" spans="1:41" x14ac:dyDescent="0.2">
      <c r="L414" s="97">
        <v>129.33000000000001</v>
      </c>
      <c r="M414" s="76">
        <v>157</v>
      </c>
      <c r="N414" s="76">
        <v>76</v>
      </c>
      <c r="O414" s="76">
        <v>71</v>
      </c>
      <c r="P414" s="76">
        <v>13</v>
      </c>
      <c r="Q414" s="76">
        <v>32</v>
      </c>
      <c r="R414" s="76">
        <v>1</v>
      </c>
      <c r="S414" s="76">
        <v>61</v>
      </c>
      <c r="T414" s="76">
        <v>572</v>
      </c>
      <c r="V414" s="151">
        <f>+(Q414-R414)/(T414-R414)*100</f>
        <v>5.4290718038528896</v>
      </c>
      <c r="W414" s="152">
        <f>IF(V414&lt;LeagueRatings!$K$10,((LeagueRatings!$K$10-V414)/LeagueRatings!$K$10)*36,(LeagueRatings!$K$10-V414)*6.48)</f>
        <v>13.450791936671646</v>
      </c>
      <c r="X414" s="153">
        <v>-1.01</v>
      </c>
      <c r="Y414" s="153">
        <f>(P414/(T414-R414))*100</f>
        <v>2.276707530647986</v>
      </c>
      <c r="Z414" s="152">
        <f>IF(Y414&lt;LeagueRatings!$K$8,((LeagueRatings!$K$8-Y414)/LeagueRatings!$K$8)*36,(LeagueRatings!$K$8-Y414)/LeagueRatings!$K$11)</f>
        <v>10.404779044406004</v>
      </c>
      <c r="AA414" s="153">
        <v>-7.0000000000000007E-2</v>
      </c>
      <c r="AB414" s="103">
        <f>+((LeagueRatings!$I$6-E411)*5)+9.5</f>
        <v>5.8080514552774014</v>
      </c>
      <c r="AC414" s="103">
        <f>IF(AB414&lt;4,4,AB414)</f>
        <v>5.8080514552774014</v>
      </c>
      <c r="AD414" s="103">
        <f>IF(M414&lt;L414,((1-(M414/L414))*7)-0.07,(1-(M414/L414))*5)</f>
        <v>-1.0697440655686996</v>
      </c>
      <c r="AE414" s="154">
        <f>+X414+AA414+AC414+AD414</f>
        <v>3.6583073897087015</v>
      </c>
      <c r="AJ414" s="103">
        <f>+AO270*LeagueRatings!$K$27</f>
        <v>0</v>
      </c>
      <c r="AK414" s="72">
        <f>F411*LeagueRatings!$K$27</f>
        <v>12.777777777777779</v>
      </c>
      <c r="AL414" s="72">
        <f>G411*LeagueRatings!$K$27</f>
        <v>12.777777777777779</v>
      </c>
      <c r="AM414" s="72">
        <f>T414*LeagueRatings!$K$27</f>
        <v>317.77777777777777</v>
      </c>
      <c r="AN414" s="30"/>
      <c r="AO414" s="14">
        <f t="shared" si="0"/>
        <v>1</v>
      </c>
    </row>
    <row r="415" spans="1:41" x14ac:dyDescent="0.2">
      <c r="A415" t="s">
        <v>547</v>
      </c>
      <c r="B415" s="76" t="s">
        <v>164</v>
      </c>
      <c r="L415" s="97">
        <v>24.266999999999999</v>
      </c>
      <c r="M415" s="76">
        <v>34</v>
      </c>
      <c r="N415" s="76">
        <v>28</v>
      </c>
      <c r="O415" s="76">
        <v>22</v>
      </c>
      <c r="P415" s="76">
        <v>7</v>
      </c>
      <c r="Q415" s="76">
        <v>8</v>
      </c>
      <c r="R415" s="76">
        <v>1</v>
      </c>
      <c r="S415" s="76">
        <v>18</v>
      </c>
      <c r="T415" s="76">
        <v>115</v>
      </c>
      <c r="V415" s="162">
        <f>+(Q415-R415)/(T415-R415)*100</f>
        <v>6.140350877192982</v>
      </c>
      <c r="W415" s="163">
        <f>IF(V415&lt;LeagueRatings!$K$21,((LeagueRatings!$K$21-V415)/LeagueRatings!$K$21)*36,(LeagueRatings!$K$21-V415)*6.48)</f>
        <v>11.309701013700764</v>
      </c>
      <c r="X415" s="164">
        <v>-0.74</v>
      </c>
      <c r="Y415" s="164">
        <f>(P415/(T415-R415))*100</f>
        <v>6.140350877192982</v>
      </c>
      <c r="Z415" s="163">
        <f>IF(Y415&lt;LeagueRatings!$K$19,((LeagueRatings!$K$19-Y415)/LeagueRatings!$K$19)*36,(LeagueRatings!$K$19-Y415)/LeagueRatings!$K$22)</f>
        <v>-26.117329910141201</v>
      </c>
      <c r="AA415" s="164">
        <v>3.24</v>
      </c>
      <c r="AB415" s="71">
        <f>+((LeagueRatings!$I$17-E412)*5)+9.5</f>
        <v>-9.8356127562936351</v>
      </c>
      <c r="AC415" s="71">
        <f>IF(AB415&lt;4,4,AB415)</f>
        <v>4</v>
      </c>
      <c r="AD415" s="103">
        <f>IF(M415&lt;L415,((1-(M415/L415))*7)-0.07,(1-(M415/L415))*5)</f>
        <v>-2.0053982774961887</v>
      </c>
      <c r="AE415" s="165">
        <f>+X415+AA415+AC415+AD415</f>
        <v>4.4946017225038108</v>
      </c>
      <c r="AJ415" s="103">
        <f>+AO271*LeagueRatings!$K$27</f>
        <v>0</v>
      </c>
      <c r="AK415" s="72">
        <f>F412*LeagueRatings!$K$27</f>
        <v>5</v>
      </c>
      <c r="AL415" s="72">
        <f>G412*LeagueRatings!$K$27</f>
        <v>1.6666666666666667</v>
      </c>
      <c r="AM415" s="72">
        <f>T415*LeagueRatings!$K$27</f>
        <v>63.888888888888893</v>
      </c>
      <c r="AN415" s="30"/>
      <c r="AO415" s="14">
        <f t="shared" si="0"/>
        <v>0</v>
      </c>
    </row>
    <row r="416" spans="1:41" x14ac:dyDescent="0.2">
      <c r="A416" s="41" t="s">
        <v>547</v>
      </c>
      <c r="B416" s="76" t="s">
        <v>244</v>
      </c>
      <c r="L416" s="157">
        <f>(L414/100)/((L414+L415)/100)</f>
        <v>0.84200863298111295</v>
      </c>
      <c r="V416" s="153"/>
      <c r="W416" s="152">
        <f>W414*L416</f>
        <v>11.325682931110268</v>
      </c>
      <c r="X416" s="153"/>
      <c r="Y416" s="153"/>
      <c r="Z416" s="152">
        <f>Z414*L416</f>
        <v>8.7609137796508296</v>
      </c>
      <c r="AA416" s="153"/>
      <c r="AB416" s="103"/>
      <c r="AC416" s="103"/>
      <c r="AD416" s="103"/>
      <c r="AE416" s="154">
        <f>AE414*L416</f>
        <v>3.0803264042333276</v>
      </c>
      <c r="AJ416" s="103"/>
      <c r="AK416" s="72">
        <f>F413*LeagueRatings!$K$27</f>
        <v>0</v>
      </c>
      <c r="AL416" s="72">
        <f>G413*LeagueRatings!$K$27</f>
        <v>0</v>
      </c>
      <c r="AM416" s="72">
        <f>T416*LeagueRatings!$K$27</f>
        <v>0</v>
      </c>
      <c r="AN416" s="30"/>
      <c r="AO416" s="14">
        <f t="shared" si="0"/>
        <v>0</v>
      </c>
    </row>
    <row r="417" spans="1:41" x14ac:dyDescent="0.2">
      <c r="C417" s="76">
        <v>9</v>
      </c>
      <c r="D417" s="76">
        <v>7</v>
      </c>
      <c r="E417" s="97">
        <v>4.41</v>
      </c>
      <c r="F417" s="76">
        <v>20</v>
      </c>
      <c r="G417" s="76">
        <v>20</v>
      </c>
      <c r="H417" s="76">
        <v>0</v>
      </c>
      <c r="I417" s="76">
        <v>0</v>
      </c>
      <c r="J417" s="76">
        <v>0</v>
      </c>
      <c r="K417" s="76">
        <v>0</v>
      </c>
      <c r="L417" s="157">
        <f>(L415/100)/((L414+L415)/100)</f>
        <v>0.15799136701888708</v>
      </c>
      <c r="V417" s="153"/>
      <c r="W417" s="152">
        <f>W415*L417</f>
        <v>1.7868351237294766</v>
      </c>
      <c r="X417" s="153"/>
      <c r="Y417" s="153"/>
      <c r="Z417" s="152">
        <f>Z415*L417</f>
        <v>-4.1263126553864753</v>
      </c>
      <c r="AA417" s="153"/>
      <c r="AB417" s="103"/>
      <c r="AC417" s="103"/>
      <c r="AD417" s="103"/>
      <c r="AE417" s="154">
        <f>AE415*L417</f>
        <v>0.71010827034382162</v>
      </c>
      <c r="AJ417" s="103"/>
      <c r="AK417" s="72">
        <f>F414*LeagueRatings!$K$27</f>
        <v>0</v>
      </c>
      <c r="AL417" s="72">
        <f>G414*LeagueRatings!$K$27</f>
        <v>0</v>
      </c>
      <c r="AM417" s="72">
        <f>T417*LeagueRatings!$K$27</f>
        <v>0</v>
      </c>
      <c r="AN417" s="30"/>
      <c r="AO417" s="14">
        <f t="shared" si="0"/>
        <v>43</v>
      </c>
    </row>
    <row r="418" spans="1:41" x14ac:dyDescent="0.2">
      <c r="C418" s="76">
        <v>4</v>
      </c>
      <c r="D418" s="76">
        <v>4</v>
      </c>
      <c r="E418" s="97">
        <v>2.39</v>
      </c>
      <c r="F418" s="76">
        <v>10</v>
      </c>
      <c r="G418" s="76">
        <v>10</v>
      </c>
      <c r="H418" s="76">
        <v>0</v>
      </c>
      <c r="I418" s="76">
        <v>0</v>
      </c>
      <c r="J418" s="76">
        <v>0</v>
      </c>
      <c r="K418" s="76">
        <v>0</v>
      </c>
      <c r="V418" s="153"/>
      <c r="W418" s="152">
        <f>SUM(W416:W417)</f>
        <v>13.112518054839745</v>
      </c>
      <c r="X418" s="153"/>
      <c r="Y418" s="153"/>
      <c r="Z418" s="152">
        <f>SUM(Z416:Z417)</f>
        <v>4.6346011242643543</v>
      </c>
      <c r="AA418" s="153"/>
      <c r="AB418" s="103"/>
      <c r="AC418" s="103"/>
      <c r="AD418" s="103"/>
      <c r="AE418" s="153">
        <f>SUM(AE416:AE417)</f>
        <v>3.7904346745771491</v>
      </c>
      <c r="AF418" s="41" t="s">
        <v>577</v>
      </c>
      <c r="AG418" s="5" t="s">
        <v>78</v>
      </c>
      <c r="AH418" s="5" t="s">
        <v>48</v>
      </c>
      <c r="AI418" s="5" t="s">
        <v>71</v>
      </c>
      <c r="AJ418" s="174">
        <f>SUM(AJ414:AJ417)</f>
        <v>0</v>
      </c>
      <c r="AK418" s="14">
        <f>SUM(AK414:AK417)</f>
        <v>17.777777777777779</v>
      </c>
      <c r="AL418" s="14">
        <f>SUM(AL414:AL417)</f>
        <v>14.444444444444445</v>
      </c>
      <c r="AM418" s="14">
        <f>SUM(AM414:AM417)</f>
        <v>381.66666666666669</v>
      </c>
      <c r="AN418" s="30"/>
      <c r="AO418" s="14">
        <f t="shared" si="0"/>
        <v>20</v>
      </c>
    </row>
    <row r="419" spans="1:41" x14ac:dyDescent="0.2">
      <c r="AK419" s="72">
        <f>F416*LeagueRatings!$K$27</f>
        <v>0</v>
      </c>
      <c r="AL419" s="72">
        <f>G416*LeagueRatings!$K$27</f>
        <v>0</v>
      </c>
      <c r="AM419" s="72">
        <f>T419*LeagueRatings!$K$27</f>
        <v>0</v>
      </c>
      <c r="AN419" s="30"/>
      <c r="AO419" s="14">
        <f t="shared" si="0"/>
        <v>1</v>
      </c>
    </row>
    <row r="420" spans="1:41" x14ac:dyDescent="0.2">
      <c r="L420" s="97">
        <v>116.33</v>
      </c>
      <c r="M420" s="76">
        <v>119</v>
      </c>
      <c r="N420" s="76">
        <v>61</v>
      </c>
      <c r="O420" s="76">
        <v>57</v>
      </c>
      <c r="P420" s="76">
        <v>7</v>
      </c>
      <c r="Q420" s="76">
        <v>51</v>
      </c>
      <c r="R420" s="76">
        <v>1</v>
      </c>
      <c r="S420" s="76">
        <v>75</v>
      </c>
      <c r="T420" s="76">
        <v>507</v>
      </c>
      <c r="V420" s="151">
        <f>+(Q420-R420)/(T420-R420)*100</f>
        <v>9.8814229249011856</v>
      </c>
      <c r="W420" s="152">
        <f>IF(V420&lt;LeagueRatings!$K$10,((LeagueRatings!$K$10-V420)/LeagueRatings!$K$10)*36,(LeagueRatings!$K$10-V420)*6.48)</f>
        <v>-7.8658400591660227</v>
      </c>
      <c r="X420" s="146">
        <v>1.1100000000000001</v>
      </c>
      <c r="Y420" s="153">
        <f>(P420/(T420-R420))*100</f>
        <v>1.383399209486166</v>
      </c>
      <c r="Z420" s="152">
        <f>IF(Y420&lt;LeagueRatings!$K$8,((LeagueRatings!$K$8-Y420)/LeagueRatings!$K$8)*36,(LeagueRatings!$K$8-Y420)/LeagueRatings!$K$11)</f>
        <v>20.447537525158225</v>
      </c>
      <c r="AA420" s="146">
        <v>-1.1399999999999999</v>
      </c>
      <c r="AB420" s="103">
        <f>+((LeagueRatings!$I$6-E417)*5)+9.5</f>
        <v>8.4580514552774027</v>
      </c>
      <c r="AC420" s="103">
        <f>IF(AB420&lt;4,4,AB420)</f>
        <v>8.4580514552774027</v>
      </c>
      <c r="AD420" s="103">
        <f>IF(M420&lt;L420,((1-(M420/L420))*7)-0.07,(1-(M420/L420))*5)</f>
        <v>-0.11475973523596639</v>
      </c>
      <c r="AE420" s="154">
        <f>+X420+AA420+AC420+AD420</f>
        <v>8.3132917200414376</v>
      </c>
      <c r="AJ420" s="103">
        <f>+AO282*LeagueRatings!$K$27</f>
        <v>0</v>
      </c>
      <c r="AK420" s="72">
        <f>F417*LeagueRatings!$K$27</f>
        <v>11.111111111111111</v>
      </c>
      <c r="AL420" s="72">
        <f>G417*LeagueRatings!$K$27</f>
        <v>11.111111111111111</v>
      </c>
      <c r="AM420" s="72">
        <f>T420*LeagueRatings!$K$27</f>
        <v>281.66666666666669</v>
      </c>
      <c r="AN420" s="30"/>
      <c r="AO420" s="14">
        <f t="shared" si="0"/>
        <v>1</v>
      </c>
    </row>
    <row r="421" spans="1:41" x14ac:dyDescent="0.2">
      <c r="A421" t="s">
        <v>573</v>
      </c>
      <c r="B421" s="76" t="s">
        <v>151</v>
      </c>
      <c r="L421" s="97">
        <v>64</v>
      </c>
      <c r="M421" s="76">
        <v>54</v>
      </c>
      <c r="N421" s="76">
        <v>19</v>
      </c>
      <c r="O421" s="76">
        <v>17</v>
      </c>
      <c r="P421" s="76">
        <v>2</v>
      </c>
      <c r="Q421" s="76">
        <v>22</v>
      </c>
      <c r="R421" s="76">
        <v>0</v>
      </c>
      <c r="S421" s="76">
        <v>40</v>
      </c>
      <c r="T421" s="76">
        <v>259</v>
      </c>
      <c r="U421" s="138"/>
      <c r="V421" s="151">
        <f>+(Q421-R421)/(T421-R421)*100</f>
        <v>8.4942084942084932</v>
      </c>
      <c r="W421" s="152">
        <f>IF(V421&lt;LeagueRatings!$K$10,((LeagueRatings!$K$10-V421)/LeagueRatings!$K$10)*36,(LeagueRatings!$K$10-V421)*6.48)</f>
        <v>0.71999605286701251</v>
      </c>
      <c r="X421" s="153">
        <v>0.18</v>
      </c>
      <c r="Y421" s="153">
        <f>(P421/(T421-R421))*100</f>
        <v>0.77220077220077221</v>
      </c>
      <c r="Z421" s="152">
        <f>IF(Y421&lt;LeagueRatings!$K$8,((LeagueRatings!$K$8-Y421)/LeagueRatings!$K$8)*36,(LeagueRatings!$K$8-Y421)/LeagueRatings!$K$11)</f>
        <v>27.318757846365209</v>
      </c>
      <c r="AA421" s="153">
        <v>-1.98</v>
      </c>
      <c r="AB421" s="103">
        <f>+((LeagueRatings!$I$6-E418)*5)+9.5</f>
        <v>18.558051455277401</v>
      </c>
      <c r="AC421" s="103">
        <f>IF(AB421&lt;4,4,AB421)</f>
        <v>18.558051455277401</v>
      </c>
      <c r="AD421" s="103">
        <f>IF(M421&lt;L421,((1-(M421/L421))*7)-0.07,(1-(M421/L421))*5)</f>
        <v>1.0237499999999999</v>
      </c>
      <c r="AE421" s="154">
        <f>+X421+AA421+AC421+AD421</f>
        <v>17.7818014552774</v>
      </c>
      <c r="AG421" s="5"/>
      <c r="AH421" s="5"/>
      <c r="AI421" s="5"/>
      <c r="AJ421" s="103">
        <f>+AO283*LeagueRatings!$K$27</f>
        <v>0</v>
      </c>
      <c r="AK421" s="72">
        <f>F418*LeagueRatings!$K$27</f>
        <v>5.5555555555555554</v>
      </c>
      <c r="AL421" s="72">
        <f>G418*LeagueRatings!$K$27</f>
        <v>5.5555555555555554</v>
      </c>
      <c r="AM421" s="72">
        <f>T421*LeagueRatings!$K$27</f>
        <v>143.88888888888889</v>
      </c>
      <c r="AN421" s="30"/>
      <c r="AO421" s="14">
        <f t="shared" si="0"/>
        <v>0</v>
      </c>
    </row>
    <row r="422" spans="1:41" x14ac:dyDescent="0.2">
      <c r="A422" s="41" t="s">
        <v>573</v>
      </c>
      <c r="B422" s="76" t="s">
        <v>164</v>
      </c>
      <c r="L422" s="157">
        <f>(L420/100)/((L420+L421)/100)</f>
        <v>0.645095103421505</v>
      </c>
      <c r="T422" s="158"/>
      <c r="U422" s="158"/>
      <c r="V422" s="153"/>
      <c r="W422" s="152">
        <f>W420*L422</f>
        <v>-5.0742149064647224</v>
      </c>
      <c r="X422" s="153"/>
      <c r="Y422" s="153"/>
      <c r="Z422" s="152">
        <f>Z420*L422</f>
        <v>13.19060633450705</v>
      </c>
      <c r="AA422" s="153"/>
      <c r="AB422" s="103"/>
      <c r="AC422" s="103"/>
      <c r="AD422" s="103"/>
      <c r="AE422" s="154">
        <f>AE420*L422</f>
        <v>5.3628637819132727</v>
      </c>
      <c r="AG422" s="5"/>
      <c r="AH422" s="5"/>
      <c r="AI422" s="5"/>
      <c r="AJ422" s="103"/>
      <c r="AK422" s="72">
        <f>F419*LeagueRatings!$K$27</f>
        <v>0</v>
      </c>
      <c r="AL422" s="72">
        <f>G419*LeagueRatings!$K$27</f>
        <v>0</v>
      </c>
      <c r="AM422" s="72">
        <f>T422*LeagueRatings!$K$27</f>
        <v>0</v>
      </c>
      <c r="AN422" s="30"/>
      <c r="AO422" s="14">
        <f t="shared" si="0"/>
        <v>0</v>
      </c>
    </row>
    <row r="423" spans="1:41" x14ac:dyDescent="0.2">
      <c r="C423" s="76">
        <v>2</v>
      </c>
      <c r="D423" s="76">
        <v>5</v>
      </c>
      <c r="E423" s="97">
        <v>4.5999999999999996</v>
      </c>
      <c r="F423" s="76">
        <v>30</v>
      </c>
      <c r="G423" s="76">
        <v>8</v>
      </c>
      <c r="H423" s="76">
        <v>0</v>
      </c>
      <c r="I423" s="76">
        <v>0</v>
      </c>
      <c r="J423" s="76">
        <v>0</v>
      </c>
      <c r="K423" s="76">
        <v>0</v>
      </c>
      <c r="L423" s="157">
        <f>(L421/100)/((L420+L421)/100)</f>
        <v>0.354904896578495</v>
      </c>
      <c r="T423" s="158"/>
      <c r="U423" s="158"/>
      <c r="V423" s="153"/>
      <c r="W423" s="152">
        <f>W421*L423</f>
        <v>0.25553012467969172</v>
      </c>
      <c r="X423" s="153"/>
      <c r="Y423" s="153"/>
      <c r="Z423" s="152">
        <f>Z421*L423</f>
        <v>9.6955609281171924</v>
      </c>
      <c r="AA423" s="153"/>
      <c r="AB423" s="103"/>
      <c r="AC423" s="103"/>
      <c r="AD423" s="103"/>
      <c r="AE423" s="154">
        <f>AE421*L423</f>
        <v>6.3108484064645571</v>
      </c>
      <c r="AG423" s="5"/>
      <c r="AH423" s="5"/>
      <c r="AI423" s="5"/>
      <c r="AJ423" s="103"/>
      <c r="AK423" s="72">
        <f>F420*LeagueRatings!$K$27</f>
        <v>0</v>
      </c>
      <c r="AL423" s="72">
        <f>G420*LeagueRatings!$K$27</f>
        <v>0</v>
      </c>
      <c r="AM423" s="72">
        <f>T423*LeagueRatings!$K$27</f>
        <v>0</v>
      </c>
      <c r="AN423" s="30"/>
      <c r="AO423" s="14">
        <f t="shared" si="0"/>
        <v>1</v>
      </c>
    </row>
    <row r="424" spans="1:41" x14ac:dyDescent="0.2">
      <c r="C424" s="76">
        <v>0</v>
      </c>
      <c r="D424" s="76">
        <v>1</v>
      </c>
      <c r="E424" s="97">
        <v>3.12</v>
      </c>
      <c r="F424" s="76">
        <v>5</v>
      </c>
      <c r="G424" s="76">
        <v>1</v>
      </c>
      <c r="H424" s="76">
        <v>0</v>
      </c>
      <c r="I424" s="76">
        <v>0</v>
      </c>
      <c r="J424" s="76">
        <v>0</v>
      </c>
      <c r="K424" s="76">
        <v>0</v>
      </c>
      <c r="T424" s="158"/>
      <c r="U424" s="158"/>
      <c r="V424" s="153"/>
      <c r="W424" s="152">
        <f>SUM(W422:W423)</f>
        <v>-4.8186847817850307</v>
      </c>
      <c r="X424" s="153"/>
      <c r="Y424" s="153"/>
      <c r="Z424" s="152">
        <f>SUM(Z422:Z423)</f>
        <v>22.886167262624241</v>
      </c>
      <c r="AA424" s="153"/>
      <c r="AB424" s="103"/>
      <c r="AC424" s="103"/>
      <c r="AD424" s="103"/>
      <c r="AE424" s="153">
        <f>SUM(AE422:AE423)</f>
        <v>11.673712188377831</v>
      </c>
      <c r="AF424" s="41" t="s">
        <v>547</v>
      </c>
      <c r="AG424" s="5" t="s">
        <v>39</v>
      </c>
      <c r="AH424" s="5" t="s">
        <v>46</v>
      </c>
      <c r="AI424" s="5" t="s">
        <v>54</v>
      </c>
      <c r="AJ424" s="174">
        <f>SUM(AJ420:AJ423)</f>
        <v>0</v>
      </c>
      <c r="AK424" s="14">
        <f>SUM(AK420:AK423)</f>
        <v>16.666666666666664</v>
      </c>
      <c r="AL424" s="14">
        <f>SUM(AL420:AL423)</f>
        <v>16.666666666666664</v>
      </c>
      <c r="AM424" s="14">
        <f>SUM(AM420:AM423)</f>
        <v>425.55555555555554</v>
      </c>
      <c r="AN424" s="30"/>
      <c r="AO424" s="14">
        <f t="shared" si="0"/>
        <v>6</v>
      </c>
    </row>
    <row r="425" spans="1:41" x14ac:dyDescent="0.2">
      <c r="AK425" s="72">
        <f>F422*LeagueRatings!$K$27</f>
        <v>0</v>
      </c>
      <c r="AL425" s="72">
        <f>G422*LeagueRatings!$K$27</f>
        <v>0</v>
      </c>
      <c r="AM425" s="72">
        <f>T425*LeagueRatings!$K$27</f>
        <v>0</v>
      </c>
      <c r="AN425" s="30"/>
      <c r="AO425" s="14">
        <f t="shared" si="0"/>
        <v>166</v>
      </c>
    </row>
    <row r="426" spans="1:41" x14ac:dyDescent="0.2">
      <c r="L426" s="97">
        <v>92</v>
      </c>
      <c r="M426" s="76">
        <v>92</v>
      </c>
      <c r="N426" s="76">
        <v>49</v>
      </c>
      <c r="O426" s="76">
        <v>47</v>
      </c>
      <c r="P426" s="76">
        <v>9</v>
      </c>
      <c r="Q426" s="76">
        <v>41</v>
      </c>
      <c r="R426" s="76">
        <v>1</v>
      </c>
      <c r="S426" s="76">
        <v>74</v>
      </c>
      <c r="T426" s="76">
        <v>408</v>
      </c>
      <c r="V426" s="162">
        <f>+(Q426-R426)/(T426-R426)*100</f>
        <v>9.8280098280098276</v>
      </c>
      <c r="W426" s="163">
        <f>IF(V426&lt;LeagueRatings!$K$21,((LeagueRatings!$K$21-V426)/LeagueRatings!$K$21)*36,(LeagueRatings!$K$21-V426)*6.48)</f>
        <v>-5.6699627061726501</v>
      </c>
      <c r="X426" s="146">
        <v>1.1100000000000001</v>
      </c>
      <c r="Y426" s="164">
        <f>(P426/(T426-R426))*100</f>
        <v>2.2113022113022112</v>
      </c>
      <c r="Z426" s="163">
        <f>IF(Y426&lt;LeagueRatings!$K$19,((LeagueRatings!$K$19-Y426)/LeagueRatings!$K$19)*36,(LeagueRatings!$K$19-Y426)/LeagueRatings!$K$22)</f>
        <v>8.62487191635174</v>
      </c>
      <c r="AA426" s="146">
        <v>0</v>
      </c>
      <c r="AB426" s="71">
        <f>+((LeagueRatings!$I$17-E423)*5)+9.5</f>
        <v>7.3143872437063644</v>
      </c>
      <c r="AC426" s="71">
        <f>IF(AB426&lt;4,4,AB426)</f>
        <v>7.3143872437063644</v>
      </c>
      <c r="AD426" s="103">
        <f>IF(M426&lt;L426,((1-(M426/L426))*7)-0.07,(1-(M426/L426))*5)</f>
        <v>0</v>
      </c>
      <c r="AE426" s="165">
        <f>+X426+AA426+AC426+AD426</f>
        <v>8.4243872437063647</v>
      </c>
      <c r="AJ426" s="103">
        <f>+AO294*LeagueRatings!$K$27</f>
        <v>0</v>
      </c>
      <c r="AK426" s="72">
        <f>F423*LeagueRatings!$K$27</f>
        <v>16.666666666666668</v>
      </c>
      <c r="AL426" s="72">
        <f>G423*LeagueRatings!$K$27</f>
        <v>4.4444444444444446</v>
      </c>
      <c r="AM426" s="72">
        <f>T426*LeagueRatings!$K$27</f>
        <v>226.66666666666669</v>
      </c>
      <c r="AN426" s="30"/>
      <c r="AO426" s="14">
        <f t="shared" si="0"/>
        <v>1</v>
      </c>
    </row>
    <row r="427" spans="1:41" x14ac:dyDescent="0.2">
      <c r="A427" t="s">
        <v>505</v>
      </c>
      <c r="B427" s="76" t="s">
        <v>146</v>
      </c>
      <c r="L427" s="97">
        <v>8.67</v>
      </c>
      <c r="M427" s="76">
        <v>5</v>
      </c>
      <c r="N427" s="76">
        <v>4</v>
      </c>
      <c r="O427" s="76">
        <v>3</v>
      </c>
      <c r="P427" s="76">
        <v>0</v>
      </c>
      <c r="Q427" s="76">
        <v>5</v>
      </c>
      <c r="R427" s="76">
        <v>1</v>
      </c>
      <c r="S427" s="76">
        <v>9</v>
      </c>
      <c r="T427" s="76">
        <v>35</v>
      </c>
      <c r="U427" s="138"/>
      <c r="V427" s="162">
        <f>+(Q427-R427)/(T427-R427)*100</f>
        <v>11.76470588235294</v>
      </c>
      <c r="W427" s="163">
        <f>IF(V427&lt;LeagueRatings!$K$21,((LeagueRatings!$K$21-V427)/LeagueRatings!$K$21)*36,(LeagueRatings!$K$21-V427)*6.48)</f>
        <v>-18.219753138316019</v>
      </c>
      <c r="X427" s="164">
        <v>3.06</v>
      </c>
      <c r="Y427" s="164">
        <f>(P427/(T427-R427))*100</f>
        <v>0</v>
      </c>
      <c r="Z427" s="163">
        <f>IF(Y427&lt;LeagueRatings!$K$19,((LeagueRatings!$K$19-Y427)/LeagueRatings!$K$19)*36,(LeagueRatings!$K$19-Y427)/LeagueRatings!$K$22)</f>
        <v>36</v>
      </c>
      <c r="AA427" s="164">
        <v>-3.26</v>
      </c>
      <c r="AB427" s="71">
        <f>+((LeagueRatings!$I$17-E424)*5)+9.5</f>
        <v>14.714387243706362</v>
      </c>
      <c r="AC427" s="71">
        <f>IF(AB427&lt;4,4,AB427)</f>
        <v>14.714387243706362</v>
      </c>
      <c r="AD427" s="103">
        <f>IF(M427&lt;L427,((1-(M427/L427))*7)-0.07,(1-(M427/L427))*5)</f>
        <v>2.8930911188004615</v>
      </c>
      <c r="AE427" s="165">
        <f>+X427+AA427+AC427+AD427</f>
        <v>17.407478362506826</v>
      </c>
      <c r="AG427" s="5"/>
      <c r="AH427" s="5"/>
      <c r="AI427" s="5"/>
      <c r="AJ427" s="103">
        <f>+AO295*LeagueRatings!$K$27</f>
        <v>0</v>
      </c>
      <c r="AK427" s="72">
        <f>F424*LeagueRatings!$K$27</f>
        <v>2.7777777777777777</v>
      </c>
      <c r="AL427" s="72">
        <f>G424*LeagueRatings!$K$27</f>
        <v>0.55555555555555558</v>
      </c>
      <c r="AM427" s="72">
        <f>T427*LeagueRatings!$K$27</f>
        <v>19.444444444444446</v>
      </c>
      <c r="AN427" s="30"/>
      <c r="AO427" s="14">
        <f t="shared" ref="AO427:AO458" si="1">ROUNDUP(L544,0)</f>
        <v>1</v>
      </c>
    </row>
    <row r="428" spans="1:41" x14ac:dyDescent="0.2">
      <c r="A428" s="41" t="s">
        <v>505</v>
      </c>
      <c r="B428" s="76" t="s">
        <v>161</v>
      </c>
      <c r="L428" s="157">
        <f>(L426/100)/((L426+L427)/100)</f>
        <v>0.91387702393960479</v>
      </c>
      <c r="T428" s="158"/>
      <c r="U428" s="158"/>
      <c r="V428" s="153"/>
      <c r="W428" s="152">
        <f>W426*L428</f>
        <v>-5.1816486437656097</v>
      </c>
      <c r="X428" s="153"/>
      <c r="Y428" s="153"/>
      <c r="Z428" s="152">
        <f>Z426*L428</f>
        <v>7.8820722787758042</v>
      </c>
      <c r="AA428" s="153"/>
      <c r="AB428" s="103"/>
      <c r="AC428" s="103"/>
      <c r="AD428" s="103"/>
      <c r="AE428" s="154">
        <f>AE426*L428</f>
        <v>7.6988539427931428</v>
      </c>
      <c r="AG428" s="5"/>
      <c r="AH428" s="5"/>
      <c r="AI428" s="5"/>
      <c r="AJ428" s="103"/>
      <c r="AK428" s="72">
        <f>F425*LeagueRatings!$K$27</f>
        <v>0</v>
      </c>
      <c r="AL428" s="72">
        <f>G425*LeagueRatings!$K$27</f>
        <v>0</v>
      </c>
      <c r="AM428" s="72">
        <f>T428*LeagueRatings!$K$27</f>
        <v>0</v>
      </c>
      <c r="AN428" s="30"/>
      <c r="AO428" s="14">
        <f t="shared" si="1"/>
        <v>1</v>
      </c>
    </row>
    <row r="429" spans="1:41" x14ac:dyDescent="0.2">
      <c r="C429" s="76">
        <v>2</v>
      </c>
      <c r="D429" s="76">
        <v>4</v>
      </c>
      <c r="E429" s="97">
        <v>6.07</v>
      </c>
      <c r="F429" s="76">
        <v>17</v>
      </c>
      <c r="G429" s="76">
        <v>10</v>
      </c>
      <c r="H429" s="76">
        <v>0</v>
      </c>
      <c r="I429" s="76">
        <v>0</v>
      </c>
      <c r="J429" s="76">
        <v>0</v>
      </c>
      <c r="K429" s="76">
        <v>0</v>
      </c>
      <c r="L429" s="157">
        <f>(L427/100)/((L426+L427)/100)</f>
        <v>8.6122976060395359E-2</v>
      </c>
      <c r="T429" s="158"/>
      <c r="U429" s="158"/>
      <c r="V429" s="153"/>
      <c r="W429" s="152">
        <f>W427*L429</f>
        <v>-1.5691393633575037</v>
      </c>
      <c r="X429" s="153"/>
      <c r="Y429" s="153"/>
      <c r="Z429" s="152">
        <f>Z427*L429</f>
        <v>3.1004271381742328</v>
      </c>
      <c r="AA429" s="153"/>
      <c r="AB429" s="103"/>
      <c r="AC429" s="103"/>
      <c r="AD429" s="103"/>
      <c r="AE429" s="154">
        <f>AE427*L429</f>
        <v>1.4991838422860255</v>
      </c>
      <c r="AG429" s="5"/>
      <c r="AH429" s="5"/>
      <c r="AI429" s="5"/>
      <c r="AJ429" s="103"/>
      <c r="AK429" s="72">
        <f>F426*LeagueRatings!$K$27</f>
        <v>0</v>
      </c>
      <c r="AL429" s="72">
        <f>G426*LeagueRatings!$K$27</f>
        <v>0</v>
      </c>
      <c r="AM429" s="72">
        <f>T429*LeagueRatings!$K$27</f>
        <v>0</v>
      </c>
      <c r="AN429" s="30"/>
      <c r="AO429" s="14">
        <f t="shared" si="1"/>
        <v>0</v>
      </c>
    </row>
    <row r="430" spans="1:41" x14ac:dyDescent="0.2">
      <c r="C430" s="76">
        <v>2</v>
      </c>
      <c r="D430" s="76">
        <v>1</v>
      </c>
      <c r="E430" s="97">
        <v>3.98</v>
      </c>
      <c r="F430" s="76">
        <v>4</v>
      </c>
      <c r="G430" s="76">
        <v>4</v>
      </c>
      <c r="H430" s="76">
        <v>0</v>
      </c>
      <c r="I430" s="76">
        <v>0</v>
      </c>
      <c r="J430" s="76">
        <v>0</v>
      </c>
      <c r="K430" s="76">
        <v>0</v>
      </c>
      <c r="T430" s="158"/>
      <c r="U430" s="158"/>
      <c r="V430" s="153"/>
      <c r="W430" s="152">
        <f>SUM(W428:W429)</f>
        <v>-6.7507880071231137</v>
      </c>
      <c r="X430" s="153"/>
      <c r="Y430" s="153"/>
      <c r="Z430" s="152">
        <f>SUM(Z428:Z429)</f>
        <v>10.982499416950038</v>
      </c>
      <c r="AA430" s="153"/>
      <c r="AB430" s="103"/>
      <c r="AC430" s="103"/>
      <c r="AD430" s="103"/>
      <c r="AE430" s="153">
        <f>SUM(AE428:AE429)</f>
        <v>9.198037785079169</v>
      </c>
      <c r="AF430" s="41" t="s">
        <v>573</v>
      </c>
      <c r="AG430" s="5" t="s">
        <v>66</v>
      </c>
      <c r="AH430" s="5" t="s">
        <v>18</v>
      </c>
      <c r="AI430" s="5" t="s">
        <v>22</v>
      </c>
      <c r="AJ430" s="174">
        <f>SUM(AJ426:AJ429)</f>
        <v>0</v>
      </c>
      <c r="AK430" s="14">
        <f>SUM(AK426:AK429)</f>
        <v>19.444444444444446</v>
      </c>
      <c r="AL430" s="14">
        <f>SUM(AL426:AL429)</f>
        <v>5</v>
      </c>
      <c r="AM430" s="14">
        <f>SUM(AM426:AM429)</f>
        <v>246.11111111111114</v>
      </c>
      <c r="AN430" s="30"/>
      <c r="AO430" s="14">
        <f t="shared" si="1"/>
        <v>0</v>
      </c>
    </row>
    <row r="431" spans="1:41" x14ac:dyDescent="0.2">
      <c r="AK431" s="72">
        <f>F428*LeagueRatings!$K$27</f>
        <v>0</v>
      </c>
      <c r="AL431" s="72">
        <f>G428*LeagueRatings!$K$27</f>
        <v>0</v>
      </c>
      <c r="AM431" s="72">
        <f>T431*LeagueRatings!$K$27</f>
        <v>0</v>
      </c>
      <c r="AN431" s="30"/>
      <c r="AO431" s="14">
        <f t="shared" si="1"/>
        <v>78</v>
      </c>
    </row>
    <row r="432" spans="1:41" x14ac:dyDescent="0.2">
      <c r="L432" s="97">
        <v>59.33</v>
      </c>
      <c r="M432" s="76">
        <v>69</v>
      </c>
      <c r="N432" s="76">
        <v>45</v>
      </c>
      <c r="O432" s="76">
        <v>40</v>
      </c>
      <c r="P432" s="76">
        <v>10</v>
      </c>
      <c r="Q432" s="76">
        <v>26</v>
      </c>
      <c r="R432" s="76">
        <v>0</v>
      </c>
      <c r="S432" s="76">
        <v>43</v>
      </c>
      <c r="T432" s="76">
        <v>277</v>
      </c>
      <c r="V432" s="151">
        <f>+(Q432-R432)/(T432-R432)*100</f>
        <v>9.3862815884476536</v>
      </c>
      <c r="W432" s="152">
        <f>IF(V432&lt;LeagueRatings!$K$10,((LeagueRatings!$K$10-V432)/LeagueRatings!$K$10)*36,(LeagueRatings!$K$10-V432)*6.48)</f>
        <v>-4.6573241989471352</v>
      </c>
      <c r="X432" s="146">
        <v>0.76</v>
      </c>
      <c r="Y432" s="153">
        <f>(P432/(T432-R432))*100</f>
        <v>3.6101083032490973</v>
      </c>
      <c r="Z432" s="152">
        <f>IF(Y432&lt;LeagueRatings!$K$8,((LeagueRatings!$K$8-Y432)/LeagueRatings!$K$8)*36,(LeagueRatings!$K$8-Y432)/LeagueRatings!$K$11)</f>
        <v>-3.2388355184598696</v>
      </c>
      <c r="AA432" s="146">
        <v>0.92</v>
      </c>
      <c r="AB432" s="103">
        <f>+((LeagueRatings!$I$6-E429)*5)+9.5</f>
        <v>0.15805145527740194</v>
      </c>
      <c r="AC432" s="103">
        <f>IF(AB432&lt;4,4,AB432)</f>
        <v>4</v>
      </c>
      <c r="AD432" s="103">
        <f>IF(M432&lt;L432,((1-(M432/L432))*7)-0.07,(1-(M432/L432))*5)</f>
        <v>-0.81493342322602413</v>
      </c>
      <c r="AE432" s="154">
        <f>+X432+AA432+AC432+AD432</f>
        <v>4.8650665767739758</v>
      </c>
      <c r="AJ432" s="103">
        <f>+AO306*LeagueRatings!$K$27</f>
        <v>0</v>
      </c>
      <c r="AK432" s="72">
        <f>F429*LeagueRatings!$K$27</f>
        <v>9.4444444444444446</v>
      </c>
      <c r="AL432" s="72">
        <f>G429*LeagueRatings!$K$27</f>
        <v>5.5555555555555554</v>
      </c>
      <c r="AM432" s="72">
        <f>T432*LeagueRatings!$K$27</f>
        <v>153.88888888888889</v>
      </c>
      <c r="AN432" s="30"/>
      <c r="AO432" s="14">
        <f t="shared" si="1"/>
        <v>84</v>
      </c>
    </row>
    <row r="433" spans="1:41" x14ac:dyDescent="0.2">
      <c r="A433" t="s">
        <v>338</v>
      </c>
      <c r="B433" s="76" t="s">
        <v>147</v>
      </c>
      <c r="L433" s="97">
        <v>20.329999999999998</v>
      </c>
      <c r="M433" s="76">
        <v>22</v>
      </c>
      <c r="N433" s="76">
        <v>9</v>
      </c>
      <c r="O433" s="76">
        <v>9</v>
      </c>
      <c r="P433" s="76">
        <v>2</v>
      </c>
      <c r="Q433" s="76">
        <v>7</v>
      </c>
      <c r="R433" s="76">
        <v>0</v>
      </c>
      <c r="S433" s="76">
        <v>8</v>
      </c>
      <c r="T433" s="76">
        <v>87</v>
      </c>
      <c r="U433" s="138"/>
      <c r="V433" s="151">
        <f>+(Q433-R433)/(T433-R433)*100</f>
        <v>8.0459770114942533</v>
      </c>
      <c r="W433" s="152">
        <f>IF(V433&lt;LeagueRatings!$K$10,((LeagueRatings!$K$10-V433)/LeagueRatings!$K$10)*36,(LeagueRatings!$K$10-V433)*6.48)</f>
        <v>2.5816890511221957</v>
      </c>
      <c r="X433" s="153">
        <v>-0.08</v>
      </c>
      <c r="Y433" s="153">
        <f>(P433/(T433-R433))*100</f>
        <v>2.2988505747126435</v>
      </c>
      <c r="Z433" s="152">
        <f>IF(Y433&lt;LeagueRatings!$K$8,((LeagueRatings!$K$8-Y433)/LeagueRatings!$K$8)*36,(LeagueRatings!$K$8-Y433)/LeagueRatings!$K$11)</f>
        <v>10.155842324236657</v>
      </c>
      <c r="AA433" s="153">
        <v>-7.0000000000000007E-2</v>
      </c>
      <c r="AB433" s="103">
        <f>+((LeagueRatings!$I$6-E430)*5)+9.5</f>
        <v>10.608051455277403</v>
      </c>
      <c r="AC433" s="103">
        <f>IF(AB433&lt;4,4,AB433)</f>
        <v>10.608051455277403</v>
      </c>
      <c r="AD433" s="103">
        <f>IF(M433&lt;L433,((1-(M433/L433))*7)-0.07,(1-(M433/L433))*5)</f>
        <v>-0.41072306935563296</v>
      </c>
      <c r="AE433" s="154">
        <f>+X433+AA433+AC433+AD433</f>
        <v>10.047328385921769</v>
      </c>
      <c r="AG433" s="7"/>
      <c r="AH433" s="7"/>
      <c r="AI433" s="7"/>
      <c r="AJ433" s="103">
        <f>+AO307*LeagueRatings!$K$27</f>
        <v>0</v>
      </c>
      <c r="AK433" s="72">
        <f>F430*LeagueRatings!$K$27</f>
        <v>2.2222222222222223</v>
      </c>
      <c r="AL433" s="72">
        <f>G430*LeagueRatings!$K$27</f>
        <v>2.2222222222222223</v>
      </c>
      <c r="AM433" s="72">
        <f>T433*LeagueRatings!$K$27</f>
        <v>48.333333333333336</v>
      </c>
      <c r="AN433" s="30"/>
      <c r="AO433" s="14">
        <f t="shared" si="1"/>
        <v>1</v>
      </c>
    </row>
    <row r="434" spans="1:41" x14ac:dyDescent="0.2">
      <c r="A434" s="41" t="s">
        <v>338</v>
      </c>
      <c r="B434" s="76" t="s">
        <v>150</v>
      </c>
      <c r="L434" s="157">
        <f>(L432/100)/((L432+L433)/100)</f>
        <v>0.74479035902585988</v>
      </c>
      <c r="T434" s="158"/>
      <c r="U434" s="158"/>
      <c r="V434" s="153"/>
      <c r="W434" s="152">
        <f>W432*L434</f>
        <v>-3.4687301622336619</v>
      </c>
      <c r="X434" s="153"/>
      <c r="Y434" s="153"/>
      <c r="Z434" s="152">
        <f>Z432*L434</f>
        <v>-2.4122534686194332</v>
      </c>
      <c r="AA434" s="153"/>
      <c r="AB434" s="103"/>
      <c r="AC434" s="103"/>
      <c r="AD434" s="103"/>
      <c r="AE434" s="154">
        <f>AE432*L434</f>
        <v>3.6234546824002005</v>
      </c>
      <c r="AG434" s="5"/>
      <c r="AH434" s="5"/>
      <c r="AI434" s="5"/>
      <c r="AJ434" s="103"/>
      <c r="AK434" s="72">
        <f>F431*LeagueRatings!$K$27</f>
        <v>0</v>
      </c>
      <c r="AL434" s="72">
        <f>G431*LeagueRatings!$K$27</f>
        <v>0</v>
      </c>
      <c r="AM434" s="72">
        <f>T434*LeagueRatings!$K$27</f>
        <v>0</v>
      </c>
      <c r="AN434" s="30"/>
      <c r="AO434" s="14">
        <f t="shared" si="1"/>
        <v>1</v>
      </c>
    </row>
    <row r="435" spans="1:41" x14ac:dyDescent="0.2">
      <c r="C435" s="76">
        <v>0</v>
      </c>
      <c r="D435" s="76">
        <v>2</v>
      </c>
      <c r="E435" s="97">
        <v>6.08</v>
      </c>
      <c r="F435" s="76">
        <v>38</v>
      </c>
      <c r="G435" s="76">
        <v>0</v>
      </c>
      <c r="H435" s="76">
        <v>0</v>
      </c>
      <c r="I435" s="76">
        <v>0</v>
      </c>
      <c r="J435" s="76">
        <v>1</v>
      </c>
      <c r="K435" s="76">
        <v>1</v>
      </c>
      <c r="L435" s="157">
        <f>(L433/100)/((L432+L433)/100)</f>
        <v>0.25520964097414006</v>
      </c>
      <c r="T435" s="158"/>
      <c r="U435" s="158"/>
      <c r="V435" s="153"/>
      <c r="W435" s="152">
        <f>W433*L435</f>
        <v>0.65887193584376391</v>
      </c>
      <c r="X435" s="153"/>
      <c r="Y435" s="153"/>
      <c r="Z435" s="152">
        <f>Z433*L435</f>
        <v>2.5918688733584134</v>
      </c>
      <c r="AA435" s="153"/>
      <c r="AB435" s="103"/>
      <c r="AC435" s="103"/>
      <c r="AD435" s="103"/>
      <c r="AE435" s="154">
        <f>AE433*L435</f>
        <v>2.5641750701203812</v>
      </c>
      <c r="AG435" s="5"/>
      <c r="AH435" s="5"/>
      <c r="AI435" s="5"/>
      <c r="AJ435" s="103"/>
      <c r="AK435" s="72">
        <f>F432*LeagueRatings!$K$27</f>
        <v>0</v>
      </c>
      <c r="AL435" s="72">
        <f>G432*LeagueRatings!$K$27</f>
        <v>0</v>
      </c>
      <c r="AM435" s="72">
        <f>T435*LeagueRatings!$K$27</f>
        <v>0</v>
      </c>
      <c r="AN435" s="30"/>
      <c r="AO435" s="14">
        <f t="shared" si="1"/>
        <v>0</v>
      </c>
    </row>
    <row r="436" spans="1:41" x14ac:dyDescent="0.2">
      <c r="C436" s="76">
        <v>0</v>
      </c>
      <c r="D436" s="76">
        <v>2</v>
      </c>
      <c r="E436" s="97">
        <v>3.14</v>
      </c>
      <c r="F436" s="76">
        <v>17</v>
      </c>
      <c r="G436" s="76">
        <v>0</v>
      </c>
      <c r="H436" s="76">
        <v>0</v>
      </c>
      <c r="I436" s="76">
        <v>0</v>
      </c>
      <c r="J436" s="76">
        <v>0</v>
      </c>
      <c r="K436" s="76">
        <v>1</v>
      </c>
      <c r="T436" s="158"/>
      <c r="U436" s="158"/>
      <c r="V436" s="153"/>
      <c r="W436" s="152">
        <f>SUM(W434:W435)</f>
        <v>-2.8098582263898981</v>
      </c>
      <c r="X436" s="153"/>
      <c r="Y436" s="153"/>
      <c r="Z436" s="152">
        <f>SUM(Z434:Z435)</f>
        <v>0.17961540473898019</v>
      </c>
      <c r="AA436" s="153"/>
      <c r="AB436" s="103"/>
      <c r="AC436" s="103"/>
      <c r="AD436" s="103"/>
      <c r="AE436" s="153">
        <f>SUM(AE434:AE435)</f>
        <v>6.1876297525205821</v>
      </c>
      <c r="AF436" s="41" t="s">
        <v>505</v>
      </c>
      <c r="AG436" s="5" t="s">
        <v>24</v>
      </c>
      <c r="AH436" s="5" t="s">
        <v>44</v>
      </c>
      <c r="AI436" s="5" t="s">
        <v>35</v>
      </c>
      <c r="AJ436" s="174">
        <f>SUM(AJ432:AJ435)</f>
        <v>0</v>
      </c>
      <c r="AK436" s="14">
        <f>SUM(AK432:AK435)</f>
        <v>11.666666666666668</v>
      </c>
      <c r="AL436" s="14">
        <f>SUM(AL432:AL435)</f>
        <v>7.7777777777777777</v>
      </c>
      <c r="AM436" s="14">
        <f>SUM(AM432:AM435)</f>
        <v>202.22222222222223</v>
      </c>
      <c r="AN436" s="30"/>
      <c r="AO436" s="14">
        <f t="shared" si="1"/>
        <v>0</v>
      </c>
    </row>
    <row r="437" spans="1:41" x14ac:dyDescent="0.2">
      <c r="AK437" s="72">
        <f>F434*LeagueRatings!$K$27</f>
        <v>0</v>
      </c>
      <c r="AL437" s="72">
        <f>G434*LeagueRatings!$K$27</f>
        <v>0</v>
      </c>
      <c r="AM437" s="72">
        <f>T437*LeagueRatings!$K$27</f>
        <v>0</v>
      </c>
      <c r="AN437" s="30"/>
      <c r="AO437" s="14">
        <f t="shared" si="1"/>
        <v>0</v>
      </c>
    </row>
    <row r="438" spans="1:41" x14ac:dyDescent="0.2">
      <c r="L438" s="97">
        <v>23.67</v>
      </c>
      <c r="M438" s="76">
        <v>24</v>
      </c>
      <c r="N438" s="76">
        <v>17</v>
      </c>
      <c r="O438" s="76">
        <v>16</v>
      </c>
      <c r="P438" s="76">
        <v>1</v>
      </c>
      <c r="Q438" s="76">
        <v>15</v>
      </c>
      <c r="R438" s="76">
        <v>2</v>
      </c>
      <c r="S438" s="76">
        <v>22</v>
      </c>
      <c r="T438" s="76">
        <v>108</v>
      </c>
      <c r="V438" s="151">
        <f>+(Q438-R438)/(T438-R438)*100</f>
        <v>12.264150943396226</v>
      </c>
      <c r="W438" s="152">
        <f>IF(V438&lt;LeagueRatings!$K$10,((LeagueRatings!$K$10-V438)/LeagueRatings!$K$10)*36,(LeagueRatings!$K$10-V438)*6.48)</f>
        <v>-23.305917619013886</v>
      </c>
      <c r="X438" s="146">
        <v>3.61</v>
      </c>
      <c r="Y438" s="153">
        <f>(P438/(T438-R438))*100</f>
        <v>0.94339622641509435</v>
      </c>
      <c r="Z438" s="152">
        <f>IF(Y438&lt;LeagueRatings!$K$8,((LeagueRatings!$K$8-Y438)/LeagueRatings!$K$8)*36,(LeagueRatings!$K$8-Y438)/LeagueRatings!$K$11)</f>
        <v>25.394142840606548</v>
      </c>
      <c r="AA438" s="146">
        <v>-1.78</v>
      </c>
      <c r="AB438" s="103">
        <f>+((LeagueRatings!$I$6-E435)*5)+9.5</f>
        <v>0.10805145527740301</v>
      </c>
      <c r="AC438" s="103">
        <f>IF(AB438&lt;4,4,AB438)</f>
        <v>4</v>
      </c>
      <c r="AD438" s="103">
        <f>IF(M438&lt;L438,((1-(M438/L438))*7)-0.07,(1-(M438/L438))*5)</f>
        <v>-6.9708491761723002E-2</v>
      </c>
      <c r="AE438" s="154">
        <f>+X438+AA438+AC438+AD438</f>
        <v>5.7602915082382768</v>
      </c>
      <c r="AJ438" s="103">
        <f>+AO318*LeagueRatings!$K$27</f>
        <v>0</v>
      </c>
      <c r="AK438" s="72">
        <f>F435*LeagueRatings!$K$27</f>
        <v>21.111111111111111</v>
      </c>
      <c r="AL438" s="72">
        <f>G435*LeagueRatings!$K$27</f>
        <v>0</v>
      </c>
      <c r="AM438" s="72">
        <f>T438*LeagueRatings!$K$27</f>
        <v>60</v>
      </c>
      <c r="AN438" s="30"/>
      <c r="AO438" s="14">
        <f t="shared" si="1"/>
        <v>25</v>
      </c>
    </row>
    <row r="439" spans="1:41" x14ac:dyDescent="0.2">
      <c r="A439" t="s">
        <v>640</v>
      </c>
      <c r="B439" s="76" t="s">
        <v>155</v>
      </c>
      <c r="L439" s="97">
        <v>14.33</v>
      </c>
      <c r="M439" s="76">
        <v>12</v>
      </c>
      <c r="N439" s="76">
        <v>7</v>
      </c>
      <c r="O439" s="76">
        <v>5</v>
      </c>
      <c r="P439" s="76">
        <v>1</v>
      </c>
      <c r="Q439" s="76">
        <v>5</v>
      </c>
      <c r="R439" s="76">
        <v>0</v>
      </c>
      <c r="S439" s="76">
        <v>3</v>
      </c>
      <c r="T439" s="76">
        <v>57</v>
      </c>
      <c r="V439" s="151">
        <f>+(Q439-R439)/(T439-R439)*100</f>
        <v>8.7719298245614024</v>
      </c>
      <c r="W439" s="152">
        <f>IF(V439&lt;LeagueRatings!$K$21,((LeagueRatings!$K$21-V439)/LeagueRatings!$K$21)*36,(LeagueRatings!$K$21-V439)*6.48)</f>
        <v>0.72814430528680663</v>
      </c>
      <c r="X439" s="153">
        <v>0.36</v>
      </c>
      <c r="Y439" s="153">
        <f>(P439/(T439-R439))*100</f>
        <v>1.7543859649122806</v>
      </c>
      <c r="Z439" s="152">
        <f>IF(Y439&lt;LeagueRatings!$K$19,((LeagueRatings!$K$19-Y439)/LeagueRatings!$K$19)*36,(LeagueRatings!$K$19-Y439)/LeagueRatings!$K$22)</f>
        <v>14.281331130516877</v>
      </c>
      <c r="AA439" s="153">
        <v>-0.56999999999999995</v>
      </c>
      <c r="AB439" s="103">
        <f>+((LeagueRatings!$I$17-E436)*5)+9.5</f>
        <v>14.614387243706362</v>
      </c>
      <c r="AC439" s="103">
        <f>IF(AB439&lt;4,4,AB439)</f>
        <v>14.614387243706362</v>
      </c>
      <c r="AD439" s="103">
        <f>IF(M439&lt;L439,((1-(M439/L439))*7)-0.07,(1-(M439/L439))*5)</f>
        <v>1.0681716678297282</v>
      </c>
      <c r="AE439" s="154">
        <f>+X439+AA439+AC439+AD439</f>
        <v>15.472558911536092</v>
      </c>
      <c r="AJ439" s="103">
        <f>+AO319*LeagueRatings!$K$27</f>
        <v>0</v>
      </c>
      <c r="AK439" s="72">
        <f>F436*LeagueRatings!$K$27</f>
        <v>9.4444444444444446</v>
      </c>
      <c r="AL439" s="72">
        <f>G436*LeagueRatings!$K$27</f>
        <v>0</v>
      </c>
      <c r="AM439" s="72">
        <f>T439*LeagueRatings!$K$27</f>
        <v>31.666666666666668</v>
      </c>
      <c r="AN439" s="30"/>
      <c r="AO439" s="14">
        <f t="shared" si="1"/>
        <v>4</v>
      </c>
    </row>
    <row r="440" spans="1:41" x14ac:dyDescent="0.2">
      <c r="A440" s="41" t="s">
        <v>640</v>
      </c>
      <c r="B440" s="76" t="s">
        <v>150</v>
      </c>
      <c r="L440" s="157">
        <f>(L438/100)/((L438+L439)/100)</f>
        <v>0.62289473684210528</v>
      </c>
      <c r="V440" s="153"/>
      <c r="W440" s="152">
        <f>W438*L440</f>
        <v>-14.517133422159439</v>
      </c>
      <c r="X440" s="153"/>
      <c r="Y440" s="153"/>
      <c r="Z440" s="152">
        <f>Z438*L440</f>
        <v>15.817877922030448</v>
      </c>
      <c r="AA440" s="153"/>
      <c r="AB440" s="103"/>
      <c r="AC440" s="103"/>
      <c r="AD440" s="103"/>
      <c r="AE440" s="154">
        <f>AE438*L440</f>
        <v>3.5880552631578952</v>
      </c>
      <c r="AJ440" s="103"/>
      <c r="AK440" s="72">
        <f>F437*LeagueRatings!$K$27</f>
        <v>0</v>
      </c>
      <c r="AL440" s="72">
        <f>G437*LeagueRatings!$K$27</f>
        <v>0</v>
      </c>
      <c r="AM440" s="72">
        <f>T440*LeagueRatings!$K$27</f>
        <v>0</v>
      </c>
      <c r="AN440" s="30"/>
      <c r="AO440" s="14">
        <f t="shared" si="1"/>
        <v>1</v>
      </c>
    </row>
    <row r="441" spans="1:41" x14ac:dyDescent="0.2">
      <c r="C441" s="76">
        <v>1</v>
      </c>
      <c r="D441" s="76">
        <v>1</v>
      </c>
      <c r="E441" s="97">
        <v>3.34</v>
      </c>
      <c r="F441" s="76">
        <v>38</v>
      </c>
      <c r="G441" s="76">
        <v>0</v>
      </c>
      <c r="H441" s="76">
        <v>0</v>
      </c>
      <c r="I441" s="76">
        <v>0</v>
      </c>
      <c r="J441" s="76">
        <v>0</v>
      </c>
      <c r="K441" s="76">
        <v>2</v>
      </c>
      <c r="L441" s="157">
        <f>(L439/100)/((L438+L439)/100)</f>
        <v>0.37710526315789478</v>
      </c>
      <c r="V441" s="153"/>
      <c r="W441" s="152">
        <f>W439*L441</f>
        <v>0.27458704986210369</v>
      </c>
      <c r="X441" s="153"/>
      <c r="Y441" s="153"/>
      <c r="Z441" s="152">
        <f>Z439*L441</f>
        <v>5.3855651342186022</v>
      </c>
      <c r="AA441" s="153"/>
      <c r="AB441" s="103"/>
      <c r="AC441" s="103"/>
      <c r="AD441" s="103"/>
      <c r="AE441" s="154">
        <f>AE439*L441</f>
        <v>5.8347834000608483</v>
      </c>
      <c r="AJ441" s="103"/>
      <c r="AK441" s="72">
        <f>F438*LeagueRatings!$K$27</f>
        <v>0</v>
      </c>
      <c r="AL441" s="72">
        <f>G438*LeagueRatings!$K$27</f>
        <v>0</v>
      </c>
      <c r="AM441" s="72">
        <f>T441*LeagueRatings!$K$27</f>
        <v>0</v>
      </c>
      <c r="AN441" s="30"/>
      <c r="AO441" s="14">
        <f t="shared" si="1"/>
        <v>1</v>
      </c>
    </row>
    <row r="442" spans="1:41" x14ac:dyDescent="0.2">
      <c r="C442" s="76">
        <v>3</v>
      </c>
      <c r="D442" s="76">
        <v>0</v>
      </c>
      <c r="E442" s="97">
        <v>1.53</v>
      </c>
      <c r="F442" s="76">
        <v>23</v>
      </c>
      <c r="G442" s="76">
        <v>0</v>
      </c>
      <c r="H442" s="76">
        <v>0</v>
      </c>
      <c r="I442" s="76">
        <v>0</v>
      </c>
      <c r="J442" s="76">
        <v>0</v>
      </c>
      <c r="K442" s="76">
        <v>0</v>
      </c>
      <c r="V442" s="153"/>
      <c r="W442" s="152">
        <f>SUM(W440:W441)</f>
        <v>-14.242546372297335</v>
      </c>
      <c r="X442" s="153"/>
      <c r="Y442" s="153"/>
      <c r="Z442" s="152">
        <f>SUM(Z440:Z441)</f>
        <v>21.20344305624905</v>
      </c>
      <c r="AA442" s="153"/>
      <c r="AB442" s="103"/>
      <c r="AC442" s="103"/>
      <c r="AD442" s="103"/>
      <c r="AE442" s="153">
        <f>SUM(AE440:AE441)</f>
        <v>9.4228386632187444</v>
      </c>
      <c r="AF442" s="41" t="s">
        <v>338</v>
      </c>
      <c r="AG442" s="5" t="s">
        <v>34</v>
      </c>
      <c r="AH442" s="5" t="s">
        <v>52</v>
      </c>
      <c r="AI442" s="5" t="s">
        <v>49</v>
      </c>
      <c r="AJ442" s="174">
        <f>SUM(AJ438:AJ441)</f>
        <v>0</v>
      </c>
      <c r="AK442" s="14">
        <f>SUM(AK438:AK441)</f>
        <v>30.555555555555557</v>
      </c>
      <c r="AL442" s="14">
        <f>SUM(AL438:AL441)</f>
        <v>0</v>
      </c>
      <c r="AM442" s="14">
        <f>SUM(AM438:AM441)</f>
        <v>91.666666666666671</v>
      </c>
      <c r="AN442" s="30"/>
      <c r="AO442" s="14">
        <f t="shared" si="1"/>
        <v>0</v>
      </c>
    </row>
    <row r="443" spans="1:41" x14ac:dyDescent="0.2">
      <c r="AK443" s="72">
        <f>F440*LeagueRatings!$K$27</f>
        <v>0</v>
      </c>
      <c r="AL443" s="72">
        <f>G440*LeagueRatings!$K$27</f>
        <v>0</v>
      </c>
      <c r="AM443" s="72">
        <f>T443*LeagueRatings!$K$27</f>
        <v>0</v>
      </c>
      <c r="AN443" s="30"/>
      <c r="AO443" s="14">
        <f t="shared" si="1"/>
        <v>0</v>
      </c>
    </row>
    <row r="444" spans="1:41" x14ac:dyDescent="0.2">
      <c r="L444" s="97">
        <v>29.67</v>
      </c>
      <c r="M444" s="76">
        <v>27</v>
      </c>
      <c r="N444" s="76">
        <v>14</v>
      </c>
      <c r="O444" s="76">
        <v>11</v>
      </c>
      <c r="P444" s="76">
        <v>2</v>
      </c>
      <c r="Q444" s="76">
        <v>14</v>
      </c>
      <c r="R444" s="76">
        <v>1</v>
      </c>
      <c r="S444" s="76">
        <v>30</v>
      </c>
      <c r="T444" s="76">
        <v>129</v>
      </c>
      <c r="V444" s="151">
        <f>+(Q444-R444)/(T444-R444)*100</f>
        <v>10.15625</v>
      </c>
      <c r="W444" s="152">
        <f>IF(V444&lt;LeagueRatings!$K$10,((LeagueRatings!$K$10-V444)/LeagueRatings!$K$10)*36,(LeagueRatings!$K$10-V444)*6.48)</f>
        <v>-9.64671950580634</v>
      </c>
      <c r="X444" s="146">
        <v>1.37</v>
      </c>
      <c r="Y444" s="153">
        <f>(P444/(T444-R444))*100</f>
        <v>1.5625</v>
      </c>
      <c r="Z444" s="152">
        <f>IF(Y444&lt;LeagueRatings!$K$8,((LeagueRatings!$K$8-Y444)/LeagueRatings!$K$8)*36,(LeagueRatings!$K$8-Y444)/LeagueRatings!$K$11)</f>
        <v>18.434049079754601</v>
      </c>
      <c r="AA444" s="146">
        <v>-0.89</v>
      </c>
      <c r="AB444" s="103">
        <f>+((LeagueRatings!$I$6-E441)*5)+9.5</f>
        <v>13.808051455277404</v>
      </c>
      <c r="AC444" s="103">
        <f>IF(AB444&lt;4,4,AB444)</f>
        <v>13.808051455277404</v>
      </c>
      <c r="AD444" s="103">
        <f>IF(M444&lt;L444,((1-(M444/L444))*7)-0.07,(1-(M444/L444))*5)</f>
        <v>0.55992922143579404</v>
      </c>
      <c r="AE444" s="154">
        <f>+X444+AA444+AC444+AD444</f>
        <v>14.847980676713199</v>
      </c>
      <c r="AJ444" s="103">
        <f>+AO327*LeagueRatings!$K$27</f>
        <v>39.444444444444443</v>
      </c>
      <c r="AK444" s="72">
        <f>F441*LeagueRatings!$K$27</f>
        <v>21.111111111111111</v>
      </c>
      <c r="AL444" s="72">
        <f>G441*LeagueRatings!$K$27</f>
        <v>0</v>
      </c>
      <c r="AM444" s="72">
        <f>T444*LeagueRatings!$K$27</f>
        <v>71.666666666666671</v>
      </c>
      <c r="AN444" s="30"/>
      <c r="AO444" s="14">
        <f t="shared" si="1"/>
        <v>124</v>
      </c>
    </row>
    <row r="445" spans="1:41" x14ac:dyDescent="0.2">
      <c r="A445" t="s">
        <v>564</v>
      </c>
      <c r="B445" s="76" t="s">
        <v>143</v>
      </c>
      <c r="L445" s="97">
        <v>17.670000000000002</v>
      </c>
      <c r="M445" s="76">
        <v>13</v>
      </c>
      <c r="N445" s="76">
        <v>3</v>
      </c>
      <c r="O445" s="76">
        <v>3</v>
      </c>
      <c r="P445" s="76">
        <v>1</v>
      </c>
      <c r="Q445" s="76">
        <v>4</v>
      </c>
      <c r="R445" s="76">
        <v>1</v>
      </c>
      <c r="S445" s="76">
        <v>16</v>
      </c>
      <c r="T445" s="76">
        <v>67</v>
      </c>
      <c r="U445" s="138"/>
      <c r="V445" s="151">
        <f>+(Q445-R445)/(T445-R445)*100</f>
        <v>4.5454545454545459</v>
      </c>
      <c r="W445" s="152">
        <f>IF(V445&lt;LeagueRatings!$K$21,((LeagueRatings!$K$21-V445)/LeagueRatings!$K$21)*36,(LeagueRatings!$K$21-V445)*6.48)</f>
        <v>17.722765685466797</v>
      </c>
      <c r="X445" s="153">
        <v>-1.39</v>
      </c>
      <c r="Y445" s="153">
        <f>(P445/(T445-R445))*100</f>
        <v>1.5151515151515151</v>
      </c>
      <c r="Z445" s="152">
        <f>IF(Y445&lt;LeagueRatings!$K$19,((LeagueRatings!$K$19-Y445)/LeagueRatings!$K$19)*36,(LeagueRatings!$K$19-Y445)/LeagueRatings!$K$22)</f>
        <v>17.242967794537304</v>
      </c>
      <c r="AA445" s="153">
        <v>-0.89</v>
      </c>
      <c r="AB445" s="103">
        <f>+((LeagueRatings!$I$17-E442)*5)+9.5</f>
        <v>22.664387243706361</v>
      </c>
      <c r="AC445" s="103">
        <f>IF(AB445&lt;4,4,AB445)</f>
        <v>22.664387243706361</v>
      </c>
      <c r="AD445" s="103">
        <f>IF(M445&lt;L445,((1-(M445/L445))*7)-0.07,(1-(M445/L445))*5)</f>
        <v>1.7800282965478214</v>
      </c>
      <c r="AE445" s="154">
        <f>+X445+AA445+AC445+AD445</f>
        <v>22.164415540254183</v>
      </c>
      <c r="AG445" s="58"/>
      <c r="AH445" s="5"/>
      <c r="AI445" s="5"/>
      <c r="AJ445" s="103">
        <f>+AO328*LeagueRatings!$K$27</f>
        <v>0</v>
      </c>
      <c r="AK445" s="72">
        <f>F442*LeagueRatings!$K$27</f>
        <v>12.777777777777779</v>
      </c>
      <c r="AL445" s="72">
        <f>G442*LeagueRatings!$K$27</f>
        <v>0</v>
      </c>
      <c r="AM445" s="72">
        <f>T445*LeagueRatings!$K$27</f>
        <v>37.222222222222221</v>
      </c>
      <c r="AN445" s="30"/>
      <c r="AO445" s="14">
        <f t="shared" si="1"/>
        <v>79</v>
      </c>
    </row>
    <row r="446" spans="1:41" x14ac:dyDescent="0.2">
      <c r="A446" s="41" t="s">
        <v>564</v>
      </c>
      <c r="B446" s="76" t="s">
        <v>169</v>
      </c>
      <c r="L446" s="157">
        <f>(L444/100)/((L444+L445)/100)</f>
        <v>0.6267427122940431</v>
      </c>
      <c r="T446" s="158"/>
      <c r="U446" s="158"/>
      <c r="V446" s="153"/>
      <c r="W446" s="152">
        <f>W444*L446</f>
        <v>-6.0460111478089162</v>
      </c>
      <c r="X446" s="153"/>
      <c r="Y446" s="153"/>
      <c r="Z446" s="152">
        <f>Z444*L446</f>
        <v>11.553405918806908</v>
      </c>
      <c r="AA446" s="153"/>
      <c r="AB446" s="103"/>
      <c r="AC446" s="103"/>
      <c r="AD446" s="103"/>
      <c r="AE446" s="154">
        <f>AE444*L446</f>
        <v>9.305863681412772</v>
      </c>
      <c r="AG446" s="5"/>
      <c r="AH446" s="5"/>
      <c r="AI446" s="5"/>
      <c r="AJ446" s="103"/>
      <c r="AK446" s="72">
        <f>F443*LeagueRatings!$K$27</f>
        <v>0</v>
      </c>
      <c r="AL446" s="72">
        <f>G443*LeagueRatings!$K$27</f>
        <v>0</v>
      </c>
      <c r="AM446" s="72">
        <f>T446*LeagueRatings!$K$27</f>
        <v>0</v>
      </c>
      <c r="AN446" s="30"/>
      <c r="AO446" s="14">
        <f t="shared" si="1"/>
        <v>1</v>
      </c>
    </row>
    <row r="447" spans="1:41" x14ac:dyDescent="0.2">
      <c r="C447" s="76">
        <v>0</v>
      </c>
      <c r="D447" s="76">
        <v>3</v>
      </c>
      <c r="E447" s="97">
        <v>6.39</v>
      </c>
      <c r="F447" s="76">
        <v>34</v>
      </c>
      <c r="G447" s="76">
        <v>0</v>
      </c>
      <c r="H447" s="76">
        <v>0</v>
      </c>
      <c r="I447" s="76">
        <v>0</v>
      </c>
      <c r="J447" s="76">
        <v>11</v>
      </c>
      <c r="K447" s="76">
        <v>14</v>
      </c>
      <c r="L447" s="157">
        <f>(L445/100)/((L444+L445)/100)</f>
        <v>0.3732572877059569</v>
      </c>
      <c r="T447" s="158"/>
      <c r="U447" s="158"/>
      <c r="V447" s="153"/>
      <c r="W447" s="152">
        <f>W445*L447</f>
        <v>6.6151514504055404</v>
      </c>
      <c r="X447" s="153"/>
      <c r="Y447" s="153"/>
      <c r="Z447" s="152">
        <f>Z445*L447</f>
        <v>6.4360633909901592</v>
      </c>
      <c r="AA447" s="153"/>
      <c r="AB447" s="103"/>
      <c r="AC447" s="103"/>
      <c r="AD447" s="103"/>
      <c r="AE447" s="154">
        <f>AE445*L447</f>
        <v>8.2730296281430373</v>
      </c>
      <c r="AG447" s="5"/>
      <c r="AH447" s="5"/>
      <c r="AI447" s="5"/>
      <c r="AJ447" s="103"/>
      <c r="AK447" s="72">
        <f>F444*LeagueRatings!$K$27</f>
        <v>0</v>
      </c>
      <c r="AL447" s="72">
        <f>G444*LeagueRatings!$K$27</f>
        <v>0</v>
      </c>
      <c r="AM447" s="72">
        <f>T447*LeagueRatings!$K$27</f>
        <v>0</v>
      </c>
      <c r="AN447" s="30"/>
      <c r="AO447" s="14">
        <f t="shared" si="1"/>
        <v>1</v>
      </c>
    </row>
    <row r="448" spans="1:41" x14ac:dyDescent="0.2">
      <c r="C448" s="76">
        <v>1</v>
      </c>
      <c r="D448" s="76">
        <v>1</v>
      </c>
      <c r="E448" s="97">
        <v>10.130000000000001</v>
      </c>
      <c r="F448" s="76">
        <v>14</v>
      </c>
      <c r="G448" s="76">
        <v>0</v>
      </c>
      <c r="H448" s="76">
        <v>0</v>
      </c>
      <c r="I448" s="76">
        <v>0</v>
      </c>
      <c r="J448" s="76">
        <v>0</v>
      </c>
      <c r="K448" s="76">
        <v>0</v>
      </c>
      <c r="T448" s="158"/>
      <c r="U448" s="158"/>
      <c r="V448" s="153"/>
      <c r="W448" s="152">
        <f>SUM(W446:W447)</f>
        <v>0.56914030259662418</v>
      </c>
      <c r="X448" s="153"/>
      <c r="Y448" s="153"/>
      <c r="Z448" s="152">
        <f>SUM(Z446:Z447)</f>
        <v>17.989469309797066</v>
      </c>
      <c r="AA448" s="153"/>
      <c r="AB448" s="103"/>
      <c r="AC448" s="103"/>
      <c r="AD448" s="103"/>
      <c r="AE448" s="153">
        <f>SUM(AE446:AE447)</f>
        <v>17.578893309555809</v>
      </c>
      <c r="AF448" s="41" t="s">
        <v>640</v>
      </c>
      <c r="AG448" s="5" t="s">
        <v>14</v>
      </c>
      <c r="AH448" s="5" t="s">
        <v>29</v>
      </c>
      <c r="AI448" s="5" t="s">
        <v>48</v>
      </c>
      <c r="AJ448" s="174">
        <f>SUM(AJ444:AJ447)</f>
        <v>39.444444444444443</v>
      </c>
      <c r="AK448" s="14">
        <f>SUM(AK444:AK447)</f>
        <v>33.888888888888886</v>
      </c>
      <c r="AL448" s="14">
        <f>SUM(AL444:AL447)</f>
        <v>0</v>
      </c>
      <c r="AM448" s="14">
        <f>SUM(AM444:AM447)</f>
        <v>108.88888888888889</v>
      </c>
      <c r="AN448" s="30"/>
      <c r="AO448" s="14">
        <f t="shared" si="1"/>
        <v>0</v>
      </c>
    </row>
    <row r="449" spans="1:41" x14ac:dyDescent="0.2">
      <c r="AK449" s="72">
        <f>F446*LeagueRatings!$K$27</f>
        <v>0</v>
      </c>
      <c r="AL449" s="72">
        <f>G446*LeagueRatings!$K$27</f>
        <v>0</v>
      </c>
      <c r="AM449" s="72">
        <f>T449*LeagueRatings!$K$27</f>
        <v>0</v>
      </c>
      <c r="AN449" s="30"/>
      <c r="AO449" s="14">
        <f t="shared" si="1"/>
        <v>0</v>
      </c>
    </row>
    <row r="450" spans="1:41" x14ac:dyDescent="0.2">
      <c r="L450" s="97">
        <v>31</v>
      </c>
      <c r="M450" s="76">
        <v>33</v>
      </c>
      <c r="N450" s="76">
        <v>22</v>
      </c>
      <c r="O450" s="76">
        <v>22</v>
      </c>
      <c r="P450" s="76">
        <v>8</v>
      </c>
      <c r="Q450" s="76">
        <v>9</v>
      </c>
      <c r="R450" s="76">
        <v>1</v>
      </c>
      <c r="S450" s="76">
        <v>38</v>
      </c>
      <c r="T450" s="76">
        <v>133</v>
      </c>
      <c r="V450" s="151">
        <f>+(Q450-R450)/(T450-R450)*100</f>
        <v>6.0606060606060606</v>
      </c>
      <c r="W450" s="152">
        <f>IF(V450&lt;LeagueRatings!$K$10,((LeagueRatings!$K$10-V450)/LeagueRatings!$K$10)*36,(LeagueRatings!$K$10-V450)*6.48)</f>
        <v>10.82776577876737</v>
      </c>
      <c r="X450" s="146">
        <v>-0.74</v>
      </c>
      <c r="Y450" s="153">
        <f>(P450/(T450-R450))*100</f>
        <v>6.0606060606060606</v>
      </c>
      <c r="Z450" s="152">
        <f>IF(Y450&lt;LeagueRatings!$K$8,((LeagueRatings!$K$8-Y450)/LeagueRatings!$K$8)*36,(LeagueRatings!$K$8-Y450)/LeagueRatings!$K$11)</f>
        <v>-22.696896747931895</v>
      </c>
      <c r="AA450" s="146">
        <v>3.75</v>
      </c>
      <c r="AB450" s="103">
        <f>+((LeagueRatings!$I$6-E447)*5)+9.5</f>
        <v>-1.4419485447225959</v>
      </c>
      <c r="AC450" s="103">
        <f>IF(AB450&lt;4,4,AB450)</f>
        <v>4</v>
      </c>
      <c r="AD450" s="103">
        <f>IF(M450&lt;L450,((1-(M450/L450))*7)-0.07,(1-(M450/L450))*5)</f>
        <v>-0.32258064516129004</v>
      </c>
      <c r="AE450" s="154">
        <f>+X450+AA450+AC450+AD450</f>
        <v>6.6874193548387098</v>
      </c>
      <c r="AJ450" s="103">
        <f>+AO333*LeagueRatings!$K$27</f>
        <v>0</v>
      </c>
      <c r="AK450" s="72">
        <f>F447*LeagueRatings!$K$27</f>
        <v>18.888888888888889</v>
      </c>
      <c r="AL450" s="72">
        <f>G447*LeagueRatings!$K$27</f>
        <v>0</v>
      </c>
      <c r="AM450" s="72">
        <f>T450*LeagueRatings!$K$27</f>
        <v>73.888888888888886</v>
      </c>
      <c r="AN450" s="30"/>
      <c r="AO450" s="14">
        <f t="shared" si="1"/>
        <v>171</v>
      </c>
    </row>
    <row r="451" spans="1:41" x14ac:dyDescent="0.2">
      <c r="A451" t="s">
        <v>428</v>
      </c>
      <c r="B451" s="76" t="s">
        <v>169</v>
      </c>
      <c r="L451" s="97">
        <v>10.67</v>
      </c>
      <c r="M451" s="76">
        <v>14</v>
      </c>
      <c r="N451" s="76">
        <v>12</v>
      </c>
      <c r="O451" s="76">
        <v>12</v>
      </c>
      <c r="P451" s="76">
        <v>3</v>
      </c>
      <c r="Q451" s="76">
        <v>5</v>
      </c>
      <c r="R451" s="76">
        <v>1</v>
      </c>
      <c r="S451" s="76">
        <v>10</v>
      </c>
      <c r="T451" s="76">
        <v>51</v>
      </c>
      <c r="U451" s="138"/>
      <c r="V451" s="151">
        <f>+(Q451-R451)/(T451-R451)*100</f>
        <v>8</v>
      </c>
      <c r="W451" s="152">
        <f>IF(V451&lt;LeagueRatings!$K$21,((LeagueRatings!$K$21-V451)/LeagueRatings!$K$21)*36,(LeagueRatings!$K$21-V451)*6.48)</f>
        <v>3.8320676064215631</v>
      </c>
      <c r="X451" s="153">
        <v>-0.08</v>
      </c>
      <c r="Y451" s="153">
        <f>(P451/(T451-R451))*100</f>
        <v>6</v>
      </c>
      <c r="Z451" s="152">
        <f>IF(Y451&lt;LeagueRatings!$K$19,((LeagueRatings!$K$19-Y451)/LeagueRatings!$K$19)*36,(LeagueRatings!$K$19-Y451)/LeagueRatings!$K$22)</f>
        <v>-24.983297560975611</v>
      </c>
      <c r="AA451" s="153">
        <v>3.93</v>
      </c>
      <c r="AB451" s="103">
        <f>+((LeagueRatings!$I$17-E448)*5)+9.5</f>
        <v>-20.335612756293642</v>
      </c>
      <c r="AC451" s="103">
        <f>IF(AB451&lt;4,4,AB451)</f>
        <v>4</v>
      </c>
      <c r="AD451" s="103">
        <f>IF(M451&lt;L451,((1-(M451/L451))*7)-0.07,(1-(M451/L451))*5)</f>
        <v>-1.560449859418932</v>
      </c>
      <c r="AE451" s="154">
        <f>+X451+AA451+AC451+AD451</f>
        <v>6.2895501405810679</v>
      </c>
      <c r="AG451" s="5"/>
      <c r="AH451" s="5"/>
      <c r="AI451" s="5"/>
      <c r="AJ451" s="103">
        <f>+AO334*LeagueRatings!$K$27</f>
        <v>0</v>
      </c>
      <c r="AK451" s="72">
        <f>F448*LeagueRatings!$K$27</f>
        <v>7.7777777777777786</v>
      </c>
      <c r="AL451" s="72">
        <f>G448*LeagueRatings!$K$27</f>
        <v>0</v>
      </c>
      <c r="AM451" s="72">
        <f>T451*LeagueRatings!$K$27</f>
        <v>28.333333333333336</v>
      </c>
      <c r="AN451" s="30"/>
      <c r="AO451" s="14">
        <f t="shared" si="1"/>
        <v>78</v>
      </c>
    </row>
    <row r="452" spans="1:41" x14ac:dyDescent="0.2">
      <c r="A452" s="41" t="s">
        <v>428</v>
      </c>
      <c r="B452" s="76" t="s">
        <v>143</v>
      </c>
      <c r="L452" s="157">
        <f>(L450/100)/((L450+L451)/100)</f>
        <v>0.7439404847612191</v>
      </c>
      <c r="T452" s="158"/>
      <c r="U452" s="158"/>
      <c r="V452" s="153"/>
      <c r="W452" s="152">
        <f>W450*L452</f>
        <v>8.0552133223371367</v>
      </c>
      <c r="X452" s="153"/>
      <c r="Y452" s="153"/>
      <c r="Z452" s="152">
        <f>Z450*L452</f>
        <v>-16.885140369231792</v>
      </c>
      <c r="AA452" s="153"/>
      <c r="AB452" s="103"/>
      <c r="AC452" s="103"/>
      <c r="AD452" s="103"/>
      <c r="AE452" s="154">
        <f>AE450*L452</f>
        <v>4.975041996640269</v>
      </c>
      <c r="AG452" s="5"/>
      <c r="AH452" s="5"/>
      <c r="AI452" s="5"/>
      <c r="AJ452" s="103"/>
      <c r="AK452" s="72">
        <f>F449*LeagueRatings!$K$27</f>
        <v>0</v>
      </c>
      <c r="AL452" s="72">
        <f>G449*LeagueRatings!$K$27</f>
        <v>0</v>
      </c>
      <c r="AM452" s="72">
        <f>T452*LeagueRatings!$K$27</f>
        <v>0</v>
      </c>
      <c r="AN452" s="30"/>
      <c r="AO452" s="14">
        <f t="shared" si="1"/>
        <v>1</v>
      </c>
    </row>
    <row r="453" spans="1:41" x14ac:dyDescent="0.2">
      <c r="C453" s="76">
        <v>0</v>
      </c>
      <c r="D453" s="76">
        <v>2</v>
      </c>
      <c r="E453" s="97">
        <v>4.87</v>
      </c>
      <c r="F453" s="76">
        <v>22</v>
      </c>
      <c r="G453" s="76">
        <v>0</v>
      </c>
      <c r="H453" s="76">
        <v>0</v>
      </c>
      <c r="I453" s="76">
        <v>0</v>
      </c>
      <c r="J453" s="76">
        <v>11</v>
      </c>
      <c r="K453" s="76">
        <v>15</v>
      </c>
      <c r="L453" s="157">
        <f>(L451/100)/((L450+L451)/100)</f>
        <v>0.2560595152387809</v>
      </c>
      <c r="T453" s="158"/>
      <c r="U453" s="158"/>
      <c r="V453" s="153"/>
      <c r="W453" s="152">
        <f>W451*L453</f>
        <v>0.98123737366254082</v>
      </c>
      <c r="X453" s="153"/>
      <c r="Y453" s="153"/>
      <c r="Z453" s="152">
        <f>Z451*L453</f>
        <v>-6.3972110625296326</v>
      </c>
      <c r="AA453" s="153"/>
      <c r="AB453" s="103"/>
      <c r="AC453" s="103"/>
      <c r="AD453" s="103"/>
      <c r="AE453" s="154">
        <f>AE451*L453</f>
        <v>1.6104991600671945</v>
      </c>
      <c r="AG453" s="5"/>
      <c r="AH453" s="5"/>
      <c r="AI453" s="5"/>
      <c r="AJ453" s="103"/>
      <c r="AK453" s="72">
        <f>F450*LeagueRatings!$K$27</f>
        <v>0</v>
      </c>
      <c r="AL453" s="72">
        <f>G450*LeagueRatings!$K$27</f>
        <v>0</v>
      </c>
      <c r="AM453" s="72">
        <f>T453*LeagueRatings!$K$27</f>
        <v>0</v>
      </c>
      <c r="AN453" s="30"/>
      <c r="AO453" s="14">
        <f t="shared" si="1"/>
        <v>1</v>
      </c>
    </row>
    <row r="454" spans="1:41" x14ac:dyDescent="0.2">
      <c r="C454" s="76">
        <v>1</v>
      </c>
      <c r="D454" s="76">
        <v>3</v>
      </c>
      <c r="E454" s="97">
        <v>3.48</v>
      </c>
      <c r="F454" s="76">
        <v>40</v>
      </c>
      <c r="G454" s="76">
        <v>0</v>
      </c>
      <c r="H454" s="76">
        <v>0</v>
      </c>
      <c r="I454" s="76">
        <v>0</v>
      </c>
      <c r="J454" s="76">
        <v>1</v>
      </c>
      <c r="K454" s="76">
        <v>2</v>
      </c>
      <c r="T454" s="158"/>
      <c r="U454" s="158"/>
      <c r="V454" s="153"/>
      <c r="W454" s="152">
        <f>SUM(W452:W453)</f>
        <v>9.0364506959996778</v>
      </c>
      <c r="X454" s="153"/>
      <c r="Y454" s="153"/>
      <c r="Z454" s="152">
        <f>SUM(Z452:Z453)</f>
        <v>-23.282351431761423</v>
      </c>
      <c r="AA454" s="153"/>
      <c r="AB454" s="103"/>
      <c r="AC454" s="103"/>
      <c r="AD454" s="103"/>
      <c r="AE454" s="153">
        <f>SUM(AE452:AE453)</f>
        <v>6.585541156707464</v>
      </c>
      <c r="AF454" s="41" t="s">
        <v>564</v>
      </c>
      <c r="AG454" s="5" t="s">
        <v>66</v>
      </c>
      <c r="AH454" s="5" t="s">
        <v>40</v>
      </c>
      <c r="AI454" s="5" t="s">
        <v>77</v>
      </c>
      <c r="AJ454" s="174">
        <f>SUM(AJ450:AJ453)</f>
        <v>0</v>
      </c>
      <c r="AK454" s="14">
        <f>SUM(AK450:AK453)</f>
        <v>26.666666666666668</v>
      </c>
      <c r="AL454" s="14">
        <f>SUM(AL450:AL453)</f>
        <v>0</v>
      </c>
      <c r="AM454" s="14">
        <f>SUM(AM450:AM453)</f>
        <v>102.22222222222223</v>
      </c>
      <c r="AN454" s="30"/>
      <c r="AO454" s="14">
        <f t="shared" si="1"/>
        <v>0</v>
      </c>
    </row>
    <row r="455" spans="1:41" x14ac:dyDescent="0.2">
      <c r="AK455" s="72">
        <f>F452*LeagueRatings!$K$27</f>
        <v>0</v>
      </c>
      <c r="AL455" s="72">
        <f>G452*LeagueRatings!$K$27</f>
        <v>0</v>
      </c>
      <c r="AM455" s="72">
        <f>T455*LeagueRatings!$K$27</f>
        <v>0</v>
      </c>
      <c r="AN455" s="30"/>
      <c r="AO455" s="14">
        <f t="shared" si="1"/>
        <v>0</v>
      </c>
    </row>
    <row r="456" spans="1:41" x14ac:dyDescent="0.2">
      <c r="L456" s="97">
        <v>20.329999999999998</v>
      </c>
      <c r="M456" s="76">
        <v>22</v>
      </c>
      <c r="N456" s="76">
        <v>11</v>
      </c>
      <c r="O456" s="76">
        <v>11</v>
      </c>
      <c r="P456" s="76">
        <v>4</v>
      </c>
      <c r="Q456" s="76">
        <v>11</v>
      </c>
      <c r="R456" s="76">
        <v>1</v>
      </c>
      <c r="S456" s="76">
        <v>21</v>
      </c>
      <c r="T456" s="76">
        <v>93</v>
      </c>
      <c r="V456" s="162">
        <f>+(Q456-R456)/(T456-R456)*100</f>
        <v>10.869565217391305</v>
      </c>
      <c r="W456" s="163">
        <f>IF(V456&lt;LeagueRatings!$K$21,((LeagueRatings!$K$21-V456)/LeagueRatings!$K$21)*36,(LeagueRatings!$K$21-V456)*6.48)</f>
        <v>-12.419241629364622</v>
      </c>
      <c r="X456" s="146">
        <v>2.08</v>
      </c>
      <c r="Y456" s="164">
        <f>(P456/(T456-R456))*100</f>
        <v>4.3478260869565215</v>
      </c>
      <c r="Z456" s="163">
        <f>IF(Y456&lt;LeagueRatings!$K$19,((LeagueRatings!$K$19-Y456)/LeagueRatings!$K$19)*36,(LeagueRatings!$K$19-Y456)/LeagueRatings!$K$22)</f>
        <v>-11.633764581124069</v>
      </c>
      <c r="AA456" s="146">
        <v>1.76</v>
      </c>
      <c r="AB456" s="71">
        <f>+((LeagueRatings!$I$17-E453)*5)+9.5</f>
        <v>5.9643872437063621</v>
      </c>
      <c r="AC456" s="71">
        <f>IF(AB456&lt;4,4,AB456)</f>
        <v>5.9643872437063621</v>
      </c>
      <c r="AD456" s="103">
        <f>IF(M456&lt;L456,((1-(M456/L456))*7)-0.07,(1-(M456/L456))*5)</f>
        <v>-0.41072306935563296</v>
      </c>
      <c r="AE456" s="165">
        <f>+X456+AA456+AC456+AD456</f>
        <v>9.3936641743507288</v>
      </c>
      <c r="AJ456" s="103">
        <f>+AO339*LeagueRatings!$K$27</f>
        <v>0</v>
      </c>
      <c r="AK456" s="72">
        <f>F453*LeagueRatings!$K$27</f>
        <v>12.222222222222223</v>
      </c>
      <c r="AL456" s="72">
        <f>G453*LeagueRatings!$K$27</f>
        <v>0</v>
      </c>
      <c r="AM456" s="72">
        <f>T456*LeagueRatings!$K$27</f>
        <v>51.666666666666671</v>
      </c>
      <c r="AN456" s="30"/>
      <c r="AO456" s="14">
        <f t="shared" si="1"/>
        <v>21</v>
      </c>
    </row>
    <row r="457" spans="1:41" x14ac:dyDescent="0.2">
      <c r="A457" t="s">
        <v>494</v>
      </c>
      <c r="B457" s="76" t="s">
        <v>161</v>
      </c>
      <c r="L457" s="97">
        <v>33.67</v>
      </c>
      <c r="M457" s="76">
        <v>29</v>
      </c>
      <c r="N457" s="76">
        <v>15</v>
      </c>
      <c r="O457" s="76">
        <v>13</v>
      </c>
      <c r="P457" s="76">
        <v>0</v>
      </c>
      <c r="Q457" s="76">
        <v>10</v>
      </c>
      <c r="R457" s="76">
        <v>1</v>
      </c>
      <c r="S457" s="76">
        <v>36</v>
      </c>
      <c r="T457" s="76">
        <v>142</v>
      </c>
      <c r="U457" s="138"/>
      <c r="V457" s="162">
        <f>+(Q457-R457)/(T457-R457)*100</f>
        <v>6.3829787234042552</v>
      </c>
      <c r="W457" s="163">
        <f>IF(V457&lt;LeagueRatings!$K$21,((LeagueRatings!$K$21-V457)/LeagueRatings!$K$21)*36,(LeagueRatings!$K$21-V457)*6.48)</f>
        <v>10.334096494485291</v>
      </c>
      <c r="X457" s="164">
        <v>-0.65</v>
      </c>
      <c r="Y457" s="164">
        <f>(P457/(T457-R457))*100</f>
        <v>0</v>
      </c>
      <c r="Z457" s="163">
        <f>IF(Y457&lt;LeagueRatings!$K$19,((LeagueRatings!$K$19-Y457)/LeagueRatings!$K$19)*36,(LeagueRatings!$K$19-Y457)/LeagueRatings!$K$22)</f>
        <v>36</v>
      </c>
      <c r="AA457" s="164">
        <v>-3.26</v>
      </c>
      <c r="AB457" s="71">
        <f>+((LeagueRatings!$I$17-E454)*5)+9.5</f>
        <v>12.914387243706363</v>
      </c>
      <c r="AC457" s="71">
        <f>IF(AB457&lt;4,4,AB457)</f>
        <v>12.914387243706363</v>
      </c>
      <c r="AD457" s="103">
        <f>IF(M457&lt;L457,((1-(M457/L457))*7)-0.07,(1-(M457/L457))*5)</f>
        <v>0.90089397089397116</v>
      </c>
      <c r="AE457" s="165">
        <f>+X457+AA457+AC457+AD457</f>
        <v>9.9052812146003344</v>
      </c>
      <c r="AG457" s="7"/>
      <c r="AH457" s="7"/>
      <c r="AI457" s="7"/>
      <c r="AJ457" s="103">
        <f>+AO340*LeagueRatings!$K$27</f>
        <v>0</v>
      </c>
      <c r="AK457" s="72">
        <f>F454*LeagueRatings!$K$27</f>
        <v>22.222222222222221</v>
      </c>
      <c r="AL457" s="72">
        <f>G454*LeagueRatings!$K$27</f>
        <v>0</v>
      </c>
      <c r="AM457" s="72">
        <f>T457*LeagueRatings!$K$27</f>
        <v>78.888888888888886</v>
      </c>
      <c r="AN457" s="30"/>
      <c r="AO457" s="14">
        <f t="shared" si="1"/>
        <v>25</v>
      </c>
    </row>
    <row r="458" spans="1:41" x14ac:dyDescent="0.2">
      <c r="A458" s="41" t="s">
        <v>494</v>
      </c>
      <c r="B458" s="76" t="s">
        <v>153</v>
      </c>
      <c r="L458" s="157">
        <f>(L456/100)/((L456+L457)/100)</f>
        <v>0.37648148148148142</v>
      </c>
      <c r="T458" s="158"/>
      <c r="U458" s="158"/>
      <c r="V458" s="153"/>
      <c r="W458" s="152">
        <f>W456*L458</f>
        <v>-4.6756144874996801</v>
      </c>
      <c r="X458" s="153"/>
      <c r="Y458" s="153"/>
      <c r="Z458" s="152">
        <f>Z456*L458</f>
        <v>-4.3798969247083752</v>
      </c>
      <c r="AA458" s="153"/>
      <c r="AB458" s="103"/>
      <c r="AC458" s="103"/>
      <c r="AD458" s="103"/>
      <c r="AE458" s="154">
        <f>AE456*L458</f>
        <v>3.5365406048990793</v>
      </c>
      <c r="AG458" s="5"/>
      <c r="AH458" s="5"/>
      <c r="AI458" s="5"/>
      <c r="AJ458" s="103"/>
      <c r="AK458" s="72">
        <f>F455*LeagueRatings!$K$27</f>
        <v>0</v>
      </c>
      <c r="AL458" s="72">
        <f>G455*LeagueRatings!$K$27</f>
        <v>0</v>
      </c>
      <c r="AM458" s="72">
        <f>T458*LeagueRatings!$K$27</f>
        <v>0</v>
      </c>
      <c r="AN458" s="30"/>
      <c r="AO458" s="14">
        <f t="shared" si="1"/>
        <v>1</v>
      </c>
    </row>
    <row r="459" spans="1:41" x14ac:dyDescent="0.2">
      <c r="C459" s="76">
        <v>8</v>
      </c>
      <c r="D459" s="76">
        <v>5</v>
      </c>
      <c r="E459" s="97">
        <v>2.98</v>
      </c>
      <c r="F459" s="76">
        <v>17</v>
      </c>
      <c r="G459" s="76">
        <v>17</v>
      </c>
      <c r="H459" s="76">
        <v>0</v>
      </c>
      <c r="I459" s="76">
        <v>0</v>
      </c>
      <c r="J459" s="76">
        <v>0</v>
      </c>
      <c r="K459" s="76">
        <v>0</v>
      </c>
      <c r="L459" s="157">
        <f>(L457/100)/((L456+L457)/100)</f>
        <v>0.62351851851851847</v>
      </c>
      <c r="T459" s="158"/>
      <c r="U459" s="158"/>
      <c r="V459" s="153"/>
      <c r="W459" s="152">
        <f>W457*L459</f>
        <v>6.4435005364688838</v>
      </c>
      <c r="X459" s="153"/>
      <c r="Y459" s="153"/>
      <c r="Z459" s="152">
        <f>Z457*L459</f>
        <v>22.446666666666665</v>
      </c>
      <c r="AA459" s="153"/>
      <c r="AB459" s="103"/>
      <c r="AC459" s="103"/>
      <c r="AD459" s="103"/>
      <c r="AE459" s="154">
        <f>AE457*L459</f>
        <v>6.1761262684369118</v>
      </c>
      <c r="AG459" s="5"/>
      <c r="AH459" s="5"/>
      <c r="AI459" s="5"/>
      <c r="AJ459" s="103"/>
      <c r="AK459" s="72">
        <f>F456*LeagueRatings!$K$27</f>
        <v>0</v>
      </c>
      <c r="AL459" s="72">
        <f>G456*LeagueRatings!$K$27</f>
        <v>0</v>
      </c>
      <c r="AM459" s="72">
        <f>T459*LeagueRatings!$K$27</f>
        <v>0</v>
      </c>
      <c r="AN459" s="30"/>
      <c r="AO459" s="14">
        <f t="shared" ref="AO459:AO484" si="2">ROUNDUP(L576,0)</f>
        <v>1</v>
      </c>
    </row>
    <row r="460" spans="1:41" x14ac:dyDescent="0.2">
      <c r="C460" s="76">
        <v>2</v>
      </c>
      <c r="D460" s="76">
        <v>6</v>
      </c>
      <c r="E460" s="97">
        <v>4.26</v>
      </c>
      <c r="F460" s="76">
        <v>13</v>
      </c>
      <c r="G460" s="76">
        <v>12</v>
      </c>
      <c r="H460" s="76">
        <v>0</v>
      </c>
      <c r="I460" s="76">
        <v>0</v>
      </c>
      <c r="J460" s="76">
        <v>0</v>
      </c>
      <c r="K460" s="76">
        <v>0</v>
      </c>
      <c r="T460" s="158"/>
      <c r="U460" s="158"/>
      <c r="V460" s="153"/>
      <c r="W460" s="152">
        <f>SUM(W458:W459)</f>
        <v>1.7678860489692036</v>
      </c>
      <c r="X460" s="153"/>
      <c r="Y460" s="153"/>
      <c r="Z460" s="152">
        <f>SUM(Z458:Z459)</f>
        <v>18.066769741958289</v>
      </c>
      <c r="AA460" s="153"/>
      <c r="AB460" s="103"/>
      <c r="AC460" s="103"/>
      <c r="AD460" s="103"/>
      <c r="AE460" s="153">
        <f>SUM(AE458:AE459)</f>
        <v>9.7126668733359907</v>
      </c>
      <c r="AF460" s="41" t="s">
        <v>428</v>
      </c>
      <c r="AG460" s="5" t="s">
        <v>55</v>
      </c>
      <c r="AH460" s="5" t="s">
        <v>29</v>
      </c>
      <c r="AI460" s="5" t="s">
        <v>49</v>
      </c>
      <c r="AJ460" s="174">
        <f>SUM(AJ456:AJ459)</f>
        <v>0</v>
      </c>
      <c r="AK460" s="14">
        <f>SUM(AK456:AK459)</f>
        <v>34.444444444444443</v>
      </c>
      <c r="AL460" s="14">
        <f>SUM(AL456:AL459)</f>
        <v>0</v>
      </c>
      <c r="AM460" s="14">
        <f>SUM(AM456:AM459)</f>
        <v>130.55555555555554</v>
      </c>
      <c r="AN460" s="30"/>
      <c r="AO460" s="14">
        <f t="shared" si="2"/>
        <v>0</v>
      </c>
    </row>
    <row r="461" spans="1:41" x14ac:dyDescent="0.2">
      <c r="AK461" s="72">
        <f>F458*LeagueRatings!$K$27</f>
        <v>0</v>
      </c>
      <c r="AL461" s="72">
        <f>G458*LeagueRatings!$K$27</f>
        <v>0</v>
      </c>
      <c r="AM461" s="72">
        <f>T461*LeagueRatings!$K$27</f>
        <v>0</v>
      </c>
      <c r="AN461" s="30"/>
      <c r="AO461" s="14">
        <f t="shared" si="2"/>
        <v>0</v>
      </c>
    </row>
    <row r="462" spans="1:41" x14ac:dyDescent="0.2">
      <c r="L462" s="97">
        <v>108.67</v>
      </c>
      <c r="M462" s="76">
        <v>88</v>
      </c>
      <c r="N462" s="76">
        <v>36</v>
      </c>
      <c r="O462" s="76">
        <v>36</v>
      </c>
      <c r="P462" s="76">
        <v>10</v>
      </c>
      <c r="Q462" s="76">
        <v>23</v>
      </c>
      <c r="R462" s="76">
        <v>2</v>
      </c>
      <c r="S462" s="76">
        <v>104</v>
      </c>
      <c r="T462" s="76">
        <v>429</v>
      </c>
      <c r="V462" s="151">
        <f>+(Q462-R462)/(T462-R462)*100</f>
        <v>4.918032786885246</v>
      </c>
      <c r="W462" s="152">
        <f>IF(V462&lt;LeagueRatings!$K$10,((LeagueRatings!$K$10-V462)/LeagueRatings!$K$10)*36,(LeagueRatings!$K$10-V462)*6.48)</f>
        <v>15.573350918835816</v>
      </c>
      <c r="X462" s="153">
        <v>-1.19</v>
      </c>
      <c r="Y462" s="153">
        <f>(P462/(T462-R462))*100</f>
        <v>2.3419203747072603</v>
      </c>
      <c r="Z462" s="152">
        <f>IF(Y462&lt;LeagueRatings!$K$8,((LeagueRatings!$K$8-Y462)/LeagueRatings!$K$8)*36,(LeagueRatings!$K$8-Y462)/LeagueRatings!$K$11)</f>
        <v>9.6716426488125151</v>
      </c>
      <c r="AA462" s="153">
        <v>0</v>
      </c>
      <c r="AB462" s="103">
        <f>+((LeagueRatings!$I$6-E459)*5)+9.5</f>
        <v>15.608051455277403</v>
      </c>
      <c r="AC462" s="103">
        <f>IF(AB462&lt;4,4,AB462)</f>
        <v>15.608051455277403</v>
      </c>
      <c r="AD462" s="103">
        <f>IF(M462&lt;L462,((1-(M462/L462))*7)-0.07,(1-(M462/L462))*5)</f>
        <v>1.26146222508512</v>
      </c>
      <c r="AE462" s="154">
        <f>+X462+AA462+AC462+AD462</f>
        <v>15.679513680362524</v>
      </c>
      <c r="AJ462" s="103">
        <f>+AO345*LeagueRatings!$K$27</f>
        <v>0</v>
      </c>
      <c r="AK462" s="72">
        <f>F459*LeagueRatings!$K$27</f>
        <v>9.4444444444444446</v>
      </c>
      <c r="AL462" s="72">
        <f>G459*LeagueRatings!$K$27</f>
        <v>9.4444444444444446</v>
      </c>
      <c r="AM462" s="72">
        <f>T462*LeagueRatings!$K$27</f>
        <v>238.33333333333334</v>
      </c>
      <c r="AN462" s="30"/>
      <c r="AO462" s="14">
        <f t="shared" si="2"/>
        <v>34</v>
      </c>
    </row>
    <row r="463" spans="1:41" x14ac:dyDescent="0.2">
      <c r="A463" t="s">
        <v>580</v>
      </c>
      <c r="B463" s="76" t="s">
        <v>156</v>
      </c>
      <c r="L463" s="97">
        <v>67.67</v>
      </c>
      <c r="M463" s="76">
        <v>66</v>
      </c>
      <c r="N463" s="76">
        <v>34</v>
      </c>
      <c r="O463" s="76">
        <v>32</v>
      </c>
      <c r="P463" s="76">
        <v>13</v>
      </c>
      <c r="Q463" s="76">
        <v>21</v>
      </c>
      <c r="R463" s="76">
        <v>0</v>
      </c>
      <c r="S463" s="76">
        <v>54</v>
      </c>
      <c r="T463" s="76">
        <v>286</v>
      </c>
      <c r="U463" s="138"/>
      <c r="V463" s="162">
        <f>+(Q463-R463)/(T463-R463)*100</f>
        <v>7.3426573426573425</v>
      </c>
      <c r="W463" s="163">
        <f>IF(V463&lt;LeagueRatings!$K$21,((LeagueRatings!$K$21-V463)/LeagueRatings!$K$21)*36,(LeagueRatings!$K$21-V463)*6.48)</f>
        <v>6.4752368765232884</v>
      </c>
      <c r="X463" s="164">
        <v>-0.24</v>
      </c>
      <c r="Y463" s="164">
        <f>(P463/(T463-R463))*100</f>
        <v>4.5454545454545459</v>
      </c>
      <c r="Z463" s="163">
        <f>IF(Y463&lt;LeagueRatings!$K$19,((LeagueRatings!$K$19-Y463)/LeagueRatings!$K$19)*36,(LeagueRatings!$K$19-Y463)/LeagueRatings!$K$22)</f>
        <v>-13.230598669623063</v>
      </c>
      <c r="AA463" s="164">
        <v>2.0299999999999998</v>
      </c>
      <c r="AB463" s="71">
        <f>+((LeagueRatings!$I$17-E460)*5)+9.5</f>
        <v>9.0143872437063628</v>
      </c>
      <c r="AC463" s="71">
        <f>IF(AB463&lt;4,4,AB463)</f>
        <v>9.0143872437063628</v>
      </c>
      <c r="AD463" s="103">
        <f>IF(M463&lt;L463,((1-(M463/L463))*7)-0.07,(1-(M463/L463))*5)</f>
        <v>0.10275011083197866</v>
      </c>
      <c r="AE463" s="165">
        <f>+X463+AA463+AC463+AD463</f>
        <v>10.907137354538341</v>
      </c>
      <c r="AG463" s="7"/>
      <c r="AH463" s="7"/>
      <c r="AI463" s="7"/>
      <c r="AJ463" s="103">
        <f>+AO346*LeagueRatings!$K$27</f>
        <v>0</v>
      </c>
      <c r="AK463" s="72">
        <f>F460*LeagueRatings!$K$27</f>
        <v>7.2222222222222223</v>
      </c>
      <c r="AL463" s="72">
        <f>G460*LeagueRatings!$K$27</f>
        <v>6.666666666666667</v>
      </c>
      <c r="AM463" s="72">
        <f>T463*LeagueRatings!$K$27</f>
        <v>158.88888888888889</v>
      </c>
      <c r="AN463" s="30"/>
      <c r="AO463" s="14">
        <f t="shared" si="2"/>
        <v>25</v>
      </c>
    </row>
    <row r="464" spans="1:41" x14ac:dyDescent="0.2">
      <c r="A464" s="41" t="s">
        <v>580</v>
      </c>
      <c r="B464" s="76" t="s">
        <v>150</v>
      </c>
      <c r="L464" s="157">
        <f>(L462/100)/((L462+L463)/100)</f>
        <v>0.61625269365997504</v>
      </c>
      <c r="T464" s="158"/>
      <c r="U464" s="158"/>
      <c r="V464" s="153"/>
      <c r="W464" s="152">
        <f>W462*L464</f>
        <v>9.597119453044618</v>
      </c>
      <c r="X464" s="153"/>
      <c r="Y464" s="153"/>
      <c r="Z464" s="152">
        <f>Z462*L464</f>
        <v>5.9601758344474085</v>
      </c>
      <c r="AA464" s="153"/>
      <c r="AB464" s="103"/>
      <c r="AC464" s="103"/>
      <c r="AD464" s="103"/>
      <c r="AE464" s="154">
        <f>AE462*L464</f>
        <v>9.6625425408018337</v>
      </c>
      <c r="AG464" s="5"/>
      <c r="AH464" s="5"/>
      <c r="AI464" s="5"/>
      <c r="AJ464" s="103"/>
      <c r="AK464" s="72">
        <f>F461*LeagueRatings!$K$27</f>
        <v>0</v>
      </c>
      <c r="AL464" s="72">
        <f>G461*LeagueRatings!$K$27</f>
        <v>0</v>
      </c>
      <c r="AM464" s="72">
        <f>T464*LeagueRatings!$K$27</f>
        <v>0</v>
      </c>
      <c r="AN464" s="30"/>
      <c r="AO464" s="14">
        <f t="shared" si="2"/>
        <v>1</v>
      </c>
    </row>
    <row r="465" spans="1:41" x14ac:dyDescent="0.2">
      <c r="C465" s="76">
        <v>1</v>
      </c>
      <c r="D465" s="76">
        <v>0</v>
      </c>
      <c r="E465" s="97">
        <v>6.08</v>
      </c>
      <c r="F465" s="76">
        <v>3</v>
      </c>
      <c r="G465" s="76">
        <v>3</v>
      </c>
      <c r="H465" s="76">
        <v>0</v>
      </c>
      <c r="I465" s="76">
        <v>0</v>
      </c>
      <c r="J465" s="76">
        <v>0</v>
      </c>
      <c r="K465" s="76">
        <v>0</v>
      </c>
      <c r="L465" s="157">
        <f>(L463/100)/((L462+L463)/100)</f>
        <v>0.38374730634002491</v>
      </c>
      <c r="T465" s="158"/>
      <c r="U465" s="158"/>
      <c r="V465" s="153"/>
      <c r="W465" s="152">
        <f>W463*L465</f>
        <v>2.4848547092794084</v>
      </c>
      <c r="X465" s="153"/>
      <c r="Y465" s="153"/>
      <c r="Z465" s="152">
        <f>Z463*L465</f>
        <v>-5.0772066007337679</v>
      </c>
      <c r="AA465" s="153"/>
      <c r="AB465" s="103"/>
      <c r="AC465" s="103"/>
      <c r="AD465" s="103"/>
      <c r="AE465" s="154">
        <f>AE463*L465</f>
        <v>4.1855845796847531</v>
      </c>
      <c r="AG465" s="5"/>
      <c r="AH465" s="5"/>
      <c r="AI465" s="5"/>
      <c r="AJ465" s="103"/>
      <c r="AK465" s="72">
        <f>F462*LeagueRatings!$K$27</f>
        <v>0</v>
      </c>
      <c r="AL465" s="72">
        <f>G462*LeagueRatings!$K$27</f>
        <v>0</v>
      </c>
      <c r="AM465" s="72">
        <f>T465*LeagueRatings!$K$27</f>
        <v>0</v>
      </c>
      <c r="AN465" s="30"/>
      <c r="AO465" s="14">
        <f t="shared" si="2"/>
        <v>1</v>
      </c>
    </row>
    <row r="466" spans="1:41" x14ac:dyDescent="0.2">
      <c r="C466" s="76">
        <v>0</v>
      </c>
      <c r="D466" s="76">
        <v>2</v>
      </c>
      <c r="E466" s="97">
        <v>4.66</v>
      </c>
      <c r="F466" s="76">
        <v>6</v>
      </c>
      <c r="G466" s="76">
        <v>3</v>
      </c>
      <c r="H466" s="76">
        <v>0</v>
      </c>
      <c r="I466" s="76">
        <v>0</v>
      </c>
      <c r="J466" s="76">
        <v>0</v>
      </c>
      <c r="K466" s="76">
        <v>0</v>
      </c>
      <c r="T466" s="158"/>
      <c r="U466" s="158"/>
      <c r="V466" s="153"/>
      <c r="W466" s="152">
        <f>SUM(W464:W465)</f>
        <v>12.081974162324027</v>
      </c>
      <c r="X466" s="153"/>
      <c r="Y466" s="153"/>
      <c r="Z466" s="152">
        <f>SUM(Z464:Z465)</f>
        <v>0.88296923371364056</v>
      </c>
      <c r="AA466" s="153"/>
      <c r="AB466" s="103"/>
      <c r="AC466" s="103"/>
      <c r="AD466" s="103"/>
      <c r="AE466" s="153">
        <f>SUM(AE464:AE465)</f>
        <v>13.848127120486588</v>
      </c>
      <c r="AF466" s="41" t="s">
        <v>494</v>
      </c>
      <c r="AG466" s="5" t="s">
        <v>59</v>
      </c>
      <c r="AH466" s="5" t="s">
        <v>65</v>
      </c>
      <c r="AI466" s="5" t="s">
        <v>35</v>
      </c>
      <c r="AJ466" s="174">
        <f>SUM(AJ462:AJ465)</f>
        <v>0</v>
      </c>
      <c r="AK466" s="14">
        <f>SUM(AK462:AK465)</f>
        <v>16.666666666666668</v>
      </c>
      <c r="AL466" s="14">
        <f>SUM(AL462:AL465)</f>
        <v>16.111111111111111</v>
      </c>
      <c r="AM466" s="14">
        <f>SUM(AM462:AM465)</f>
        <v>397.22222222222223</v>
      </c>
      <c r="AN466" s="30"/>
      <c r="AO466" s="14">
        <f t="shared" si="2"/>
        <v>0</v>
      </c>
    </row>
    <row r="467" spans="1:41" x14ac:dyDescent="0.2">
      <c r="AK467" s="72">
        <f>F464*LeagueRatings!$K$27</f>
        <v>0</v>
      </c>
      <c r="AL467" s="72">
        <f>G464*LeagueRatings!$K$27</f>
        <v>0</v>
      </c>
      <c r="AM467" s="72">
        <f>T467*LeagueRatings!$K$27</f>
        <v>0</v>
      </c>
      <c r="AN467" s="30"/>
      <c r="AO467" s="14">
        <f t="shared" si="2"/>
        <v>0</v>
      </c>
    </row>
    <row r="468" spans="1:41" x14ac:dyDescent="0.2">
      <c r="L468" s="97">
        <v>13.33</v>
      </c>
      <c r="M468" s="76">
        <v>12</v>
      </c>
      <c r="N468" s="76">
        <v>9</v>
      </c>
      <c r="O468" s="76">
        <v>9</v>
      </c>
      <c r="P468" s="76">
        <v>3</v>
      </c>
      <c r="Q468" s="76">
        <v>4</v>
      </c>
      <c r="R468" s="76">
        <v>0</v>
      </c>
      <c r="S468" s="76">
        <v>8</v>
      </c>
      <c r="T468" s="76">
        <v>57</v>
      </c>
      <c r="V468" s="151">
        <f>+(Q468-R468)/(T468-R468)*100</f>
        <v>7.0175438596491224</v>
      </c>
      <c r="W468" s="152">
        <f>IF(V468&lt;LeagueRatings!$K$10,((LeagueRatings!$K$10-V468)/LeagueRatings!$K$10)*36,(LeagueRatings!$K$10-V468)*6.48)</f>
        <v>6.853202480678009</v>
      </c>
      <c r="X468" s="146">
        <v>-0.4</v>
      </c>
      <c r="Y468" s="153">
        <f>(P468/(T468-R468))*100</f>
        <v>5.2631578947368416</v>
      </c>
      <c r="Z468" s="152">
        <f>IF(Y468&lt;LeagueRatings!$K$8,((LeagueRatings!$K$8-Y468)/LeagueRatings!$K$8)*36,(LeagueRatings!$K$8-Y468)/LeagueRatings!$K$11)</f>
        <v>-16.364797405164325</v>
      </c>
      <c r="AA468" s="146">
        <v>2.61</v>
      </c>
      <c r="AB468" s="103">
        <f>+((LeagueRatings!$I$6-E465)*5)+9.5</f>
        <v>0.10805145527740301</v>
      </c>
      <c r="AC468" s="103">
        <f>IF(AB468&lt;4,4,AB468)</f>
        <v>4</v>
      </c>
      <c r="AD468" s="103">
        <f>IF(M468&lt;L468,((1-(M468/L468))*7)-0.07,(1-(M468/L468))*5)</f>
        <v>0.62842460615153795</v>
      </c>
      <c r="AE468" s="154">
        <f>+X468+AA468+AC468+AD468</f>
        <v>6.8384246061515377</v>
      </c>
      <c r="AJ468" s="103">
        <f>+AO351*LeagueRatings!$K$27</f>
        <v>0</v>
      </c>
      <c r="AK468" s="72">
        <f>F465*LeagueRatings!$K$27</f>
        <v>1.6666666666666667</v>
      </c>
      <c r="AL468" s="72">
        <f>G465*LeagueRatings!$K$27</f>
        <v>1.6666666666666667</v>
      </c>
      <c r="AM468" s="72">
        <f>T468*LeagueRatings!$K$27</f>
        <v>31.666666666666668</v>
      </c>
      <c r="AN468" s="30"/>
      <c r="AO468" s="14">
        <f t="shared" si="2"/>
        <v>108</v>
      </c>
    </row>
    <row r="469" spans="1:41" x14ac:dyDescent="0.2">
      <c r="A469" t="s">
        <v>634</v>
      </c>
      <c r="B469" s="76" t="s">
        <v>168</v>
      </c>
      <c r="L469" s="97">
        <v>19.329999999999998</v>
      </c>
      <c r="M469" s="76">
        <v>26</v>
      </c>
      <c r="N469" s="76">
        <v>12</v>
      </c>
      <c r="O469" s="76">
        <v>10</v>
      </c>
      <c r="P469" s="76">
        <v>0</v>
      </c>
      <c r="Q469" s="76">
        <v>3</v>
      </c>
      <c r="R469" s="76">
        <v>0</v>
      </c>
      <c r="S469" s="76">
        <v>15</v>
      </c>
      <c r="T469" s="76">
        <v>86</v>
      </c>
      <c r="U469" s="138"/>
      <c r="V469" s="151">
        <f>+(Q469-R469)/(T469-R469)*100</f>
        <v>3.4883720930232558</v>
      </c>
      <c r="W469" s="152">
        <f>IF(V469&lt;LeagueRatings!$K$21,((LeagueRatings!$K$21-V469)/LeagueRatings!$K$21)*36,(LeagueRatings!$K$21-V469)*6.48)</f>
        <v>21.973285293497774</v>
      </c>
      <c r="X469" s="153">
        <v>-1.89</v>
      </c>
      <c r="Y469" s="153">
        <f>(P469/(T469-R469))*100</f>
        <v>0</v>
      </c>
      <c r="Z469" s="152">
        <f>IF(Y469&lt;LeagueRatings!$K$19,((LeagueRatings!$K$19-Y469)/LeagueRatings!$K$19)*36,(LeagueRatings!$K$19-Y469)/LeagueRatings!$K$22)</f>
        <v>36</v>
      </c>
      <c r="AA469" s="153">
        <v>-3.26</v>
      </c>
      <c r="AB469" s="103">
        <f>+((LeagueRatings!$I$17-E466)*5)+9.5</f>
        <v>7.0143872437063619</v>
      </c>
      <c r="AC469" s="103">
        <f>IF(AB469&lt;4,4,AB469)</f>
        <v>7.0143872437063619</v>
      </c>
      <c r="AD469" s="103">
        <f>IF(M469&lt;L469,((1-(M469/L469))*7)-0.07,(1-(M469/L469))*5)</f>
        <v>-1.7252974650801867</v>
      </c>
      <c r="AE469" s="154">
        <f>+X469+AA469+AC469+AD469</f>
        <v>0.13908977862617578</v>
      </c>
      <c r="AG469" s="58"/>
      <c r="AH469" s="5"/>
      <c r="AI469" s="5"/>
      <c r="AJ469" s="103">
        <f>+AO352*LeagueRatings!$K$27</f>
        <v>0</v>
      </c>
      <c r="AK469" s="72">
        <f>F466*LeagueRatings!$K$27</f>
        <v>3.3333333333333335</v>
      </c>
      <c r="AL469" s="72">
        <f>G466*LeagueRatings!$K$27</f>
        <v>1.6666666666666667</v>
      </c>
      <c r="AM469" s="72">
        <f>T469*LeagueRatings!$K$27</f>
        <v>47.777777777777779</v>
      </c>
      <c r="AN469" s="30"/>
      <c r="AO469" s="14">
        <f t="shared" si="2"/>
        <v>112</v>
      </c>
    </row>
    <row r="470" spans="1:41" x14ac:dyDescent="0.2">
      <c r="A470" s="41" t="s">
        <v>634</v>
      </c>
      <c r="B470" s="76" t="s">
        <v>165</v>
      </c>
      <c r="L470" s="157">
        <f>(L468/100)/((L468+L469)/100)</f>
        <v>0.40814451928965101</v>
      </c>
      <c r="T470" s="158"/>
      <c r="U470" s="158"/>
      <c r="V470" s="153"/>
      <c r="W470" s="152">
        <f>W468*L470</f>
        <v>2.7970970320709698</v>
      </c>
      <c r="X470" s="153"/>
      <c r="Y470" s="153"/>
      <c r="Z470" s="152">
        <f>Z468*L470</f>
        <v>-6.6792023702033214</v>
      </c>
      <c r="AA470" s="153"/>
      <c r="AB470" s="103"/>
      <c r="AC470" s="103"/>
      <c r="AD470" s="103"/>
      <c r="AE470" s="154">
        <f>AE468*L470</f>
        <v>2.7910655235762403</v>
      </c>
      <c r="AG470" s="5"/>
      <c r="AH470" s="5"/>
      <c r="AI470" s="5"/>
      <c r="AJ470" s="103"/>
      <c r="AK470" s="72">
        <f>F467*LeagueRatings!$K$27</f>
        <v>0</v>
      </c>
      <c r="AL470" s="72">
        <f>G467*LeagueRatings!$K$27</f>
        <v>0</v>
      </c>
      <c r="AM470" s="72">
        <f>T470*LeagueRatings!$K$27</f>
        <v>0</v>
      </c>
      <c r="AN470" s="30"/>
      <c r="AO470" s="14">
        <f t="shared" si="2"/>
        <v>1</v>
      </c>
    </row>
    <row r="471" spans="1:41" x14ac:dyDescent="0.2">
      <c r="C471" s="76">
        <v>6</v>
      </c>
      <c r="D471" s="76">
        <v>8</v>
      </c>
      <c r="E471" s="97">
        <v>3.87</v>
      </c>
      <c r="F471" s="76">
        <v>23</v>
      </c>
      <c r="G471" s="76">
        <v>20</v>
      </c>
      <c r="H471" s="76">
        <v>0</v>
      </c>
      <c r="I471" s="76">
        <v>0</v>
      </c>
      <c r="J471" s="76">
        <v>0</v>
      </c>
      <c r="K471" s="76">
        <v>1</v>
      </c>
      <c r="L471" s="157">
        <f>(L469/100)/((L468+L469)/100)</f>
        <v>0.5918554807103491</v>
      </c>
      <c r="T471" s="158"/>
      <c r="U471" s="158"/>
      <c r="V471" s="153"/>
      <c r="W471" s="152">
        <f>W469*L471</f>
        <v>13.00500933016877</v>
      </c>
      <c r="X471" s="153"/>
      <c r="Y471" s="153"/>
      <c r="Z471" s="152">
        <f>Z469*L471</f>
        <v>21.306797305572566</v>
      </c>
      <c r="AA471" s="153"/>
      <c r="AB471" s="103"/>
      <c r="AC471" s="103"/>
      <c r="AD471" s="103"/>
      <c r="AE471" s="154">
        <f>AE469*L471</f>
        <v>8.2321047790691299E-2</v>
      </c>
      <c r="AG471" s="5"/>
      <c r="AH471" s="5"/>
      <c r="AI471" s="5"/>
      <c r="AJ471" s="103"/>
      <c r="AK471" s="72">
        <f>F468*LeagueRatings!$K$27</f>
        <v>0</v>
      </c>
      <c r="AL471" s="72">
        <f>G468*LeagueRatings!$K$27</f>
        <v>0</v>
      </c>
      <c r="AM471" s="72">
        <f>T471*LeagueRatings!$K$27</f>
        <v>0</v>
      </c>
      <c r="AN471" s="30"/>
      <c r="AO471" s="14">
        <f t="shared" si="2"/>
        <v>1</v>
      </c>
    </row>
    <row r="472" spans="1:41" x14ac:dyDescent="0.2">
      <c r="C472" s="76">
        <v>2</v>
      </c>
      <c r="D472" s="76">
        <v>3</v>
      </c>
      <c r="E472" s="97">
        <v>4.74</v>
      </c>
      <c r="F472" s="76">
        <v>9</v>
      </c>
      <c r="G472" s="76">
        <v>9</v>
      </c>
      <c r="H472" s="76">
        <v>0</v>
      </c>
      <c r="I472" s="76">
        <v>0</v>
      </c>
      <c r="J472" s="76">
        <v>0</v>
      </c>
      <c r="K472" s="76">
        <v>0</v>
      </c>
      <c r="T472" s="158"/>
      <c r="U472" s="158"/>
      <c r="V472" s="153"/>
      <c r="W472" s="152">
        <f>SUM(W470:W471)</f>
        <v>15.802106362239741</v>
      </c>
      <c r="X472" s="153"/>
      <c r="Y472" s="153"/>
      <c r="Z472" s="152">
        <f>SUM(Z470:Z471)</f>
        <v>14.627594935369245</v>
      </c>
      <c r="AA472" s="153"/>
      <c r="AB472" s="103"/>
      <c r="AC472" s="103"/>
      <c r="AD472" s="103"/>
      <c r="AE472" s="153">
        <f>SUM(AE470:AE471)</f>
        <v>2.8733865713669315</v>
      </c>
      <c r="AF472" s="41" t="s">
        <v>580</v>
      </c>
      <c r="AG472" s="5" t="s">
        <v>50</v>
      </c>
      <c r="AH472" s="5" t="s">
        <v>36</v>
      </c>
      <c r="AI472" s="5" t="s">
        <v>48</v>
      </c>
      <c r="AJ472" s="174">
        <f>SUM(AJ468:AJ471)</f>
        <v>0</v>
      </c>
      <c r="AK472" s="14">
        <f>SUM(AK468:AK471)</f>
        <v>5</v>
      </c>
      <c r="AL472" s="14">
        <f>SUM(AL468:AL471)</f>
        <v>3.3333333333333335</v>
      </c>
      <c r="AM472" s="14">
        <f>SUM(AM468:AM471)</f>
        <v>79.444444444444443</v>
      </c>
      <c r="AN472" s="30"/>
      <c r="AO472" s="14">
        <f t="shared" si="2"/>
        <v>0</v>
      </c>
    </row>
    <row r="473" spans="1:41" x14ac:dyDescent="0.2">
      <c r="AK473" s="72">
        <f>F470*LeagueRatings!$K$27</f>
        <v>0</v>
      </c>
      <c r="AL473" s="72">
        <f>G470*LeagueRatings!$K$27</f>
        <v>0</v>
      </c>
      <c r="AM473" s="72">
        <f>T473*LeagueRatings!$K$27</f>
        <v>0</v>
      </c>
      <c r="AN473" s="30"/>
      <c r="AO473" s="14">
        <f t="shared" si="2"/>
        <v>0</v>
      </c>
    </row>
    <row r="474" spans="1:41" x14ac:dyDescent="0.2">
      <c r="L474" s="97">
        <v>121</v>
      </c>
      <c r="M474" s="76">
        <v>108</v>
      </c>
      <c r="N474" s="76">
        <v>57</v>
      </c>
      <c r="O474" s="76">
        <v>52</v>
      </c>
      <c r="P474" s="76">
        <v>11</v>
      </c>
      <c r="Q474" s="76">
        <v>55</v>
      </c>
      <c r="R474" s="76">
        <v>7</v>
      </c>
      <c r="S474" s="76">
        <v>75</v>
      </c>
      <c r="T474" s="76">
        <v>527</v>
      </c>
      <c r="V474" s="151">
        <f>+(Q474-R474)/(T474-R474)*100</f>
        <v>9.2307692307692317</v>
      </c>
      <c r="W474" s="152">
        <f>IF(V474&lt;LeagueRatings!$K$21,((LeagueRatings!$K$21-V474)/LeagueRatings!$K$21)*36,(LeagueRatings!$K$21-V474)*6.48)</f>
        <v>-1.7998436360535885</v>
      </c>
      <c r="X474" s="153">
        <v>0.65</v>
      </c>
      <c r="Y474" s="153">
        <f>(P474/(T474-R474))*100</f>
        <v>2.1153846153846154</v>
      </c>
      <c r="Z474" s="152">
        <f>IF(Y474&lt;LeagueRatings!$K$19,((LeagueRatings!$K$19-Y474)/LeagueRatings!$K$19)*36,(LeagueRatings!$K$19-Y474)/LeagueRatings!$K$22)</f>
        <v>9.8122973439116947</v>
      </c>
      <c r="AA474" s="153">
        <v>-0.14000000000000001</v>
      </c>
      <c r="AB474" s="103">
        <f>+((LeagueRatings!$I$17-E471)*5)+9.5</f>
        <v>10.964387243706362</v>
      </c>
      <c r="AC474" s="103">
        <f>IF(AB474&lt;4,4,AB474)</f>
        <v>10.964387243706362</v>
      </c>
      <c r="AD474" s="103">
        <f>IF(M474&lt;L474,((1-(M474/L474))*7)-0.07,(1-(M474/L474))*5)</f>
        <v>0.68206611570247921</v>
      </c>
      <c r="AE474" s="154">
        <f>+X474+AA474+AC474+AD474</f>
        <v>12.156453359408841</v>
      </c>
      <c r="AJ474" s="103">
        <f>+AO357*LeagueRatings!$K$27</f>
        <v>0</v>
      </c>
      <c r="AK474" s="72">
        <f>F471*LeagueRatings!$K$27</f>
        <v>12.777777777777779</v>
      </c>
      <c r="AL474" s="72">
        <f>G471*LeagueRatings!$K$27</f>
        <v>11.111111111111111</v>
      </c>
      <c r="AM474" s="72">
        <f>T474*LeagueRatings!$K$27</f>
        <v>292.77777777777777</v>
      </c>
      <c r="AN474" s="30"/>
      <c r="AO474" s="14">
        <f t="shared" si="2"/>
        <v>106</v>
      </c>
    </row>
    <row r="475" spans="1:41" x14ac:dyDescent="0.2">
      <c r="A475" t="s">
        <v>534</v>
      </c>
      <c r="B475" s="76" t="s">
        <v>171</v>
      </c>
      <c r="L475" s="97">
        <v>43.67</v>
      </c>
      <c r="M475" s="76">
        <v>48</v>
      </c>
      <c r="N475" s="76">
        <v>27</v>
      </c>
      <c r="O475" s="76">
        <v>23</v>
      </c>
      <c r="P475" s="76">
        <v>8</v>
      </c>
      <c r="Q475" s="76">
        <v>18</v>
      </c>
      <c r="R475" s="76">
        <v>0</v>
      </c>
      <c r="S475" s="76">
        <v>30</v>
      </c>
      <c r="T475" s="76">
        <v>195</v>
      </c>
      <c r="U475" s="147"/>
      <c r="V475" s="151">
        <f>+(Q475-R475)/(T475-R475)*100</f>
        <v>9.2307692307692317</v>
      </c>
      <c r="W475" s="152">
        <f>IF(V475&lt;LeagueRatings!$K$10,((LeagueRatings!$K$10-V475)/LeagueRatings!$K$10)*36,(LeagueRatings!$K$10-V475)*6.48)</f>
        <v>-3.6496041211909613</v>
      </c>
      <c r="X475" s="153">
        <v>0.65</v>
      </c>
      <c r="Y475" s="153">
        <f>(P475/(T475-R475))*100</f>
        <v>4.1025641025641022</v>
      </c>
      <c r="Z475" s="152">
        <f>IF(Y475&lt;LeagueRatings!$K$8,((LeagueRatings!$K$8-Y475)/LeagueRatings!$K$8)*36,(LeagueRatings!$K$8-Y475)/LeagueRatings!$K$11)</f>
        <v>-7.1491574386133809</v>
      </c>
      <c r="AA475" s="153">
        <v>1.38</v>
      </c>
      <c r="AB475" s="103">
        <f>+((LeagueRatings!$I$6-E472)*5)+9.5</f>
        <v>6.8080514552774023</v>
      </c>
      <c r="AC475" s="103">
        <f>IF(AB475&lt;4,4,AB475)</f>
        <v>6.8080514552774023</v>
      </c>
      <c r="AD475" s="103">
        <f>IF(M475&lt;L475,((1-(M475/L475))*7)-0.07,(1-(M475/L475))*5)</f>
        <v>-0.49576368216166733</v>
      </c>
      <c r="AE475" s="154">
        <f>+X475+AA475+AC475+AD475</f>
        <v>8.3422877731157339</v>
      </c>
      <c r="AG475" s="5"/>
      <c r="AH475" s="5"/>
      <c r="AI475" s="5"/>
      <c r="AJ475" s="103">
        <f>+AO358*LeagueRatings!$K$27</f>
        <v>0</v>
      </c>
      <c r="AK475" s="72">
        <f>F472*LeagueRatings!$K$27</f>
        <v>5</v>
      </c>
      <c r="AL475" s="72">
        <f>G472*LeagueRatings!$K$27</f>
        <v>5</v>
      </c>
      <c r="AM475" s="72">
        <f>T475*LeagueRatings!$K$27</f>
        <v>108.33333333333334</v>
      </c>
      <c r="AN475" s="30"/>
      <c r="AO475" s="14">
        <f t="shared" si="2"/>
        <v>48</v>
      </c>
    </row>
    <row r="476" spans="1:41" x14ac:dyDescent="0.2">
      <c r="A476" s="41" t="s">
        <v>534</v>
      </c>
      <c r="B476" s="76" t="s">
        <v>152</v>
      </c>
      <c r="L476" s="157">
        <f>(L474/100)/((L474+L475)/100)</f>
        <v>0.73480293921175677</v>
      </c>
      <c r="T476" s="158"/>
      <c r="U476" s="158"/>
      <c r="V476" s="153"/>
      <c r="W476" s="152">
        <f>W474*L476</f>
        <v>-1.3225303938937523</v>
      </c>
      <c r="X476" s="153"/>
      <c r="Y476" s="153"/>
      <c r="Z476" s="152">
        <f>Z474*L476</f>
        <v>7.210104928726027</v>
      </c>
      <c r="AA476" s="153"/>
      <c r="AB476" s="103"/>
      <c r="AC476" s="103"/>
      <c r="AD476" s="103"/>
      <c r="AE476" s="154">
        <f>AE474*L476</f>
        <v>8.9325976588842515</v>
      </c>
      <c r="AG476" s="5"/>
      <c r="AH476" s="5"/>
      <c r="AI476" s="5"/>
      <c r="AJ476" s="103"/>
      <c r="AK476" s="72">
        <f>F473*LeagueRatings!$K$27</f>
        <v>0</v>
      </c>
      <c r="AL476" s="72">
        <f>G473*LeagueRatings!$K$27</f>
        <v>0</v>
      </c>
      <c r="AM476" s="72">
        <f>T476*LeagueRatings!$K$27</f>
        <v>0</v>
      </c>
      <c r="AN476" s="30"/>
      <c r="AO476" s="14">
        <f t="shared" si="2"/>
        <v>1</v>
      </c>
    </row>
    <row r="477" spans="1:41" x14ac:dyDescent="0.2">
      <c r="C477" s="76">
        <v>1</v>
      </c>
      <c r="D477" s="76">
        <v>0</v>
      </c>
      <c r="E477" s="97">
        <v>6.3</v>
      </c>
      <c r="F477" s="76">
        <v>16</v>
      </c>
      <c r="G477" s="76">
        <v>0</v>
      </c>
      <c r="H477" s="76">
        <v>0</v>
      </c>
      <c r="I477" s="76">
        <v>0</v>
      </c>
      <c r="J477" s="76">
        <v>0</v>
      </c>
      <c r="K477" s="76">
        <v>0</v>
      </c>
      <c r="L477" s="157">
        <f>(L475/100)/((L474+L475)/100)</f>
        <v>0.26519706078824318</v>
      </c>
      <c r="T477" s="158"/>
      <c r="U477" s="158"/>
      <c r="V477" s="153"/>
      <c r="W477" s="152">
        <f>W475*L477</f>
        <v>-0.96786428598050223</v>
      </c>
      <c r="X477" s="153"/>
      <c r="Y477" s="153"/>
      <c r="Z477" s="152">
        <f>Z475*L477</f>
        <v>-1.8959355398326736</v>
      </c>
      <c r="AA477" s="153"/>
      <c r="AB477" s="103"/>
      <c r="AC477" s="103"/>
      <c r="AD477" s="103"/>
      <c r="AE477" s="154">
        <f>AE475*L477</f>
        <v>2.2123501976799913</v>
      </c>
      <c r="AG477" s="5"/>
      <c r="AH477" s="5"/>
      <c r="AI477" s="5"/>
      <c r="AJ477" s="103"/>
      <c r="AK477" s="72">
        <f>F474*LeagueRatings!$K$27</f>
        <v>0</v>
      </c>
      <c r="AL477" s="72">
        <f>G474*LeagueRatings!$K$27</f>
        <v>0</v>
      </c>
      <c r="AM477" s="72">
        <f>T477*LeagueRatings!$K$27</f>
        <v>0</v>
      </c>
      <c r="AN477" s="30"/>
      <c r="AO477" s="14">
        <f t="shared" si="2"/>
        <v>1</v>
      </c>
    </row>
    <row r="478" spans="1:41" x14ac:dyDescent="0.2">
      <c r="C478" s="76">
        <v>3</v>
      </c>
      <c r="D478" s="76">
        <v>1</v>
      </c>
      <c r="E478" s="97">
        <v>1.85</v>
      </c>
      <c r="F478" s="76">
        <v>30</v>
      </c>
      <c r="G478" s="76">
        <v>0</v>
      </c>
      <c r="H478" s="76">
        <v>0</v>
      </c>
      <c r="I478" s="76">
        <v>0</v>
      </c>
      <c r="J478" s="76">
        <v>0</v>
      </c>
      <c r="K478" s="76">
        <v>0</v>
      </c>
      <c r="T478" s="158"/>
      <c r="U478" s="158"/>
      <c r="V478" s="153"/>
      <c r="W478" s="152">
        <f>SUM(W476:W477)</f>
        <v>-2.2903946798742547</v>
      </c>
      <c r="X478" s="153"/>
      <c r="Y478" s="153"/>
      <c r="Z478" s="152">
        <f>SUM(Z476:Z477)</f>
        <v>5.3141693888933537</v>
      </c>
      <c r="AA478" s="153"/>
      <c r="AB478" s="103"/>
      <c r="AC478" s="103"/>
      <c r="AD478" s="103"/>
      <c r="AE478" s="153">
        <f>SUM(AE476:AE477)</f>
        <v>11.144947856564244</v>
      </c>
      <c r="AF478" s="41" t="s">
        <v>634</v>
      </c>
      <c r="AG478" s="5" t="s">
        <v>34</v>
      </c>
      <c r="AH478" s="5" t="s">
        <v>35</v>
      </c>
      <c r="AI478" s="5" t="s">
        <v>29</v>
      </c>
      <c r="AJ478" s="174">
        <f>SUM(AJ474:AJ477)</f>
        <v>0</v>
      </c>
      <c r="AK478" s="14">
        <f>SUM(AK474:AK477)</f>
        <v>17.777777777777779</v>
      </c>
      <c r="AL478" s="14">
        <f>SUM(AL474:AL477)</f>
        <v>16.111111111111111</v>
      </c>
      <c r="AM478" s="14">
        <f>SUM(AM474:AM477)</f>
        <v>401.11111111111109</v>
      </c>
      <c r="AN478" s="30"/>
      <c r="AO478" s="14">
        <f t="shared" si="2"/>
        <v>0</v>
      </c>
    </row>
    <row r="479" spans="1:41" x14ac:dyDescent="0.2">
      <c r="AK479" s="72">
        <f>F476*LeagueRatings!$K$27</f>
        <v>0</v>
      </c>
      <c r="AL479" s="72">
        <f>G476*LeagueRatings!$K$27</f>
        <v>0</v>
      </c>
      <c r="AM479" s="72">
        <f>T479*LeagueRatings!$K$27</f>
        <v>0</v>
      </c>
      <c r="AN479" s="30"/>
      <c r="AO479" s="14">
        <f t="shared" si="2"/>
        <v>0</v>
      </c>
    </row>
    <row r="480" spans="1:41" x14ac:dyDescent="0.2">
      <c r="L480" s="97">
        <v>20</v>
      </c>
      <c r="M480" s="76">
        <v>27</v>
      </c>
      <c r="N480" s="76">
        <v>15</v>
      </c>
      <c r="O480" s="76">
        <v>14</v>
      </c>
      <c r="P480" s="76">
        <v>2</v>
      </c>
      <c r="Q480" s="76">
        <v>6</v>
      </c>
      <c r="R480" s="76">
        <v>0</v>
      </c>
      <c r="S480" s="76">
        <v>11</v>
      </c>
      <c r="T480" s="76">
        <v>92</v>
      </c>
      <c r="V480" s="151">
        <f>+(Q480-R480)/(T480-R480)*100</f>
        <v>6.5217391304347823</v>
      </c>
      <c r="W480" s="152">
        <f>IF(V480&lt;LeagueRatings!$K$10,((LeagueRatings!$K$10-V480)/LeagueRatings!$K$10)*36,(LeagueRatings!$K$10-V480)*6.48)</f>
        <v>8.9124870880214093</v>
      </c>
      <c r="X480" s="153">
        <v>-0.56000000000000005</v>
      </c>
      <c r="Y480" s="153">
        <f>(P480/(T480-R480))*100</f>
        <v>2.1739130434782608</v>
      </c>
      <c r="Z480" s="152">
        <f>IF(Y480&lt;LeagueRatings!$K$8,((LeagueRatings!$K$8-Y480)/LeagueRatings!$K$8)*36,(LeagueRatings!$K$8-Y480)/LeagueRatings!$K$11)</f>
        <v>11.560416110962926</v>
      </c>
      <c r="AA480" s="153">
        <v>-0.21</v>
      </c>
      <c r="AB480" s="103">
        <f>+((LeagueRatings!$I$6-E477)*5)+9.5</f>
        <v>-0.99194854472259664</v>
      </c>
      <c r="AC480" s="103">
        <f>IF(AB480&lt;4,4,AB480)</f>
        <v>4</v>
      </c>
      <c r="AD480" s="103">
        <f>IF(M480&lt;L480,((1-(M480/L480))*7)-0.07,(1-(M480/L480))*5)</f>
        <v>-1.7500000000000004</v>
      </c>
      <c r="AE480" s="154">
        <f>+X480+AA480+AC480+AD480</f>
        <v>1.4799999999999995</v>
      </c>
      <c r="AJ480" s="103">
        <f>+AO363*LeagueRatings!$K$27</f>
        <v>0</v>
      </c>
      <c r="AK480" s="72">
        <f>F477*LeagueRatings!$K$27</f>
        <v>8.8888888888888893</v>
      </c>
      <c r="AL480" s="72">
        <f>G477*LeagueRatings!$K$27</f>
        <v>0</v>
      </c>
      <c r="AM480" s="72">
        <f>T480*LeagueRatings!$K$27</f>
        <v>51.111111111111114</v>
      </c>
      <c r="AN480" s="30"/>
      <c r="AO480" s="14">
        <f t="shared" si="2"/>
        <v>34</v>
      </c>
    </row>
    <row r="481" spans="1:41" x14ac:dyDescent="0.2">
      <c r="A481" t="s">
        <v>615</v>
      </c>
      <c r="B481" s="76" t="s">
        <v>156</v>
      </c>
      <c r="L481" s="97">
        <v>39</v>
      </c>
      <c r="M481" s="76">
        <v>34</v>
      </c>
      <c r="N481" s="76">
        <v>10</v>
      </c>
      <c r="O481" s="76">
        <v>8</v>
      </c>
      <c r="P481" s="76">
        <v>3</v>
      </c>
      <c r="Q481" s="76">
        <v>17</v>
      </c>
      <c r="R481" s="76">
        <v>2</v>
      </c>
      <c r="S481" s="76">
        <v>28</v>
      </c>
      <c r="T481" s="76">
        <v>166</v>
      </c>
      <c r="U481" s="138"/>
      <c r="V481" s="151">
        <f>+(Q481-R481)/(T481-R481)*100</f>
        <v>9.1463414634146343</v>
      </c>
      <c r="W481" s="152">
        <f>IF(V481&lt;LeagueRatings!$K$21,((LeagueRatings!$K$21-V481)/LeagueRatings!$K$21)*36,(LeagueRatings!$K$21-V481)*6.48)</f>
        <v>-1.2527517035957969</v>
      </c>
      <c r="X481" s="153">
        <v>0.65</v>
      </c>
      <c r="Y481" s="153">
        <f>(P481/(T481-R481))*100</f>
        <v>1.8292682926829267</v>
      </c>
      <c r="Z481" s="152">
        <f>IF(Y481&lt;LeagueRatings!$K$19,((LeagueRatings!$K$19-Y481)/LeagueRatings!$K$19)*36,(LeagueRatings!$K$19-Y481)/LeagueRatings!$K$22)</f>
        <v>13.354314776331623</v>
      </c>
      <c r="AA481" s="153">
        <v>-0.42</v>
      </c>
      <c r="AB481" s="103">
        <f>+((LeagueRatings!$I$17-E478)*5)+9.5</f>
        <v>21.064387243706364</v>
      </c>
      <c r="AC481" s="103">
        <f>IF(AB481&lt;4,4,AB481)</f>
        <v>21.064387243706364</v>
      </c>
      <c r="AD481" s="103">
        <f>IF(M481&lt;L481,((1-(M481/L481))*7)-0.07,(1-(M481/L481))*5)</f>
        <v>0.82743589743589729</v>
      </c>
      <c r="AE481" s="154">
        <f>+X481+AA481+AC481+AD481</f>
        <v>22.121823141142261</v>
      </c>
      <c r="AG481" s="5"/>
      <c r="AH481" s="5"/>
      <c r="AI481" s="5"/>
      <c r="AJ481" s="103">
        <f>+AO364*LeagueRatings!$K$27</f>
        <v>0</v>
      </c>
      <c r="AK481" s="72">
        <f>F478*LeagueRatings!$K$27</f>
        <v>16.666666666666668</v>
      </c>
      <c r="AL481" s="72">
        <f>G478*LeagueRatings!$K$27</f>
        <v>0</v>
      </c>
      <c r="AM481" s="72">
        <f>T481*LeagueRatings!$K$27</f>
        <v>92.222222222222229</v>
      </c>
      <c r="AN481" s="30"/>
      <c r="AO481" s="14">
        <f t="shared" si="2"/>
        <v>11</v>
      </c>
    </row>
    <row r="482" spans="1:41" x14ac:dyDescent="0.2">
      <c r="A482" s="41" t="s">
        <v>615</v>
      </c>
      <c r="B482" s="76" t="s">
        <v>166</v>
      </c>
      <c r="L482" s="157">
        <f>(L480/100)/((L480+L481)/100)</f>
        <v>0.33898305084745767</v>
      </c>
      <c r="T482" s="158"/>
      <c r="U482" s="158"/>
      <c r="V482" s="153"/>
      <c r="W482" s="152">
        <f>W480*L482</f>
        <v>3.0211820637360711</v>
      </c>
      <c r="X482" s="153"/>
      <c r="Y482" s="153"/>
      <c r="Z482" s="152">
        <f>Z480*L482</f>
        <v>3.9187851223603145</v>
      </c>
      <c r="AA482" s="153"/>
      <c r="AB482" s="103"/>
      <c r="AC482" s="103"/>
      <c r="AD482" s="103"/>
      <c r="AE482" s="154">
        <f>AE480*L482</f>
        <v>0.50169491525423715</v>
      </c>
      <c r="AG482" s="5"/>
      <c r="AH482" s="5"/>
      <c r="AI482" s="5"/>
      <c r="AJ482" s="103"/>
      <c r="AK482" s="72">
        <f>F479*LeagueRatings!$K$27</f>
        <v>0</v>
      </c>
      <c r="AL482" s="72">
        <f>G479*LeagueRatings!$K$27</f>
        <v>0</v>
      </c>
      <c r="AM482" s="72">
        <f>T482*LeagueRatings!$K$27</f>
        <v>0</v>
      </c>
      <c r="AN482" s="30"/>
      <c r="AO482" s="14">
        <f t="shared" si="2"/>
        <v>1</v>
      </c>
    </row>
    <row r="483" spans="1:41" x14ac:dyDescent="0.2">
      <c r="C483" s="76">
        <v>0</v>
      </c>
      <c r="D483" s="76">
        <v>0</v>
      </c>
      <c r="E483" s="97">
        <v>10.8</v>
      </c>
      <c r="F483" s="76">
        <v>3</v>
      </c>
      <c r="G483" s="76">
        <v>0</v>
      </c>
      <c r="H483" s="76">
        <v>0</v>
      </c>
      <c r="I483" s="76">
        <v>0</v>
      </c>
      <c r="J483" s="76">
        <v>0</v>
      </c>
      <c r="K483" s="76">
        <v>0</v>
      </c>
      <c r="L483" s="157">
        <f>(L481/100)/((L480+L481)/100)</f>
        <v>0.66101694915254239</v>
      </c>
      <c r="T483" s="158"/>
      <c r="U483" s="158"/>
      <c r="V483" s="153"/>
      <c r="W483" s="152">
        <f>W481*L483</f>
        <v>-0.82809010915654369</v>
      </c>
      <c r="X483" s="153"/>
      <c r="Y483" s="153"/>
      <c r="Z483" s="152">
        <f>Z481*L483</f>
        <v>8.8274284114734467</v>
      </c>
      <c r="AA483" s="153"/>
      <c r="AB483" s="103"/>
      <c r="AC483" s="103"/>
      <c r="AD483" s="103"/>
      <c r="AE483" s="154">
        <f>AE481*L483</f>
        <v>14.62290004244997</v>
      </c>
      <c r="AG483" s="5"/>
      <c r="AH483" s="5"/>
      <c r="AI483" s="5"/>
      <c r="AJ483" s="103"/>
      <c r="AK483" s="72">
        <f>F480*LeagueRatings!$K$27</f>
        <v>0</v>
      </c>
      <c r="AL483" s="72">
        <f>G480*LeagueRatings!$K$27</f>
        <v>0</v>
      </c>
      <c r="AM483" s="72">
        <f>T483*LeagueRatings!$K$27</f>
        <v>0</v>
      </c>
      <c r="AN483" s="30"/>
      <c r="AO483" s="14">
        <f t="shared" si="2"/>
        <v>1</v>
      </c>
    </row>
    <row r="484" spans="1:41" x14ac:dyDescent="0.2">
      <c r="C484" s="76">
        <v>1</v>
      </c>
      <c r="D484" s="76">
        <v>1</v>
      </c>
      <c r="E484" s="97">
        <v>1.88</v>
      </c>
      <c r="F484" s="76">
        <v>29</v>
      </c>
      <c r="G484" s="76">
        <v>0</v>
      </c>
      <c r="H484" s="76">
        <v>0</v>
      </c>
      <c r="I484" s="76">
        <v>0</v>
      </c>
      <c r="J484" s="76">
        <v>0</v>
      </c>
      <c r="K484" s="76">
        <v>1</v>
      </c>
      <c r="T484" s="158"/>
      <c r="U484" s="158"/>
      <c r="V484" s="153"/>
      <c r="W484" s="152">
        <f>SUM(W482:W483)</f>
        <v>2.1930919545795273</v>
      </c>
      <c r="X484" s="153"/>
      <c r="Y484" s="153"/>
      <c r="Z484" s="152">
        <f>SUM(Z482:Z483)</f>
        <v>12.74621353383376</v>
      </c>
      <c r="AA484" s="153"/>
      <c r="AB484" s="103"/>
      <c r="AC484" s="103"/>
      <c r="AD484" s="103"/>
      <c r="AE484" s="153">
        <f>SUM(AE482:AE483)</f>
        <v>15.124594957704208</v>
      </c>
      <c r="AF484" s="41" t="s">
        <v>534</v>
      </c>
      <c r="AG484" s="5" t="s">
        <v>16</v>
      </c>
      <c r="AH484" s="5" t="s">
        <v>29</v>
      </c>
      <c r="AI484" s="5" t="s">
        <v>47</v>
      </c>
      <c r="AJ484" s="174">
        <f>SUM(AJ480:AJ483)</f>
        <v>0</v>
      </c>
      <c r="AK484" s="14">
        <f>SUM(AK480:AK483)</f>
        <v>25.555555555555557</v>
      </c>
      <c r="AL484" s="14">
        <f>SUM(AL480:AL483)</f>
        <v>0</v>
      </c>
      <c r="AM484" s="14">
        <f>SUM(AM480:AM483)</f>
        <v>143.33333333333334</v>
      </c>
      <c r="AN484" s="30"/>
      <c r="AO484" s="14">
        <f t="shared" si="2"/>
        <v>0</v>
      </c>
    </row>
    <row r="485" spans="1:41" x14ac:dyDescent="0.2">
      <c r="AK485" s="72">
        <f>F482*LeagueRatings!$K$27</f>
        <v>0</v>
      </c>
      <c r="AL485" s="72">
        <f>G482*LeagueRatings!$K$27</f>
        <v>0</v>
      </c>
      <c r="AM485" s="72">
        <f>T485*LeagueRatings!$K$27</f>
        <v>0</v>
      </c>
      <c r="AN485" s="30"/>
      <c r="AO485" s="14"/>
    </row>
    <row r="486" spans="1:41" x14ac:dyDescent="0.2">
      <c r="L486" s="97">
        <v>3.33</v>
      </c>
      <c r="M486" s="76">
        <v>8</v>
      </c>
      <c r="N486" s="76">
        <v>4</v>
      </c>
      <c r="O486" s="76">
        <v>4</v>
      </c>
      <c r="P486" s="76">
        <v>0</v>
      </c>
      <c r="Q486" s="76">
        <v>3</v>
      </c>
      <c r="R486" s="76">
        <v>0</v>
      </c>
      <c r="S486" s="76">
        <v>4</v>
      </c>
      <c r="T486" s="76">
        <v>21</v>
      </c>
      <c r="V486" s="151">
        <f>+(Q486-R486)/(T486-R486)*100</f>
        <v>14.285714285714285</v>
      </c>
      <c r="W486" s="152">
        <f>IF(V486&lt;LeagueRatings!$K$21,((LeagueRatings!$K$21-V486)/LeagueRatings!$K$21)*36,(LeagueRatings!$K$21-V486)*6.48)</f>
        <v>-34.555887592097534</v>
      </c>
      <c r="X486" s="153">
        <v>5.44</v>
      </c>
      <c r="Y486" s="153">
        <f>(P486/(T486-R486))*100</f>
        <v>0</v>
      </c>
      <c r="Z486" s="152">
        <f>IF(Y486&lt;LeagueRatings!$K$19,((LeagueRatings!$K$19-Y486)/LeagueRatings!$K$19)*36,(LeagueRatings!$K$19-Y486)/LeagueRatings!$K$22)</f>
        <v>36</v>
      </c>
      <c r="AA486" s="153">
        <v>-3.26</v>
      </c>
      <c r="AB486" s="103">
        <f>+((LeagueRatings!$I$17-E483)*5)+9.5</f>
        <v>-23.685612756293644</v>
      </c>
      <c r="AC486" s="103">
        <f>IF(AB486&lt;4,4,AB486)</f>
        <v>4</v>
      </c>
      <c r="AD486" s="103">
        <f>IF(M486&lt;L486,((1-(M486/L486))*7)-0.07,(1-(M486/L486))*5)</f>
        <v>-7.0120120120120122</v>
      </c>
      <c r="AE486" s="154">
        <f>+X486+AA486+AC486+AD486</f>
        <v>-0.83201201201201158</v>
      </c>
      <c r="AJ486" s="103">
        <f>+AO369*LeagueRatings!$K$27</f>
        <v>0</v>
      </c>
      <c r="AK486" s="72">
        <f>F483*LeagueRatings!$K$27</f>
        <v>1.6666666666666667</v>
      </c>
      <c r="AL486" s="72">
        <f>G483*LeagueRatings!$K$27</f>
        <v>0</v>
      </c>
      <c r="AM486" s="72">
        <f>T486*LeagueRatings!$K$27</f>
        <v>11.666666666666668</v>
      </c>
      <c r="AN486" s="30"/>
      <c r="AO486" s="14">
        <f>ROUNDUP(L603,0)</f>
        <v>33</v>
      </c>
    </row>
    <row r="487" spans="1:41" x14ac:dyDescent="0.2">
      <c r="A487" t="s">
        <v>487</v>
      </c>
      <c r="B487" s="76" t="s">
        <v>153</v>
      </c>
      <c r="L487" s="97">
        <v>28.67</v>
      </c>
      <c r="M487" s="76">
        <v>27</v>
      </c>
      <c r="N487" s="76">
        <v>6</v>
      </c>
      <c r="O487" s="76">
        <v>6</v>
      </c>
      <c r="P487" s="76">
        <v>1</v>
      </c>
      <c r="Q487" s="76">
        <v>7</v>
      </c>
      <c r="R487" s="76">
        <v>2</v>
      </c>
      <c r="S487" s="76">
        <v>25</v>
      </c>
      <c r="T487" s="76">
        <v>114</v>
      </c>
      <c r="U487" s="138"/>
      <c r="V487" s="151">
        <f>+(Q487-R487)/(T487-R487)*100</f>
        <v>4.4642857142857144</v>
      </c>
      <c r="W487" s="152">
        <f>IF(V487&lt;LeagueRatings!$K$10,((LeagueRatings!$K$10-V487)/LeagueRatings!$K$10)*36,(LeagueRatings!$K$10-V487)*6.48)</f>
        <v>17.457952470967037</v>
      </c>
      <c r="X487" s="153">
        <v>-1.39</v>
      </c>
      <c r="Y487" s="153">
        <f>(P487/(T487-R487))*100</f>
        <v>0.89285714285714279</v>
      </c>
      <c r="Z487" s="152">
        <f>IF(Y487&lt;LeagueRatings!$K$8,((LeagueRatings!$K$8-Y487)/LeagueRatings!$K$8)*36,(LeagueRatings!$K$8-Y487)/LeagueRatings!$K$11)</f>
        <v>25.962313759859772</v>
      </c>
      <c r="AA487" s="153">
        <v>-1.78</v>
      </c>
      <c r="AB487" s="103">
        <f>+((LeagueRatings!$I$6-E484)*5)+9.5</f>
        <v>21.108051455277405</v>
      </c>
      <c r="AC487" s="103">
        <f>IF(AB487&lt;4,4,AB487)</f>
        <v>21.108051455277405</v>
      </c>
      <c r="AD487" s="103">
        <f>IF(M487&lt;L487,((1-(M487/L487))*7)-0.07,(1-(M487/L487))*5)</f>
        <v>0.33774328566445838</v>
      </c>
      <c r="AE487" s="154">
        <f>+X487+AA487+AC487+AD487</f>
        <v>18.275794740941862</v>
      </c>
      <c r="AG487" s="94"/>
      <c r="AH487" s="94"/>
      <c r="AI487" s="94"/>
      <c r="AJ487" s="103">
        <f>+AO370*LeagueRatings!$K$27</f>
        <v>0</v>
      </c>
      <c r="AK487" s="72">
        <f>F484*LeagueRatings!$K$27</f>
        <v>16.111111111111111</v>
      </c>
      <c r="AL487" s="72">
        <f>G484*LeagueRatings!$K$27</f>
        <v>0</v>
      </c>
      <c r="AM487" s="72">
        <f>T487*LeagueRatings!$K$27</f>
        <v>63.333333333333336</v>
      </c>
      <c r="AN487" s="30"/>
      <c r="AO487" s="14">
        <f>ROUNDUP(L604,0)</f>
        <v>27</v>
      </c>
    </row>
    <row r="488" spans="1:41" x14ac:dyDescent="0.2">
      <c r="A488" s="41" t="s">
        <v>487</v>
      </c>
      <c r="B488" s="76" t="s">
        <v>149</v>
      </c>
      <c r="L488" s="157">
        <f>(L486/100)/((L486+L487)/100)</f>
        <v>0.1040625</v>
      </c>
      <c r="T488" s="158"/>
      <c r="U488" s="158"/>
      <c r="V488" s="153"/>
      <c r="W488" s="152">
        <f>W486*L488</f>
        <v>-3.5959720525526495</v>
      </c>
      <c r="X488" s="153"/>
      <c r="Y488" s="153"/>
      <c r="Z488" s="152">
        <f>Z486*L488</f>
        <v>3.7462499999999999</v>
      </c>
      <c r="AA488" s="153"/>
      <c r="AB488" s="103"/>
      <c r="AC488" s="103"/>
      <c r="AD488" s="103"/>
      <c r="AE488" s="154">
        <f>AE486*L488</f>
        <v>-8.6581249999999957E-2</v>
      </c>
      <c r="AG488" s="5"/>
      <c r="AH488" s="5"/>
      <c r="AI488" s="5"/>
      <c r="AJ488" s="103"/>
      <c r="AK488" s="72">
        <f>F485*LeagueRatings!$K$27</f>
        <v>0</v>
      </c>
      <c r="AL488" s="72">
        <f>G485*LeagueRatings!$K$27</f>
        <v>0</v>
      </c>
      <c r="AM488" s="72">
        <f>T488*LeagueRatings!$K$27</f>
        <v>0</v>
      </c>
      <c r="AN488" s="30"/>
      <c r="AO488" s="14">
        <f>ROUNDUP(L605,0)</f>
        <v>1</v>
      </c>
    </row>
    <row r="489" spans="1:41" x14ac:dyDescent="0.2">
      <c r="C489" s="76">
        <v>4</v>
      </c>
      <c r="D489" s="76">
        <v>2</v>
      </c>
      <c r="E489" s="97">
        <v>7.14</v>
      </c>
      <c r="F489" s="76">
        <v>38</v>
      </c>
      <c r="G489" s="76">
        <v>0</v>
      </c>
      <c r="H489" s="76">
        <v>0</v>
      </c>
      <c r="I489" s="76">
        <v>0</v>
      </c>
      <c r="J489" s="76">
        <v>2</v>
      </c>
      <c r="K489" s="76">
        <v>3</v>
      </c>
      <c r="L489" s="157">
        <f>(L487/100)/((L486+L487)/100)</f>
        <v>0.89593750000000005</v>
      </c>
      <c r="T489" s="158"/>
      <c r="U489" s="158"/>
      <c r="V489" s="153"/>
      <c r="W489" s="152">
        <f>W487*L489</f>
        <v>15.64123429195703</v>
      </c>
      <c r="X489" s="153"/>
      <c r="Y489" s="153"/>
      <c r="Z489" s="152">
        <f>Z487*L489</f>
        <v>23.260610484224365</v>
      </c>
      <c r="AA489" s="153"/>
      <c r="AB489" s="103"/>
      <c r="AC489" s="103"/>
      <c r="AD489" s="103"/>
      <c r="AE489" s="154">
        <f>AE487*L489</f>
        <v>16.373969850712601</v>
      </c>
      <c r="AG489" s="5"/>
      <c r="AH489" s="5"/>
      <c r="AI489" s="5"/>
      <c r="AJ489" s="103"/>
      <c r="AK489" s="72">
        <f>F486*LeagueRatings!$K$27</f>
        <v>0</v>
      </c>
      <c r="AL489" s="72">
        <f>G486*LeagueRatings!$K$27</f>
        <v>0</v>
      </c>
      <c r="AM489" s="72">
        <f>T489*LeagueRatings!$K$27</f>
        <v>0</v>
      </c>
      <c r="AN489" s="30"/>
      <c r="AO489" s="14">
        <f>ROUNDUP(L606,0)</f>
        <v>1</v>
      </c>
    </row>
    <row r="490" spans="1:41" x14ac:dyDescent="0.2">
      <c r="C490" s="76">
        <v>1</v>
      </c>
      <c r="D490" s="76">
        <v>0</v>
      </c>
      <c r="E490" s="97">
        <v>6.92</v>
      </c>
      <c r="F490" s="76">
        <v>16</v>
      </c>
      <c r="G490" s="76">
        <v>0</v>
      </c>
      <c r="H490" s="76">
        <v>0</v>
      </c>
      <c r="I490" s="76">
        <v>0</v>
      </c>
      <c r="J490" s="76">
        <v>0</v>
      </c>
      <c r="K490" s="76">
        <v>0</v>
      </c>
      <c r="T490" s="158"/>
      <c r="U490" s="158"/>
      <c r="V490" s="153"/>
      <c r="W490" s="152">
        <f>SUM(W488:W489)</f>
        <v>12.04526223940438</v>
      </c>
      <c r="X490" s="153"/>
      <c r="Y490" s="153"/>
      <c r="Z490" s="152">
        <f>SUM(Z488:Z489)</f>
        <v>27.006860484224365</v>
      </c>
      <c r="AA490" s="153"/>
      <c r="AB490" s="103"/>
      <c r="AC490" s="103"/>
      <c r="AD490" s="103"/>
      <c r="AE490" s="153">
        <f>SUM(AE488:AE489)</f>
        <v>16.287388600712603</v>
      </c>
      <c r="AF490" s="41" t="s">
        <v>615</v>
      </c>
      <c r="AG490" s="5" t="s">
        <v>14</v>
      </c>
      <c r="AH490" s="5" t="s">
        <v>65</v>
      </c>
      <c r="AI490" s="5" t="s">
        <v>73</v>
      </c>
      <c r="AJ490" s="174">
        <f>SUM(AJ486:AJ489)</f>
        <v>0</v>
      </c>
      <c r="AK490" s="14">
        <f>SUM(AK486:AK489)</f>
        <v>17.777777777777779</v>
      </c>
      <c r="AL490" s="14">
        <f>SUM(AL486:AL489)</f>
        <v>0</v>
      </c>
      <c r="AM490" s="14">
        <f>SUM(AM486:AM489)</f>
        <v>75</v>
      </c>
      <c r="AN490" s="30"/>
      <c r="AO490" s="14">
        <f>ROUNDUP(L607,0)</f>
        <v>0</v>
      </c>
    </row>
    <row r="491" spans="1:41" x14ac:dyDescent="0.2">
      <c r="AK491" s="72">
        <f>F488*LeagueRatings!$K$27</f>
        <v>0</v>
      </c>
      <c r="AL491" s="72">
        <f>G488*LeagueRatings!$K$27</f>
        <v>0</v>
      </c>
      <c r="AM491" s="72">
        <f>T491*LeagueRatings!$K$27</f>
        <v>0</v>
      </c>
      <c r="AN491" s="30"/>
      <c r="AO491" s="14"/>
    </row>
    <row r="492" spans="1:41" x14ac:dyDescent="0.2">
      <c r="L492" s="97">
        <v>40.33</v>
      </c>
      <c r="M492" s="76">
        <v>60</v>
      </c>
      <c r="N492" s="76">
        <v>33</v>
      </c>
      <c r="O492" s="76">
        <v>32</v>
      </c>
      <c r="P492" s="76">
        <v>5</v>
      </c>
      <c r="Q492" s="76">
        <v>23</v>
      </c>
      <c r="R492" s="76">
        <v>3</v>
      </c>
      <c r="S492" s="76">
        <v>28</v>
      </c>
      <c r="T492" s="76">
        <v>200</v>
      </c>
      <c r="V492" s="151">
        <f>+(Q492-R492)/(T492-R492)*100</f>
        <v>10.152284263959391</v>
      </c>
      <c r="W492" s="152">
        <f>IF(V492&lt;LeagueRatings!$K$21,((LeagueRatings!$K$21-V492)/LeagueRatings!$K$21)*36,(LeagueRatings!$K$21-V492)*6.48)</f>
        <v>-7.7712610511258218</v>
      </c>
      <c r="X492" s="153">
        <v>1.37</v>
      </c>
      <c r="Y492" s="153">
        <f>(P492/(T492-R492))*100</f>
        <v>2.5380710659898478</v>
      </c>
      <c r="Z492" s="152">
        <f>IF(Y492&lt;LeagueRatings!$K$19,((LeagueRatings!$K$19-Y492)/LeagueRatings!$K$19)*36,(LeagueRatings!$K$19-Y492)/LeagueRatings!$K$22)</f>
        <v>4.579590721813755</v>
      </c>
      <c r="AA492" s="153">
        <v>0.24</v>
      </c>
      <c r="AB492" s="103">
        <f>+((LeagueRatings!$I$17-E489)*5)+9.5</f>
        <v>-5.3856127562936358</v>
      </c>
      <c r="AC492" s="103">
        <f>IF(AB492&lt;4,4,AB492)</f>
        <v>4</v>
      </c>
      <c r="AD492" s="103">
        <f>IF(M492&lt;L492,((1-(M492/L492))*7)-0.07,(1-(M492/L492))*5)</f>
        <v>-2.4386312918423014</v>
      </c>
      <c r="AE492" s="154">
        <f>+X492+AA492+AC492+AD492</f>
        <v>3.1713687081576989</v>
      </c>
      <c r="AJ492" s="103">
        <f>+AO375*LeagueRatings!$K$27</f>
        <v>0</v>
      </c>
      <c r="AK492" s="72">
        <f>F489*LeagueRatings!$K$27</f>
        <v>21.111111111111111</v>
      </c>
      <c r="AL492" s="72">
        <f>G489*LeagueRatings!$K$27</f>
        <v>0</v>
      </c>
      <c r="AM492" s="72">
        <f>T492*LeagueRatings!$K$27</f>
        <v>111.11111111111111</v>
      </c>
      <c r="AN492" s="30"/>
      <c r="AO492" s="14">
        <f>ROUNDUP(L609,0)</f>
        <v>24</v>
      </c>
    </row>
    <row r="493" spans="1:41" x14ac:dyDescent="0.2">
      <c r="A493" t="s">
        <v>463</v>
      </c>
      <c r="B493" s="76" t="s">
        <v>172</v>
      </c>
      <c r="L493" s="97">
        <v>13</v>
      </c>
      <c r="M493" s="76">
        <v>9</v>
      </c>
      <c r="N493" s="76">
        <v>13</v>
      </c>
      <c r="O493" s="76">
        <v>10</v>
      </c>
      <c r="P493" s="76">
        <v>0</v>
      </c>
      <c r="Q493" s="76">
        <v>12</v>
      </c>
      <c r="R493" s="76">
        <v>3</v>
      </c>
      <c r="S493" s="76">
        <v>14</v>
      </c>
      <c r="T493" s="76">
        <v>63</v>
      </c>
      <c r="V493" s="151">
        <f>+(Q493-R493)/(T493-R493)*100</f>
        <v>15</v>
      </c>
      <c r="W493" s="152">
        <f>IF(V493&lt;LeagueRatings!$K$10,((LeagueRatings!$K$10-V493)/LeagueRatings!$K$10)*36,(LeagueRatings!$K$10-V493)*6.48)</f>
        <v>-41.034219505806341</v>
      </c>
      <c r="X493" s="153">
        <v>5.44</v>
      </c>
      <c r="Y493" s="153">
        <f>(P493/(T493-R493))*100</f>
        <v>0</v>
      </c>
      <c r="Z493" s="152">
        <f>IF(Y493&lt;LeagueRatings!$K$8,((LeagueRatings!$K$8-Y493)/LeagueRatings!$K$8)*36,(LeagueRatings!$K$8-Y493)/LeagueRatings!$K$11)</f>
        <v>36</v>
      </c>
      <c r="AA493" s="153">
        <v>-3.26</v>
      </c>
      <c r="AB493" s="103">
        <f>+((LeagueRatings!$I$6-E490)*5)+9.5</f>
        <v>-4.0919485447225963</v>
      </c>
      <c r="AC493" s="103">
        <f>IF(AB493&lt;4,4,AB493)</f>
        <v>4</v>
      </c>
      <c r="AD493" s="103">
        <f>IF(M493&lt;L493,((1-(M493/L493))*7)-0.07,(1-(M493/L493))*5)</f>
        <v>2.0838461538461543</v>
      </c>
      <c r="AE493" s="154">
        <f>+X493+AA493+AC493+AD493</f>
        <v>8.2638461538461545</v>
      </c>
      <c r="AJ493" s="103">
        <f>+AO376*LeagueRatings!$K$27</f>
        <v>0</v>
      </c>
      <c r="AK493" s="72">
        <f>F490*LeagueRatings!$K$27</f>
        <v>8.8888888888888893</v>
      </c>
      <c r="AL493" s="72">
        <f>G490*LeagueRatings!$K$27</f>
        <v>0</v>
      </c>
      <c r="AM493" s="72">
        <f>T493*LeagueRatings!$K$27</f>
        <v>35</v>
      </c>
      <c r="AN493" s="30"/>
      <c r="AO493" s="14">
        <f>ROUNDUP(L610,0)</f>
        <v>7</v>
      </c>
    </row>
    <row r="494" spans="1:41" x14ac:dyDescent="0.2">
      <c r="A494" s="41" t="s">
        <v>463</v>
      </c>
      <c r="B494" s="76" t="s">
        <v>146</v>
      </c>
      <c r="L494" s="157">
        <f>(L492/100)/((L492+L493)/100)</f>
        <v>0.75623476467279205</v>
      </c>
      <c r="V494" s="153"/>
      <c r="W494" s="152">
        <f>W492*L494</f>
        <v>-5.8768977722089701</v>
      </c>
      <c r="X494" s="153"/>
      <c r="Y494" s="153"/>
      <c r="Z494" s="152">
        <f>Z492*L494</f>
        <v>3.4632457118085269</v>
      </c>
      <c r="AA494" s="153"/>
      <c r="AB494" s="103"/>
      <c r="AC494" s="103"/>
      <c r="AD494" s="103"/>
      <c r="AE494" s="154">
        <f>AE492*L494</f>
        <v>2.3982992687042941</v>
      </c>
      <c r="AJ494" s="103"/>
      <c r="AK494" s="72">
        <f>F491*LeagueRatings!$K$27</f>
        <v>0</v>
      </c>
      <c r="AL494" s="72">
        <f>G491*LeagueRatings!$K$27</f>
        <v>0</v>
      </c>
      <c r="AM494" s="72">
        <f>T494*LeagueRatings!$K$27</f>
        <v>0</v>
      </c>
      <c r="AN494" s="30"/>
      <c r="AO494" s="14">
        <f>ROUNDUP(L611,0)</f>
        <v>1</v>
      </c>
    </row>
    <row r="495" spans="1:41" x14ac:dyDescent="0.2">
      <c r="C495" s="76">
        <v>2</v>
      </c>
      <c r="D495" s="76">
        <v>2</v>
      </c>
      <c r="E495" s="97">
        <v>4.37</v>
      </c>
      <c r="F495" s="76">
        <v>7</v>
      </c>
      <c r="G495" s="76">
        <v>7</v>
      </c>
      <c r="H495" s="76">
        <v>0</v>
      </c>
      <c r="I495" s="76">
        <v>0</v>
      </c>
      <c r="J495" s="76">
        <v>0</v>
      </c>
      <c r="K495" s="76">
        <v>0</v>
      </c>
      <c r="L495" s="157">
        <f>(L493/100)/((L492+L493)/100)</f>
        <v>0.24376523532720795</v>
      </c>
      <c r="V495" s="153"/>
      <c r="W495" s="152">
        <f>W493*L495</f>
        <v>-10.00271617430119</v>
      </c>
      <c r="X495" s="153"/>
      <c r="Y495" s="153"/>
      <c r="Z495" s="152">
        <f>Z493*L495</f>
        <v>8.7755484717794872</v>
      </c>
      <c r="AA495" s="153"/>
      <c r="AB495" s="103"/>
      <c r="AC495" s="103"/>
      <c r="AD495" s="103"/>
      <c r="AE495" s="154">
        <f>AE493*L495</f>
        <v>2.0144384024001503</v>
      </c>
      <c r="AJ495" s="103"/>
      <c r="AK495" s="72">
        <f>F492*LeagueRatings!$K$27</f>
        <v>0</v>
      </c>
      <c r="AL495" s="72">
        <f>G492*LeagueRatings!$K$27</f>
        <v>0</v>
      </c>
      <c r="AM495" s="72">
        <f>T495*LeagueRatings!$K$27</f>
        <v>0</v>
      </c>
      <c r="AN495" s="30"/>
      <c r="AO495" s="14">
        <f>ROUNDUP(L612,0)</f>
        <v>1</v>
      </c>
    </row>
    <row r="496" spans="1:41" x14ac:dyDescent="0.2">
      <c r="C496" s="76">
        <v>4</v>
      </c>
      <c r="D496" s="76">
        <v>2</v>
      </c>
      <c r="E496" s="97">
        <v>4.1100000000000003</v>
      </c>
      <c r="F496" s="76">
        <v>10</v>
      </c>
      <c r="G496" s="76">
        <v>10</v>
      </c>
      <c r="H496" s="76">
        <v>0</v>
      </c>
      <c r="I496" s="76">
        <v>0</v>
      </c>
      <c r="J496" s="76">
        <v>0</v>
      </c>
      <c r="K496" s="76">
        <v>0</v>
      </c>
      <c r="V496" s="153"/>
      <c r="W496" s="152">
        <f>SUM(W494:W495)</f>
        <v>-15.87961394651016</v>
      </c>
      <c r="X496" s="153"/>
      <c r="Y496" s="153"/>
      <c r="Z496" s="152">
        <f>SUM(Z494:Z495)</f>
        <v>12.238794183588015</v>
      </c>
      <c r="AA496" s="153"/>
      <c r="AB496" s="103"/>
      <c r="AC496" s="103"/>
      <c r="AD496" s="103"/>
      <c r="AE496" s="153">
        <f>SUM(AE494:AE495)</f>
        <v>4.4127376711044448</v>
      </c>
      <c r="AF496" s="41" t="s">
        <v>487</v>
      </c>
      <c r="AG496" s="5" t="s">
        <v>19</v>
      </c>
      <c r="AH496" s="5" t="s">
        <v>32</v>
      </c>
      <c r="AI496" s="5" t="s">
        <v>40</v>
      </c>
      <c r="AJ496" s="174">
        <f>SUM(AJ492:AJ495)</f>
        <v>0</v>
      </c>
      <c r="AK496" s="14">
        <f>SUM(AK492:AK495)</f>
        <v>30</v>
      </c>
      <c r="AL496" s="14">
        <f>SUM(AL492:AL495)</f>
        <v>0</v>
      </c>
      <c r="AM496" s="14">
        <f>SUM(AM492:AM495)</f>
        <v>146.11111111111111</v>
      </c>
      <c r="AN496" s="30"/>
      <c r="AO496" s="14">
        <f>ROUNDUP(L613,0)</f>
        <v>0</v>
      </c>
    </row>
    <row r="497" spans="1:41" x14ac:dyDescent="0.2">
      <c r="AK497" s="72">
        <f>F494*LeagueRatings!$K$27</f>
        <v>0</v>
      </c>
      <c r="AL497" s="72">
        <f>G494*LeagueRatings!$K$27</f>
        <v>0</v>
      </c>
      <c r="AM497" s="72">
        <f>T497*LeagueRatings!$K$27</f>
        <v>0</v>
      </c>
      <c r="AN497" s="30"/>
      <c r="AO497" s="14"/>
    </row>
    <row r="498" spans="1:41" x14ac:dyDescent="0.2">
      <c r="L498" s="97">
        <v>35</v>
      </c>
      <c r="M498" s="76">
        <v>41</v>
      </c>
      <c r="N498" s="76">
        <v>19</v>
      </c>
      <c r="O498" s="76">
        <v>17</v>
      </c>
      <c r="P498" s="76">
        <v>3</v>
      </c>
      <c r="Q498" s="76">
        <v>10</v>
      </c>
      <c r="R498" s="76">
        <v>0</v>
      </c>
      <c r="S498" s="76">
        <v>25</v>
      </c>
      <c r="T498" s="76">
        <v>156</v>
      </c>
      <c r="V498" s="151">
        <f>+(Q498-R498)/(T498-R498)*100</f>
        <v>6.4102564102564097</v>
      </c>
      <c r="W498" s="152">
        <f>IF(V498&lt;LeagueRatings!$K$10,((LeagueRatings!$K$10-V498)/LeagueRatings!$K$10)*36,(LeagueRatings!$K$10-V498)*6.48)</f>
        <v>9.3755214967731817</v>
      </c>
      <c r="X498" s="153">
        <v>-0.65</v>
      </c>
      <c r="Y498" s="153">
        <f>(P498/(T498-R498))*100</f>
        <v>1.9230769230769231</v>
      </c>
      <c r="Z498" s="152">
        <f>IF(Y498&lt;LeagueRatings!$K$8,((LeagueRatings!$K$8-Y498)/LeagueRatings!$K$8)*36,(LeagueRatings!$K$8-Y498)/LeagueRatings!$K$11)</f>
        <v>14.38036809815951</v>
      </c>
      <c r="AA498" s="153">
        <v>-0.42</v>
      </c>
      <c r="AB498" s="103">
        <f>+((LeagueRatings!$I$6-E495)*5)+9.5</f>
        <v>8.6580514552774019</v>
      </c>
      <c r="AC498" s="103">
        <f>IF(AB498&lt;4,4,AB498)</f>
        <v>8.6580514552774019</v>
      </c>
      <c r="AD498" s="103">
        <f>IF(M498&lt;L498,((1-(M498/L498))*7)-0.07,(1-(M498/L498))*5)</f>
        <v>-0.85714285714285743</v>
      </c>
      <c r="AE498" s="154">
        <f>+X498+AA498+AC498+AD498</f>
        <v>6.730908598134544</v>
      </c>
      <c r="AJ498" s="103">
        <f>+AO381*LeagueRatings!$K$27</f>
        <v>0</v>
      </c>
      <c r="AK498" s="72">
        <f>F495*LeagueRatings!$K$27</f>
        <v>3.8888888888888893</v>
      </c>
      <c r="AL498" s="72">
        <f>G495*LeagueRatings!$K$27</f>
        <v>3.8888888888888893</v>
      </c>
      <c r="AM498" s="72">
        <f>T498*LeagueRatings!$K$27</f>
        <v>86.666666666666671</v>
      </c>
      <c r="AN498" s="30"/>
      <c r="AO498" s="14">
        <f>ROUNDUP(L615,0)</f>
        <v>25</v>
      </c>
    </row>
    <row r="499" spans="1:41" x14ac:dyDescent="0.2">
      <c r="A499" t="s">
        <v>501</v>
      </c>
      <c r="B499" s="76" t="s">
        <v>146</v>
      </c>
      <c r="L499" s="97">
        <v>61.33</v>
      </c>
      <c r="M499" s="76">
        <v>47</v>
      </c>
      <c r="N499" s="76">
        <v>29</v>
      </c>
      <c r="O499" s="76">
        <v>28</v>
      </c>
      <c r="P499" s="76">
        <v>5</v>
      </c>
      <c r="Q499" s="76">
        <v>32</v>
      </c>
      <c r="R499" s="76">
        <v>0</v>
      </c>
      <c r="S499" s="76">
        <v>41</v>
      </c>
      <c r="T499" s="76">
        <v>259</v>
      </c>
      <c r="U499" s="138"/>
      <c r="V499" s="162">
        <f>+(Q499-R499)/(T499-R499)*100</f>
        <v>12.355212355212355</v>
      </c>
      <c r="W499" s="163">
        <f>IF(V499&lt;LeagueRatings!$K$21,((LeagueRatings!$K$21-V499)/LeagueRatings!$K$21)*36,(LeagueRatings!$K$21-V499)*6.48)</f>
        <v>-22.04623508244503</v>
      </c>
      <c r="X499" s="164">
        <v>3.61</v>
      </c>
      <c r="Y499" s="164">
        <f>(P499/(T499-R499))*100</f>
        <v>1.9305019305019304</v>
      </c>
      <c r="Z499" s="163">
        <f>IF(Y499&lt;LeagueRatings!$K$19,((LeagueRatings!$K$19-Y499)/LeagueRatings!$K$19)*36,(LeagueRatings!$K$19-Y499)/LeagueRatings!$K$22)</f>
        <v>12.10107865713247</v>
      </c>
      <c r="AA499" s="164">
        <v>-0.35</v>
      </c>
      <c r="AB499" s="71">
        <f>+((LeagueRatings!$I$17-E496)*5)+9.5</f>
        <v>9.764387243706361</v>
      </c>
      <c r="AC499" s="71">
        <f>IF(AB499&lt;4,4,AB499)</f>
        <v>9.764387243706361</v>
      </c>
      <c r="AD499" s="103">
        <f>IF(M499&lt;L499,((1-(M499/L499))*7)-0.07,(1-(M499/L499))*5)</f>
        <v>1.5655780205445946</v>
      </c>
      <c r="AE499" s="165">
        <f>+X499+AA499+AC499+AD499</f>
        <v>14.589965264250955</v>
      </c>
      <c r="AG499" s="7"/>
      <c r="AH499" s="7"/>
      <c r="AI499" s="7"/>
      <c r="AJ499" s="103">
        <f>+AO382*LeagueRatings!$K$27</f>
        <v>0</v>
      </c>
      <c r="AK499" s="72">
        <f>F496*LeagueRatings!$K$27</f>
        <v>5.5555555555555554</v>
      </c>
      <c r="AL499" s="72">
        <f>G496*LeagueRatings!$K$27</f>
        <v>5.5555555555555554</v>
      </c>
      <c r="AM499" s="72">
        <f>T499*LeagueRatings!$K$27</f>
        <v>143.88888888888889</v>
      </c>
      <c r="AN499" s="30"/>
      <c r="AO499" s="14">
        <f>ROUNDUP(L616,0)</f>
        <v>12</v>
      </c>
    </row>
    <row r="500" spans="1:41" x14ac:dyDescent="0.2">
      <c r="A500" s="41" t="s">
        <v>501</v>
      </c>
      <c r="B500" s="76" t="s">
        <v>172</v>
      </c>
      <c r="L500" s="157">
        <f>(L498/100)/((L498+L499)/100)</f>
        <v>0.36333437143153741</v>
      </c>
      <c r="T500" s="158"/>
      <c r="U500" s="158"/>
      <c r="V500" s="153"/>
      <c r="W500" s="152">
        <f>W498*L500</f>
        <v>3.4064492098729509</v>
      </c>
      <c r="X500" s="153"/>
      <c r="Y500" s="153"/>
      <c r="Z500" s="152">
        <f>Z498*L500</f>
        <v>5.2248820038989185</v>
      </c>
      <c r="AA500" s="153"/>
      <c r="AB500" s="103"/>
      <c r="AC500" s="103"/>
      <c r="AD500" s="103"/>
      <c r="AE500" s="154">
        <f>AE498*L500</f>
        <v>2.4455704446663451</v>
      </c>
      <c r="AG500" s="5"/>
      <c r="AH500" s="5"/>
      <c r="AI500" s="5"/>
      <c r="AJ500" s="103"/>
      <c r="AK500" s="72">
        <f>F497*LeagueRatings!$K$27</f>
        <v>0</v>
      </c>
      <c r="AL500" s="72">
        <f>G497*LeagueRatings!$K$27</f>
        <v>0</v>
      </c>
      <c r="AM500" s="72">
        <f>T500*LeagueRatings!$K$27</f>
        <v>0</v>
      </c>
      <c r="AN500" s="30"/>
      <c r="AO500" s="14">
        <f>ROUNDUP(L617,0)</f>
        <v>1</v>
      </c>
    </row>
    <row r="501" spans="1:41" x14ac:dyDescent="0.2">
      <c r="C501" s="76">
        <v>11</v>
      </c>
      <c r="D501" s="76">
        <v>7</v>
      </c>
      <c r="E501" s="97">
        <v>3.6</v>
      </c>
      <c r="F501" s="76">
        <v>21</v>
      </c>
      <c r="G501" s="76">
        <v>21</v>
      </c>
      <c r="H501" s="76">
        <v>1</v>
      </c>
      <c r="I501" s="76">
        <v>0</v>
      </c>
      <c r="J501" s="76">
        <v>0</v>
      </c>
      <c r="K501" s="76">
        <v>0</v>
      </c>
      <c r="L501" s="157">
        <f>(L499/100)/((L498+L499)/100)</f>
        <v>0.63666562856846254</v>
      </c>
      <c r="T501" s="158"/>
      <c r="U501" s="158"/>
      <c r="V501" s="153"/>
      <c r="W501" s="152">
        <f>W499*L501</f>
        <v>-14.036080116332956</v>
      </c>
      <c r="X501" s="153"/>
      <c r="Y501" s="153"/>
      <c r="Z501" s="152">
        <f>Z499*L501</f>
        <v>7.7043408495996513</v>
      </c>
      <c r="AA501" s="153"/>
      <c r="AB501" s="103"/>
      <c r="AC501" s="103"/>
      <c r="AD501" s="103"/>
      <c r="AE501" s="154">
        <f>AE499*L501</f>
        <v>9.2889294057563685</v>
      </c>
      <c r="AG501" s="5"/>
      <c r="AH501" s="5"/>
      <c r="AI501" s="5"/>
      <c r="AJ501" s="103"/>
      <c r="AK501" s="72">
        <f>F498*LeagueRatings!$K$27</f>
        <v>0</v>
      </c>
      <c r="AL501" s="72">
        <f>G498*LeagueRatings!$K$27</f>
        <v>0</v>
      </c>
      <c r="AM501" s="72">
        <f>T501*LeagueRatings!$K$27</f>
        <v>0</v>
      </c>
      <c r="AN501" s="30"/>
      <c r="AO501" s="14">
        <f>ROUNDUP(L618,0)</f>
        <v>1</v>
      </c>
    </row>
    <row r="502" spans="1:41" x14ac:dyDescent="0.2">
      <c r="C502" s="76">
        <v>3</v>
      </c>
      <c r="D502" s="76">
        <v>3</v>
      </c>
      <c r="E502" s="97">
        <v>4.3</v>
      </c>
      <c r="F502" s="76">
        <v>10</v>
      </c>
      <c r="G502" s="76">
        <v>10</v>
      </c>
      <c r="H502" s="76">
        <v>0</v>
      </c>
      <c r="I502" s="76">
        <v>0</v>
      </c>
      <c r="J502" s="76">
        <v>0</v>
      </c>
      <c r="K502" s="76">
        <v>0</v>
      </c>
      <c r="T502" s="158"/>
      <c r="U502" s="158"/>
      <c r="V502" s="153"/>
      <c r="W502" s="152">
        <f>SUM(W500:W501)</f>
        <v>-10.629630906460005</v>
      </c>
      <c r="X502" s="153"/>
      <c r="Y502" s="153"/>
      <c r="Z502" s="152">
        <f>SUM(Z500:Z501)</f>
        <v>12.929222853498569</v>
      </c>
      <c r="AA502" s="153"/>
      <c r="AB502" s="103"/>
      <c r="AC502" s="103"/>
      <c r="AD502" s="103"/>
      <c r="AE502" s="153">
        <f>SUM(AE500:AE501)</f>
        <v>11.734499850422713</v>
      </c>
      <c r="AF502" s="41" t="s">
        <v>463</v>
      </c>
      <c r="AG502" s="5" t="s">
        <v>39</v>
      </c>
      <c r="AH502" s="5" t="s">
        <v>41</v>
      </c>
      <c r="AI502" s="5" t="s">
        <v>47</v>
      </c>
      <c r="AJ502" s="174">
        <f>SUM(AJ498:AJ501)</f>
        <v>0</v>
      </c>
      <c r="AK502" s="14">
        <f>SUM(AK498:AK501)</f>
        <v>9.4444444444444446</v>
      </c>
      <c r="AL502" s="14">
        <f>SUM(AL498:AL501)</f>
        <v>9.4444444444444446</v>
      </c>
      <c r="AM502" s="14">
        <f>SUM(AM498:AM501)</f>
        <v>230.55555555555554</v>
      </c>
      <c r="AN502" s="30"/>
      <c r="AO502" s="14">
        <f>ROUNDUP(L619,0)</f>
        <v>0</v>
      </c>
    </row>
    <row r="503" spans="1:41" x14ac:dyDescent="0.2">
      <c r="AK503" s="72">
        <f>F500*LeagueRatings!$K$27</f>
        <v>0</v>
      </c>
      <c r="AL503" s="72">
        <f>G500*LeagueRatings!$K$27</f>
        <v>0</v>
      </c>
      <c r="AM503" s="72">
        <f>T503*LeagueRatings!$K$27</f>
        <v>0</v>
      </c>
      <c r="AN503" s="30"/>
      <c r="AO503" s="14"/>
    </row>
    <row r="504" spans="1:41" x14ac:dyDescent="0.2">
      <c r="L504" s="97">
        <v>137.33000000000001</v>
      </c>
      <c r="M504" s="76">
        <v>137</v>
      </c>
      <c r="N504" s="76">
        <v>60</v>
      </c>
      <c r="O504" s="76">
        <v>55</v>
      </c>
      <c r="P504" s="76">
        <v>15</v>
      </c>
      <c r="Q504" s="76">
        <v>32</v>
      </c>
      <c r="R504" s="76">
        <v>0</v>
      </c>
      <c r="S504" s="76">
        <v>116</v>
      </c>
      <c r="T504" s="76">
        <v>572</v>
      </c>
      <c r="V504" s="151">
        <f>+(Q504-R504)/(T504-R504)*100</f>
        <v>5.5944055944055942</v>
      </c>
      <c r="W504" s="152">
        <f>IF(V504&lt;LeagueRatings!$K$21,((LeagueRatings!$K$21-V504)/LeagueRatings!$K$21)*36,(LeagueRatings!$K$21-V504)*6.48)</f>
        <v>13.504942382112983</v>
      </c>
      <c r="X504" s="153">
        <v>-0.92</v>
      </c>
      <c r="Y504" s="153">
        <f>(P504/(T504-R504))*100</f>
        <v>2.6223776223776225</v>
      </c>
      <c r="Z504" s="152">
        <f>IF(Y504&lt;LeagueRatings!$K$19,((LeagueRatings!$K$19-Y504)/LeagueRatings!$K$19)*36,(LeagueRatings!$K$19-Y504)/LeagueRatings!$K$22)</f>
        <v>3.535905798237637</v>
      </c>
      <c r="AA504" s="153">
        <v>0.24</v>
      </c>
      <c r="AB504" s="103">
        <f>+((LeagueRatings!$I$17-E501)*5)+9.5</f>
        <v>12.314387243706362</v>
      </c>
      <c r="AC504" s="103">
        <f>IF(AB504&lt;4,4,AB504)</f>
        <v>12.314387243706362</v>
      </c>
      <c r="AD504" s="103">
        <f>IF(M504&lt;L504,((1-(M504/L504))*7)-0.07,(1-(M504/L504))*5)</f>
        <v>-5.3179203378722339E-2</v>
      </c>
      <c r="AE504" s="154">
        <f>+X504+AA504+AC504+AD504</f>
        <v>11.58120804032764</v>
      </c>
      <c r="AJ504" s="103">
        <f>+AO387*LeagueRatings!$K$27</f>
        <v>0</v>
      </c>
      <c r="AK504" s="72">
        <f>F501*LeagueRatings!$K$27</f>
        <v>11.666666666666668</v>
      </c>
      <c r="AL504" s="72">
        <f>G501*LeagueRatings!$K$27</f>
        <v>11.666666666666668</v>
      </c>
      <c r="AM504" s="72">
        <f>T504*LeagueRatings!$K$27</f>
        <v>317.77777777777777</v>
      </c>
      <c r="AN504" s="30"/>
      <c r="AO504" s="14">
        <f t="shared" ref="AO504:AO522" si="3">ROUNDUP(L621,0)</f>
        <v>79</v>
      </c>
    </row>
    <row r="505" spans="1:41" x14ac:dyDescent="0.2">
      <c r="A505" t="s">
        <v>503</v>
      </c>
      <c r="B505" s="76" t="s">
        <v>146</v>
      </c>
      <c r="L505" s="97">
        <v>60.67</v>
      </c>
      <c r="M505" s="76">
        <v>69</v>
      </c>
      <c r="N505" s="76">
        <v>34</v>
      </c>
      <c r="O505" s="76">
        <v>29</v>
      </c>
      <c r="P505" s="76">
        <v>9</v>
      </c>
      <c r="Q505" s="76">
        <v>15</v>
      </c>
      <c r="R505" s="76">
        <v>1</v>
      </c>
      <c r="S505" s="76">
        <v>48</v>
      </c>
      <c r="T505" s="76">
        <v>261</v>
      </c>
      <c r="U505" s="138"/>
      <c r="V505" s="151">
        <f>+(Q505-R505)/(T505-R505)*100</f>
        <v>5.384615384615385</v>
      </c>
      <c r="W505" s="152">
        <f>IF(V505&lt;LeagueRatings!$K$21,((LeagueRatings!$K$21-V505)/LeagueRatings!$K$21)*36,(LeagueRatings!$K$21-V505)*6.48)</f>
        <v>14.348507042783744</v>
      </c>
      <c r="X505" s="153">
        <v>-1.01</v>
      </c>
      <c r="Y505" s="153">
        <f>(P505/(T505-R505))*100</f>
        <v>3.4615384615384617</v>
      </c>
      <c r="Z505" s="152">
        <f>IF(Y505&lt;LeagueRatings!$K$19,((LeagueRatings!$K$19-Y505)/LeagueRatings!$K$19)*36,(LeagueRatings!$K$19-Y505)/LeagueRatings!$K$22)</f>
        <v>-4.4725778611632272</v>
      </c>
      <c r="AA505" s="153">
        <v>0.92</v>
      </c>
      <c r="AB505" s="103">
        <f>+((LeagueRatings!$I$17-E502)*5)+9.5</f>
        <v>8.8143872437063635</v>
      </c>
      <c r="AC505" s="103">
        <f>IF(AB505&lt;4,4,AB505)</f>
        <v>8.8143872437063635</v>
      </c>
      <c r="AD505" s="103">
        <f>IF(M505&lt;L505,((1-(M505/L505))*7)-0.07,(1-(M505/L505))*5)</f>
        <v>-0.68650074171748843</v>
      </c>
      <c r="AE505" s="154">
        <f>+X505+AA505+AC505+AD505</f>
        <v>8.0378865019888757</v>
      </c>
      <c r="AG505" s="5"/>
      <c r="AH505" s="5"/>
      <c r="AI505" s="5"/>
      <c r="AJ505" s="103">
        <f>+AO388*LeagueRatings!$K$27</f>
        <v>0</v>
      </c>
      <c r="AK505" s="72">
        <f>F502*LeagueRatings!$K$27</f>
        <v>5.5555555555555554</v>
      </c>
      <c r="AL505" s="72">
        <f>G502*LeagueRatings!$K$27</f>
        <v>5.5555555555555554</v>
      </c>
      <c r="AM505" s="72">
        <f>T505*LeagueRatings!$K$27</f>
        <v>145</v>
      </c>
      <c r="AN505" s="30"/>
      <c r="AO505" s="14">
        <f t="shared" si="3"/>
        <v>35</v>
      </c>
    </row>
    <row r="506" spans="1:41" x14ac:dyDescent="0.2">
      <c r="A506" s="41" t="s">
        <v>503</v>
      </c>
      <c r="B506" s="76" t="s">
        <v>153</v>
      </c>
      <c r="L506" s="157">
        <f>(L504/100)/((L504+L505)/100)</f>
        <v>0.69358585858585864</v>
      </c>
      <c r="T506" s="158"/>
      <c r="U506" s="158"/>
      <c r="V506" s="153"/>
      <c r="W506" s="152">
        <f>W504*L506</f>
        <v>9.3668370572503843</v>
      </c>
      <c r="X506" s="153"/>
      <c r="Y506" s="153"/>
      <c r="Z506" s="152">
        <f>Z504*L506</f>
        <v>2.4524542589493672</v>
      </c>
      <c r="AA506" s="153"/>
      <c r="AB506" s="103"/>
      <c r="AC506" s="103"/>
      <c r="AD506" s="103"/>
      <c r="AE506" s="154">
        <f>AE504*L506</f>
        <v>8.0325621221120951</v>
      </c>
      <c r="AG506" s="5"/>
      <c r="AH506" s="5"/>
      <c r="AI506" s="5"/>
      <c r="AJ506" s="103"/>
      <c r="AK506" s="72">
        <f>F503*LeagueRatings!$K$27</f>
        <v>0</v>
      </c>
      <c r="AL506" s="72">
        <f>G503*LeagueRatings!$K$27</f>
        <v>0</v>
      </c>
      <c r="AM506" s="72">
        <f>T506*LeagueRatings!$K$27</f>
        <v>0</v>
      </c>
      <c r="AN506" s="30"/>
      <c r="AO506" s="14">
        <f t="shared" si="3"/>
        <v>1</v>
      </c>
    </row>
    <row r="507" spans="1:41" x14ac:dyDescent="0.2">
      <c r="C507" s="76">
        <v>10</v>
      </c>
      <c r="D507" s="76">
        <v>7</v>
      </c>
      <c r="E507" s="97">
        <v>2.52</v>
      </c>
      <c r="F507" s="76">
        <v>21</v>
      </c>
      <c r="G507" s="76">
        <v>21</v>
      </c>
      <c r="H507" s="76">
        <v>0</v>
      </c>
      <c r="I507" s="76">
        <v>0</v>
      </c>
      <c r="J507" s="76">
        <v>0</v>
      </c>
      <c r="K507" s="76">
        <v>0</v>
      </c>
      <c r="L507" s="157">
        <f>(L505/100)/((L504+L505)/100)</f>
        <v>0.30641414141414142</v>
      </c>
      <c r="T507" s="158"/>
      <c r="U507" s="158"/>
      <c r="V507" s="153"/>
      <c r="W507" s="152">
        <f>W505*L507</f>
        <v>4.3965854660893422</v>
      </c>
      <c r="X507" s="153"/>
      <c r="Y507" s="153"/>
      <c r="Z507" s="152">
        <f>Z505*L507</f>
        <v>-1.3704611052362272</v>
      </c>
      <c r="AA507" s="153"/>
      <c r="AB507" s="103"/>
      <c r="AC507" s="103"/>
      <c r="AD507" s="103"/>
      <c r="AE507" s="154">
        <f>AE505*L507</f>
        <v>2.462922091291238</v>
      </c>
      <c r="AG507" s="5"/>
      <c r="AH507" s="5"/>
      <c r="AI507" s="5"/>
      <c r="AJ507" s="103"/>
      <c r="AK507" s="72">
        <f>F504*LeagueRatings!$K$27</f>
        <v>0</v>
      </c>
      <c r="AL507" s="72">
        <f>G504*LeagueRatings!$K$27</f>
        <v>0</v>
      </c>
      <c r="AM507" s="72">
        <f>T507*LeagueRatings!$K$27</f>
        <v>0</v>
      </c>
      <c r="AN507" s="30"/>
      <c r="AO507" s="14">
        <f t="shared" si="3"/>
        <v>1</v>
      </c>
    </row>
    <row r="508" spans="1:41" x14ac:dyDescent="0.2">
      <c r="C508" s="76">
        <v>6</v>
      </c>
      <c r="D508" s="76">
        <v>4</v>
      </c>
      <c r="E508" s="97">
        <v>2.35</v>
      </c>
      <c r="F508" s="76">
        <v>11</v>
      </c>
      <c r="G508" s="76">
        <v>11</v>
      </c>
      <c r="H508" s="76">
        <v>1</v>
      </c>
      <c r="I508" s="76">
        <v>1</v>
      </c>
      <c r="J508" s="76">
        <v>0</v>
      </c>
      <c r="K508" s="76">
        <v>0</v>
      </c>
      <c r="T508" s="158"/>
      <c r="U508" s="158"/>
      <c r="V508" s="153"/>
      <c r="W508" s="152">
        <f>SUM(W506:W507)</f>
        <v>13.763422523339727</v>
      </c>
      <c r="X508" s="153"/>
      <c r="Y508" s="153"/>
      <c r="Z508" s="152">
        <f>SUM(Z506:Z507)</f>
        <v>1.08199315371314</v>
      </c>
      <c r="AA508" s="153"/>
      <c r="AB508" s="103"/>
      <c r="AC508" s="103"/>
      <c r="AD508" s="103"/>
      <c r="AE508" s="153">
        <f>SUM(AE506:AE507)</f>
        <v>10.495484213403333</v>
      </c>
      <c r="AF508" s="41" t="s">
        <v>501</v>
      </c>
      <c r="AG508" s="5" t="s">
        <v>55</v>
      </c>
      <c r="AH508" s="5" t="s">
        <v>58</v>
      </c>
      <c r="AI508" s="5" t="s">
        <v>25</v>
      </c>
      <c r="AJ508" s="174">
        <f>SUM(AJ504:AJ507)</f>
        <v>0</v>
      </c>
      <c r="AK508" s="14">
        <f>SUM(AK504:AK507)</f>
        <v>17.222222222222221</v>
      </c>
      <c r="AL508" s="14">
        <f>SUM(AL504:AL507)</f>
        <v>17.222222222222221</v>
      </c>
      <c r="AM508" s="14">
        <f>SUM(AM504:AM507)</f>
        <v>462.77777777777777</v>
      </c>
      <c r="AN508" s="30"/>
      <c r="AO508" s="14">
        <f t="shared" si="3"/>
        <v>0</v>
      </c>
    </row>
    <row r="509" spans="1:41" x14ac:dyDescent="0.2">
      <c r="AK509" s="72">
        <f>F506*LeagueRatings!$K$27</f>
        <v>0</v>
      </c>
      <c r="AL509" s="72">
        <f>G506*LeagueRatings!$K$27</f>
        <v>0</v>
      </c>
      <c r="AM509" s="72">
        <f>T509*LeagueRatings!$K$27</f>
        <v>0</v>
      </c>
      <c r="AN509" s="30"/>
      <c r="AO509" s="14">
        <f t="shared" si="3"/>
        <v>0</v>
      </c>
    </row>
    <row r="510" spans="1:41" x14ac:dyDescent="0.2">
      <c r="L510" s="97">
        <v>143</v>
      </c>
      <c r="M510" s="76">
        <v>128</v>
      </c>
      <c r="N510" s="76">
        <v>52</v>
      </c>
      <c r="O510" s="76">
        <v>40</v>
      </c>
      <c r="P510" s="76">
        <v>9</v>
      </c>
      <c r="Q510" s="76">
        <v>32</v>
      </c>
      <c r="R510" s="76">
        <v>0</v>
      </c>
      <c r="S510" s="76">
        <v>149</v>
      </c>
      <c r="T510" s="76">
        <v>580</v>
      </c>
      <c r="V510" s="151">
        <f>+(Q510-R510)/(T510-R510)*100</f>
        <v>5.5172413793103452</v>
      </c>
      <c r="W510" s="152">
        <f>IF(V510&lt;LeagueRatings!$K$10,((LeagueRatings!$K$10-V510)/LeagueRatings!$K$10)*36,(LeagueRatings!$K$10-V510)*6.48)</f>
        <v>13.084586777912362</v>
      </c>
      <c r="X510" s="153">
        <v>-1.01</v>
      </c>
      <c r="Y510" s="153">
        <f>(P510/(T510-R510))*100</f>
        <v>1.5517241379310345</v>
      </c>
      <c r="Z510" s="152">
        <f>IF(Y510&lt;LeagueRatings!$K$8,((LeagueRatings!$K$8-Y510)/LeagueRatings!$K$8)*36,(LeagueRatings!$K$8-Y510)/LeagueRatings!$K$11)</f>
        <v>18.555193568859742</v>
      </c>
      <c r="AA510" s="153">
        <v>-0.89</v>
      </c>
      <c r="AB510" s="103">
        <f>+((LeagueRatings!$I$6-E507)*5)+9.5</f>
        <v>17.908051455277402</v>
      </c>
      <c r="AC510" s="103">
        <f>IF(AB510&lt;4,4,AB510)</f>
        <v>17.908051455277402</v>
      </c>
      <c r="AD510" s="103">
        <f>IF(M510&lt;L510,((1-(M510/L510))*7)-0.07,(1-(M510/L510))*5)</f>
        <v>0.66426573426573432</v>
      </c>
      <c r="AE510" s="154">
        <f>+X510+AA510+AC510+AD510</f>
        <v>16.672317189543136</v>
      </c>
      <c r="AJ510" s="103">
        <f>+AO393*LeagueRatings!$K$27</f>
        <v>0</v>
      </c>
      <c r="AK510" s="72">
        <f>F507*LeagueRatings!$K$27</f>
        <v>11.666666666666668</v>
      </c>
      <c r="AL510" s="72">
        <f>G507*LeagueRatings!$K$27</f>
        <v>11.666666666666668</v>
      </c>
      <c r="AM510" s="72">
        <f>T510*LeagueRatings!$K$27</f>
        <v>322.22222222222223</v>
      </c>
      <c r="AN510" s="30"/>
      <c r="AO510" s="14">
        <f t="shared" si="3"/>
        <v>14</v>
      </c>
    </row>
    <row r="511" spans="1:41" x14ac:dyDescent="0.2">
      <c r="A511" t="s">
        <v>527</v>
      </c>
      <c r="B511" s="76" t="s">
        <v>148</v>
      </c>
      <c r="L511" s="97">
        <v>76.67</v>
      </c>
      <c r="M511" s="76">
        <v>66</v>
      </c>
      <c r="N511" s="76">
        <v>24</v>
      </c>
      <c r="O511" s="76">
        <v>20</v>
      </c>
      <c r="P511" s="76">
        <v>7</v>
      </c>
      <c r="Q511" s="76">
        <v>16</v>
      </c>
      <c r="R511" s="76">
        <v>0</v>
      </c>
      <c r="S511" s="76">
        <v>71</v>
      </c>
      <c r="T511" s="76">
        <v>305</v>
      </c>
      <c r="U511" s="138"/>
      <c r="V511" s="151">
        <f>+(Q511-R511)/(T511-R511)*100</f>
        <v>5.2459016393442619</v>
      </c>
      <c r="W511" s="152">
        <f>IF(V511&lt;LeagueRatings!$K$10,((LeagueRatings!$K$10-V511)/LeagueRatings!$K$10)*36,(LeagueRatings!$K$10-V511)*6.48)</f>
        <v>14.211574313424872</v>
      </c>
      <c r="X511" s="153">
        <v>-1.1000000000000001</v>
      </c>
      <c r="Y511" s="153">
        <f>(P511/(T511-R511))*100</f>
        <v>2.2950819672131146</v>
      </c>
      <c r="Z511" s="152">
        <f>IF(Y511&lt;LeagueRatings!$K$8,((LeagueRatings!$K$8-Y511)/LeagueRatings!$K$8)*36,(LeagueRatings!$K$8-Y511)/LeagueRatings!$K$11)</f>
        <v>10.19820979583627</v>
      </c>
      <c r="AA511" s="153">
        <v>-7.0000000000000007E-2</v>
      </c>
      <c r="AB511" s="103">
        <f>+((LeagueRatings!$I$6-E508)*5)+9.5</f>
        <v>18.758051455277403</v>
      </c>
      <c r="AC511" s="103">
        <f>IF(AB511&lt;4,4,AB511)</f>
        <v>18.758051455277403</v>
      </c>
      <c r="AD511" s="103">
        <f>IF(M511&lt;L511,((1-(M511/L511))*7)-0.07,(1-(M511/L511))*5)</f>
        <v>0.90417503586800563</v>
      </c>
      <c r="AE511" s="154">
        <f>+X511+AA511+AC511+AD511</f>
        <v>18.492226491145406</v>
      </c>
      <c r="AG511" s="5"/>
      <c r="AH511" s="5"/>
      <c r="AI511" s="5"/>
      <c r="AJ511" s="103">
        <f>+AO394*LeagueRatings!$K$27</f>
        <v>0</v>
      </c>
      <c r="AK511" s="72">
        <f>F508*LeagueRatings!$K$27</f>
        <v>6.1111111111111116</v>
      </c>
      <c r="AL511" s="72">
        <f>G508*LeagueRatings!$K$27</f>
        <v>6.1111111111111116</v>
      </c>
      <c r="AM511" s="72">
        <f>T511*LeagueRatings!$K$27</f>
        <v>169.44444444444446</v>
      </c>
      <c r="AN511" s="30"/>
      <c r="AO511" s="14">
        <f t="shared" si="3"/>
        <v>33</v>
      </c>
    </row>
    <row r="512" spans="1:41" x14ac:dyDescent="0.2">
      <c r="A512" s="41" t="s">
        <v>527</v>
      </c>
      <c r="B512" s="76" t="s">
        <v>172</v>
      </c>
      <c r="L512" s="157">
        <f>(L510/100)/((L510+L511)/100)</f>
        <v>0.6509764646970454</v>
      </c>
      <c r="T512" s="158"/>
      <c r="U512" s="158"/>
      <c r="V512" s="153"/>
      <c r="W512" s="152">
        <f>W510*L512</f>
        <v>8.5177580427070936</v>
      </c>
      <c r="X512" s="153"/>
      <c r="Y512" s="153"/>
      <c r="Z512" s="152">
        <f>Z510*L512</f>
        <v>12.078994311225667</v>
      </c>
      <c r="AA512" s="153"/>
      <c r="AB512" s="103"/>
      <c r="AC512" s="103"/>
      <c r="AD512" s="103"/>
      <c r="AE512" s="154">
        <f>AE510*L512</f>
        <v>10.85328610235657</v>
      </c>
      <c r="AG512" s="5"/>
      <c r="AH512" s="5"/>
      <c r="AI512" s="5"/>
      <c r="AJ512" s="103"/>
      <c r="AK512" s="72">
        <f>F509*LeagueRatings!$K$27</f>
        <v>0</v>
      </c>
      <c r="AL512" s="72">
        <f>G509*LeagueRatings!$K$27</f>
        <v>0</v>
      </c>
      <c r="AM512" s="72">
        <f>T512*LeagueRatings!$K$27</f>
        <v>0</v>
      </c>
      <c r="AN512" s="30"/>
      <c r="AO512" s="14">
        <f t="shared" si="3"/>
        <v>1</v>
      </c>
    </row>
    <row r="513" spans="1:41" x14ac:dyDescent="0.2">
      <c r="C513" s="76">
        <v>4</v>
      </c>
      <c r="D513" s="76">
        <v>6</v>
      </c>
      <c r="E513" s="97">
        <v>5.51</v>
      </c>
      <c r="F513" s="76">
        <v>19</v>
      </c>
      <c r="G513" s="76">
        <v>19</v>
      </c>
      <c r="H513" s="76">
        <v>0</v>
      </c>
      <c r="I513" s="76">
        <v>0</v>
      </c>
      <c r="J513" s="76">
        <v>0</v>
      </c>
      <c r="K513" s="76">
        <v>0</v>
      </c>
      <c r="L513" s="157">
        <f>(L511/100)/((L510+L511)/100)</f>
        <v>0.34902353530295438</v>
      </c>
      <c r="T513" s="158"/>
      <c r="U513" s="158"/>
      <c r="V513" s="153"/>
      <c r="W513" s="152">
        <f>W511*L513</f>
        <v>4.9601739090922052</v>
      </c>
      <c r="X513" s="153"/>
      <c r="Y513" s="153"/>
      <c r="Z513" s="152">
        <f>Z511*L513</f>
        <v>3.5594152367039955</v>
      </c>
      <c r="AA513" s="153"/>
      <c r="AB513" s="103"/>
      <c r="AC513" s="103"/>
      <c r="AD513" s="103"/>
      <c r="AE513" s="154">
        <f>AE511*L513</f>
        <v>6.4542222655625165</v>
      </c>
      <c r="AG513" s="5"/>
      <c r="AH513" s="5"/>
      <c r="AI513" s="5"/>
      <c r="AJ513" s="103"/>
      <c r="AK513" s="72">
        <f>F510*LeagueRatings!$K$27</f>
        <v>0</v>
      </c>
      <c r="AL513" s="72">
        <f>G510*LeagueRatings!$K$27</f>
        <v>0</v>
      </c>
      <c r="AM513" s="72">
        <f>T513*LeagueRatings!$K$27</f>
        <v>0</v>
      </c>
      <c r="AN513" s="30"/>
      <c r="AO513" s="14">
        <f t="shared" si="3"/>
        <v>1</v>
      </c>
    </row>
    <row r="514" spans="1:41" x14ac:dyDescent="0.2">
      <c r="C514" s="76">
        <v>3</v>
      </c>
      <c r="D514" s="76">
        <v>3</v>
      </c>
      <c r="E514" s="97">
        <v>7.04</v>
      </c>
      <c r="F514" s="76">
        <v>9</v>
      </c>
      <c r="G514" s="76">
        <v>6</v>
      </c>
      <c r="H514" s="76">
        <v>0</v>
      </c>
      <c r="I514" s="76">
        <v>0</v>
      </c>
      <c r="J514" s="76">
        <v>0</v>
      </c>
      <c r="K514" s="76">
        <v>0</v>
      </c>
      <c r="T514" s="158"/>
      <c r="U514" s="158"/>
      <c r="V514" s="153"/>
      <c r="W514" s="152">
        <f>SUM(W512:W513)</f>
        <v>13.477931951799299</v>
      </c>
      <c r="X514" s="153"/>
      <c r="Y514" s="153"/>
      <c r="Z514" s="152">
        <f>SUM(Z512:Z513)</f>
        <v>15.638409547929662</v>
      </c>
      <c r="AA514" s="153"/>
      <c r="AB514" s="103"/>
      <c r="AC514" s="103"/>
      <c r="AD514" s="103"/>
      <c r="AE514" s="153">
        <f>SUM(AE512:AE513)</f>
        <v>17.307508367919088</v>
      </c>
      <c r="AF514" s="41" t="s">
        <v>503</v>
      </c>
      <c r="AG514" s="5" t="s">
        <v>14</v>
      </c>
      <c r="AH514" s="5" t="s">
        <v>48</v>
      </c>
      <c r="AI514" s="5" t="s">
        <v>20</v>
      </c>
      <c r="AJ514" s="174">
        <f>SUM(AJ510:AJ513)</f>
        <v>0</v>
      </c>
      <c r="AK514" s="14">
        <f>SUM(AK510:AK513)</f>
        <v>17.777777777777779</v>
      </c>
      <c r="AL514" s="14">
        <f>SUM(AL510:AL513)</f>
        <v>17.777777777777779</v>
      </c>
      <c r="AM514" s="14">
        <f>SUM(AM510:AM513)</f>
        <v>491.66666666666669</v>
      </c>
      <c r="AN514" s="30"/>
      <c r="AO514" s="14">
        <f t="shared" si="3"/>
        <v>0</v>
      </c>
    </row>
    <row r="515" spans="1:41" x14ac:dyDescent="0.2">
      <c r="AK515" s="72">
        <f>F512*LeagueRatings!$K$27</f>
        <v>0</v>
      </c>
      <c r="AL515" s="72">
        <f>G512*LeagueRatings!$K$27</f>
        <v>0</v>
      </c>
      <c r="AM515" s="72">
        <f>T515*LeagueRatings!$K$27</f>
        <v>0</v>
      </c>
      <c r="AN515" s="30"/>
      <c r="AO515" s="14">
        <f t="shared" si="3"/>
        <v>0</v>
      </c>
    </row>
    <row r="516" spans="1:41" x14ac:dyDescent="0.2">
      <c r="L516" s="97">
        <v>98</v>
      </c>
      <c r="M516" s="76">
        <v>106</v>
      </c>
      <c r="N516" s="76">
        <v>66</v>
      </c>
      <c r="O516" s="76">
        <v>60</v>
      </c>
      <c r="P516" s="76">
        <v>6</v>
      </c>
      <c r="Q516" s="76">
        <v>56</v>
      </c>
      <c r="R516" s="76">
        <v>2</v>
      </c>
      <c r="S516" s="76">
        <v>93</v>
      </c>
      <c r="T516" s="76">
        <v>452</v>
      </c>
      <c r="V516" s="151">
        <f>+(Q516-R516)/(T516-R516)*100</f>
        <v>12</v>
      </c>
      <c r="W516" s="152">
        <f>IF(V516&lt;LeagueRatings!$K$10,((LeagueRatings!$K$10-V516)/LeagueRatings!$K$10)*36,(LeagueRatings!$K$10-V516)*6.48)</f>
        <v>-21.59421950580634</v>
      </c>
      <c r="X516" s="153">
        <v>3.23</v>
      </c>
      <c r="Y516" s="153">
        <f>(P516/(T516-R516))*100</f>
        <v>1.3333333333333335</v>
      </c>
      <c r="Z516" s="152">
        <f>IF(Y516&lt;LeagueRatings!$K$8,((LeagueRatings!$K$8-Y516)/LeagueRatings!$K$8)*36,(LeagueRatings!$K$8-Y516)/LeagueRatings!$K$11)</f>
        <v>21.010388548057261</v>
      </c>
      <c r="AA516" s="153">
        <v>-1.23</v>
      </c>
      <c r="AB516" s="103">
        <f>+((LeagueRatings!$I$6-E513)*5)+9.5</f>
        <v>2.9580514552774044</v>
      </c>
      <c r="AC516" s="103">
        <f>IF(AB516&lt;4,4,AB516)</f>
        <v>4</v>
      </c>
      <c r="AD516" s="103">
        <f>IF(M516&lt;L516,((1-(M516/L516))*7)-0.07,(1-(M516/L516))*5)</f>
        <v>-0.4081632653061229</v>
      </c>
      <c r="AE516" s="154">
        <f>+X516+AA516+AC516+AD516</f>
        <v>5.5918367346938771</v>
      </c>
      <c r="AJ516" s="103">
        <f>+AO399*LeagueRatings!$K$27</f>
        <v>54.44444444444445</v>
      </c>
      <c r="AK516" s="72">
        <f>F513*LeagueRatings!$K$27</f>
        <v>10.555555555555555</v>
      </c>
      <c r="AL516" s="72">
        <f>G513*LeagueRatings!$K$27</f>
        <v>10.555555555555555</v>
      </c>
      <c r="AM516" s="72">
        <f>T516*LeagueRatings!$K$27</f>
        <v>251.11111111111111</v>
      </c>
      <c r="AN516" s="30"/>
      <c r="AO516" s="14">
        <f t="shared" si="3"/>
        <v>48</v>
      </c>
    </row>
    <row r="517" spans="1:41" x14ac:dyDescent="0.2">
      <c r="A517" t="s">
        <v>327</v>
      </c>
      <c r="B517" s="76" t="s">
        <v>159</v>
      </c>
      <c r="L517" s="97">
        <v>30.67</v>
      </c>
      <c r="M517" s="76">
        <v>35</v>
      </c>
      <c r="N517" s="76">
        <v>24</v>
      </c>
      <c r="O517" s="76">
        <v>24</v>
      </c>
      <c r="P517" s="76">
        <v>6</v>
      </c>
      <c r="Q517" s="76">
        <v>13</v>
      </c>
      <c r="R517" s="76">
        <v>0</v>
      </c>
      <c r="S517" s="76">
        <v>23</v>
      </c>
      <c r="T517" s="76">
        <v>140</v>
      </c>
      <c r="U517" s="138"/>
      <c r="V517" s="151">
        <f>+(Q517-R517)/(T517-R517)*100</f>
        <v>9.2857142857142865</v>
      </c>
      <c r="W517" s="152">
        <f>IF(V517&lt;LeagueRatings!$K$21,((LeagueRatings!$K$21-V517)/LeagueRatings!$K$21)*36,(LeagueRatings!$K$21-V517)*6.48)</f>
        <v>-2.1558875920975433</v>
      </c>
      <c r="X517" s="153">
        <v>0.76</v>
      </c>
      <c r="Y517" s="153">
        <f>(P517/(T517-R517))*100</f>
        <v>4.2857142857142856</v>
      </c>
      <c r="Z517" s="152">
        <f>IF(Y517&lt;LeagueRatings!$K$19,((LeagueRatings!$K$19-Y517)/LeagueRatings!$K$19)*36,(LeagueRatings!$K$19-Y517)/LeagueRatings!$K$22)</f>
        <v>-11.131902439024389</v>
      </c>
      <c r="AA517" s="153">
        <v>1.76</v>
      </c>
      <c r="AB517" s="103">
        <f>+((LeagueRatings!$I$17-E514)*5)+9.5</f>
        <v>-4.8856127562936376</v>
      </c>
      <c r="AC517" s="103">
        <f>IF(AB517&lt;4,4,AB517)</f>
        <v>4</v>
      </c>
      <c r="AD517" s="103">
        <f>IF(M517&lt;L517,((1-(M517/L517))*7)-0.07,(1-(M517/L517))*5)</f>
        <v>-0.70590153244212583</v>
      </c>
      <c r="AE517" s="154">
        <f>+X517+AA517+AC517+AD517</f>
        <v>5.8140984675578737</v>
      </c>
      <c r="AG517" s="58"/>
      <c r="AH517" s="5"/>
      <c r="AI517" s="5"/>
      <c r="AJ517" s="103">
        <f>+AO400*LeagueRatings!$K$27</f>
        <v>17.222222222222221</v>
      </c>
      <c r="AK517" s="72">
        <f>F514*LeagueRatings!$K$27</f>
        <v>5</v>
      </c>
      <c r="AL517" s="72">
        <f>G514*LeagueRatings!$K$27</f>
        <v>3.3333333333333335</v>
      </c>
      <c r="AM517" s="72">
        <f>T517*LeagueRatings!$K$27</f>
        <v>77.777777777777786</v>
      </c>
      <c r="AN517" s="30"/>
      <c r="AO517" s="14">
        <f t="shared" si="3"/>
        <v>10</v>
      </c>
    </row>
    <row r="518" spans="1:41" x14ac:dyDescent="0.2">
      <c r="A518" s="41" t="s">
        <v>327</v>
      </c>
      <c r="B518" s="76" t="s">
        <v>152</v>
      </c>
      <c r="L518" s="157">
        <f>(L516/100)/((L516+L517)/100)</f>
        <v>0.76163829952591888</v>
      </c>
      <c r="T518" s="158"/>
      <c r="U518" s="158"/>
      <c r="V518" s="153"/>
      <c r="W518" s="152">
        <f>W516*L518</f>
        <v>-16.446984623991771</v>
      </c>
      <c r="X518" s="153"/>
      <c r="Y518" s="153"/>
      <c r="Z518" s="152">
        <f>Z516*L518</f>
        <v>16.002316606121173</v>
      </c>
      <c r="AA518" s="153"/>
      <c r="AB518" s="103"/>
      <c r="AC518" s="103"/>
      <c r="AD518" s="103"/>
      <c r="AE518" s="154">
        <f>AE516*L518</f>
        <v>4.2589570218388113</v>
      </c>
      <c r="AG518" s="5"/>
      <c r="AH518" s="5"/>
      <c r="AI518" s="5"/>
      <c r="AJ518" s="103"/>
      <c r="AK518" s="72">
        <f>F515*LeagueRatings!$K$27</f>
        <v>0</v>
      </c>
      <c r="AL518" s="72">
        <f>G515*LeagueRatings!$K$27</f>
        <v>0</v>
      </c>
      <c r="AM518" s="72">
        <f>T518*LeagueRatings!$K$27</f>
        <v>0</v>
      </c>
      <c r="AN518" s="30"/>
      <c r="AO518" s="14">
        <f t="shared" si="3"/>
        <v>58</v>
      </c>
    </row>
    <row r="519" spans="1:41" s="193" customFormat="1" x14ac:dyDescent="0.2">
      <c r="A519" s="146"/>
      <c r="B519" s="146"/>
      <c r="C519" s="76">
        <v>3</v>
      </c>
      <c r="D519" s="76">
        <v>10</v>
      </c>
      <c r="E519" s="97">
        <v>5.01</v>
      </c>
      <c r="F519" s="76">
        <v>18</v>
      </c>
      <c r="G519" s="76">
        <v>18</v>
      </c>
      <c r="H519" s="76">
        <v>0</v>
      </c>
      <c r="I519" s="76">
        <v>0</v>
      </c>
      <c r="J519" s="76">
        <v>0</v>
      </c>
      <c r="K519" s="76">
        <v>0</v>
      </c>
      <c r="L519" s="157">
        <f>(L517/100)/((L516+L517)/100)</f>
        <v>0.23836170047408098</v>
      </c>
      <c r="M519" s="146"/>
      <c r="N519" s="146"/>
      <c r="O519" s="146"/>
      <c r="P519" s="146"/>
      <c r="Q519" s="146"/>
      <c r="R519" s="146"/>
      <c r="S519" s="146"/>
      <c r="T519" s="158"/>
      <c r="U519" s="158"/>
      <c r="V519" s="153"/>
      <c r="W519" s="152">
        <f>W517*L519</f>
        <v>-0.51388103248334227</v>
      </c>
      <c r="X519" s="153"/>
      <c r="Y519" s="153"/>
      <c r="Z519" s="152">
        <f>Z517*L519</f>
        <v>-2.6534191948774226</v>
      </c>
      <c r="AA519" s="153"/>
      <c r="AB519" s="103"/>
      <c r="AC519" s="103"/>
      <c r="AD519" s="103"/>
      <c r="AE519" s="154">
        <f>AE517*L519</f>
        <v>1.3858583974508432</v>
      </c>
      <c r="AF519" s="168"/>
      <c r="AG519" s="5"/>
      <c r="AH519" s="5"/>
      <c r="AI519" s="5"/>
      <c r="AJ519" s="103"/>
      <c r="AK519" s="72">
        <f>F516*LeagueRatings!$K$27</f>
        <v>0</v>
      </c>
      <c r="AL519" s="72">
        <f>G516*LeagueRatings!$K$27</f>
        <v>0</v>
      </c>
      <c r="AM519" s="72">
        <f>T519*LeagueRatings!$K$27</f>
        <v>0</v>
      </c>
      <c r="AN519" s="30"/>
      <c r="AO519" s="14">
        <f t="shared" si="3"/>
        <v>1</v>
      </c>
    </row>
    <row r="520" spans="1:41" s="187" customFormat="1" x14ac:dyDescent="0.2">
      <c r="A520" s="146"/>
      <c r="B520" s="146"/>
      <c r="C520" s="76">
        <v>7</v>
      </c>
      <c r="D520" s="76">
        <v>5</v>
      </c>
      <c r="E520" s="97">
        <v>2.89</v>
      </c>
      <c r="F520" s="76">
        <v>14</v>
      </c>
      <c r="G520" s="76">
        <v>14</v>
      </c>
      <c r="H520" s="76">
        <v>1</v>
      </c>
      <c r="I520" s="76">
        <v>1</v>
      </c>
      <c r="J520" s="76">
        <v>0</v>
      </c>
      <c r="K520" s="76">
        <v>0</v>
      </c>
      <c r="L520" s="157"/>
      <c r="M520" s="146"/>
      <c r="N520" s="146"/>
      <c r="O520" s="146"/>
      <c r="P520" s="146"/>
      <c r="Q520" s="146"/>
      <c r="R520" s="146"/>
      <c r="S520" s="146"/>
      <c r="T520" s="158"/>
      <c r="U520" s="158"/>
      <c r="V520" s="153"/>
      <c r="W520" s="152">
        <f>SUM(W518:W519)</f>
        <v>-16.960865656475114</v>
      </c>
      <c r="X520" s="153"/>
      <c r="Y520" s="153"/>
      <c r="Z520" s="152">
        <f>SUM(Z518:Z519)</f>
        <v>13.348897411243751</v>
      </c>
      <c r="AA520" s="153"/>
      <c r="AB520" s="103"/>
      <c r="AC520" s="103"/>
      <c r="AD520" s="103"/>
      <c r="AE520" s="153">
        <f>SUM(AE518:AE519)</f>
        <v>5.6448154192896549</v>
      </c>
      <c r="AF520" s="41" t="s">
        <v>527</v>
      </c>
      <c r="AG520" s="5" t="s">
        <v>24</v>
      </c>
      <c r="AH520" s="5" t="s">
        <v>32</v>
      </c>
      <c r="AI520" s="5" t="s">
        <v>20</v>
      </c>
      <c r="AJ520" s="174">
        <f>SUM(AJ516:AJ519)</f>
        <v>71.666666666666671</v>
      </c>
      <c r="AK520" s="14">
        <f>SUM(AK516:AK519)</f>
        <v>15.555555555555555</v>
      </c>
      <c r="AL520" s="14">
        <f>SUM(AL516:AL519)</f>
        <v>13.888888888888889</v>
      </c>
      <c r="AM520" s="14">
        <f>SUM(AM516:AM519)</f>
        <v>328.88888888888891</v>
      </c>
      <c r="AN520" s="30"/>
      <c r="AO520" s="14">
        <f t="shared" si="3"/>
        <v>1</v>
      </c>
    </row>
    <row r="521" spans="1:41" x14ac:dyDescent="0.2">
      <c r="T521" s="158"/>
      <c r="U521" s="158"/>
      <c r="V521" s="153"/>
      <c r="W521" s="152"/>
      <c r="X521" s="153"/>
      <c r="Y521" s="153"/>
      <c r="Z521" s="152"/>
      <c r="AA521" s="153"/>
      <c r="AB521" s="103"/>
      <c r="AC521" s="103"/>
      <c r="AD521" s="103"/>
      <c r="AE521" s="153"/>
      <c r="AF521" s="170"/>
      <c r="AG521" s="5"/>
      <c r="AH521" s="5"/>
      <c r="AI521" s="5"/>
      <c r="AJ521" s="174"/>
      <c r="AK521" s="14"/>
      <c r="AL521" s="14"/>
      <c r="AM521" s="14"/>
      <c r="AN521" s="30"/>
      <c r="AO521" s="14">
        <f t="shared" si="3"/>
        <v>1</v>
      </c>
    </row>
    <row r="522" spans="1:41" x14ac:dyDescent="0.2">
      <c r="L522" s="97">
        <v>109.67</v>
      </c>
      <c r="M522" s="76">
        <v>131</v>
      </c>
      <c r="N522" s="76">
        <v>65</v>
      </c>
      <c r="O522" s="76">
        <v>61</v>
      </c>
      <c r="P522" s="76">
        <v>15</v>
      </c>
      <c r="Q522" s="76">
        <v>20</v>
      </c>
      <c r="R522" s="76">
        <v>4</v>
      </c>
      <c r="S522" s="76">
        <v>93</v>
      </c>
      <c r="T522" s="76">
        <v>466</v>
      </c>
      <c r="V522" s="151">
        <f>+(Q522-R522)/(T522-R522)*100</f>
        <v>3.4632034632034632</v>
      </c>
      <c r="W522" s="152">
        <f>IF(V522&lt;LeagueRatings!$K$21,((LeagueRatings!$K$21-V522)/LeagueRatings!$K$21)*36,(LeagueRatings!$K$21-V522)*6.48)</f>
        <v>22.074488141308038</v>
      </c>
      <c r="X522" s="153">
        <v>-1.89</v>
      </c>
      <c r="Y522" s="153">
        <f>(P522/(T522-R522))*100</f>
        <v>3.2467532467532463</v>
      </c>
      <c r="Z522" s="152">
        <f>IF(Y522&lt;LeagueRatings!$K$19,((LeagueRatings!$K$19-Y522)/LeagueRatings!$K$19)*36,(LeagueRatings!$K$19-Y522)/LeagueRatings!$K$22)</f>
        <v>-2.737117516629707</v>
      </c>
      <c r="AA522" s="153">
        <v>0.71</v>
      </c>
      <c r="AB522" s="103">
        <f>+((LeagueRatings!$I$17-E519)*5)+9.5</f>
        <v>5.2643872437063637</v>
      </c>
      <c r="AC522" s="103">
        <f>IF(AB522&lt;4,4,AB522)</f>
        <v>5.2643872437063637</v>
      </c>
      <c r="AD522" s="103">
        <f>IF(M522&lt;L522,((1-(M522/L522))*7)-0.07,(1-(M522/L522))*5)</f>
        <v>-0.97246284307467845</v>
      </c>
      <c r="AE522" s="154">
        <f>+X522+AA522+AC522+AD522</f>
        <v>3.1119244006316853</v>
      </c>
      <c r="AJ522" s="103">
        <f>+AO405*LeagueRatings!$K$27</f>
        <v>61.111111111111114</v>
      </c>
      <c r="AK522" s="72">
        <f>F519*LeagueRatings!$K$27</f>
        <v>10</v>
      </c>
      <c r="AL522" s="72">
        <f>G519*LeagueRatings!$K$27</f>
        <v>10</v>
      </c>
      <c r="AM522" s="72">
        <f>T522*LeagueRatings!$K$27</f>
        <v>258.88888888888891</v>
      </c>
      <c r="AN522" s="30"/>
      <c r="AO522" s="14">
        <f t="shared" si="3"/>
        <v>0</v>
      </c>
    </row>
    <row r="523" spans="1:41" x14ac:dyDescent="0.2">
      <c r="A523" t="s">
        <v>602</v>
      </c>
      <c r="B523" s="76" t="s">
        <v>153</v>
      </c>
      <c r="L523" s="97">
        <v>90.33</v>
      </c>
      <c r="M523" s="76">
        <v>91</v>
      </c>
      <c r="N523" s="76">
        <v>35</v>
      </c>
      <c r="O523" s="76">
        <v>29</v>
      </c>
      <c r="P523" s="76">
        <v>10</v>
      </c>
      <c r="Q523" s="76">
        <v>13</v>
      </c>
      <c r="R523" s="76">
        <v>0</v>
      </c>
      <c r="S523" s="76">
        <v>82</v>
      </c>
      <c r="T523" s="76">
        <v>370</v>
      </c>
      <c r="U523" s="138"/>
      <c r="V523" s="151">
        <f>+(Q523-R523)/(T523-R523)*100</f>
        <v>3.5135135135135136</v>
      </c>
      <c r="W523" s="152">
        <f>IF(V523&lt;LeagueRatings!$K$21,((LeagueRatings!$K$21-V523)/LeagueRatings!$K$21)*36,(LeagueRatings!$K$21-V523)*6.48)</f>
        <v>21.872191854171632</v>
      </c>
      <c r="X523" s="153">
        <v>-1.79</v>
      </c>
      <c r="Y523" s="153">
        <f>(P523/(T523-R523))*100</f>
        <v>2.7027027027027026</v>
      </c>
      <c r="Z523" s="152">
        <f>IF(Y523&lt;LeagueRatings!$K$19,((LeagueRatings!$K$19-Y523)/LeagueRatings!$K$19)*36,(LeagueRatings!$K$19-Y523)/LeagueRatings!$K$22)</f>
        <v>2.5415101199854586</v>
      </c>
      <c r="AA523" s="153">
        <v>0.33</v>
      </c>
      <c r="AB523" s="103">
        <f>+((LeagueRatings!$I$17-E520)*5)+9.5</f>
        <v>15.864387243706362</v>
      </c>
      <c r="AC523" s="103">
        <f>IF(AB523&lt;4,4,AB523)</f>
        <v>15.864387243706362</v>
      </c>
      <c r="AD523" s="103">
        <f>IF(M523&lt;L523,((1-(M523/L523))*7)-0.07,(1-(M523/L523))*5)</f>
        <v>-3.7086239344625849E-2</v>
      </c>
      <c r="AE523" s="154">
        <f>+X523+AA523+AC523+AD523</f>
        <v>14.367301004361737</v>
      </c>
      <c r="AG523" s="5"/>
      <c r="AH523" s="5"/>
      <c r="AI523" s="5"/>
      <c r="AJ523" s="103">
        <f>+AO406*LeagueRatings!$K$27</f>
        <v>50.555555555555557</v>
      </c>
      <c r="AK523" s="72">
        <f>F520*LeagueRatings!$K$27</f>
        <v>7.7777777777777786</v>
      </c>
      <c r="AL523" s="72">
        <f>G520*LeagueRatings!$K$27</f>
        <v>7.7777777777777786</v>
      </c>
      <c r="AM523" s="72">
        <f>T523*LeagueRatings!$K$27</f>
        <v>205.55555555555557</v>
      </c>
      <c r="AN523" s="30"/>
      <c r="AO523" s="190"/>
    </row>
    <row r="524" spans="1:41" x14ac:dyDescent="0.2">
      <c r="A524" s="41" t="s">
        <v>602</v>
      </c>
      <c r="B524" s="76" t="s">
        <v>151</v>
      </c>
      <c r="L524" s="157">
        <f>(L522/100)/((L522+L523)/100)</f>
        <v>0.54835</v>
      </c>
      <c r="T524" s="158"/>
      <c r="U524" s="158"/>
      <c r="V524" s="153"/>
      <c r="W524" s="152">
        <f>W522*L524</f>
        <v>12.104545572286263</v>
      </c>
      <c r="X524" s="153"/>
      <c r="Y524" s="153"/>
      <c r="Z524" s="152">
        <f>Z522*L524</f>
        <v>-1.5008983902438999</v>
      </c>
      <c r="AA524" s="153"/>
      <c r="AB524" s="103"/>
      <c r="AC524" s="103"/>
      <c r="AD524" s="103"/>
      <c r="AE524" s="154">
        <f>AE522*L524</f>
        <v>1.7064237450863846</v>
      </c>
      <c r="AG524" s="5"/>
      <c r="AH524" s="5"/>
      <c r="AI524" s="5"/>
      <c r="AJ524" s="103"/>
      <c r="AK524" s="72">
        <f>F521*LeagueRatings!$K$27</f>
        <v>0</v>
      </c>
      <c r="AL524" s="72">
        <f>G521*LeagueRatings!$K$27</f>
        <v>0</v>
      </c>
      <c r="AM524" s="72">
        <f>T524*LeagueRatings!$K$27</f>
        <v>0</v>
      </c>
      <c r="AN524" s="30"/>
      <c r="AO524" s="14">
        <f t="shared" ref="AO524:AO555" si="4">ROUNDUP(L641,0)</f>
        <v>0</v>
      </c>
    </row>
    <row r="525" spans="1:41" x14ac:dyDescent="0.2">
      <c r="C525" s="76">
        <v>6</v>
      </c>
      <c r="D525" s="76">
        <v>3</v>
      </c>
      <c r="E525" s="97">
        <v>3.55</v>
      </c>
      <c r="F525" s="76">
        <v>16</v>
      </c>
      <c r="G525" s="76">
        <v>16</v>
      </c>
      <c r="H525" s="76">
        <v>0</v>
      </c>
      <c r="I525" s="76">
        <v>0</v>
      </c>
      <c r="J525" s="76">
        <v>0</v>
      </c>
      <c r="K525" s="76">
        <v>0</v>
      </c>
      <c r="L525" s="157">
        <f>(L523/100)/((L522+L523)/100)</f>
        <v>0.45165</v>
      </c>
      <c r="T525" s="158"/>
      <c r="U525" s="158"/>
      <c r="V525" s="153"/>
      <c r="W525" s="152">
        <f>W523*L525</f>
        <v>9.8785754509366175</v>
      </c>
      <c r="X525" s="153"/>
      <c r="Y525" s="153"/>
      <c r="Z525" s="152">
        <f>Z523*L525</f>
        <v>1.1478730456914323</v>
      </c>
      <c r="AA525" s="153"/>
      <c r="AB525" s="103"/>
      <c r="AC525" s="103"/>
      <c r="AD525" s="103"/>
      <c r="AE525" s="154">
        <f>AE523*L525</f>
        <v>6.4889914986199786</v>
      </c>
      <c r="AG525" s="5"/>
      <c r="AH525" s="5"/>
      <c r="AI525" s="5"/>
      <c r="AJ525" s="103"/>
      <c r="AK525" s="72">
        <f>F522*LeagueRatings!$K$27</f>
        <v>0</v>
      </c>
      <c r="AL525" s="72">
        <f>G522*LeagueRatings!$K$27</f>
        <v>0</v>
      </c>
      <c r="AM525" s="72">
        <f>T525*LeagueRatings!$K$27</f>
        <v>0</v>
      </c>
      <c r="AN525" s="30"/>
      <c r="AO525" s="14">
        <f t="shared" si="4"/>
        <v>0</v>
      </c>
    </row>
    <row r="526" spans="1:41" x14ac:dyDescent="0.2">
      <c r="C526" s="76">
        <v>0</v>
      </c>
      <c r="D526" s="76">
        <v>1</v>
      </c>
      <c r="E526" s="97">
        <v>7.06</v>
      </c>
      <c r="F526" s="76">
        <v>6</v>
      </c>
      <c r="G526" s="76">
        <v>5</v>
      </c>
      <c r="H526" s="76">
        <v>0</v>
      </c>
      <c r="I526" s="76">
        <v>0</v>
      </c>
      <c r="J526" s="76">
        <v>0</v>
      </c>
      <c r="K526" s="76">
        <v>0</v>
      </c>
      <c r="T526" s="158"/>
      <c r="U526" s="158"/>
      <c r="V526" s="153"/>
      <c r="W526" s="152">
        <f>SUM(W524:W525)</f>
        <v>21.983121023222878</v>
      </c>
      <c r="X526" s="153"/>
      <c r="Y526" s="153"/>
      <c r="Z526" s="152">
        <f>SUM(Z524:Z525)</f>
        <v>-0.35302534455246759</v>
      </c>
      <c r="AA526" s="153"/>
      <c r="AB526" s="103"/>
      <c r="AC526" s="103"/>
      <c r="AD526" s="103"/>
      <c r="AE526" s="153">
        <f>SUM(AE524:AE525)</f>
        <v>8.1954152437063641</v>
      </c>
      <c r="AF526" s="41" t="s">
        <v>327</v>
      </c>
      <c r="AG526" s="5" t="s">
        <v>66</v>
      </c>
      <c r="AH526" s="5" t="s">
        <v>75</v>
      </c>
      <c r="AI526" s="5" t="s">
        <v>44</v>
      </c>
      <c r="AJ526" s="174">
        <f>SUM(AJ522:AJ525)</f>
        <v>111.66666666666667</v>
      </c>
      <c r="AK526" s="14">
        <f>SUM(AK522:AK525)</f>
        <v>17.777777777777779</v>
      </c>
      <c r="AL526" s="14">
        <f>SUM(AL522:AL525)</f>
        <v>17.777777777777779</v>
      </c>
      <c r="AM526" s="14">
        <f>SUM(AM522:AM525)</f>
        <v>464.44444444444446</v>
      </c>
      <c r="AN526" s="30"/>
      <c r="AO526" s="14">
        <f t="shared" si="4"/>
        <v>0</v>
      </c>
    </row>
    <row r="527" spans="1:41" x14ac:dyDescent="0.2">
      <c r="AK527" s="72">
        <f>F524*LeagueRatings!$K$27</f>
        <v>0</v>
      </c>
      <c r="AL527" s="72">
        <f>G524*LeagueRatings!$K$27</f>
        <v>0</v>
      </c>
      <c r="AM527" s="72">
        <f>T527*LeagueRatings!$K$27</f>
        <v>0</v>
      </c>
      <c r="AN527" s="30"/>
      <c r="AO527" s="14">
        <f t="shared" si="4"/>
        <v>0</v>
      </c>
    </row>
    <row r="528" spans="1:41" x14ac:dyDescent="0.2">
      <c r="L528" s="97">
        <v>96.33</v>
      </c>
      <c r="M528" s="76">
        <v>91</v>
      </c>
      <c r="N528" s="76">
        <v>42</v>
      </c>
      <c r="O528" s="76">
        <v>38</v>
      </c>
      <c r="P528" s="76">
        <v>12</v>
      </c>
      <c r="Q528" s="76">
        <v>26</v>
      </c>
      <c r="R528" s="76">
        <v>2</v>
      </c>
      <c r="S528" s="76">
        <v>61</v>
      </c>
      <c r="T528" s="76">
        <v>405</v>
      </c>
      <c r="V528" s="151">
        <f>+(Q528-R528)/(T528-R528)*100</f>
        <v>5.9553349875930524</v>
      </c>
      <c r="W528" s="152">
        <f>IF(V528&lt;LeagueRatings!$K$10,((LeagueRatings!$K$10-V528)/LeagueRatings!$K$10)*36,(LeagueRatings!$K$10-V528)*6.48)</f>
        <v>11.265000616357018</v>
      </c>
      <c r="X528" s="153">
        <v>-0.83</v>
      </c>
      <c r="Y528" s="153">
        <f>(P528/(T528-R528))*100</f>
        <v>2.9776674937965262</v>
      </c>
      <c r="Z528" s="152">
        <f>IF(Y528&lt;LeagueRatings!$K$8,((LeagueRatings!$K$8-Y528)/LeagueRatings!$K$8)*36,(LeagueRatings!$K$8-Y528)/LeagueRatings!$K$11)</f>
        <v>2.5244409261824661</v>
      </c>
      <c r="AA528" s="153">
        <v>0.42</v>
      </c>
      <c r="AB528" s="103">
        <f>+((LeagueRatings!$I$6-E525)*5)+9.5</f>
        <v>12.758051455277403</v>
      </c>
      <c r="AC528" s="103">
        <f>IF(AB528&lt;4,4,AB528)</f>
        <v>12.758051455277403</v>
      </c>
      <c r="AD528" s="103">
        <f>IF(M528&lt;L528,((1-(M528/L528))*7)-0.07,(1-(M528/L528))*5)</f>
        <v>0.31731443994601866</v>
      </c>
      <c r="AE528" s="154">
        <f>+X528+AA528+AC528+AD528</f>
        <v>12.665365895223422</v>
      </c>
      <c r="AJ528" s="103">
        <f>+AO411*LeagueRatings!$K$27</f>
        <v>53.888888888888893</v>
      </c>
      <c r="AK528" s="72">
        <f>F525*LeagueRatings!$K$27</f>
        <v>8.8888888888888893</v>
      </c>
      <c r="AL528" s="72">
        <f>G525*LeagueRatings!$K$27</f>
        <v>8.8888888888888893</v>
      </c>
      <c r="AM528" s="72">
        <f>T528*LeagueRatings!$K$27</f>
        <v>225</v>
      </c>
      <c r="AN528" s="30"/>
      <c r="AO528" s="14">
        <f t="shared" si="4"/>
        <v>0</v>
      </c>
    </row>
    <row r="529" spans="1:41" x14ac:dyDescent="0.2">
      <c r="A529" t="s">
        <v>499</v>
      </c>
      <c r="B529" s="76" t="s">
        <v>146</v>
      </c>
      <c r="L529" s="97">
        <v>21.67</v>
      </c>
      <c r="M529" s="76">
        <v>37</v>
      </c>
      <c r="N529" s="76">
        <v>21</v>
      </c>
      <c r="O529" s="76">
        <v>17</v>
      </c>
      <c r="P529" s="76">
        <v>4</v>
      </c>
      <c r="Q529" s="76">
        <v>11</v>
      </c>
      <c r="R529" s="76">
        <v>0</v>
      </c>
      <c r="S529" s="76">
        <v>14</v>
      </c>
      <c r="T529" s="76">
        <v>114</v>
      </c>
      <c r="V529" s="151">
        <f>+(Q529-R529)/(T529-R529)*100</f>
        <v>9.6491228070175428</v>
      </c>
      <c r="W529" s="152">
        <f>IF(V529&lt;LeagueRatings!$K$21,((LeagueRatings!$K$21-V529)/LeagueRatings!$K$21)*36,(LeagueRatings!$K$21-V529)*6.48)</f>
        <v>-4.5107748101426441</v>
      </c>
      <c r="X529" s="153">
        <v>0.98</v>
      </c>
      <c r="Y529" s="153">
        <f>(P529/(T529-R529))*100</f>
        <v>3.5087719298245612</v>
      </c>
      <c r="Z529" s="152">
        <f>IF(Y529&lt;LeagueRatings!$K$19,((LeagueRatings!$K$19-Y529)/LeagueRatings!$K$19)*36,(LeagueRatings!$K$19-Y529)/LeagueRatings!$K$22)</f>
        <v>-4.8542233632862617</v>
      </c>
      <c r="AA529" s="153">
        <v>0.92</v>
      </c>
      <c r="AB529" s="103">
        <f>+((LeagueRatings!$I$17-E526)*5)+9.5</f>
        <v>-4.9856127562936354</v>
      </c>
      <c r="AC529" s="103">
        <f>IF(AB529&lt;4,4,AB529)</f>
        <v>4</v>
      </c>
      <c r="AD529" s="103">
        <f>IF(M529&lt;L529,((1-(M529/L529))*7)-0.07,(1-(M529/L529))*5)</f>
        <v>-3.5371481310567598</v>
      </c>
      <c r="AE529" s="154">
        <f>+X529+AA529+AC529+AD529</f>
        <v>2.3628518689432405</v>
      </c>
      <c r="AJ529" s="103">
        <f>+AO412*LeagueRatings!$K$27</f>
        <v>12.222222222222223</v>
      </c>
      <c r="AK529" s="72">
        <f>F526*LeagueRatings!$K$27</f>
        <v>3.3333333333333335</v>
      </c>
      <c r="AL529" s="72">
        <f>G526*LeagueRatings!$K$27</f>
        <v>2.7777777777777777</v>
      </c>
      <c r="AM529" s="72">
        <f>T529*LeagueRatings!$K$27</f>
        <v>63.333333333333336</v>
      </c>
      <c r="AN529" s="30"/>
      <c r="AO529" s="14">
        <f t="shared" si="4"/>
        <v>11</v>
      </c>
    </row>
    <row r="530" spans="1:41" x14ac:dyDescent="0.2">
      <c r="A530" s="41" t="s">
        <v>499</v>
      </c>
      <c r="B530" s="76" t="s">
        <v>145</v>
      </c>
      <c r="L530" s="157">
        <f>(L528/100)/((L528+L529)/100)</f>
        <v>0.81635593220338987</v>
      </c>
      <c r="V530" s="153"/>
      <c r="W530" s="152">
        <f>W528*L530</f>
        <v>9.1962500794378936</v>
      </c>
      <c r="X530" s="153"/>
      <c r="Y530" s="153"/>
      <c r="Z530" s="152">
        <f>Z528*L530</f>
        <v>2.0608423255860759</v>
      </c>
      <c r="AA530" s="153"/>
      <c r="AB530" s="103"/>
      <c r="AC530" s="103"/>
      <c r="AD530" s="103"/>
      <c r="AE530" s="154">
        <f>AE528*L530</f>
        <v>10.339446582092139</v>
      </c>
      <c r="AK530" s="72">
        <f>F527*LeagueRatings!$K$27</f>
        <v>0</v>
      </c>
      <c r="AL530" s="72">
        <f>G527*LeagueRatings!$K$27</f>
        <v>0</v>
      </c>
      <c r="AM530" s="72">
        <f>T530*LeagueRatings!$K$27</f>
        <v>0</v>
      </c>
      <c r="AN530" s="30"/>
      <c r="AO530" s="14">
        <f t="shared" si="4"/>
        <v>21</v>
      </c>
    </row>
    <row r="531" spans="1:41" x14ac:dyDescent="0.2">
      <c r="C531" s="76">
        <v>3</v>
      </c>
      <c r="D531" s="76">
        <v>5</v>
      </c>
      <c r="E531" s="76">
        <v>2.34</v>
      </c>
      <c r="F531" s="76">
        <v>50</v>
      </c>
      <c r="G531" s="76">
        <v>0</v>
      </c>
      <c r="H531" s="76">
        <v>0</v>
      </c>
      <c r="I531" s="76">
        <v>0</v>
      </c>
      <c r="J531" s="76">
        <v>0</v>
      </c>
      <c r="K531" s="76">
        <v>0</v>
      </c>
      <c r="L531" s="157">
        <f>(L529/100)/((L528+L529)/100)</f>
        <v>0.18364406779661019</v>
      </c>
      <c r="V531" s="153"/>
      <c r="W531" s="152">
        <f>W529*L531</f>
        <v>-0.82837703504907723</v>
      </c>
      <c r="X531" s="153"/>
      <c r="Y531" s="153"/>
      <c r="Z531" s="152">
        <f>Z529*L531</f>
        <v>-0.89144932442723135</v>
      </c>
      <c r="AA531" s="153"/>
      <c r="AB531" s="103"/>
      <c r="AC531" s="103"/>
      <c r="AD531" s="103"/>
      <c r="AE531" s="154">
        <f>AE529*L531</f>
        <v>0.43392372881355956</v>
      </c>
      <c r="AK531" s="72">
        <f>F528*LeagueRatings!$K$27</f>
        <v>0</v>
      </c>
      <c r="AL531" s="72">
        <f>G528*LeagueRatings!$K$27</f>
        <v>0</v>
      </c>
      <c r="AM531" s="72">
        <f>T531*LeagueRatings!$K$27</f>
        <v>0</v>
      </c>
      <c r="AN531" s="30"/>
      <c r="AO531" s="14">
        <f t="shared" si="4"/>
        <v>1</v>
      </c>
    </row>
    <row r="532" spans="1:41" x14ac:dyDescent="0.2">
      <c r="C532" s="76">
        <v>2</v>
      </c>
      <c r="D532" s="76">
        <v>0</v>
      </c>
      <c r="E532" s="76">
        <v>1.35</v>
      </c>
      <c r="F532" s="76">
        <v>23</v>
      </c>
      <c r="G532" s="76">
        <v>0</v>
      </c>
      <c r="H532" s="76">
        <v>0</v>
      </c>
      <c r="I532" s="76">
        <v>0</v>
      </c>
      <c r="J532" s="76">
        <v>1</v>
      </c>
      <c r="K532" s="76">
        <v>2</v>
      </c>
      <c r="W532" s="152">
        <f>SUM(W530:W531)</f>
        <v>8.3678730443888156</v>
      </c>
      <c r="X532" s="153"/>
      <c r="Y532" s="153"/>
      <c r="Z532" s="152">
        <f>SUM(Z530:Z531)</f>
        <v>1.1693930011588445</v>
      </c>
      <c r="AA532" s="153"/>
      <c r="AB532" s="103"/>
      <c r="AC532" s="103"/>
      <c r="AD532" s="103"/>
      <c r="AE532" s="153">
        <f>SUM(AE530:AE531)</f>
        <v>10.773370310905698</v>
      </c>
      <c r="AF532" s="41" t="s">
        <v>602</v>
      </c>
      <c r="AG532" s="58">
        <v>10</v>
      </c>
      <c r="AH532" s="5" t="s">
        <v>38</v>
      </c>
      <c r="AI532" s="5" t="s">
        <v>44</v>
      </c>
      <c r="AJ532" s="174">
        <f>SUM(AJ528:AJ531)</f>
        <v>66.111111111111114</v>
      </c>
      <c r="AK532" s="14">
        <f>SUM(AK528:AK531)</f>
        <v>12.222222222222223</v>
      </c>
      <c r="AL532" s="14">
        <f>SUM(AL528:AL531)</f>
        <v>11.666666666666668</v>
      </c>
      <c r="AM532" s="14">
        <f>SUM(AM528:AM531)</f>
        <v>288.33333333333331</v>
      </c>
      <c r="AN532" s="30"/>
      <c r="AO532" s="14">
        <f t="shared" si="4"/>
        <v>1</v>
      </c>
    </row>
    <row r="533" spans="1:41" x14ac:dyDescent="0.2">
      <c r="AK533" s="72">
        <f>F530*LeagueRatings!$K$27</f>
        <v>0</v>
      </c>
      <c r="AL533" s="72">
        <f>G530*LeagueRatings!$K$27</f>
        <v>0</v>
      </c>
      <c r="AM533" s="72">
        <f>T533*LeagueRatings!$K$27</f>
        <v>0</v>
      </c>
      <c r="AN533" s="30"/>
      <c r="AO533" s="14">
        <f t="shared" si="4"/>
        <v>0</v>
      </c>
    </row>
    <row r="534" spans="1:41" x14ac:dyDescent="0.2">
      <c r="L534" s="76">
        <v>42.33</v>
      </c>
      <c r="M534" s="76">
        <v>25</v>
      </c>
      <c r="N534" s="76">
        <v>13</v>
      </c>
      <c r="O534" s="76">
        <v>11</v>
      </c>
      <c r="P534" s="76">
        <v>2</v>
      </c>
      <c r="Q534" s="76">
        <v>13</v>
      </c>
      <c r="R534" s="76">
        <v>2</v>
      </c>
      <c r="S534" s="76">
        <v>69</v>
      </c>
      <c r="T534" s="76">
        <v>170</v>
      </c>
      <c r="V534" s="151">
        <f>+(Q534-R534)/(T534-R534)*100</f>
        <v>6.5476190476190483</v>
      </c>
      <c r="W534" s="152">
        <f>IF(V534&lt;LeagueRatings!$K$10,((LeagueRatings!$K$10-V534)/LeagueRatings!$K$10)*36,(LeagueRatings!$K$10-V534)*6.48)</f>
        <v>8.8049969574183162</v>
      </c>
      <c r="X534" s="153">
        <v>-0.56000000000000005</v>
      </c>
      <c r="Y534" s="153">
        <f>(P534/(T534-R534))*100</f>
        <v>1.1904761904761905</v>
      </c>
      <c r="Z534" s="152">
        <f>IF(Y534&lt;LeagueRatings!$K$8,((LeagueRatings!$K$8-Y534)/LeagueRatings!$K$8)*36,(LeagueRatings!$K$8-Y534)/LeagueRatings!$K$11)</f>
        <v>22.616418346479694</v>
      </c>
      <c r="AA534" s="153">
        <v>-1.41</v>
      </c>
      <c r="AB534" s="103">
        <f>+((LeagueRatings!$I$6-E531)*5)+9.5</f>
        <v>18.808051455277404</v>
      </c>
      <c r="AC534" s="103">
        <f>IF(AB534&lt;4,4,AB534)</f>
        <v>18.808051455277404</v>
      </c>
      <c r="AD534" s="103">
        <f>IF(M534&lt;L534,((1-(M534/L534))*7)-0.07,(1-(M534/L534))*5)</f>
        <v>2.7958162060004721</v>
      </c>
      <c r="AE534" s="154">
        <f>+X534+AA534+AC534+AD534</f>
        <v>19.633867661277876</v>
      </c>
      <c r="AJ534" s="103">
        <f>+AO417*LeagueRatings!$K$27</f>
        <v>23.888888888888889</v>
      </c>
      <c r="AK534" s="72">
        <f>F531*LeagueRatings!$K$27</f>
        <v>27.777777777777779</v>
      </c>
      <c r="AL534" s="72">
        <f>G531*LeagueRatings!$K$27</f>
        <v>0</v>
      </c>
      <c r="AM534" s="72">
        <f>T534*LeagueRatings!$K$27</f>
        <v>94.444444444444443</v>
      </c>
      <c r="AN534" s="30"/>
      <c r="AO534" s="14">
        <f t="shared" si="4"/>
        <v>0</v>
      </c>
    </row>
    <row r="535" spans="1:41" x14ac:dyDescent="0.2">
      <c r="A535" t="s">
        <v>614</v>
      </c>
      <c r="B535" s="76" t="s">
        <v>154</v>
      </c>
      <c r="L535" s="97">
        <v>20</v>
      </c>
      <c r="M535" s="76">
        <v>8</v>
      </c>
      <c r="N535" s="76">
        <v>3</v>
      </c>
      <c r="O535" s="76">
        <v>3</v>
      </c>
      <c r="P535" s="76">
        <v>1</v>
      </c>
      <c r="Q535" s="76">
        <v>4</v>
      </c>
      <c r="R535" s="76">
        <v>0</v>
      </c>
      <c r="S535" s="76">
        <v>34</v>
      </c>
      <c r="T535" s="76">
        <v>72</v>
      </c>
      <c r="V535" s="151">
        <f>+(Q535-R535)/(T535-R535)*100</f>
        <v>5.5555555555555554</v>
      </c>
      <c r="W535" s="152">
        <f>IF(V535&lt;LeagueRatings!$K$21,((LeagueRatings!$K$21-V535)/LeagueRatings!$K$21)*36,(LeagueRatings!$K$21-V535)*6.48)</f>
        <v>13.661158060014976</v>
      </c>
      <c r="X535" s="153">
        <v>-0.92</v>
      </c>
      <c r="Y535" s="153">
        <f>(P535/(T535-R535))*100</f>
        <v>1.3888888888888888</v>
      </c>
      <c r="Z535" s="152">
        <f>IF(Y535&lt;LeagueRatings!$K$19,((LeagueRatings!$K$19-Y535)/LeagueRatings!$K$19)*36,(LeagueRatings!$K$19-Y535)/LeagueRatings!$K$22)</f>
        <v>18.806053811659194</v>
      </c>
      <c r="AA535" s="153">
        <v>-1.05</v>
      </c>
      <c r="AB535" s="103">
        <f>+((LeagueRatings!$I$17-E532)*5)+9.5</f>
        <v>23.564387243706364</v>
      </c>
      <c r="AC535" s="103">
        <f>IF(AB535&lt;4,4,AB535)</f>
        <v>23.564387243706364</v>
      </c>
      <c r="AD535" s="103">
        <f>IF(M535&lt;L535,((1-(M535/L535))*7)-0.07,(1-(M535/L535))*5)</f>
        <v>4.13</v>
      </c>
      <c r="AE535" s="154">
        <f>+X535+AA535+AC535+AD535</f>
        <v>25.724387243706364</v>
      </c>
      <c r="AJ535" s="103">
        <f>+AO418*LeagueRatings!$K$27</f>
        <v>11.111111111111111</v>
      </c>
      <c r="AK535" s="72">
        <f>F532*LeagueRatings!$K$27</f>
        <v>12.777777777777779</v>
      </c>
      <c r="AL535" s="72">
        <f>G532*LeagueRatings!$K$27</f>
        <v>0</v>
      </c>
      <c r="AM535" s="72">
        <f>T535*LeagueRatings!$K$27</f>
        <v>40</v>
      </c>
      <c r="AN535" s="30"/>
      <c r="AO535" s="14">
        <f t="shared" si="4"/>
        <v>23</v>
      </c>
    </row>
    <row r="536" spans="1:41" x14ac:dyDescent="0.2">
      <c r="A536" t="s">
        <v>614</v>
      </c>
      <c r="B536" s="76" t="s">
        <v>155</v>
      </c>
      <c r="L536" s="157">
        <f>(L534/100)/((L534+L535)/100)</f>
        <v>0.6791272260548693</v>
      </c>
      <c r="V536" s="153"/>
      <c r="W536" s="152">
        <f>W534*L536</f>
        <v>5.9797131591130652</v>
      </c>
      <c r="X536" s="153"/>
      <c r="Y536" s="153"/>
      <c r="Z536" s="152">
        <f>Z534*L536</f>
        <v>15.359425454941208</v>
      </c>
      <c r="AA536" s="153"/>
      <c r="AB536" s="103"/>
      <c r="AC536" s="103"/>
      <c r="AD536" s="103"/>
      <c r="AE536" s="154">
        <f>AE534*L536</f>
        <v>13.333894081532048</v>
      </c>
      <c r="AK536" s="72">
        <f>F533*LeagueRatings!$K$27</f>
        <v>0</v>
      </c>
      <c r="AL536" s="72">
        <f>G533*LeagueRatings!$K$27</f>
        <v>0</v>
      </c>
      <c r="AM536" s="72">
        <f>T536*LeagueRatings!$K$27</f>
        <v>0</v>
      </c>
      <c r="AN536" s="30"/>
      <c r="AO536" s="14">
        <f t="shared" si="4"/>
        <v>35</v>
      </c>
    </row>
    <row r="537" spans="1:41" x14ac:dyDescent="0.2">
      <c r="A537" s="41" t="s">
        <v>614</v>
      </c>
      <c r="B537" s="76" t="s">
        <v>147</v>
      </c>
      <c r="C537" s="76">
        <v>0</v>
      </c>
      <c r="D537" s="76">
        <v>1</v>
      </c>
      <c r="E537" s="97">
        <v>27</v>
      </c>
      <c r="F537" s="76">
        <v>2</v>
      </c>
      <c r="G537" s="76">
        <v>0</v>
      </c>
      <c r="H537" s="76">
        <v>0</v>
      </c>
      <c r="I537" s="76">
        <v>0</v>
      </c>
      <c r="J537" s="76">
        <v>0</v>
      </c>
      <c r="K537" s="76">
        <v>0</v>
      </c>
      <c r="L537" s="157">
        <f>(L535/100)/((L534+L535)/100)</f>
        <v>0.32087277394513081</v>
      </c>
      <c r="V537" s="153"/>
      <c r="W537" s="152">
        <f>W535*L537</f>
        <v>4.3834936820198873</v>
      </c>
      <c r="X537" s="153"/>
      <c r="Y537" s="153"/>
      <c r="Z537" s="152">
        <f>Z535*L537</f>
        <v>6.0343506535084863</v>
      </c>
      <c r="AA537" s="153"/>
      <c r="AB537" s="103"/>
      <c r="AC537" s="103"/>
      <c r="AD537" s="103"/>
      <c r="AE537" s="154">
        <f>AE535*L537</f>
        <v>8.2542554929267986</v>
      </c>
      <c r="AK537" s="72">
        <f>F534*LeagueRatings!$K$27</f>
        <v>0</v>
      </c>
      <c r="AL537" s="72">
        <f>G534*LeagueRatings!$K$27</f>
        <v>0</v>
      </c>
      <c r="AM537" s="72">
        <f>T537*LeagueRatings!$K$27</f>
        <v>0</v>
      </c>
      <c r="AN537" s="30"/>
      <c r="AO537" s="14">
        <f t="shared" si="4"/>
        <v>1</v>
      </c>
    </row>
    <row r="538" spans="1:41" x14ac:dyDescent="0.2">
      <c r="C538" s="76">
        <v>0</v>
      </c>
      <c r="D538" s="76">
        <v>0</v>
      </c>
      <c r="E538" s="97">
        <v>11.81</v>
      </c>
      <c r="F538" s="76">
        <v>3</v>
      </c>
      <c r="G538" s="76">
        <v>0</v>
      </c>
      <c r="H538" s="76">
        <v>0</v>
      </c>
      <c r="I538" s="76">
        <v>0</v>
      </c>
      <c r="J538" s="76">
        <v>0</v>
      </c>
      <c r="K538" s="76">
        <v>0</v>
      </c>
      <c r="W538" s="152">
        <f>SUM(W536:W537)</f>
        <v>10.363206841132953</v>
      </c>
      <c r="X538" s="153"/>
      <c r="Y538" s="153"/>
      <c r="Z538" s="152">
        <f>SUM(Z536:Z537)</f>
        <v>21.393776108449693</v>
      </c>
      <c r="AA538" s="153"/>
      <c r="AB538" s="103"/>
      <c r="AC538" s="103"/>
      <c r="AD538" s="103"/>
      <c r="AE538" s="153">
        <f>SUM(AE536:AE537)</f>
        <v>21.588149574458846</v>
      </c>
      <c r="AF538" s="41" t="s">
        <v>499</v>
      </c>
      <c r="AG538" s="58">
        <v>19</v>
      </c>
      <c r="AH538" s="5" t="s">
        <v>62</v>
      </c>
      <c r="AI538" s="5" t="s">
        <v>49</v>
      </c>
      <c r="AJ538" s="174">
        <f>SUM(AJ534:AJ537)</f>
        <v>35</v>
      </c>
      <c r="AK538" s="14">
        <f>SUM(AK534:AK537)</f>
        <v>40.555555555555557</v>
      </c>
      <c r="AL538" s="14">
        <f>SUM(AL534:AL537)</f>
        <v>0</v>
      </c>
      <c r="AM538" s="14">
        <f>SUM(AM534:AM537)</f>
        <v>134.44444444444446</v>
      </c>
      <c r="AN538" s="30"/>
      <c r="AO538" s="14">
        <f t="shared" si="4"/>
        <v>1</v>
      </c>
    </row>
    <row r="539" spans="1:41" x14ac:dyDescent="0.2">
      <c r="C539" s="76">
        <v>8</v>
      </c>
      <c r="D539" s="76">
        <v>11</v>
      </c>
      <c r="E539" s="97">
        <v>4.3899999999999997</v>
      </c>
      <c r="F539" s="76">
        <v>28</v>
      </c>
      <c r="G539" s="76">
        <v>27</v>
      </c>
      <c r="H539" s="76">
        <v>1</v>
      </c>
      <c r="I539" s="76">
        <v>0</v>
      </c>
      <c r="J539" s="76">
        <v>0</v>
      </c>
      <c r="K539" s="76">
        <v>0</v>
      </c>
      <c r="AK539" s="72">
        <f>F536*LeagueRatings!$K$27</f>
        <v>0</v>
      </c>
      <c r="AL539" s="72">
        <f>G536*LeagueRatings!$K$27</f>
        <v>0</v>
      </c>
      <c r="AM539" s="72">
        <f>T539*LeagueRatings!$K$27</f>
        <v>0</v>
      </c>
      <c r="AN539" s="30"/>
      <c r="AO539" s="14">
        <f t="shared" si="4"/>
        <v>0</v>
      </c>
    </row>
    <row r="540" spans="1:41" x14ac:dyDescent="0.2">
      <c r="L540" s="97">
        <v>1</v>
      </c>
      <c r="M540" s="76">
        <v>2</v>
      </c>
      <c r="N540" s="76">
        <v>3</v>
      </c>
      <c r="O540" s="76">
        <v>3</v>
      </c>
      <c r="P540" s="76">
        <v>1</v>
      </c>
      <c r="Q540" s="76">
        <v>0</v>
      </c>
      <c r="R540" s="76">
        <v>0</v>
      </c>
      <c r="S540" s="76">
        <v>2</v>
      </c>
      <c r="T540" s="76">
        <v>6</v>
      </c>
      <c r="V540" s="151">
        <f>+(Q540-R540)/(T540-R540)*100</f>
        <v>0</v>
      </c>
      <c r="W540" s="152">
        <f>IF(V540&lt;LeagueRatings!$K$21,((LeagueRatings!$K$21-V540)/LeagueRatings!$K$21)*36,(LeagueRatings!$K$21-V540)*6.48)</f>
        <v>36</v>
      </c>
      <c r="X540" s="153">
        <v>-3.62</v>
      </c>
      <c r="Y540" s="153">
        <f>(P540/(T540-R540))*100</f>
        <v>16.666666666666664</v>
      </c>
      <c r="Z540" s="152">
        <f>IF(Y540&lt;LeagueRatings!$K$19,((LeagueRatings!$K$19-Y540)/LeagueRatings!$K$19)*36,(LeagueRatings!$K$19-Y540)/LeagueRatings!$K$22)</f>
        <v>-111.16975609756095</v>
      </c>
      <c r="AA540" s="153">
        <v>4.8600000000000003</v>
      </c>
      <c r="AB540" s="103">
        <f>+((LeagueRatings!$I$17-E537)*5)+9.5</f>
        <v>-104.68561275629364</v>
      </c>
      <c r="AC540" s="103">
        <f>IF(AB540&lt;4,4,AB540)</f>
        <v>4</v>
      </c>
      <c r="AD540" s="103">
        <f>IF(M540&lt;L540,((1-(M540/L540))*7)-0.07,(1-(M540/L540))*5)</f>
        <v>-5</v>
      </c>
      <c r="AE540" s="154">
        <f>+X540+AA540+AC540+AD540</f>
        <v>0.24000000000000021</v>
      </c>
      <c r="AJ540" s="103">
        <f>+AO423*LeagueRatings!$K$27</f>
        <v>0.55555555555555558</v>
      </c>
      <c r="AK540" s="72">
        <f>F537*LeagueRatings!$K$27</f>
        <v>1.1111111111111112</v>
      </c>
      <c r="AL540" s="72">
        <f>G537*LeagueRatings!$K$27</f>
        <v>0</v>
      </c>
      <c r="AM540" s="72">
        <f>T540*LeagueRatings!$K$27</f>
        <v>3.3333333333333335</v>
      </c>
      <c r="AN540" s="30"/>
      <c r="AO540" s="14">
        <f t="shared" si="4"/>
        <v>0</v>
      </c>
    </row>
    <row r="541" spans="1:41" x14ac:dyDescent="0.2">
      <c r="L541" s="97">
        <v>5.33</v>
      </c>
      <c r="M541" s="76">
        <v>11</v>
      </c>
      <c r="N541" s="76">
        <v>7</v>
      </c>
      <c r="O541" s="76">
        <v>7</v>
      </c>
      <c r="P541" s="76">
        <v>0</v>
      </c>
      <c r="Q541" s="76">
        <v>2</v>
      </c>
      <c r="R541" s="76">
        <v>0</v>
      </c>
      <c r="S541" s="76">
        <v>4</v>
      </c>
      <c r="T541" s="76">
        <v>28</v>
      </c>
      <c r="V541" s="151">
        <f>+(Q541-R541)/(T541-R541)*100</f>
        <v>7.1428571428571423</v>
      </c>
      <c r="W541" s="152">
        <f>IF(V541&lt;LeagueRatings!$K$21,((LeagueRatings!$K$21-V541)/LeagueRatings!$K$21)*36,(LeagueRatings!$K$21-V541)*6.48)</f>
        <v>7.2786317914478262</v>
      </c>
      <c r="X541" s="153">
        <v>-0.32</v>
      </c>
      <c r="Y541" s="153">
        <f>(P541/(T541-R541))*100</f>
        <v>0</v>
      </c>
      <c r="Z541" s="152">
        <f>IF(Y541&lt;LeagueRatings!$K$19,((LeagueRatings!$K$19-Y541)/LeagueRatings!$K$19)*36,(LeagueRatings!$K$19-Y541)/LeagueRatings!$K$22)</f>
        <v>36</v>
      </c>
      <c r="AA541" s="153">
        <v>-3.26</v>
      </c>
      <c r="AB541" s="103">
        <f>+((LeagueRatings!$I$17-E538)*5)+9.5</f>
        <v>-28.735612756293641</v>
      </c>
      <c r="AC541" s="103">
        <f>IF(AB541&lt;4,4,AB541)</f>
        <v>4</v>
      </c>
      <c r="AD541" s="103">
        <f>IF(M541&lt;L541,((1-(M541/L541))*7)-0.07,(1-(M541/L541))*5)</f>
        <v>-5.3189493433395878</v>
      </c>
      <c r="AE541" s="154">
        <f>+X541+AA541+AC541+AD541</f>
        <v>-4.8989493433395879</v>
      </c>
      <c r="AJ541" s="103">
        <f>+AO424*LeagueRatings!$K$27</f>
        <v>3.3333333333333335</v>
      </c>
      <c r="AK541" s="72">
        <f>F538*LeagueRatings!$K$27</f>
        <v>1.6666666666666667</v>
      </c>
      <c r="AL541" s="72">
        <f>G538*LeagueRatings!$K$27</f>
        <v>0</v>
      </c>
      <c r="AM541" s="72">
        <f>T541*LeagueRatings!$K$27</f>
        <v>15.555555555555557</v>
      </c>
      <c r="AN541" s="30"/>
      <c r="AO541" s="14">
        <f t="shared" si="4"/>
        <v>30</v>
      </c>
    </row>
    <row r="542" spans="1:41" x14ac:dyDescent="0.2">
      <c r="L542" s="97">
        <v>166</v>
      </c>
      <c r="M542" s="76">
        <v>167</v>
      </c>
      <c r="N542" s="76">
        <v>88</v>
      </c>
      <c r="O542" s="76">
        <v>81</v>
      </c>
      <c r="P542" s="76">
        <v>27</v>
      </c>
      <c r="Q542" s="76">
        <v>54</v>
      </c>
      <c r="R542" s="76">
        <v>1</v>
      </c>
      <c r="S542" s="76">
        <v>117</v>
      </c>
      <c r="T542" s="76">
        <v>699</v>
      </c>
      <c r="U542" s="138"/>
      <c r="V542" s="151">
        <f>+(Q542-R542)/(T542-R542)*100</f>
        <v>7.5931232091690548</v>
      </c>
      <c r="W542" s="152">
        <f>IF(V542&lt;LeagueRatings!$K$21,((LeagueRatings!$K$21-V542)/LeagueRatings!$K$21)*36,(LeagueRatings!$K$21-V542)*6.48)</f>
        <v>5.4681157439173127</v>
      </c>
      <c r="X542" s="153">
        <v>-0.16</v>
      </c>
      <c r="Y542" s="153">
        <f>(P542/(T542-R542))*100</f>
        <v>3.8681948424068766</v>
      </c>
      <c r="Z542" s="152">
        <f>IF(Y542&lt;LeagueRatings!$K$19,((LeagueRatings!$K$19-Y542)/LeagueRatings!$K$19)*36,(LeagueRatings!$K$19-Y542)/LeagueRatings!$K$22)</f>
        <v>-7.7583534838213692</v>
      </c>
      <c r="AA542" s="153">
        <v>1.26</v>
      </c>
      <c r="AB542" s="103">
        <f>+((LeagueRatings!$I$17-E539)*5)+9.5</f>
        <v>8.3643872437063642</v>
      </c>
      <c r="AC542" s="103">
        <f>IF(AB542&lt;4,4,AB542)</f>
        <v>8.3643872437063642</v>
      </c>
      <c r="AD542" s="103">
        <f>IF(M542&lt;L542,((1-(M542/L542))*7)-0.07,(1-(M542/L542))*5)</f>
        <v>-3.0120481927711218E-2</v>
      </c>
      <c r="AE542" s="154">
        <f>+X542+AA542+AC542+AD542</f>
        <v>9.4342667617786518</v>
      </c>
      <c r="AG542" s="58"/>
      <c r="AH542" s="5"/>
      <c r="AI542" s="5"/>
      <c r="AJ542" s="103">
        <f>+AO425*LeagueRatings!$K$27</f>
        <v>92.222222222222229</v>
      </c>
      <c r="AK542" s="72">
        <f>F539*LeagueRatings!$K$27</f>
        <v>15.555555555555557</v>
      </c>
      <c r="AL542" s="72">
        <f>G539*LeagueRatings!$K$27</f>
        <v>15</v>
      </c>
      <c r="AM542" s="72">
        <f>T542*LeagueRatings!$K$27</f>
        <v>388.33333333333337</v>
      </c>
      <c r="AN542" s="30"/>
      <c r="AO542" s="14">
        <f t="shared" si="4"/>
        <v>10</v>
      </c>
    </row>
    <row r="543" spans="1:41" x14ac:dyDescent="0.2">
      <c r="A543" t="s">
        <v>583</v>
      </c>
      <c r="B543" s="76" t="s">
        <v>152</v>
      </c>
      <c r="L543" s="157">
        <f>(L540/100)/((L540+L541+L542)/100)</f>
        <v>5.8028201706029131E-3</v>
      </c>
      <c r="T543" s="158"/>
      <c r="U543" s="158"/>
      <c r="V543" s="153"/>
      <c r="W543" s="152">
        <f>W540*L543</f>
        <v>0.20890152614170487</v>
      </c>
      <c r="X543" s="153"/>
      <c r="Y543" s="153"/>
      <c r="Z543" s="152">
        <f>Z540*L543</f>
        <v>-0.64509810304393289</v>
      </c>
      <c r="AA543" s="153"/>
      <c r="AB543" s="103"/>
      <c r="AC543" s="103"/>
      <c r="AD543" s="103"/>
      <c r="AE543" s="152">
        <f>AE540*L543</f>
        <v>1.3926768409447004E-3</v>
      </c>
      <c r="AG543" s="5"/>
      <c r="AH543" s="5"/>
      <c r="AI543" s="5"/>
      <c r="AJ543" s="103"/>
      <c r="AK543" s="72">
        <f>F540*LeagueRatings!$K$27</f>
        <v>0</v>
      </c>
      <c r="AL543" s="72">
        <f>G540*LeagueRatings!$K$27</f>
        <v>0</v>
      </c>
      <c r="AM543" s="72">
        <f>T543*LeagueRatings!$K$27</f>
        <v>0</v>
      </c>
      <c r="AN543" s="30"/>
      <c r="AO543" s="14">
        <f t="shared" si="4"/>
        <v>1</v>
      </c>
    </row>
    <row r="544" spans="1:41" x14ac:dyDescent="0.2">
      <c r="A544" s="41" t="s">
        <v>583</v>
      </c>
      <c r="B544" s="76" t="s">
        <v>159</v>
      </c>
      <c r="L544" s="157">
        <f>(L541/100)/((L540+L541+L542)/100)</f>
        <v>3.0929031509313525E-2</v>
      </c>
      <c r="T544" s="158"/>
      <c r="U544" s="158"/>
      <c r="V544" s="153"/>
      <c r="W544" s="152">
        <f>W541*L544</f>
        <v>0.22512103202238096</v>
      </c>
      <c r="X544" s="153"/>
      <c r="Y544" s="153"/>
      <c r="Z544" s="152">
        <f>Z541*L544</f>
        <v>1.1134451343352869</v>
      </c>
      <c r="AA544" s="153"/>
      <c r="AB544" s="103"/>
      <c r="AC544" s="103"/>
      <c r="AD544" s="103"/>
      <c r="AE544" s="152">
        <f>AE541*L544</f>
        <v>-0.15151975860268091</v>
      </c>
      <c r="AG544" s="5"/>
      <c r="AH544" s="5"/>
      <c r="AI544" s="5"/>
      <c r="AJ544" s="103"/>
      <c r="AK544" s="72">
        <f>F541*LeagueRatings!$K$27</f>
        <v>0</v>
      </c>
      <c r="AL544" s="72">
        <f>G541*LeagueRatings!$K$27</f>
        <v>0</v>
      </c>
      <c r="AM544" s="72">
        <f>T544*LeagueRatings!$K$27</f>
        <v>0</v>
      </c>
      <c r="AN544" s="30"/>
      <c r="AO544" s="14">
        <f t="shared" si="4"/>
        <v>1</v>
      </c>
    </row>
    <row r="545" spans="1:41" x14ac:dyDescent="0.2">
      <c r="C545" s="76">
        <v>2</v>
      </c>
      <c r="D545" s="76">
        <v>5</v>
      </c>
      <c r="E545" s="97">
        <v>5.42</v>
      </c>
      <c r="F545" s="76">
        <v>17</v>
      </c>
      <c r="G545" s="76">
        <v>14</v>
      </c>
      <c r="H545" s="76">
        <v>0</v>
      </c>
      <c r="I545" s="76">
        <v>0</v>
      </c>
      <c r="J545" s="76">
        <v>0</v>
      </c>
      <c r="K545" s="76">
        <v>0</v>
      </c>
      <c r="L545" s="157">
        <f>(L542/100)/((L540+L541+L542)/100)</f>
        <v>0.96326814832008345</v>
      </c>
      <c r="T545" s="158"/>
      <c r="U545" s="158"/>
      <c r="V545" s="153"/>
      <c r="W545" s="152">
        <f>W542*L545</f>
        <v>5.2672617274431257</v>
      </c>
      <c r="X545" s="153"/>
      <c r="Y545" s="153"/>
      <c r="Z545" s="152">
        <f>Z542*L545</f>
        <v>-7.4733747943732789</v>
      </c>
      <c r="AA545" s="153"/>
      <c r="AB545" s="103"/>
      <c r="AC545" s="103"/>
      <c r="AD545" s="103"/>
      <c r="AE545" s="152">
        <f>AE542*L545</f>
        <v>9.0877286743762316</v>
      </c>
      <c r="AF545" s="171"/>
      <c r="AN545" s="30"/>
      <c r="AO545" s="14">
        <f t="shared" si="4"/>
        <v>0</v>
      </c>
    </row>
    <row r="546" spans="1:41" x14ac:dyDescent="0.2">
      <c r="C546" s="76">
        <v>0</v>
      </c>
      <c r="D546" s="76">
        <v>7</v>
      </c>
      <c r="E546" s="97">
        <v>3.76</v>
      </c>
      <c r="F546" s="76">
        <v>14</v>
      </c>
      <c r="G546" s="76">
        <v>14</v>
      </c>
      <c r="H546" s="76">
        <v>0</v>
      </c>
      <c r="I546" s="76">
        <v>0</v>
      </c>
      <c r="J546" s="76">
        <v>0</v>
      </c>
      <c r="K546" s="76">
        <v>0</v>
      </c>
      <c r="W546" s="186">
        <f>SUM(W543:W545)</f>
        <v>5.7012842856072119</v>
      </c>
      <c r="Z546" s="186">
        <f>SUM(Z543:Z545)</f>
        <v>-7.0050277630819249</v>
      </c>
      <c r="AE546" s="153">
        <f>SUM(AE543:AE545)</f>
        <v>8.9376015926144952</v>
      </c>
      <c r="AF546" s="41" t="s">
        <v>614</v>
      </c>
      <c r="AG546" s="5" t="s">
        <v>66</v>
      </c>
      <c r="AH546" s="5" t="s">
        <v>22</v>
      </c>
      <c r="AI546" s="5" t="s">
        <v>42</v>
      </c>
      <c r="AJ546" s="174">
        <f>SUM(AJ540:AJ545)</f>
        <v>96.111111111111114</v>
      </c>
      <c r="AK546" s="14">
        <f>SUM(AK540:AK545)</f>
        <v>18.333333333333336</v>
      </c>
      <c r="AL546" s="14">
        <f>SUM(AL540:AL545)</f>
        <v>15</v>
      </c>
      <c r="AM546" s="14">
        <f>SUM(AM540:AM545)</f>
        <v>407.22222222222229</v>
      </c>
      <c r="AN546" s="30"/>
      <c r="AO546" s="14">
        <f t="shared" si="4"/>
        <v>0</v>
      </c>
    </row>
    <row r="547" spans="1:41" x14ac:dyDescent="0.2">
      <c r="W547" s="186"/>
      <c r="Z547" s="186"/>
      <c r="AE547" s="153"/>
      <c r="AK547" s="72"/>
      <c r="AL547" s="72"/>
      <c r="AM547" s="72"/>
      <c r="AN547" s="30"/>
      <c r="AO547" s="14">
        <f t="shared" si="4"/>
        <v>28</v>
      </c>
    </row>
    <row r="548" spans="1:41" x14ac:dyDescent="0.2">
      <c r="L548" s="97">
        <v>78</v>
      </c>
      <c r="M548" s="76">
        <v>86</v>
      </c>
      <c r="N548" s="76">
        <v>52</v>
      </c>
      <c r="O548" s="76">
        <v>47</v>
      </c>
      <c r="P548" s="76">
        <v>15</v>
      </c>
      <c r="Q548" s="76">
        <v>26</v>
      </c>
      <c r="R548" s="76">
        <v>1</v>
      </c>
      <c r="S548" s="76">
        <v>60</v>
      </c>
      <c r="T548" s="76">
        <v>339</v>
      </c>
      <c r="V548" s="151">
        <f>+(Q548-R548)/(T548-R548)*100</f>
        <v>7.3964497041420119</v>
      </c>
      <c r="W548" s="152">
        <f>IF(V548&lt;LeagueRatings!$K$10,((LeagueRatings!$K$10-V548)/LeagueRatings!$K$10)*36,(LeagueRatings!$K$10-V548)*6.48)</f>
        <v>5.2794478808921301</v>
      </c>
      <c r="X548" s="153">
        <v>-0.24</v>
      </c>
      <c r="Y548" s="153">
        <f>(P548/(T548-R548))*100</f>
        <v>4.4378698224852071</v>
      </c>
      <c r="Z548" s="152">
        <f>IF(Y548&lt;LeagueRatings!$K$8,((LeagueRatings!$K$8-Y548)/LeagueRatings!$K$8)*36,(LeagueRatings!$K$8-Y548)/LeagueRatings!$K$11)</f>
        <v>-9.8116366060516267</v>
      </c>
      <c r="AA548" s="153">
        <v>1.76</v>
      </c>
      <c r="AB548" s="103">
        <f>+((LeagueRatings!$I$6-E545)*5)+9.5</f>
        <v>3.4080514552774037</v>
      </c>
      <c r="AC548" s="103">
        <f>IF(AB548&lt;4,4,AB548)</f>
        <v>4</v>
      </c>
      <c r="AD548" s="103">
        <f>IF(M548&lt;L548,((1-(M548/L548))*7)-0.07,(1-(M548/L548))*5)</f>
        <v>-0.51282051282051322</v>
      </c>
      <c r="AE548" s="154">
        <f>+X548+AA548+AC548+AD548</f>
        <v>5.0071794871794868</v>
      </c>
      <c r="AJ548" s="103">
        <f>+AO431*LeagueRatings!$K$27</f>
        <v>43.333333333333336</v>
      </c>
      <c r="AK548" s="72">
        <f>F545*LeagueRatings!$K$27</f>
        <v>9.4444444444444446</v>
      </c>
      <c r="AL548" s="72">
        <f>G545*LeagueRatings!$K$27</f>
        <v>7.7777777777777786</v>
      </c>
      <c r="AM548" s="72">
        <f>T548*LeagueRatings!$K$27</f>
        <v>188.33333333333334</v>
      </c>
      <c r="AN548" s="30"/>
      <c r="AO548" s="14">
        <f t="shared" si="4"/>
        <v>16</v>
      </c>
    </row>
    <row r="549" spans="1:41" x14ac:dyDescent="0.2">
      <c r="L549" s="97">
        <v>83.67</v>
      </c>
      <c r="M549" s="76">
        <v>71</v>
      </c>
      <c r="N549" s="76">
        <v>37</v>
      </c>
      <c r="O549" s="76">
        <v>35</v>
      </c>
      <c r="P549" s="76">
        <v>10</v>
      </c>
      <c r="Q549" s="76">
        <v>20</v>
      </c>
      <c r="R549" s="76">
        <v>0</v>
      </c>
      <c r="S549" s="76">
        <v>69</v>
      </c>
      <c r="T549" s="76">
        <v>340</v>
      </c>
      <c r="V549" s="151">
        <f>+(Q549-R549)/(T549-R549)*100</f>
        <v>5.8823529411764701</v>
      </c>
      <c r="W549" s="152">
        <f>IF(V549&lt;LeagueRatings!$K$21,((LeagueRatings!$K$21-V549)/LeagueRatings!$K$21)*36,(LeagueRatings!$K$21-V549)*6.48)</f>
        <v>12.347108534133504</v>
      </c>
      <c r="X549" s="153">
        <v>-0.83</v>
      </c>
      <c r="Y549" s="153">
        <f>(P549/(T549-R549))*100</f>
        <v>2.9411764705882351</v>
      </c>
      <c r="Z549" s="152">
        <f>IF(Y549&lt;LeagueRatings!$K$19,((LeagueRatings!$K$19-Y549)/LeagueRatings!$K$19)*36,(LeagueRatings!$K$19-Y549)/LeagueRatings!$K$22)</f>
        <v>-0.26806312769009738</v>
      </c>
      <c r="AA549" s="153">
        <v>0.51</v>
      </c>
      <c r="AB549" s="103">
        <f>+((LeagueRatings!$I$17-E546)*5)+9.5</f>
        <v>11.514387243706363</v>
      </c>
      <c r="AC549" s="103">
        <f>IF(AB549&lt;4,4,AB549)</f>
        <v>11.514387243706363</v>
      </c>
      <c r="AD549" s="103">
        <f>IF(M549&lt;L549,((1-(M549/L549))*7)-0.07,(1-(M549/L549))*5)</f>
        <v>0.98999760965698624</v>
      </c>
      <c r="AE549" s="154">
        <f>+X549+AA549+AC549+AD549</f>
        <v>12.184384853363349</v>
      </c>
      <c r="AJ549" s="103">
        <f>+AO432*LeagueRatings!$K$27</f>
        <v>46.666666666666671</v>
      </c>
      <c r="AK549" s="72">
        <f>F546*LeagueRatings!$K$27</f>
        <v>7.7777777777777786</v>
      </c>
      <c r="AL549" s="72">
        <f>G546*LeagueRatings!$K$27</f>
        <v>7.7777777777777786</v>
      </c>
      <c r="AM549" s="72">
        <f>T549*LeagueRatings!$K$27</f>
        <v>188.88888888888889</v>
      </c>
      <c r="AN549" s="30"/>
      <c r="AO549" s="14">
        <f t="shared" si="4"/>
        <v>1</v>
      </c>
    </row>
    <row r="550" spans="1:41" x14ac:dyDescent="0.2">
      <c r="A550" t="s">
        <v>368</v>
      </c>
      <c r="B550" s="76" t="s">
        <v>148</v>
      </c>
      <c r="L550" s="157">
        <f>(L548/100)/((L548+L549)/100)</f>
        <v>0.4824642790870291</v>
      </c>
      <c r="V550" s="153"/>
      <c r="W550" s="152">
        <f>W548*L550</f>
        <v>2.5471450158321649</v>
      </c>
      <c r="X550" s="153"/>
      <c r="Y550" s="153"/>
      <c r="Z550" s="152">
        <f>Z548*L550</f>
        <v>-4.7337641818026031</v>
      </c>
      <c r="AA550" s="153"/>
      <c r="AB550" s="103"/>
      <c r="AC550" s="103"/>
      <c r="AD550" s="103"/>
      <c r="AE550" s="154">
        <f>AE548*L550</f>
        <v>2.4157852415414114</v>
      </c>
      <c r="AJ550" s="103"/>
      <c r="AK550" s="72">
        <f>F547*LeagueRatings!$K$27</f>
        <v>0</v>
      </c>
      <c r="AL550" s="72">
        <f>G547*LeagueRatings!$K$27</f>
        <v>0</v>
      </c>
      <c r="AM550" s="72">
        <f>T550*LeagueRatings!$K$27</f>
        <v>0</v>
      </c>
      <c r="AN550" s="30"/>
      <c r="AO550" s="14">
        <f t="shared" si="4"/>
        <v>1</v>
      </c>
    </row>
    <row r="551" spans="1:41" x14ac:dyDescent="0.2">
      <c r="A551" s="41" t="s">
        <v>368</v>
      </c>
      <c r="B551" s="76" t="s">
        <v>152</v>
      </c>
      <c r="L551" s="157">
        <f>(L549/100)/((L548+L549)/100)</f>
        <v>0.51753572091297073</v>
      </c>
      <c r="V551" s="153"/>
      <c r="W551" s="152">
        <f>W549*L551</f>
        <v>6.3900697164034765</v>
      </c>
      <c r="X551" s="153"/>
      <c r="Y551" s="153"/>
      <c r="Z551" s="152">
        <f>Z549*L551</f>
        <v>-0.13873224403928028</v>
      </c>
      <c r="AA551" s="153"/>
      <c r="AB551" s="103"/>
      <c r="AC551" s="103"/>
      <c r="AD551" s="103"/>
      <c r="AE551" s="154">
        <f>AE549*L551</f>
        <v>6.3058543989664821</v>
      </c>
      <c r="AJ551" s="103"/>
      <c r="AK551" s="72">
        <f>F548*LeagueRatings!$K$27</f>
        <v>0</v>
      </c>
      <c r="AL551" s="72">
        <f>G548*LeagueRatings!$K$27</f>
        <v>0</v>
      </c>
      <c r="AM551" s="72">
        <f>T551*LeagueRatings!$K$27</f>
        <v>0</v>
      </c>
      <c r="AN551" s="30"/>
      <c r="AO551" s="14">
        <f t="shared" si="4"/>
        <v>0</v>
      </c>
    </row>
    <row r="552" spans="1:41" x14ac:dyDescent="0.2">
      <c r="C552" s="76">
        <v>4</v>
      </c>
      <c r="D552" s="76">
        <v>0</v>
      </c>
      <c r="E552" s="97">
        <v>3.28</v>
      </c>
      <c r="F552" s="76">
        <v>31</v>
      </c>
      <c r="G552" s="76">
        <v>0</v>
      </c>
      <c r="H552" s="76">
        <v>0</v>
      </c>
      <c r="I552" s="76">
        <v>0</v>
      </c>
      <c r="J552" s="76">
        <v>0</v>
      </c>
      <c r="K552" s="76">
        <v>1</v>
      </c>
      <c r="W552" s="152">
        <f>SUM(W550:W551)</f>
        <v>8.9372147322356419</v>
      </c>
      <c r="X552" s="153"/>
      <c r="Y552" s="153"/>
      <c r="Z552" s="152">
        <f>SUM(Z550:Z551)</f>
        <v>-4.8724964258418835</v>
      </c>
      <c r="AA552" s="153"/>
      <c r="AB552" s="103"/>
      <c r="AC552" s="103"/>
      <c r="AD552" s="103"/>
      <c r="AE552" s="153">
        <f>SUM(AE550:AE551)</f>
        <v>8.7216396405078935</v>
      </c>
      <c r="AF552" s="41" t="s">
        <v>583</v>
      </c>
      <c r="AG552" s="5" t="s">
        <v>55</v>
      </c>
      <c r="AH552" s="5" t="s">
        <v>40</v>
      </c>
      <c r="AI552" s="5" t="s">
        <v>37</v>
      </c>
      <c r="AJ552" s="174">
        <f>SUM(AJ548:AJ551)</f>
        <v>90</v>
      </c>
      <c r="AK552" s="14">
        <f>SUM(AK548:AK551)</f>
        <v>17.222222222222221</v>
      </c>
      <c r="AL552" s="14">
        <f>SUM(AL548:AL551)</f>
        <v>15.555555555555557</v>
      </c>
      <c r="AM552" s="14">
        <f>SUM(AM548:AM551)</f>
        <v>377.22222222222223</v>
      </c>
      <c r="AN552" s="30"/>
      <c r="AO552" s="14">
        <f t="shared" si="4"/>
        <v>0</v>
      </c>
    </row>
    <row r="553" spans="1:41" x14ac:dyDescent="0.2">
      <c r="C553" s="76">
        <v>0</v>
      </c>
      <c r="D553" s="76">
        <v>0</v>
      </c>
      <c r="E553" s="97">
        <v>0</v>
      </c>
      <c r="F553" s="76">
        <v>9</v>
      </c>
      <c r="G553" s="76">
        <v>0</v>
      </c>
      <c r="H553" s="76">
        <v>0</v>
      </c>
      <c r="I553" s="76">
        <v>0</v>
      </c>
      <c r="J553" s="76">
        <v>0</v>
      </c>
      <c r="K553" s="76">
        <v>0</v>
      </c>
      <c r="AJ553" s="146"/>
      <c r="AO553" s="14">
        <f t="shared" si="4"/>
        <v>43</v>
      </c>
    </row>
    <row r="554" spans="1:41" x14ac:dyDescent="0.2">
      <c r="AG554" s="5"/>
      <c r="AH554" s="5"/>
      <c r="AI554" s="5"/>
      <c r="AJ554" s="174"/>
      <c r="AK554" s="14"/>
      <c r="AL554" s="14"/>
      <c r="AM554" s="14"/>
      <c r="AN554" s="30"/>
      <c r="AO554" s="14">
        <f t="shared" si="4"/>
        <v>20</v>
      </c>
    </row>
    <row r="555" spans="1:41" x14ac:dyDescent="0.2">
      <c r="L555" s="97">
        <v>24.67</v>
      </c>
      <c r="M555" s="76">
        <v>22</v>
      </c>
      <c r="N555" s="76">
        <v>10</v>
      </c>
      <c r="O555" s="76">
        <v>9</v>
      </c>
      <c r="P555" s="76">
        <v>4</v>
      </c>
      <c r="Q555" s="76">
        <v>16</v>
      </c>
      <c r="R555" s="76">
        <v>2</v>
      </c>
      <c r="S555" s="76">
        <v>24</v>
      </c>
      <c r="T555" s="76">
        <v>110</v>
      </c>
      <c r="V555" s="151">
        <f>+(Q555-R555)/(T555-R555)*100</f>
        <v>12.962962962962962</v>
      </c>
      <c r="W555" s="152">
        <f>IF(V555&lt;LeagueRatings!$K$10,((LeagueRatings!$K$10-V555)/LeagueRatings!$K$10)*36,(LeagueRatings!$K$10-V555)*6.48)</f>
        <v>-27.834219505806335</v>
      </c>
      <c r="X555" s="153">
        <v>4.3899999999999997</v>
      </c>
      <c r="Y555" s="153">
        <f>(P555/(T555-R555))*100</f>
        <v>3.7037037037037033</v>
      </c>
      <c r="Z555" s="152">
        <f>IF(Y555&lt;LeagueRatings!$K$8,((LeagueRatings!$K$8-Y555)/LeagueRatings!$K$8)*36,(LeagueRatings!$K$8-Y555)/LeagueRatings!$K$11)</f>
        <v>-3.9820253570855355</v>
      </c>
      <c r="AA555" s="153">
        <v>1.03</v>
      </c>
      <c r="AB555" s="103">
        <f>+((LeagueRatings!$I$6-E552)*5)+9.5</f>
        <v>14.108051455277405</v>
      </c>
      <c r="AC555" s="103">
        <f>IF(AB555&lt;4,4,AB555)</f>
        <v>14.108051455277405</v>
      </c>
      <c r="AD555" s="103">
        <f>IF(M555&lt;L555,((1-(M555/L555))*7)-0.07,(1-(M555/L555))*5)</f>
        <v>0.68760032428050288</v>
      </c>
      <c r="AE555" s="154">
        <f>+X555+AA555+AC555+AD555</f>
        <v>20.215651779557909</v>
      </c>
      <c r="AJ555" s="103">
        <f>+AO438*LeagueRatings!$K$27</f>
        <v>13.888888888888889</v>
      </c>
      <c r="AK555" s="72">
        <f>F552*LeagueRatings!$K$27</f>
        <v>17.222222222222221</v>
      </c>
      <c r="AL555" s="72">
        <f>G552*LeagueRatings!$K$27</f>
        <v>0</v>
      </c>
      <c r="AM555" s="72">
        <f>T555*LeagueRatings!$K$27</f>
        <v>61.111111111111114</v>
      </c>
      <c r="AN555" s="30"/>
      <c r="AO555" s="14">
        <f t="shared" si="4"/>
        <v>1</v>
      </c>
    </row>
    <row r="556" spans="1:41" x14ac:dyDescent="0.2">
      <c r="A556" s="73" t="s">
        <v>504</v>
      </c>
      <c r="B556" s="76" t="s">
        <v>146</v>
      </c>
      <c r="L556" s="97">
        <v>3.67</v>
      </c>
      <c r="M556" s="76">
        <v>2</v>
      </c>
      <c r="N556" s="76">
        <v>0</v>
      </c>
      <c r="O556" s="76">
        <v>0</v>
      </c>
      <c r="P556" s="76">
        <v>0</v>
      </c>
      <c r="Q556" s="76">
        <v>0</v>
      </c>
      <c r="R556" s="76">
        <v>0</v>
      </c>
      <c r="S556" s="76">
        <v>2</v>
      </c>
      <c r="T556" s="76">
        <v>12</v>
      </c>
      <c r="V556" s="151">
        <f>+(Q556-R556)/(T556-R556)*100</f>
        <v>0</v>
      </c>
      <c r="W556" s="152">
        <f>IF(V556&lt;LeagueRatings!$K$21,((LeagueRatings!$K$21-V556)/LeagueRatings!$K$21)*36,(LeagueRatings!$K$21-V556)*6.48)</f>
        <v>36</v>
      </c>
      <c r="X556" s="153">
        <v>-3.62</v>
      </c>
      <c r="Y556" s="153">
        <f>(P556/(T556-R556))*100</f>
        <v>0</v>
      </c>
      <c r="Z556" s="152">
        <f>IF(Y556&lt;LeagueRatings!$K$19,((LeagueRatings!$K$19-Y556)/LeagueRatings!$K$19)*36,(LeagueRatings!$K$19-Y556)/LeagueRatings!$K$22)</f>
        <v>36</v>
      </c>
      <c r="AA556" s="153">
        <v>-3.26</v>
      </c>
      <c r="AB556" s="103">
        <f>+((LeagueRatings!$I$17-E553)*5)+9.5</f>
        <v>30.314387243706364</v>
      </c>
      <c r="AC556" s="103">
        <f>IF(AB556&lt;4,4,AB556)</f>
        <v>30.314387243706364</v>
      </c>
      <c r="AD556" s="103">
        <f>IF(M556&lt;L556,((1-(M556/L556))*7)-0.07,(1-(M556/L556))*5)</f>
        <v>3.1152861035422341</v>
      </c>
      <c r="AE556" s="154">
        <f>+X556+AA556+AC556+AD556</f>
        <v>26.5496733472486</v>
      </c>
      <c r="AJ556" s="103">
        <f>+AO439*LeagueRatings!$K$27</f>
        <v>2.2222222222222223</v>
      </c>
      <c r="AK556" s="72">
        <f>F553*LeagueRatings!$K$27</f>
        <v>5</v>
      </c>
      <c r="AL556" s="72">
        <f>G553*LeagueRatings!$K$27</f>
        <v>0</v>
      </c>
      <c r="AM556" s="72">
        <f>T556*LeagueRatings!$K$27</f>
        <v>6.666666666666667</v>
      </c>
      <c r="AN556" s="30"/>
      <c r="AO556" s="14">
        <f t="shared" ref="AO556:AO574" si="5">ROUNDUP(L673,0)</f>
        <v>1</v>
      </c>
    </row>
    <row r="557" spans="1:41" x14ac:dyDescent="0.2">
      <c r="A557" s="41" t="s">
        <v>504</v>
      </c>
      <c r="B557" s="76" t="s">
        <v>171</v>
      </c>
      <c r="L557" s="157">
        <f>(L555/100)/((L555+L556)/100)</f>
        <v>0.87050105857445303</v>
      </c>
      <c r="V557" s="153"/>
      <c r="W557" s="152">
        <f>W555*L557</f>
        <v>-24.229717544398103</v>
      </c>
      <c r="X557" s="153"/>
      <c r="Y557" s="153"/>
      <c r="Z557" s="152">
        <f>Z555*L557</f>
        <v>-3.4663572886132732</v>
      </c>
      <c r="AA557" s="153"/>
      <c r="AB557" s="103"/>
      <c r="AC557" s="103"/>
      <c r="AD557" s="103"/>
      <c r="AE557" s="154">
        <f>AE555*L557</f>
        <v>17.597746273877686</v>
      </c>
      <c r="AK557" s="72">
        <f>F554*LeagueRatings!$K$27</f>
        <v>0</v>
      </c>
      <c r="AL557" s="72">
        <f>G554*LeagueRatings!$K$27</f>
        <v>0</v>
      </c>
      <c r="AM557" s="72">
        <f>T557*LeagueRatings!$K$27</f>
        <v>0</v>
      </c>
      <c r="AN557" s="30"/>
      <c r="AO557" s="14">
        <f t="shared" si="5"/>
        <v>0</v>
      </c>
    </row>
    <row r="558" spans="1:41" x14ac:dyDescent="0.2">
      <c r="C558" s="76">
        <v>1</v>
      </c>
      <c r="D558" s="76">
        <v>9</v>
      </c>
      <c r="E558" s="97">
        <v>4.72</v>
      </c>
      <c r="F558" s="76">
        <v>20</v>
      </c>
      <c r="G558" s="76">
        <v>20</v>
      </c>
      <c r="H558" s="76">
        <v>0</v>
      </c>
      <c r="I558" s="76">
        <v>0</v>
      </c>
      <c r="J558" s="76">
        <v>0</v>
      </c>
      <c r="K558" s="76">
        <v>0</v>
      </c>
      <c r="L558" s="157">
        <f>(L556/100)/((L555+L556)/100)</f>
        <v>0.12949894142554691</v>
      </c>
      <c r="V558" s="153"/>
      <c r="W558" s="152">
        <f>W556*L558</f>
        <v>4.661961891319689</v>
      </c>
      <c r="X558" s="153"/>
      <c r="Y558" s="153"/>
      <c r="Z558" s="152">
        <f>Z556*L558</f>
        <v>4.661961891319689</v>
      </c>
      <c r="AA558" s="153"/>
      <c r="AB558" s="103"/>
      <c r="AC558" s="103"/>
      <c r="AD558" s="103"/>
      <c r="AE558" s="154">
        <f>AE556*L558</f>
        <v>3.4381545936627504</v>
      </c>
      <c r="AK558" s="72">
        <f>F555*LeagueRatings!$K$27</f>
        <v>0</v>
      </c>
      <c r="AL558" s="72">
        <f>G555*LeagueRatings!$K$27</f>
        <v>0</v>
      </c>
      <c r="AM558" s="72">
        <f>T558*LeagueRatings!$K$27</f>
        <v>0</v>
      </c>
      <c r="AN558" s="30"/>
      <c r="AO558" s="14">
        <f t="shared" si="5"/>
        <v>0</v>
      </c>
    </row>
    <row r="559" spans="1:41" x14ac:dyDescent="0.2">
      <c r="C559" s="76">
        <v>6</v>
      </c>
      <c r="D559" s="76">
        <v>4</v>
      </c>
      <c r="E559" s="97">
        <v>2.17</v>
      </c>
      <c r="F559" s="76">
        <v>12</v>
      </c>
      <c r="G559" s="76">
        <v>12</v>
      </c>
      <c r="H559" s="76">
        <v>0</v>
      </c>
      <c r="I559" s="76">
        <v>0</v>
      </c>
      <c r="J559" s="76">
        <v>0</v>
      </c>
      <c r="K559" s="76">
        <v>0</v>
      </c>
      <c r="W559" s="152">
        <f>SUM(W557:W558)</f>
        <v>-19.567755653078414</v>
      </c>
      <c r="X559" s="153"/>
      <c r="Y559" s="153"/>
      <c r="Z559" s="152">
        <f>SUM(Z557:Z558)</f>
        <v>1.1956046027064158</v>
      </c>
      <c r="AA559" s="153"/>
      <c r="AB559" s="103"/>
      <c r="AC559" s="103"/>
      <c r="AD559" s="103"/>
      <c r="AE559" s="153">
        <f>SUM(AE557:AE558)</f>
        <v>21.035900867540438</v>
      </c>
      <c r="AF559" s="41" t="s">
        <v>368</v>
      </c>
      <c r="AG559" s="5" t="s">
        <v>67</v>
      </c>
      <c r="AH559" s="5" t="s">
        <v>70</v>
      </c>
      <c r="AI559" s="5" t="s">
        <v>25</v>
      </c>
      <c r="AJ559" s="174">
        <f>SUM(AJ555:AJ558)</f>
        <v>16.111111111111111</v>
      </c>
      <c r="AK559" s="14">
        <f>SUM(AK555:AK558)</f>
        <v>22.222222222222221</v>
      </c>
      <c r="AL559" s="14">
        <f>SUM(AL555:AL558)</f>
        <v>0</v>
      </c>
      <c r="AM559" s="14">
        <f>SUM(AM555:AM558)</f>
        <v>67.777777777777786</v>
      </c>
      <c r="AN559" s="30"/>
      <c r="AO559" s="14">
        <f t="shared" si="5"/>
        <v>0</v>
      </c>
    </row>
    <row r="560" spans="1:41" x14ac:dyDescent="0.2">
      <c r="AK560" s="72">
        <f>F557*LeagueRatings!$K$27</f>
        <v>0</v>
      </c>
      <c r="AL560" s="72">
        <f>G557*LeagueRatings!$K$27</f>
        <v>0</v>
      </c>
      <c r="AM560" s="72">
        <f>T560*LeagueRatings!$K$27</f>
        <v>0</v>
      </c>
      <c r="AN560" s="30"/>
      <c r="AO560" s="14">
        <f t="shared" si="5"/>
        <v>0</v>
      </c>
    </row>
    <row r="561" spans="1:41" x14ac:dyDescent="0.2">
      <c r="L561" s="97">
        <v>124</v>
      </c>
      <c r="M561" s="76">
        <v>131</v>
      </c>
      <c r="N561" s="76">
        <v>67</v>
      </c>
      <c r="O561" s="76">
        <v>65</v>
      </c>
      <c r="P561" s="76">
        <v>20</v>
      </c>
      <c r="Q561" s="76">
        <v>46</v>
      </c>
      <c r="R561" s="76">
        <v>1</v>
      </c>
      <c r="S561" s="76">
        <v>100</v>
      </c>
      <c r="T561" s="76">
        <v>538</v>
      </c>
      <c r="V561" s="151">
        <f>+(Q561-R561)/(T561-R561)*100</f>
        <v>8.3798882681564244</v>
      </c>
      <c r="W561" s="152">
        <f>IF(V561&lt;LeagueRatings!$K$10,((LeagueRatings!$K$10-V561)/LeagueRatings!$K$10)*36,(LeagueRatings!$K$10-V561)*6.48)</f>
        <v>1.1948158114241572</v>
      </c>
      <c r="X561" s="153">
        <v>0.09</v>
      </c>
      <c r="Y561" s="153">
        <f>(P561/(T561-R561))*100</f>
        <v>3.7243947858472999</v>
      </c>
      <c r="Z561" s="152">
        <f>IF(Y561&lt;LeagueRatings!$K$8,((LeagueRatings!$K$8-Y561)/LeagueRatings!$K$8)*36,(LeagueRatings!$K$8-Y561)/LeagueRatings!$K$11)</f>
        <v>-4.1463219135893778</v>
      </c>
      <c r="AA561" s="153">
        <v>1.03</v>
      </c>
      <c r="AB561" s="103">
        <f>+((LeagueRatings!$I$6-E558)*5)+9.5</f>
        <v>6.9080514552774046</v>
      </c>
      <c r="AC561" s="103">
        <f>IF(AB561&lt;4,4,AB561)</f>
        <v>6.9080514552774046</v>
      </c>
      <c r="AD561" s="103">
        <f>IF(M561&lt;L561,((1-(M561/L561))*7)-0.07,(1-(M561/L561))*5)</f>
        <v>-0.28225806451612878</v>
      </c>
      <c r="AE561" s="154">
        <f>+X561+AA561+AC561+AD561</f>
        <v>7.7457933907612757</v>
      </c>
      <c r="AJ561" s="103">
        <f>+AO444*LeagueRatings!$K$27</f>
        <v>68.888888888888886</v>
      </c>
      <c r="AK561" s="72">
        <f>F558*LeagueRatings!$K$27</f>
        <v>11.111111111111111</v>
      </c>
      <c r="AL561" s="72">
        <f>G558*LeagueRatings!$K$27</f>
        <v>11.111111111111111</v>
      </c>
      <c r="AM561" s="72">
        <f>T561*LeagueRatings!$K$27</f>
        <v>298.88888888888891</v>
      </c>
      <c r="AN561" s="30"/>
      <c r="AO561" s="14">
        <f t="shared" si="5"/>
        <v>0</v>
      </c>
    </row>
    <row r="562" spans="1:41" x14ac:dyDescent="0.2">
      <c r="A562" t="s">
        <v>628</v>
      </c>
      <c r="B562" s="76" t="s">
        <v>144</v>
      </c>
      <c r="L562" s="97">
        <v>78.67</v>
      </c>
      <c r="M562" s="76">
        <v>65</v>
      </c>
      <c r="N562" s="76">
        <v>24</v>
      </c>
      <c r="O562" s="76">
        <v>19</v>
      </c>
      <c r="P562" s="76">
        <v>3</v>
      </c>
      <c r="Q562" s="76">
        <v>17</v>
      </c>
      <c r="R562" s="76">
        <v>1</v>
      </c>
      <c r="S562" s="76">
        <v>58</v>
      </c>
      <c r="T562" s="76">
        <v>314</v>
      </c>
      <c r="V562" s="151">
        <f>+(Q562-R562)/(T562-R562)*100</f>
        <v>5.1118210862619806</v>
      </c>
      <c r="W562" s="152">
        <f>IF(V562&lt;LeagueRatings!$K$21,((LeagueRatings!$K$21-V562)/LeagueRatings!$K$21)*36,(LeagueRatings!$K$21-V562)*6.48)</f>
        <v>15.44541061113199</v>
      </c>
      <c r="X562" s="153">
        <v>-1.1000000000000001</v>
      </c>
      <c r="Y562" s="153">
        <f>(P562/(T562-R562))*100</f>
        <v>0.95846645367412142</v>
      </c>
      <c r="Z562" s="152">
        <f>IF(Y562&lt;LeagueRatings!$K$19,((LeagueRatings!$K$19-Y562)/LeagueRatings!$K$19)*36,(LeagueRatings!$K$19-Y562)/LeagueRatings!$K$22)</f>
        <v>24.134529147982065</v>
      </c>
      <c r="AA562" s="153">
        <v>1.68</v>
      </c>
      <c r="AB562" s="103">
        <f>+((LeagueRatings!$I$17-E559)*5)+9.5</f>
        <v>19.464387243706362</v>
      </c>
      <c r="AC562" s="103">
        <f>IF(AB562&lt;4,4,AB562)</f>
        <v>19.464387243706362</v>
      </c>
      <c r="AD562" s="103">
        <f>IF(M562&lt;L562,((1-(M562/L562))*7)-0.07,(1-(M562/L562))*5)</f>
        <v>1.1463467649675858</v>
      </c>
      <c r="AE562" s="154">
        <f>+X562+AA562+AC562+AD562</f>
        <v>21.190734008673946</v>
      </c>
      <c r="AJ562" s="103">
        <f>+AO445*LeagueRatings!$K$27</f>
        <v>43.888888888888893</v>
      </c>
      <c r="AK562" s="72">
        <f>F559*LeagueRatings!$K$27</f>
        <v>6.666666666666667</v>
      </c>
      <c r="AL562" s="72">
        <f>G559*LeagueRatings!$K$27</f>
        <v>6.666666666666667</v>
      </c>
      <c r="AM562" s="72">
        <f>T562*LeagueRatings!$K$27</f>
        <v>174.44444444444446</v>
      </c>
      <c r="AN562" s="30"/>
      <c r="AO562" s="14">
        <f t="shared" si="5"/>
        <v>0</v>
      </c>
    </row>
    <row r="563" spans="1:41" x14ac:dyDescent="0.2">
      <c r="A563" s="41" t="s">
        <v>628</v>
      </c>
      <c r="B563" s="76" t="s">
        <v>149</v>
      </c>
      <c r="L563" s="157">
        <f>(L561/100)/((L561+L562)/100)</f>
        <v>0.6118320422361474</v>
      </c>
      <c r="V563" s="153"/>
      <c r="W563" s="152">
        <f>W561*L563</f>
        <v>0.73102659799968162</v>
      </c>
      <c r="X563" s="153"/>
      <c r="Y563" s="153"/>
      <c r="Z563" s="152">
        <f>Z561*L563</f>
        <v>-2.5368526041598796</v>
      </c>
      <c r="AA563" s="153"/>
      <c r="AB563" s="103"/>
      <c r="AC563" s="103"/>
      <c r="AD563" s="103"/>
      <c r="AE563" s="154">
        <f>AE561*L563</f>
        <v>4.7391245890087239</v>
      </c>
      <c r="AK563" s="72">
        <f>F560*LeagueRatings!$K$27</f>
        <v>0</v>
      </c>
      <c r="AL563" s="72">
        <f>G560*LeagueRatings!$K$27</f>
        <v>0</v>
      </c>
      <c r="AM563" s="72">
        <f>T563*LeagueRatings!$K$27</f>
        <v>0</v>
      </c>
      <c r="AN563" s="30"/>
      <c r="AO563" s="14">
        <f t="shared" si="5"/>
        <v>0</v>
      </c>
    </row>
    <row r="564" spans="1:41" x14ac:dyDescent="0.2">
      <c r="C564" s="76">
        <v>11</v>
      </c>
      <c r="D564" s="76">
        <v>8</v>
      </c>
      <c r="E564" s="97">
        <v>3.11</v>
      </c>
      <c r="F564" s="76">
        <v>23</v>
      </c>
      <c r="G564" s="76">
        <v>23</v>
      </c>
      <c r="H564" s="76">
        <v>2</v>
      </c>
      <c r="I564" s="76">
        <v>0</v>
      </c>
      <c r="J564" s="76">
        <v>0</v>
      </c>
      <c r="K564" s="76">
        <v>0</v>
      </c>
      <c r="L564" s="157">
        <f>(L562/100)/((L561+L562)/100)</f>
        <v>0.3881679577638526</v>
      </c>
      <c r="V564" s="153"/>
      <c r="W564" s="152">
        <f>W562*L564</f>
        <v>5.9954134937472432</v>
      </c>
      <c r="X564" s="153"/>
      <c r="Y564" s="153"/>
      <c r="Z564" s="152">
        <f>Z562*L564</f>
        <v>9.3682508909643722</v>
      </c>
      <c r="AA564" s="153"/>
      <c r="AB564" s="103"/>
      <c r="AC564" s="103"/>
      <c r="AD564" s="103"/>
      <c r="AE564" s="154">
        <f>AE562*L564</f>
        <v>8.2255639436639836</v>
      </c>
      <c r="AK564" s="72">
        <f>F561*LeagueRatings!$K$27</f>
        <v>0</v>
      </c>
      <c r="AL564" s="72">
        <f>G561*LeagueRatings!$K$27</f>
        <v>0</v>
      </c>
      <c r="AM564" s="72">
        <f>T564*LeagueRatings!$K$27</f>
        <v>0</v>
      </c>
      <c r="AN564" s="30"/>
      <c r="AO564" s="14">
        <f t="shared" si="5"/>
        <v>0</v>
      </c>
    </row>
    <row r="565" spans="1:41" x14ac:dyDescent="0.2">
      <c r="C565" s="76">
        <v>4</v>
      </c>
      <c r="D565" s="76">
        <v>4</v>
      </c>
      <c r="E565" s="97">
        <v>3.59</v>
      </c>
      <c r="F565" s="76">
        <v>11</v>
      </c>
      <c r="G565" s="76">
        <v>11</v>
      </c>
      <c r="H565" s="76">
        <v>1</v>
      </c>
      <c r="I565" s="76">
        <v>0</v>
      </c>
      <c r="J565" s="76">
        <v>0</v>
      </c>
      <c r="K565" s="76">
        <v>0</v>
      </c>
      <c r="W565" s="152">
        <f>SUM(W563:W564)</f>
        <v>6.7264400917469249</v>
      </c>
      <c r="X565" s="153"/>
      <c r="Y565" s="153"/>
      <c r="Z565" s="152">
        <f>SUM(Z563:Z564)</f>
        <v>6.8313982868044931</v>
      </c>
      <c r="AA565" s="153"/>
      <c r="AB565" s="103"/>
      <c r="AC565" s="103"/>
      <c r="AD565" s="103"/>
      <c r="AE565" s="153">
        <f>SUM(AE563:AE564)</f>
        <v>12.964688532672707</v>
      </c>
      <c r="AF565" s="41" t="s">
        <v>504</v>
      </c>
      <c r="AG565" s="5" t="s">
        <v>68</v>
      </c>
      <c r="AH565" s="5" t="s">
        <v>30</v>
      </c>
      <c r="AI565" s="5" t="s">
        <v>57</v>
      </c>
      <c r="AJ565" s="174">
        <f>SUM(AJ561:AJ564)</f>
        <v>112.77777777777777</v>
      </c>
      <c r="AK565" s="14">
        <f>SUM(AK561:AK564)</f>
        <v>17.777777777777779</v>
      </c>
      <c r="AL565" s="14">
        <f>SUM(AL561:AL564)</f>
        <v>17.777777777777779</v>
      </c>
      <c r="AM565" s="14">
        <f>SUM(AM561:AM564)</f>
        <v>473.33333333333337</v>
      </c>
      <c r="AN565" s="30"/>
      <c r="AO565" s="14">
        <f t="shared" si="5"/>
        <v>143</v>
      </c>
    </row>
    <row r="566" spans="1:41" x14ac:dyDescent="0.2">
      <c r="AK566" s="72">
        <f>F563*LeagueRatings!$K$27</f>
        <v>0</v>
      </c>
      <c r="AL566" s="72">
        <f>G563*LeagueRatings!$K$27</f>
        <v>0</v>
      </c>
      <c r="AM566" s="72">
        <f>T566*LeagueRatings!$K$27</f>
        <v>0</v>
      </c>
      <c r="AN566" s="30"/>
      <c r="AO566" s="14">
        <f t="shared" si="5"/>
        <v>28</v>
      </c>
    </row>
    <row r="567" spans="1:41" x14ac:dyDescent="0.2">
      <c r="L567" s="97">
        <v>170.67</v>
      </c>
      <c r="M567" s="76">
        <v>156</v>
      </c>
      <c r="N567" s="76">
        <v>68</v>
      </c>
      <c r="O567" s="76">
        <v>59</v>
      </c>
      <c r="P567" s="76">
        <v>20</v>
      </c>
      <c r="Q567" s="76">
        <v>23</v>
      </c>
      <c r="R567" s="76">
        <v>1</v>
      </c>
      <c r="S567" s="76">
        <v>189</v>
      </c>
      <c r="T567" s="76">
        <v>689</v>
      </c>
      <c r="V567" s="151">
        <f>+(Q567-R567)/(T567-R567)*100</f>
        <v>3.1976744186046515</v>
      </c>
      <c r="W567" s="152">
        <f>IF(V567&lt;LeagueRatings!$K$10,((LeagueRatings!$K$10-V567)/LeagueRatings!$K$10)*36,(LeagueRatings!$K$10-V567)*6.48)</f>
        <v>22.71871944432057</v>
      </c>
      <c r="X567" s="153">
        <v>-2</v>
      </c>
      <c r="Y567" s="153">
        <f>(P567/(T567-R567))*100</f>
        <v>2.9069767441860463</v>
      </c>
      <c r="Z567" s="152">
        <f>IF(Y567&lt;LeagueRatings!$K$8,((LeagueRatings!$K$8-Y567)/LeagueRatings!$K$8)*36,(LeagueRatings!$K$8-Y567)/LeagueRatings!$K$11)</f>
        <v>3.3191610786132153</v>
      </c>
      <c r="AA567" s="153">
        <v>0.33</v>
      </c>
      <c r="AB567" s="103">
        <f>+((LeagueRatings!$I$6-E564)*5)+9.5</f>
        <v>14.958051455277404</v>
      </c>
      <c r="AC567" s="103">
        <f>IF(AB567&lt;4,4,AB567)</f>
        <v>14.958051455277404</v>
      </c>
      <c r="AD567" s="103">
        <f>IF(M567&lt;L567,((1-(M567/L567))*7)-0.07,(1-(M567/L567))*5)</f>
        <v>0.5316874670416587</v>
      </c>
      <c r="AE567" s="154">
        <f>+X567+AA567+AC567+AD567</f>
        <v>13.819738922319063</v>
      </c>
      <c r="AJ567" s="103">
        <f>+AO450*LeagueRatings!$K$27</f>
        <v>95</v>
      </c>
      <c r="AK567" s="72">
        <f>F564*LeagueRatings!$K$27</f>
        <v>12.777777777777779</v>
      </c>
      <c r="AL567" s="72">
        <f>G564*LeagueRatings!$K$27</f>
        <v>12.777777777777779</v>
      </c>
      <c r="AM567" s="72">
        <f>T567*LeagueRatings!$K$27</f>
        <v>382.77777777777777</v>
      </c>
      <c r="AN567" s="30"/>
      <c r="AO567" s="14">
        <f t="shared" si="5"/>
        <v>1</v>
      </c>
    </row>
    <row r="568" spans="1:41" x14ac:dyDescent="0.2">
      <c r="A568" t="s">
        <v>622</v>
      </c>
      <c r="B568" s="76" t="s">
        <v>156</v>
      </c>
      <c r="L568" s="97">
        <v>77.67</v>
      </c>
      <c r="M568" s="76">
        <v>74</v>
      </c>
      <c r="N568" s="76">
        <v>32</v>
      </c>
      <c r="O568" s="76">
        <v>31</v>
      </c>
      <c r="P568" s="76">
        <v>5</v>
      </c>
      <c r="Q568" s="76">
        <v>15</v>
      </c>
      <c r="R568" s="76">
        <v>0</v>
      </c>
      <c r="S568" s="76">
        <v>82</v>
      </c>
      <c r="T568" s="76">
        <v>320</v>
      </c>
      <c r="V568" s="151">
        <f>+(Q568-R568)/(T568-R568)*100</f>
        <v>4.6875</v>
      </c>
      <c r="W568" s="152">
        <f>IF(V568&lt;LeagueRatings!$K$21,((LeagueRatings!$K$21-V568)/LeagueRatings!$K$21)*36,(LeagueRatings!$K$21-V568)*6.48)</f>
        <v>17.151602113137635</v>
      </c>
      <c r="X568" s="153">
        <v>-1.29</v>
      </c>
      <c r="Y568" s="153">
        <f>(P568/(T568-R568))*100</f>
        <v>1.5625</v>
      </c>
      <c r="Z568" s="152">
        <f>IF(Y568&lt;LeagueRatings!$K$19,((LeagueRatings!$K$19-Y568)/LeagueRatings!$K$19)*36,(LeagueRatings!$K$19-Y568)/LeagueRatings!$K$22)</f>
        <v>16.656810538116591</v>
      </c>
      <c r="AA568" s="153">
        <v>-0.81</v>
      </c>
      <c r="AB568" s="103">
        <f>+((LeagueRatings!$I$17-E565)*5)+9.5</f>
        <v>12.364387243706364</v>
      </c>
      <c r="AC568" s="103">
        <f>IF(AB568&lt;4,4,AB568)</f>
        <v>12.364387243706364</v>
      </c>
      <c r="AD568" s="103">
        <f>IF(M568&lt;L568,((1-(M568/L568))*7)-0.07,(1-(M568/L568))*5)</f>
        <v>0.26075833655207964</v>
      </c>
      <c r="AE568" s="154">
        <f>+X568+AA568+AC568+AD568</f>
        <v>10.525145580258444</v>
      </c>
      <c r="AJ568" s="103">
        <f>+AO451*LeagueRatings!$K$27</f>
        <v>43.333333333333336</v>
      </c>
      <c r="AK568" s="72">
        <f>F565*LeagueRatings!$K$27</f>
        <v>6.1111111111111116</v>
      </c>
      <c r="AL568" s="72">
        <f>G565*LeagueRatings!$K$27</f>
        <v>6.1111111111111116</v>
      </c>
      <c r="AM568" s="72">
        <f>T568*LeagueRatings!$K$27</f>
        <v>177.77777777777777</v>
      </c>
      <c r="AN568" s="30"/>
      <c r="AO568" s="14">
        <f t="shared" si="5"/>
        <v>1</v>
      </c>
    </row>
    <row r="569" spans="1:41" x14ac:dyDescent="0.2">
      <c r="A569" s="41" t="s">
        <v>622</v>
      </c>
      <c r="B569" s="76" t="s">
        <v>152</v>
      </c>
      <c r="L569" s="157">
        <f>(L567/100)/((L567+L568)/100)</f>
        <v>0.68724329548200058</v>
      </c>
      <c r="V569" s="153"/>
      <c r="W569" s="152">
        <f>W567*L569</f>
        <v>15.613287620045874</v>
      </c>
      <c r="X569" s="153"/>
      <c r="Y569" s="153"/>
      <c r="Z569" s="152">
        <f>Z567*L569</f>
        <v>2.2810711979017375</v>
      </c>
      <c r="AA569" s="153"/>
      <c r="AB569" s="103"/>
      <c r="AC569" s="103"/>
      <c r="AD569" s="103"/>
      <c r="AE569" s="154">
        <f>AE567*L569</f>
        <v>9.4975229196754238</v>
      </c>
      <c r="AK569" s="72">
        <f>F566*LeagueRatings!$K$27</f>
        <v>0</v>
      </c>
      <c r="AL569" s="72">
        <f>G566*LeagueRatings!$K$27</f>
        <v>0</v>
      </c>
      <c r="AM569" s="72">
        <f>T569*LeagueRatings!$K$27</f>
        <v>0</v>
      </c>
      <c r="AN569" s="30"/>
      <c r="AO569" s="14">
        <f t="shared" si="5"/>
        <v>0</v>
      </c>
    </row>
    <row r="570" spans="1:41" x14ac:dyDescent="0.2">
      <c r="C570" s="76">
        <v>0</v>
      </c>
      <c r="D570" s="76">
        <v>0</v>
      </c>
      <c r="E570" s="97">
        <v>6.97</v>
      </c>
      <c r="F570" s="76">
        <v>16</v>
      </c>
      <c r="G570" s="76">
        <v>0</v>
      </c>
      <c r="H570" s="76">
        <v>0</v>
      </c>
      <c r="I570" s="76">
        <v>0</v>
      </c>
      <c r="J570" s="76">
        <v>0</v>
      </c>
      <c r="K570" s="76">
        <v>0</v>
      </c>
      <c r="L570" s="157">
        <f>(L568/100)/((L567+L568)/100)</f>
        <v>0.31275670451799958</v>
      </c>
      <c r="V570" s="153"/>
      <c r="W570" s="152">
        <f>W568*L570</f>
        <v>5.3642785541088847</v>
      </c>
      <c r="X570" s="153"/>
      <c r="Y570" s="153"/>
      <c r="Z570" s="152">
        <f>Z568*L570</f>
        <v>5.209529171682032</v>
      </c>
      <c r="AA570" s="153"/>
      <c r="AB570" s="103"/>
      <c r="AC570" s="103"/>
      <c r="AD570" s="103"/>
      <c r="AE570" s="154">
        <f>AE568*L570</f>
        <v>3.2918098462538197</v>
      </c>
      <c r="AK570" s="72">
        <f>F567*LeagueRatings!$K$27</f>
        <v>0</v>
      </c>
      <c r="AL570" s="72">
        <f>G567*LeagueRatings!$K$27</f>
        <v>0</v>
      </c>
      <c r="AM570" s="72">
        <f>T570*LeagueRatings!$K$27</f>
        <v>0</v>
      </c>
      <c r="AN570" s="30"/>
      <c r="AO570" s="14">
        <f t="shared" si="5"/>
        <v>0</v>
      </c>
    </row>
    <row r="571" spans="1:41" x14ac:dyDescent="0.2">
      <c r="C571" s="76">
        <v>2</v>
      </c>
      <c r="D571" s="76">
        <v>0</v>
      </c>
      <c r="E571" s="97">
        <v>4.68</v>
      </c>
      <c r="F571" s="76">
        <v>18</v>
      </c>
      <c r="G571" s="76">
        <v>1</v>
      </c>
      <c r="H571" s="76">
        <v>0</v>
      </c>
      <c r="I571" s="76">
        <v>0</v>
      </c>
      <c r="J571" s="76">
        <v>0</v>
      </c>
      <c r="K571" s="76">
        <v>1</v>
      </c>
      <c r="W571" s="152">
        <f>SUM(W569:W570)</f>
        <v>20.977566174154759</v>
      </c>
      <c r="X571" s="153"/>
      <c r="Y571" s="153"/>
      <c r="Z571" s="152">
        <f>SUM(Z569:Z570)</f>
        <v>7.4906003695837695</v>
      </c>
      <c r="AA571" s="153"/>
      <c r="AB571" s="103"/>
      <c r="AC571" s="103"/>
      <c r="AD571" s="103"/>
      <c r="AE571" s="153">
        <f>SUM(AE569:AE570)</f>
        <v>12.789332765929244</v>
      </c>
      <c r="AF571" s="41" t="s">
        <v>628</v>
      </c>
      <c r="AG571" s="5" t="s">
        <v>68</v>
      </c>
      <c r="AH571" s="5" t="s">
        <v>76</v>
      </c>
      <c r="AI571" s="5" t="s">
        <v>45</v>
      </c>
      <c r="AJ571" s="174">
        <f>SUM(AJ567:AJ570)</f>
        <v>138.33333333333334</v>
      </c>
      <c r="AK571" s="14">
        <f>SUM(AK567:AK570)</f>
        <v>18.888888888888889</v>
      </c>
      <c r="AL571" s="14">
        <f>SUM(AL567:AL570)</f>
        <v>18.888888888888889</v>
      </c>
      <c r="AM571" s="14">
        <f>SUM(AM567:AM570)</f>
        <v>560.55555555555554</v>
      </c>
      <c r="AN571" s="30"/>
      <c r="AO571" s="14">
        <f t="shared" si="5"/>
        <v>0</v>
      </c>
    </row>
    <row r="572" spans="1:41" x14ac:dyDescent="0.2">
      <c r="AK572" s="72">
        <f>F569*LeagueRatings!$K$27</f>
        <v>0</v>
      </c>
      <c r="AL572" s="72">
        <f>G569*LeagueRatings!$K$27</f>
        <v>0</v>
      </c>
      <c r="AM572" s="72">
        <f>T572*LeagueRatings!$K$27</f>
        <v>0</v>
      </c>
      <c r="AN572" s="30"/>
      <c r="AO572" s="14">
        <f t="shared" si="5"/>
        <v>0</v>
      </c>
    </row>
    <row r="573" spans="1:41" x14ac:dyDescent="0.2">
      <c r="L573" s="97">
        <v>20.67</v>
      </c>
      <c r="M573" s="76">
        <v>28</v>
      </c>
      <c r="N573" s="76">
        <v>17</v>
      </c>
      <c r="O573" s="76">
        <v>16</v>
      </c>
      <c r="P573" s="76">
        <v>5</v>
      </c>
      <c r="Q573" s="76">
        <v>7</v>
      </c>
      <c r="R573" s="76">
        <v>0</v>
      </c>
      <c r="S573" s="76">
        <v>21</v>
      </c>
      <c r="T573" s="76">
        <v>96</v>
      </c>
      <c r="V573" s="151">
        <f>+(Q573-R573)/(T573-R573)*100</f>
        <v>7.291666666666667</v>
      </c>
      <c r="W573" s="152">
        <f>IF(V573&lt;LeagueRatings!$K$21,((LeagueRatings!$K$21-V573)/LeagueRatings!$K$21)*36,(LeagueRatings!$K$21-V573)*6.48)</f>
        <v>6.6802699537696535</v>
      </c>
      <c r="X573" s="153">
        <v>-0.32</v>
      </c>
      <c r="Y573" s="153">
        <f>(P573/(T573-R573))*100</f>
        <v>5.2083333333333339</v>
      </c>
      <c r="Z573" s="152">
        <f>IF(Y573&lt;LeagueRatings!$K$19,((LeagueRatings!$K$19-Y573)/LeagueRatings!$K$19)*36,(LeagueRatings!$K$19-Y573)/LeagueRatings!$K$22)</f>
        <v>-18.586646341463418</v>
      </c>
      <c r="AA573" s="153">
        <v>2.76</v>
      </c>
      <c r="AB573" s="103">
        <f>+((LeagueRatings!$I$17-E570)*5)+9.5</f>
        <v>-4.5356127562936361</v>
      </c>
      <c r="AC573" s="103">
        <f>IF(AB573&lt;4,4,AB573)</f>
        <v>4</v>
      </c>
      <c r="AD573" s="103">
        <f>IF(M573&lt;L573,((1-(M573/L573))*7)-0.07,(1-(M573/L573))*5)</f>
        <v>-1.7731011127237539</v>
      </c>
      <c r="AE573" s="154">
        <f>+X573+AA573+AC573+AD573</f>
        <v>4.6668988872762451</v>
      </c>
      <c r="AJ573" s="103">
        <f>+AO456*LeagueRatings!$K$27</f>
        <v>11.666666666666668</v>
      </c>
      <c r="AK573" s="72">
        <f>F570*LeagueRatings!$K$27</f>
        <v>8.8888888888888893</v>
      </c>
      <c r="AL573" s="72">
        <f>G570*LeagueRatings!$K$27</f>
        <v>0</v>
      </c>
      <c r="AM573" s="72">
        <f>T573*LeagueRatings!$K$27</f>
        <v>53.333333333333336</v>
      </c>
      <c r="AN573" s="30"/>
      <c r="AO573" s="14">
        <f t="shared" si="5"/>
        <v>0</v>
      </c>
    </row>
    <row r="574" spans="1:41" x14ac:dyDescent="0.2">
      <c r="A574" t="s">
        <v>346</v>
      </c>
      <c r="B574" s="76" t="s">
        <v>161</v>
      </c>
      <c r="L574" s="97">
        <v>25</v>
      </c>
      <c r="M574" s="76">
        <v>22</v>
      </c>
      <c r="N574" s="76">
        <v>13</v>
      </c>
      <c r="O574" s="76">
        <v>13</v>
      </c>
      <c r="P574" s="76">
        <v>3</v>
      </c>
      <c r="Q574" s="76">
        <v>10</v>
      </c>
      <c r="R574" s="76">
        <v>0</v>
      </c>
      <c r="S574" s="76">
        <v>23</v>
      </c>
      <c r="T574" s="76">
        <v>106</v>
      </c>
      <c r="U574" s="138"/>
      <c r="V574" s="151">
        <f>+(Q574-R574)/(T574-R574)*100</f>
        <v>9.433962264150944</v>
      </c>
      <c r="W574" s="152">
        <f>IF(V574&lt;LeagueRatings!$K$21,((LeagueRatings!$K$21-V574)/LeagueRatings!$K$21)*36,(LeagueRatings!$K$21-V574)*6.48)</f>
        <v>-3.1165344923670837</v>
      </c>
      <c r="X574" s="153">
        <v>0.87</v>
      </c>
      <c r="Y574" s="153">
        <f>(P574/(T574-R574))*100</f>
        <v>2.8301886792452833</v>
      </c>
      <c r="Z574" s="152">
        <f>IF(Y574&lt;LeagueRatings!$K$19,((LeagueRatings!$K$19-Y574)/LeagueRatings!$K$19)*36,(LeagueRatings!$K$19-Y574)/LeagueRatings!$K$22)</f>
        <v>0.96327946526778763</v>
      </c>
      <c r="AA574" s="153">
        <v>0.42</v>
      </c>
      <c r="AB574" s="103">
        <f>+((LeagueRatings!$I$17-E571)*5)+9.5</f>
        <v>6.914387243706364</v>
      </c>
      <c r="AC574" s="103">
        <f>IF(AB574&lt;4,4,AB574)</f>
        <v>6.914387243706364</v>
      </c>
      <c r="AD574" s="103">
        <f>IF(M574&lt;L574,((1-(M574/L574))*7)-0.07,(1-(M574/L574))*5)</f>
        <v>0.77</v>
      </c>
      <c r="AE574" s="154">
        <f>+X574+AA574+AC574+AD574</f>
        <v>8.9743872437063636</v>
      </c>
      <c r="AG574" s="5"/>
      <c r="AH574" s="5"/>
      <c r="AI574" s="5"/>
      <c r="AJ574" s="103">
        <f>+AO457*LeagueRatings!$K$27</f>
        <v>13.888888888888889</v>
      </c>
      <c r="AK574" s="72">
        <f>F571*LeagueRatings!$K$27</f>
        <v>10</v>
      </c>
      <c r="AL574" s="72">
        <f>G571*LeagueRatings!$K$27</f>
        <v>0.55555555555555558</v>
      </c>
      <c r="AM574" s="72">
        <f>T574*LeagueRatings!$K$27</f>
        <v>58.888888888888893</v>
      </c>
      <c r="AN574" s="30"/>
      <c r="AO574" s="14">
        <f t="shared" si="5"/>
        <v>0</v>
      </c>
    </row>
    <row r="575" spans="1:41" x14ac:dyDescent="0.2">
      <c r="A575" s="41" t="s">
        <v>346</v>
      </c>
      <c r="B575" s="76" t="s">
        <v>160</v>
      </c>
      <c r="L575" s="157">
        <f>(L573/100)/((L573+L574)/100)</f>
        <v>0.45259470111670685</v>
      </c>
      <c r="T575" s="158"/>
      <c r="U575" s="158"/>
      <c r="V575" s="153"/>
      <c r="W575" s="152">
        <f>W573*L575</f>
        <v>3.0234547831052936</v>
      </c>
      <c r="X575" s="153"/>
      <c r="Y575" s="153"/>
      <c r="Z575" s="152">
        <f>Z573*L575</f>
        <v>-8.4122176456765683</v>
      </c>
      <c r="AA575" s="153"/>
      <c r="AB575" s="103"/>
      <c r="AC575" s="103"/>
      <c r="AD575" s="103"/>
      <c r="AE575" s="154">
        <f>AE573*L575</f>
        <v>2.1122137070286842</v>
      </c>
      <c r="AG575" s="5"/>
      <c r="AH575" s="5"/>
      <c r="AI575" s="5"/>
      <c r="AJ575" s="103"/>
      <c r="AK575" s="72">
        <f>F572*LeagueRatings!$K$27</f>
        <v>0</v>
      </c>
      <c r="AL575" s="72">
        <f>G572*LeagueRatings!$K$27</f>
        <v>0</v>
      </c>
      <c r="AM575" s="72">
        <f>T575*LeagueRatings!$K$27</f>
        <v>0</v>
      </c>
      <c r="AN575" s="30"/>
    </row>
    <row r="576" spans="1:41" x14ac:dyDescent="0.2">
      <c r="C576" s="76">
        <v>0</v>
      </c>
      <c r="D576" s="76">
        <v>2</v>
      </c>
      <c r="E576" s="97">
        <v>3.51</v>
      </c>
      <c r="F576" s="76">
        <v>44</v>
      </c>
      <c r="G576" s="76">
        <v>0</v>
      </c>
      <c r="H576" s="76">
        <v>0</v>
      </c>
      <c r="I576" s="76">
        <v>0</v>
      </c>
      <c r="J576" s="76">
        <v>1</v>
      </c>
      <c r="K576" s="76">
        <v>3</v>
      </c>
      <c r="L576" s="157">
        <f>(L574/100)/((L573+L574)/100)</f>
        <v>0.54740529888329315</v>
      </c>
      <c r="T576" s="158"/>
      <c r="U576" s="158"/>
      <c r="V576" s="153"/>
      <c r="W576" s="152">
        <f>W574*L576</f>
        <v>-1.7060074952742956</v>
      </c>
      <c r="X576" s="153"/>
      <c r="Y576" s="153"/>
      <c r="Z576" s="152">
        <f>Z574*L576</f>
        <v>0.52730428359305204</v>
      </c>
      <c r="AA576" s="153"/>
      <c r="AB576" s="103"/>
      <c r="AC576" s="103"/>
      <c r="AD576" s="103"/>
      <c r="AE576" s="154">
        <f>AE574*L576</f>
        <v>4.912627131435495</v>
      </c>
      <c r="AG576" s="5"/>
      <c r="AH576" s="5"/>
      <c r="AI576" s="5"/>
      <c r="AJ576" s="103"/>
      <c r="AK576" s="72">
        <f>F573*LeagueRatings!$K$27</f>
        <v>0</v>
      </c>
      <c r="AL576" s="72">
        <f>G573*LeagueRatings!$K$27</f>
        <v>0</v>
      </c>
      <c r="AM576" s="72">
        <f>T576*LeagueRatings!$K$27</f>
        <v>0</v>
      </c>
      <c r="AN576" s="30"/>
    </row>
    <row r="577" spans="1:40" x14ac:dyDescent="0.2">
      <c r="C577" s="76">
        <v>0</v>
      </c>
      <c r="D577" s="76">
        <v>0</v>
      </c>
      <c r="E577" s="97">
        <v>2.2200000000000002</v>
      </c>
      <c r="F577" s="76">
        <v>22</v>
      </c>
      <c r="G577" s="76">
        <v>1</v>
      </c>
      <c r="H577" s="76">
        <v>0</v>
      </c>
      <c r="I577" s="76">
        <v>0</v>
      </c>
      <c r="J577" s="76">
        <v>0</v>
      </c>
      <c r="K577" s="76">
        <v>0</v>
      </c>
      <c r="T577" s="158"/>
      <c r="U577" s="158"/>
      <c r="V577" s="153"/>
      <c r="W577" s="152">
        <f>SUM(W575:W576)</f>
        <v>1.317447287830998</v>
      </c>
      <c r="X577" s="153"/>
      <c r="Y577" s="153"/>
      <c r="Z577" s="152">
        <f>SUM(Z575:Z576)</f>
        <v>-7.8849133620835161</v>
      </c>
      <c r="AA577" s="153"/>
      <c r="AB577" s="103"/>
      <c r="AC577" s="103"/>
      <c r="AD577" s="103"/>
      <c r="AE577" s="153">
        <f>SUM(AE575:AE576)</f>
        <v>7.0248408384641792</v>
      </c>
      <c r="AF577" s="41" t="s">
        <v>622</v>
      </c>
      <c r="AG577" s="5" t="s">
        <v>24</v>
      </c>
      <c r="AH577" s="5" t="s">
        <v>69</v>
      </c>
      <c r="AI577" s="5" t="s">
        <v>43</v>
      </c>
      <c r="AJ577" s="174">
        <f>SUM(AJ573:AJ576)</f>
        <v>25.555555555555557</v>
      </c>
      <c r="AK577" s="14">
        <f>SUM(AK573:AK576)</f>
        <v>18.888888888888889</v>
      </c>
      <c r="AL577" s="14">
        <f>SUM(AL573:AL576)</f>
        <v>0.55555555555555558</v>
      </c>
      <c r="AM577" s="14">
        <f>SUM(AM573:AM576)</f>
        <v>112.22222222222223</v>
      </c>
      <c r="AN577" s="30"/>
    </row>
    <row r="578" spans="1:40" x14ac:dyDescent="0.2">
      <c r="AK578" s="72">
        <f>F575*LeagueRatings!$K$27</f>
        <v>0</v>
      </c>
      <c r="AL578" s="72">
        <f>G575*LeagueRatings!$K$27</f>
        <v>0</v>
      </c>
      <c r="AM578" s="72">
        <f>T578*LeagueRatings!$K$27</f>
        <v>0</v>
      </c>
      <c r="AN578" s="30"/>
    </row>
    <row r="579" spans="1:40" x14ac:dyDescent="0.2">
      <c r="L579" s="97">
        <v>33.33</v>
      </c>
      <c r="M579" s="76">
        <v>24</v>
      </c>
      <c r="N579" s="76">
        <v>14</v>
      </c>
      <c r="O579" s="76">
        <v>13</v>
      </c>
      <c r="P579" s="76">
        <v>3</v>
      </c>
      <c r="Q579" s="76">
        <v>16</v>
      </c>
      <c r="R579" s="76">
        <v>2</v>
      </c>
      <c r="S579" s="76">
        <v>26</v>
      </c>
      <c r="T579" s="76">
        <v>142</v>
      </c>
      <c r="V579" s="151">
        <f>+(Q579-R579)/(T579-R579)*100</f>
        <v>10</v>
      </c>
      <c r="W579" s="152">
        <f>IF(V579&lt;LeagueRatings!$K$21,((LeagueRatings!$K$21-V579)/LeagueRatings!$K$21)*36,(LeagueRatings!$K$21-V579)*6.48)</f>
        <v>-6.784459020668967</v>
      </c>
      <c r="X579" s="153">
        <v>1.24</v>
      </c>
      <c r="Y579" s="153">
        <f>(P579/(T579-R579))*100</f>
        <v>2.1428571428571428</v>
      </c>
      <c r="Z579" s="152">
        <f>IF(Y579&lt;LeagueRatings!$K$19,((LeagueRatings!$K$19-Y579)/LeagueRatings!$K$19)*36,(LeagueRatings!$K$19-Y579)/LeagueRatings!$K$22)</f>
        <v>9.4721973094170409</v>
      </c>
      <c r="AA579" s="153">
        <v>-7.0000000000000007E-2</v>
      </c>
      <c r="AB579" s="103">
        <f>+((LeagueRatings!$I$17-E576)*5)+9.5</f>
        <v>12.764387243706363</v>
      </c>
      <c r="AC579" s="103">
        <f>IF(AB579&lt;4,4,AB579)</f>
        <v>12.764387243706363</v>
      </c>
      <c r="AD579" s="103">
        <f>IF(M579&lt;L579,((1-(M579/L579))*7)-0.07,(1-(M579/L579))*5)</f>
        <v>1.8894959495949595</v>
      </c>
      <c r="AE579" s="154">
        <f>+X579+AA579+AC579+AD579</f>
        <v>15.823883193301322</v>
      </c>
      <c r="AJ579" s="103">
        <f>+AO462*LeagueRatings!$K$27</f>
        <v>18.888888888888889</v>
      </c>
      <c r="AK579" s="72">
        <f>F576*LeagueRatings!$K$27</f>
        <v>24.444444444444446</v>
      </c>
      <c r="AL579" s="72">
        <f>G576*LeagueRatings!$K$27</f>
        <v>0</v>
      </c>
      <c r="AM579" s="72">
        <f>T579*LeagueRatings!$K$27</f>
        <v>78.888888888888886</v>
      </c>
      <c r="AN579" s="30"/>
    </row>
    <row r="580" spans="1:40" x14ac:dyDescent="0.2">
      <c r="A580" t="s">
        <v>350</v>
      </c>
      <c r="B580" s="76" t="s">
        <v>161</v>
      </c>
      <c r="L580" s="97">
        <v>24.33</v>
      </c>
      <c r="M580" s="76">
        <v>21</v>
      </c>
      <c r="N580" s="76">
        <v>6</v>
      </c>
      <c r="O580" s="76">
        <v>6</v>
      </c>
      <c r="P580" s="76">
        <v>0</v>
      </c>
      <c r="Q580" s="76">
        <v>4</v>
      </c>
      <c r="R580" s="76">
        <v>1</v>
      </c>
      <c r="S580" s="76">
        <v>16</v>
      </c>
      <c r="T580" s="76">
        <v>96</v>
      </c>
      <c r="V580" s="151">
        <f>+(Q580-R580)/(T580-R580)*100</f>
        <v>3.1578947368421053</v>
      </c>
      <c r="W580" s="152">
        <f>IF(V580&lt;LeagueRatings!$K$21,((LeagueRatings!$K$21-V580)/LeagueRatings!$K$21)*36,(LeagueRatings!$K$21-V580)*6.48)</f>
        <v>23.302131949903249</v>
      </c>
      <c r="X580" s="153">
        <v>-2</v>
      </c>
      <c r="Y580" s="153">
        <f>(P580/(T580-R580))*100</f>
        <v>0</v>
      </c>
      <c r="Z580" s="152">
        <f>IF(Y580&lt;LeagueRatings!$K$19,((LeagueRatings!$K$19-Y580)/LeagueRatings!$K$19)*36,(LeagueRatings!$K$19-Y580)/LeagueRatings!$K$22)</f>
        <v>36</v>
      </c>
      <c r="AA580" s="153">
        <v>-3.26</v>
      </c>
      <c r="AB580" s="103">
        <f>+((LeagueRatings!$I$17-E577)*5)+9.5</f>
        <v>19.214387243706362</v>
      </c>
      <c r="AC580" s="103">
        <f>IF(AB580&lt;4,4,AB580)</f>
        <v>19.214387243706362</v>
      </c>
      <c r="AD580" s="103">
        <f>IF(M580&lt;L580,((1-(M580/L580))*7)-0.07,(1-(M580/L580))*5)</f>
        <v>0.88807644882860592</v>
      </c>
      <c r="AE580" s="154">
        <f>+X580+AA580+AC580+AD580</f>
        <v>14.842463692534968</v>
      </c>
      <c r="AJ580" s="103">
        <f>+AO463*LeagueRatings!$K$27</f>
        <v>13.888888888888889</v>
      </c>
      <c r="AK580" s="72">
        <f>F577*LeagueRatings!$K$27</f>
        <v>12.222222222222223</v>
      </c>
      <c r="AL580" s="72">
        <f>G577*LeagueRatings!$K$27</f>
        <v>0.55555555555555558</v>
      </c>
      <c r="AM580" s="72">
        <f>T580*LeagueRatings!$K$27</f>
        <v>53.333333333333336</v>
      </c>
      <c r="AN580" s="30"/>
    </row>
    <row r="581" spans="1:40" x14ac:dyDescent="0.2">
      <c r="A581" s="41" t="s">
        <v>350</v>
      </c>
      <c r="B581" s="76" t="s">
        <v>153</v>
      </c>
      <c r="L581" s="157">
        <f>(L579/100)/((L579+L580)/100)</f>
        <v>0.5780437044745057</v>
      </c>
      <c r="V581" s="153"/>
      <c r="W581" s="152">
        <f>W579*L581</f>
        <v>-3.9217138251629668</v>
      </c>
      <c r="X581" s="153"/>
      <c r="Y581" s="153"/>
      <c r="Z581" s="152">
        <f>Z579*L581</f>
        <v>5.4753440222488718</v>
      </c>
      <c r="AA581" s="153"/>
      <c r="AB581" s="103"/>
      <c r="AC581" s="103"/>
      <c r="AD581" s="103"/>
      <c r="AE581" s="154">
        <f>AE579*L581</f>
        <v>9.1468960602277676</v>
      </c>
      <c r="AJ581" s="103"/>
      <c r="AK581" s="72">
        <f>F578*LeagueRatings!$K$27</f>
        <v>0</v>
      </c>
      <c r="AL581" s="72">
        <f>G578*LeagueRatings!$K$27</f>
        <v>0</v>
      </c>
      <c r="AM581" s="72">
        <f>T581*LeagueRatings!$K$27</f>
        <v>0</v>
      </c>
      <c r="AN581" s="30"/>
    </row>
    <row r="582" spans="1:40" x14ac:dyDescent="0.2">
      <c r="C582" s="76">
        <v>2</v>
      </c>
      <c r="D582" s="76">
        <v>7</v>
      </c>
      <c r="E582" s="97">
        <v>2.83</v>
      </c>
      <c r="F582" s="76">
        <v>17</v>
      </c>
      <c r="G582" s="76">
        <v>17</v>
      </c>
      <c r="H582" s="76">
        <v>0</v>
      </c>
      <c r="I582" s="76">
        <v>0</v>
      </c>
      <c r="J582" s="76">
        <v>0</v>
      </c>
      <c r="K582" s="76">
        <v>0</v>
      </c>
      <c r="L582" s="157">
        <f>(L580/100)/((L579+L580)/100)</f>
        <v>0.42195629552549424</v>
      </c>
      <c r="V582" s="153"/>
      <c r="W582" s="152">
        <f>W580*L582</f>
        <v>9.8324812754274369</v>
      </c>
      <c r="X582" s="153"/>
      <c r="Y582" s="153"/>
      <c r="Z582" s="152">
        <f>Z580*L582</f>
        <v>15.190426638917792</v>
      </c>
      <c r="AA582" s="153"/>
      <c r="AB582" s="103"/>
      <c r="AC582" s="103"/>
      <c r="AD582" s="103"/>
      <c r="AE582" s="154">
        <f>AE580*L582</f>
        <v>6.2628709961737039</v>
      </c>
      <c r="AJ582" s="103"/>
      <c r="AK582" s="72">
        <f>F579*LeagueRatings!$K$27</f>
        <v>0</v>
      </c>
      <c r="AL582" s="72">
        <f>G579*LeagueRatings!$K$27</f>
        <v>0</v>
      </c>
      <c r="AM582" s="72">
        <f>T582*LeagueRatings!$K$27</f>
        <v>0</v>
      </c>
      <c r="AN582" s="30"/>
    </row>
    <row r="583" spans="1:40" x14ac:dyDescent="0.2">
      <c r="C583" s="76">
        <v>5</v>
      </c>
      <c r="D583" s="76">
        <v>6</v>
      </c>
      <c r="E583" s="97">
        <v>3.14</v>
      </c>
      <c r="F583" s="76">
        <v>16</v>
      </c>
      <c r="G583" s="76">
        <v>16</v>
      </c>
      <c r="H583" s="76">
        <v>2</v>
      </c>
      <c r="I583" s="76">
        <v>0</v>
      </c>
      <c r="J583" s="76">
        <v>0</v>
      </c>
      <c r="K583" s="76">
        <v>0</v>
      </c>
      <c r="V583" s="153"/>
      <c r="W583" s="152">
        <f>SUM(W581:W582)</f>
        <v>5.91076745026447</v>
      </c>
      <c r="X583" s="153"/>
      <c r="Y583" s="153"/>
      <c r="Z583" s="152">
        <f>SUM(Z581:Z582)</f>
        <v>20.665770661166665</v>
      </c>
      <c r="AA583" s="153"/>
      <c r="AB583" s="103"/>
      <c r="AC583" s="103"/>
      <c r="AD583" s="103"/>
      <c r="AE583" s="153">
        <f>SUM(AE581:AE582)</f>
        <v>15.409767056401471</v>
      </c>
      <c r="AF583" s="41" t="s">
        <v>346</v>
      </c>
      <c r="AG583" s="58">
        <v>13</v>
      </c>
      <c r="AH583" s="5" t="s">
        <v>56</v>
      </c>
      <c r="AI583" s="5" t="s">
        <v>49</v>
      </c>
      <c r="AJ583" s="174">
        <f>SUM(AJ579:AJ582)</f>
        <v>32.777777777777779</v>
      </c>
      <c r="AK583" s="14">
        <f>SUM(AK579:AK582)</f>
        <v>36.666666666666671</v>
      </c>
      <c r="AL583" s="14">
        <f>SUM(AL579:AL582)</f>
        <v>0.55555555555555558</v>
      </c>
      <c r="AM583" s="14">
        <f>SUM(AM579:AM582)</f>
        <v>132.22222222222223</v>
      </c>
      <c r="AN583" s="30"/>
    </row>
    <row r="584" spans="1:40" x14ac:dyDescent="0.2">
      <c r="AK584" s="72">
        <f>F581*LeagueRatings!$K$27</f>
        <v>0</v>
      </c>
      <c r="AL584" s="72">
        <f>G581*LeagueRatings!$K$27</f>
        <v>0</v>
      </c>
      <c r="AM584" s="72">
        <f>T584*LeagueRatings!$K$27</f>
        <v>0</v>
      </c>
      <c r="AN584" s="30"/>
    </row>
    <row r="585" spans="1:40" x14ac:dyDescent="0.2">
      <c r="L585" s="97">
        <v>108</v>
      </c>
      <c r="M585" s="76">
        <v>99</v>
      </c>
      <c r="N585" s="76">
        <v>44</v>
      </c>
      <c r="O585" s="76">
        <v>34</v>
      </c>
      <c r="P585" s="76">
        <v>7</v>
      </c>
      <c r="Q585" s="76">
        <v>31</v>
      </c>
      <c r="R585" s="76">
        <v>3</v>
      </c>
      <c r="S585" s="76">
        <v>103</v>
      </c>
      <c r="T585" s="76">
        <v>449</v>
      </c>
      <c r="V585" s="151">
        <f>+(Q585-R585)/(T585-R585)*100</f>
        <v>6.2780269058295968</v>
      </c>
      <c r="W585" s="152">
        <f>IF(V585&lt;LeagueRatings!$K$21,((LeagueRatings!$K$21-V585)/LeagueRatings!$K$21)*36,(LeagueRatings!$K$21-V585)*6.48)</f>
        <v>10.75610686602589</v>
      </c>
      <c r="X585" s="153">
        <v>-0.65</v>
      </c>
      <c r="Y585" s="153">
        <f>(P585/(T585-R585))*100</f>
        <v>1.5695067264573992</v>
      </c>
      <c r="Z585" s="152">
        <f>IF(Y585&lt;LeagueRatings!$K$19,((LeagueRatings!$K$19-Y585)/LeagueRatings!$K$19)*36,(LeagueRatings!$K$19-Y585)/LeagueRatings!$K$22)</f>
        <v>16.570069778197833</v>
      </c>
      <c r="AA585" s="153">
        <v>-0.81</v>
      </c>
      <c r="AB585" s="103">
        <f>+((LeagueRatings!$I$17-E582)*5)+9.5</f>
        <v>16.164387243706361</v>
      </c>
      <c r="AC585" s="103">
        <f>IF(AB585&lt;4,4,AB585)</f>
        <v>16.164387243706361</v>
      </c>
      <c r="AD585" s="103">
        <f>IF(M585&lt;L585,((1-(M585/L585))*7)-0.07,(1-(M585/L585))*5)</f>
        <v>0.51333333333333364</v>
      </c>
      <c r="AE585" s="154">
        <f>+X585+AA585+AC585+AD585</f>
        <v>15.217720577039694</v>
      </c>
      <c r="AJ585" s="103">
        <f>+AO468*LeagueRatings!$K$27</f>
        <v>60</v>
      </c>
      <c r="AK585" s="72">
        <f>F582*LeagueRatings!$K$27</f>
        <v>9.4444444444444446</v>
      </c>
      <c r="AL585" s="72">
        <f>G582*LeagueRatings!$K$27</f>
        <v>9.4444444444444446</v>
      </c>
      <c r="AM585" s="72">
        <f>T585*LeagueRatings!$K$27</f>
        <v>249.44444444444446</v>
      </c>
      <c r="AN585" s="30"/>
    </row>
    <row r="586" spans="1:40" x14ac:dyDescent="0.2">
      <c r="A586" t="s">
        <v>536</v>
      </c>
      <c r="B586" s="76" t="s">
        <v>149</v>
      </c>
      <c r="L586" s="97">
        <v>111.67</v>
      </c>
      <c r="M586" s="76">
        <v>92</v>
      </c>
      <c r="N586" s="76">
        <v>42</v>
      </c>
      <c r="O586" s="76">
        <v>39</v>
      </c>
      <c r="P586" s="76">
        <v>13</v>
      </c>
      <c r="Q586" s="76">
        <v>12</v>
      </c>
      <c r="R586" s="76">
        <v>0</v>
      </c>
      <c r="S586" s="76">
        <v>99</v>
      </c>
      <c r="T586" s="76">
        <v>430</v>
      </c>
      <c r="U586" s="138"/>
      <c r="V586" s="151">
        <f>+(Q586-R586)/(T586-R586)*100</f>
        <v>2.7906976744186047</v>
      </c>
      <c r="W586" s="152">
        <f>IF(V586&lt;LeagueRatings!$K$21,((LeagueRatings!$K$21-V586)/LeagueRatings!$K$21)*36,(LeagueRatings!$K$21-V586)*6.48)</f>
        <v>24.778628234798223</v>
      </c>
      <c r="X586" s="153">
        <v>-2.2200000000000002</v>
      </c>
      <c r="Y586" s="153">
        <f>(P586/(T586-R586))*100</f>
        <v>3.0232558139534884</v>
      </c>
      <c r="Z586" s="152">
        <f>IF(Y586&lt;LeagueRatings!$K$19,((LeagueRatings!$K$19-Y586)/LeagueRatings!$K$19)*36,(LeagueRatings!$K$19-Y586)/LeagueRatings!$K$22)</f>
        <v>-0.93126262053318132</v>
      </c>
      <c r="AA586" s="153">
        <v>0.61</v>
      </c>
      <c r="AB586" s="103">
        <f>+((LeagueRatings!$I$17-E583)*5)+9.5</f>
        <v>14.614387243706362</v>
      </c>
      <c r="AC586" s="103">
        <f>IF(AB586&lt;4,4,AB586)</f>
        <v>14.614387243706362</v>
      </c>
      <c r="AD586" s="103">
        <f>IF(M586&lt;L586,((1-(M586/L586))*7)-0.07,(1-(M586/L586))*5)</f>
        <v>1.163007969911346</v>
      </c>
      <c r="AE586" s="154">
        <f>+X586+AA586+AC586+AD586</f>
        <v>14.167395213617707</v>
      </c>
      <c r="AG586" s="5"/>
      <c r="AH586" s="5"/>
      <c r="AI586" s="5"/>
      <c r="AJ586" s="103">
        <f>+AO469*LeagueRatings!$K$27</f>
        <v>62.222222222222229</v>
      </c>
      <c r="AK586" s="72">
        <f>F583*LeagueRatings!$K$27</f>
        <v>8.8888888888888893</v>
      </c>
      <c r="AL586" s="72">
        <f>G583*LeagueRatings!$K$27</f>
        <v>8.8888888888888893</v>
      </c>
      <c r="AM586" s="72">
        <f>T586*LeagueRatings!$K$27</f>
        <v>238.88888888888889</v>
      </c>
      <c r="AN586" s="30"/>
    </row>
    <row r="587" spans="1:40" x14ac:dyDescent="0.2">
      <c r="A587" s="41" t="s">
        <v>536</v>
      </c>
      <c r="B587" s="76" t="s">
        <v>144</v>
      </c>
      <c r="L587" s="157">
        <f>(L585/100)/((L585+L586)/100)</f>
        <v>0.49164656075021618</v>
      </c>
      <c r="T587" s="158"/>
      <c r="U587" s="158"/>
      <c r="V587" s="153"/>
      <c r="W587" s="152">
        <f>W585*L587</f>
        <v>5.2882029477434154</v>
      </c>
      <c r="X587" s="153"/>
      <c r="Y587" s="153"/>
      <c r="Z587" s="152">
        <f>Z585*L587</f>
        <v>8.1466178178420616</v>
      </c>
      <c r="AA587" s="153"/>
      <c r="AB587" s="103"/>
      <c r="AC587" s="103"/>
      <c r="AD587" s="103"/>
      <c r="AE587" s="154">
        <f>AE585*L587</f>
        <v>7.4817399841593604</v>
      </c>
      <c r="AG587" s="5"/>
      <c r="AH587" s="5"/>
      <c r="AI587" s="5"/>
      <c r="AJ587" s="103"/>
      <c r="AK587" s="72">
        <f>F584*LeagueRatings!$K$27</f>
        <v>0</v>
      </c>
      <c r="AL587" s="72">
        <f>G584*LeagueRatings!$K$27</f>
        <v>0</v>
      </c>
      <c r="AM587" s="72">
        <f>T587*LeagueRatings!$K$27</f>
        <v>0</v>
      </c>
      <c r="AN587" s="30"/>
    </row>
    <row r="588" spans="1:40" x14ac:dyDescent="0.2">
      <c r="C588" s="76">
        <v>6</v>
      </c>
      <c r="D588" s="76">
        <v>9</v>
      </c>
      <c r="E588" s="97">
        <v>3.93</v>
      </c>
      <c r="F588" s="76">
        <v>21</v>
      </c>
      <c r="G588" s="76">
        <v>18</v>
      </c>
      <c r="H588" s="76">
        <v>0</v>
      </c>
      <c r="I588" s="76">
        <v>0</v>
      </c>
      <c r="J588" s="76">
        <v>0</v>
      </c>
      <c r="K588" s="76">
        <v>0</v>
      </c>
      <c r="L588" s="157">
        <f>(L586/100)/((L585+L586)/100)</f>
        <v>0.50835343924978371</v>
      </c>
      <c r="T588" s="158"/>
      <c r="U588" s="158"/>
      <c r="V588" s="153"/>
      <c r="W588" s="152">
        <f>W586*L588</f>
        <v>12.596300883051473</v>
      </c>
      <c r="X588" s="153"/>
      <c r="Y588" s="153"/>
      <c r="Z588" s="152">
        <f>Z586*L588</f>
        <v>-0.47341055599280896</v>
      </c>
      <c r="AA588" s="153"/>
      <c r="AB588" s="103"/>
      <c r="AC588" s="103"/>
      <c r="AD588" s="103"/>
      <c r="AE588" s="154">
        <f>AE586*L588</f>
        <v>7.2020440820534857</v>
      </c>
      <c r="AG588" s="5"/>
      <c r="AH588" s="5"/>
      <c r="AI588" s="5"/>
      <c r="AJ588" s="103"/>
      <c r="AK588" s="72">
        <f>F585*LeagueRatings!$K$27</f>
        <v>0</v>
      </c>
      <c r="AL588" s="72">
        <f>G585*LeagueRatings!$K$27</f>
        <v>0</v>
      </c>
      <c r="AM588" s="72">
        <f>T588*LeagueRatings!$K$27</f>
        <v>0</v>
      </c>
      <c r="AN588" s="30"/>
    </row>
    <row r="589" spans="1:40" x14ac:dyDescent="0.2">
      <c r="C589" s="76">
        <v>3</v>
      </c>
      <c r="D589" s="76">
        <v>1</v>
      </c>
      <c r="E589" s="97">
        <v>1.7</v>
      </c>
      <c r="F589" s="76">
        <v>7</v>
      </c>
      <c r="G589" s="76">
        <v>7</v>
      </c>
      <c r="H589" s="76">
        <v>1</v>
      </c>
      <c r="I589" s="76">
        <v>1</v>
      </c>
      <c r="J589" s="76">
        <v>0</v>
      </c>
      <c r="K589" s="76">
        <v>0</v>
      </c>
      <c r="T589" s="158"/>
      <c r="U589" s="158"/>
      <c r="V589" s="153"/>
      <c r="W589" s="152">
        <f>SUM(W587:W588)</f>
        <v>17.884503830794888</v>
      </c>
      <c r="X589" s="153"/>
      <c r="Y589" s="153"/>
      <c r="Z589" s="152">
        <f>SUM(Z587:Z588)</f>
        <v>7.6732072618492531</v>
      </c>
      <c r="AA589" s="153"/>
      <c r="AB589" s="103"/>
      <c r="AC589" s="103"/>
      <c r="AD589" s="103"/>
      <c r="AE589" s="153">
        <f>SUM(AE587:AE588)</f>
        <v>14.683784066212846</v>
      </c>
      <c r="AF589" s="41" t="s">
        <v>350</v>
      </c>
      <c r="AG589" s="5" t="s">
        <v>59</v>
      </c>
      <c r="AH589" s="5" t="s">
        <v>49</v>
      </c>
      <c r="AI589" s="5" t="s">
        <v>56</v>
      </c>
      <c r="AJ589" s="174">
        <f>SUM(AJ585:AJ588)</f>
        <v>122.22222222222223</v>
      </c>
      <c r="AK589" s="14">
        <f>SUM(AK585:AK588)</f>
        <v>18.333333333333336</v>
      </c>
      <c r="AL589" s="14">
        <f>SUM(AL585:AL588)</f>
        <v>18.333333333333336</v>
      </c>
      <c r="AM589" s="14">
        <f>SUM(AM585:AM588)</f>
        <v>488.33333333333337</v>
      </c>
      <c r="AN589" s="30"/>
    </row>
    <row r="590" spans="1:40" x14ac:dyDescent="0.2">
      <c r="AK590" s="72">
        <f>F587*LeagueRatings!$K$27</f>
        <v>0</v>
      </c>
      <c r="AL590" s="72">
        <f>G587*LeagueRatings!$K$27</f>
        <v>0</v>
      </c>
      <c r="AM590" s="72">
        <f>T590*LeagueRatings!$K$27</f>
        <v>0</v>
      </c>
      <c r="AN590" s="30"/>
    </row>
    <row r="591" spans="1:40" x14ac:dyDescent="0.2">
      <c r="L591" s="97">
        <v>105.33</v>
      </c>
      <c r="M591" s="76">
        <v>111</v>
      </c>
      <c r="N591" s="76">
        <v>48</v>
      </c>
      <c r="O591" s="76">
        <v>46</v>
      </c>
      <c r="P591" s="76">
        <v>14</v>
      </c>
      <c r="Q591" s="76">
        <v>31</v>
      </c>
      <c r="R591" s="76">
        <v>1</v>
      </c>
      <c r="S591" s="76">
        <v>89</v>
      </c>
      <c r="T591" s="76">
        <v>445</v>
      </c>
      <c r="V591" s="151">
        <f>+(Q591-R591)/(T591-R591)*100</f>
        <v>6.756756756756757</v>
      </c>
      <c r="W591" s="152">
        <f>IF(V591&lt;LeagueRatings!$K$10,((LeagueRatings!$K$10-V591)/LeagueRatings!$K$10)*36,(LeagueRatings!$K$10-V591)*6.48)</f>
        <v>7.9363604965987555</v>
      </c>
      <c r="X591" s="153">
        <v>-0.48</v>
      </c>
      <c r="Y591" s="153">
        <f>(P591/(T591-R591))*100</f>
        <v>3.1531531531531529</v>
      </c>
      <c r="Z591" s="152">
        <f>IF(Y591&lt;LeagueRatings!$K$8,((LeagueRatings!$K$8-Y591)/LeagueRatings!$K$8)*36,(LeagueRatings!$K$8-Y591)/LeagueRatings!$K$11)</f>
        <v>0.551594539324605</v>
      </c>
      <c r="AA591" s="153">
        <v>0.51</v>
      </c>
      <c r="AB591" s="103">
        <f>+((LeagueRatings!$I$6-E588)*5)+9.5</f>
        <v>10.858051455277403</v>
      </c>
      <c r="AC591" s="103">
        <f>IF(AB591&lt;4,4,AB591)</f>
        <v>10.858051455277403</v>
      </c>
      <c r="AD591" s="103">
        <f>IF(M591&lt;L591,((1-(M591/L591))*7)-0.07,(1-(M591/L591))*5)</f>
        <v>-0.26915408715465716</v>
      </c>
      <c r="AE591" s="154">
        <f>+X591+AA591+AC591+AD591</f>
        <v>10.618897368122745</v>
      </c>
      <c r="AJ591" s="103">
        <f>+AO474*LeagueRatings!$K$27</f>
        <v>58.888888888888893</v>
      </c>
      <c r="AK591" s="72">
        <f>F588*LeagueRatings!$K$27</f>
        <v>11.666666666666668</v>
      </c>
      <c r="AL591" s="72">
        <f>G588*LeagueRatings!$K$27</f>
        <v>10</v>
      </c>
      <c r="AM591" s="72">
        <f>T591*LeagueRatings!$K$27</f>
        <v>247.22222222222223</v>
      </c>
      <c r="AN591" s="30"/>
    </row>
    <row r="592" spans="1:40" x14ac:dyDescent="0.2">
      <c r="A592" t="s">
        <v>644</v>
      </c>
      <c r="B592" s="76" t="s">
        <v>155</v>
      </c>
      <c r="L592" s="97">
        <v>47.67</v>
      </c>
      <c r="M592" s="76">
        <v>25</v>
      </c>
      <c r="N592" s="76">
        <v>9</v>
      </c>
      <c r="O592" s="76">
        <v>9</v>
      </c>
      <c r="P592" s="76">
        <v>4</v>
      </c>
      <c r="Q592" s="76">
        <v>11</v>
      </c>
      <c r="R592" s="76">
        <v>1</v>
      </c>
      <c r="S592" s="76">
        <v>44</v>
      </c>
      <c r="T592" s="76">
        <v>173</v>
      </c>
      <c r="U592" s="147"/>
      <c r="V592" s="151">
        <f>+(Q592-R592)/(T592-R592)*100</f>
        <v>5.8139534883720927</v>
      </c>
      <c r="W592" s="152">
        <f>IF(V592&lt;LeagueRatings!$K$10,((LeagueRatings!$K$10-V592)/LeagueRatings!$K$10)*36,(LeagueRatings!$K$10-V592)*6.48)</f>
        <v>11.852217171491954</v>
      </c>
      <c r="X592" s="153">
        <v>-0.83</v>
      </c>
      <c r="Y592" s="153">
        <f>(P592/(T592-R592))*100</f>
        <v>2.3255813953488373</v>
      </c>
      <c r="Z592" s="152">
        <f>IF(Y592&lt;LeagueRatings!$K$8,((LeagueRatings!$K$8-Y592)/LeagueRatings!$K$8)*36,(LeagueRatings!$K$8-Y592)/LeagueRatings!$K$11)</f>
        <v>9.8553288628905698</v>
      </c>
      <c r="AA592" s="153">
        <v>0</v>
      </c>
      <c r="AB592" s="103">
        <f>+((LeagueRatings!$I$6-E589)*5)+9.5</f>
        <v>22.008051455277403</v>
      </c>
      <c r="AC592" s="103">
        <f>IF(AB592&lt;4,4,AB592)</f>
        <v>22.008051455277403</v>
      </c>
      <c r="AD592" s="103">
        <f>IF(M592&lt;L592,((1-(M592/L592))*7)-0.07,(1-(M592/L592))*5)</f>
        <v>3.2589280469897215</v>
      </c>
      <c r="AE592" s="154">
        <f>+X592+AA592+AC592+AD592</f>
        <v>24.436979502267128</v>
      </c>
      <c r="AG592" s="7"/>
      <c r="AH592" s="7"/>
      <c r="AI592" s="7"/>
      <c r="AJ592" s="103">
        <f>+AO475*LeagueRatings!$K$27</f>
        <v>26.666666666666668</v>
      </c>
      <c r="AK592" s="72">
        <f>F589*LeagueRatings!$K$27</f>
        <v>3.8888888888888893</v>
      </c>
      <c r="AL592" s="72">
        <f>G589*LeagueRatings!$K$27</f>
        <v>3.8888888888888893</v>
      </c>
      <c r="AM592" s="72">
        <f>T592*LeagueRatings!$K$27</f>
        <v>96.111111111111114</v>
      </c>
      <c r="AN592" s="30"/>
    </row>
    <row r="593" spans="1:40" x14ac:dyDescent="0.2">
      <c r="A593" s="41" t="s">
        <v>644</v>
      </c>
      <c r="B593" s="76" t="s">
        <v>149</v>
      </c>
      <c r="L593" s="157">
        <f>(L591/100)/((L591+L592)/100)</f>
        <v>0.68843137254901954</v>
      </c>
      <c r="T593" s="158"/>
      <c r="U593" s="158"/>
      <c r="V593" s="153"/>
      <c r="W593" s="152">
        <f>W591*L593</f>
        <v>5.4636395497172998</v>
      </c>
      <c r="X593" s="153"/>
      <c r="Y593" s="153"/>
      <c r="Z593" s="152">
        <f>Z591*L593</f>
        <v>0.37973498579778198</v>
      </c>
      <c r="AA593" s="153"/>
      <c r="AB593" s="103"/>
      <c r="AC593" s="103"/>
      <c r="AD593" s="103"/>
      <c r="AE593" s="154">
        <f>AE591*L593</f>
        <v>7.3103820900939125</v>
      </c>
      <c r="AG593" s="5"/>
      <c r="AH593" s="5"/>
      <c r="AI593" s="5"/>
      <c r="AJ593" s="103"/>
      <c r="AK593" s="72">
        <f>F590*LeagueRatings!$K$27</f>
        <v>0</v>
      </c>
      <c r="AL593" s="72">
        <f>G590*LeagueRatings!$K$27</f>
        <v>0</v>
      </c>
      <c r="AM593" s="72">
        <f>T593*LeagueRatings!$K$27</f>
        <v>0</v>
      </c>
      <c r="AN593" s="30"/>
    </row>
    <row r="594" spans="1:40" x14ac:dyDescent="0.2">
      <c r="C594" s="76">
        <v>1</v>
      </c>
      <c r="D594" s="76">
        <v>3</v>
      </c>
      <c r="E594" s="97">
        <v>2.7</v>
      </c>
      <c r="F594" s="76">
        <v>35</v>
      </c>
      <c r="G594" s="76">
        <v>0</v>
      </c>
      <c r="H594" s="76">
        <v>0</v>
      </c>
      <c r="I594" s="76">
        <v>0</v>
      </c>
      <c r="J594" s="76">
        <v>17</v>
      </c>
      <c r="K594" s="76">
        <v>19</v>
      </c>
      <c r="L594" s="157">
        <f>(L592/100)/((L591+L592)/100)</f>
        <v>0.31156862745098041</v>
      </c>
      <c r="T594" s="158"/>
      <c r="U594" s="158"/>
      <c r="V594" s="153"/>
      <c r="W594" s="152">
        <f>W592*L594</f>
        <v>3.6927790363726896</v>
      </c>
      <c r="X594" s="153"/>
      <c r="Y594" s="153"/>
      <c r="Z594" s="152">
        <f>Z592*L594</f>
        <v>3.0706112868888464</v>
      </c>
      <c r="AA594" s="153"/>
      <c r="AB594" s="103"/>
      <c r="AC594" s="103"/>
      <c r="AD594" s="103"/>
      <c r="AE594" s="154">
        <f>AE592*L594</f>
        <v>7.6137961625691117</v>
      </c>
      <c r="AG594" s="5"/>
      <c r="AH594" s="5"/>
      <c r="AI594" s="5"/>
      <c r="AJ594" s="103"/>
      <c r="AK594" s="72">
        <f>F591*LeagueRatings!$K$27</f>
        <v>0</v>
      </c>
      <c r="AL594" s="72">
        <f>G591*LeagueRatings!$K$27</f>
        <v>0</v>
      </c>
      <c r="AM594" s="72">
        <f>T594*LeagueRatings!$K$27</f>
        <v>0</v>
      </c>
      <c r="AN594" s="30"/>
    </row>
    <row r="595" spans="1:40" x14ac:dyDescent="0.2">
      <c r="C595" s="76">
        <v>1</v>
      </c>
      <c r="D595" s="76">
        <v>1</v>
      </c>
      <c r="E595" s="97">
        <v>4.91</v>
      </c>
      <c r="F595" s="76">
        <v>13</v>
      </c>
      <c r="G595" s="76">
        <v>0</v>
      </c>
      <c r="H595" s="76">
        <v>0</v>
      </c>
      <c r="I595" s="76">
        <v>0</v>
      </c>
      <c r="J595" s="76">
        <v>1</v>
      </c>
      <c r="K595" s="76">
        <v>1</v>
      </c>
      <c r="T595" s="158"/>
      <c r="U595" s="158"/>
      <c r="V595" s="153"/>
      <c r="W595" s="152">
        <f>SUM(W593:W594)</f>
        <v>9.1564185860899894</v>
      </c>
      <c r="X595" s="153"/>
      <c r="Y595" s="153"/>
      <c r="Z595" s="152">
        <f>SUM(Z593:Z594)</f>
        <v>3.4503462726866285</v>
      </c>
      <c r="AA595" s="153"/>
      <c r="AB595" s="103"/>
      <c r="AC595" s="103"/>
      <c r="AD595" s="103"/>
      <c r="AE595" s="153">
        <f>SUM(AE593:AE594)</f>
        <v>14.924178252663024</v>
      </c>
      <c r="AF595" s="41" t="s">
        <v>536</v>
      </c>
      <c r="AG595" s="5" t="s">
        <v>16</v>
      </c>
      <c r="AH595" s="5" t="s">
        <v>20</v>
      </c>
      <c r="AI595" s="5" t="s">
        <v>71</v>
      </c>
      <c r="AJ595" s="174">
        <f>SUM(AJ591:AJ594)</f>
        <v>85.555555555555557</v>
      </c>
      <c r="AK595" s="14">
        <f>SUM(AK591:AK594)</f>
        <v>15.555555555555557</v>
      </c>
      <c r="AL595" s="14">
        <f>SUM(AL591:AL594)</f>
        <v>13.888888888888889</v>
      </c>
      <c r="AM595" s="14">
        <f>SUM(AM591:AM594)</f>
        <v>343.33333333333337</v>
      </c>
      <c r="AN595" s="30"/>
    </row>
    <row r="596" spans="1:40" x14ac:dyDescent="0.2">
      <c r="AK596" s="72">
        <f>F593*LeagueRatings!$K$27</f>
        <v>0</v>
      </c>
      <c r="AL596" s="72">
        <f>G593*LeagueRatings!$K$27</f>
        <v>0</v>
      </c>
      <c r="AM596" s="72">
        <f>T596*LeagueRatings!$K$27</f>
        <v>0</v>
      </c>
      <c r="AN596" s="30"/>
    </row>
    <row r="597" spans="1:40" x14ac:dyDescent="0.2">
      <c r="L597" s="97">
        <v>33.33</v>
      </c>
      <c r="M597" s="76">
        <v>25</v>
      </c>
      <c r="N597" s="76">
        <v>12</v>
      </c>
      <c r="O597" s="76">
        <v>10</v>
      </c>
      <c r="P597" s="76">
        <v>0</v>
      </c>
      <c r="Q597" s="76">
        <v>4</v>
      </c>
      <c r="R597" s="76">
        <v>1</v>
      </c>
      <c r="S597" s="76">
        <v>42</v>
      </c>
      <c r="T597" s="76">
        <v>133</v>
      </c>
      <c r="V597" s="151">
        <f>+(Q597-R597)/(T597-R597)*100</f>
        <v>2.2727272727272729</v>
      </c>
      <c r="W597" s="152">
        <f>IF(V597&lt;LeagueRatings!$K$10,((LeagueRatings!$K$10-V597)/LeagueRatings!$K$10)*36,(LeagueRatings!$K$10-V597)*6.48)</f>
        <v>26.560412167037761</v>
      </c>
      <c r="X597" s="153">
        <v>-2.44</v>
      </c>
      <c r="Y597" s="153">
        <f>(P597/(T597-R597))*100</f>
        <v>0</v>
      </c>
      <c r="Z597" s="152">
        <f>IF(Y597&lt;LeagueRatings!$K$8,((LeagueRatings!$K$8-Y597)/LeagueRatings!$K$8)*36,(LeagueRatings!$K$8-Y597)/LeagueRatings!$K$11)</f>
        <v>36</v>
      </c>
      <c r="AA597" s="153">
        <v>-3.26</v>
      </c>
      <c r="AB597" s="103">
        <f>+((LeagueRatings!$I$6-E594)*5)+9.5</f>
        <v>17.008051455277403</v>
      </c>
      <c r="AC597" s="103">
        <f>IF(AB597&lt;4,4,AB597)</f>
        <v>17.008051455277403</v>
      </c>
      <c r="AD597" s="103">
        <f>IF(M597&lt;L597,((1-(M597/L597))*7)-0.07,(1-(M597/L597))*5)</f>
        <v>1.6794749474947495</v>
      </c>
      <c r="AE597" s="154">
        <f>+X597+AA597+AC597+AD597</f>
        <v>12.987526402772154</v>
      </c>
      <c r="AJ597" s="103">
        <f>+AO480*LeagueRatings!$K$27</f>
        <v>18.888888888888889</v>
      </c>
      <c r="AK597" s="72">
        <f>F594*LeagueRatings!$K$27</f>
        <v>19.444444444444446</v>
      </c>
      <c r="AL597" s="72">
        <f>G594*LeagueRatings!$K$27</f>
        <v>0</v>
      </c>
      <c r="AM597" s="72">
        <f>T597*LeagueRatings!$K$27</f>
        <v>73.888888888888886</v>
      </c>
      <c r="AN597" s="30"/>
    </row>
    <row r="598" spans="1:40" x14ac:dyDescent="0.2">
      <c r="A598" t="s">
        <v>439</v>
      </c>
      <c r="B598" s="76" t="s">
        <v>170</v>
      </c>
      <c r="L598" s="97">
        <v>11</v>
      </c>
      <c r="M598" s="76">
        <v>13</v>
      </c>
      <c r="N598" s="76">
        <v>7</v>
      </c>
      <c r="O598" s="76">
        <v>6</v>
      </c>
      <c r="P598" s="76">
        <v>2</v>
      </c>
      <c r="Q598" s="76">
        <v>2</v>
      </c>
      <c r="R598" s="76">
        <v>1</v>
      </c>
      <c r="S598" s="76">
        <v>6</v>
      </c>
      <c r="T598" s="76">
        <v>49</v>
      </c>
      <c r="U598" s="147"/>
      <c r="V598" s="151">
        <f>+(Q598-R598)/(T598-R598)*100</f>
        <v>2.083333333333333</v>
      </c>
      <c r="W598" s="152">
        <f>IF(V598&lt;LeagueRatings!$K$10,((LeagueRatings!$K$10-V598)/LeagueRatings!$K$10)*36,(LeagueRatings!$K$10-V598)*6.48)</f>
        <v>27.347044486451285</v>
      </c>
      <c r="X598" s="153">
        <v>-2.5499999999999998</v>
      </c>
      <c r="Y598" s="153">
        <f>(P598/(T598-R598))*100</f>
        <v>4.1666666666666661</v>
      </c>
      <c r="Z598" s="152">
        <f>IF(Y598&lt;LeagueRatings!$K$8,((LeagueRatings!$K$8-Y598)/LeagueRatings!$K$8)*36,(LeagueRatings!$K$8-Y598)/LeagueRatings!$K$11)</f>
        <v>-7.6581608088589253</v>
      </c>
      <c r="AA598" s="153">
        <v>1.5</v>
      </c>
      <c r="AB598" s="103">
        <f>+((LeagueRatings!$I$6-E595)*5)+9.5</f>
        <v>5.9580514552774027</v>
      </c>
      <c r="AC598" s="103">
        <f>IF(AB598&lt;4,4,AB598)</f>
        <v>5.9580514552774027</v>
      </c>
      <c r="AD598" s="103">
        <f>IF(M598&lt;L598,((1-(M598/L598))*7)-0.07,(1-(M598/L598))*5)</f>
        <v>-0.90909090909090939</v>
      </c>
      <c r="AE598" s="154">
        <f>+X598+AA598+AC598+AD598</f>
        <v>3.9989605461864937</v>
      </c>
      <c r="AG598" s="9"/>
      <c r="AH598" s="9"/>
      <c r="AI598" s="9"/>
      <c r="AJ598" s="103">
        <f>+AO481*LeagueRatings!$K$27</f>
        <v>6.1111111111111116</v>
      </c>
      <c r="AK598" s="72">
        <f>F595*LeagueRatings!$K$27</f>
        <v>7.2222222222222223</v>
      </c>
      <c r="AL598" s="72">
        <f>G595*LeagueRatings!$K$27</f>
        <v>0</v>
      </c>
      <c r="AM598" s="72">
        <f>T598*LeagueRatings!$K$27</f>
        <v>27.222222222222225</v>
      </c>
      <c r="AN598" s="30"/>
    </row>
    <row r="599" spans="1:40" x14ac:dyDescent="0.2">
      <c r="A599" s="41" t="s">
        <v>439</v>
      </c>
      <c r="B599" s="76" t="s">
        <v>143</v>
      </c>
      <c r="L599" s="157">
        <f>(L597/100)/((L597+L598)/100)</f>
        <v>0.75186104218362282</v>
      </c>
      <c r="T599" s="158"/>
      <c r="U599" s="158"/>
      <c r="V599" s="153"/>
      <c r="W599" s="152">
        <f>W597*L599</f>
        <v>19.969739172735586</v>
      </c>
      <c r="X599" s="153"/>
      <c r="Y599" s="153"/>
      <c r="Z599" s="152">
        <f>Z597*L599</f>
        <v>27.066997518610421</v>
      </c>
      <c r="AA599" s="153"/>
      <c r="AB599" s="103"/>
      <c r="AC599" s="103"/>
      <c r="AD599" s="103"/>
      <c r="AE599" s="154">
        <f>AE597*L599</f>
        <v>9.7648151365755904</v>
      </c>
      <c r="AG599" s="5"/>
      <c r="AH599" s="5"/>
      <c r="AI599" s="5"/>
      <c r="AJ599" s="103"/>
      <c r="AK599" s="72">
        <f>F596*LeagueRatings!$K$27</f>
        <v>0</v>
      </c>
      <c r="AL599" s="72">
        <f>G596*LeagueRatings!$K$27</f>
        <v>0</v>
      </c>
      <c r="AM599" s="72">
        <f>T599*LeagueRatings!$K$27</f>
        <v>0</v>
      </c>
      <c r="AN599" s="30"/>
    </row>
    <row r="600" spans="1:40" x14ac:dyDescent="0.2">
      <c r="C600" s="76">
        <v>1</v>
      </c>
      <c r="D600" s="76">
        <v>0</v>
      </c>
      <c r="E600" s="76">
        <v>1.0900000000000001</v>
      </c>
      <c r="F600" s="76">
        <v>33</v>
      </c>
      <c r="G600" s="76">
        <v>0</v>
      </c>
      <c r="H600" s="76">
        <v>0</v>
      </c>
      <c r="I600" s="76">
        <v>0</v>
      </c>
      <c r="J600" s="76">
        <v>24</v>
      </c>
      <c r="K600" s="76">
        <v>25</v>
      </c>
      <c r="L600" s="157">
        <f>(L598/100)/((L597+L598)/100)</f>
        <v>0.24813895781637718</v>
      </c>
      <c r="T600" s="158"/>
      <c r="U600" s="158"/>
      <c r="V600" s="153"/>
      <c r="W600" s="152">
        <f>W598*L600</f>
        <v>6.7858671182261254</v>
      </c>
      <c r="X600" s="153"/>
      <c r="Y600" s="153"/>
      <c r="Z600" s="152">
        <f>Z598*L600</f>
        <v>-1.9002880419004777</v>
      </c>
      <c r="AA600" s="153"/>
      <c r="AB600" s="103"/>
      <c r="AC600" s="103"/>
      <c r="AD600" s="103"/>
      <c r="AE600" s="154">
        <f>AE598*L600</f>
        <v>0.99229790227952697</v>
      </c>
      <c r="AG600" s="5"/>
      <c r="AH600" s="5"/>
      <c r="AI600" s="5"/>
      <c r="AJ600" s="103"/>
      <c r="AK600" s="72">
        <f>F597*LeagueRatings!$K$27</f>
        <v>0</v>
      </c>
      <c r="AL600" s="72">
        <f>G597*LeagueRatings!$K$27</f>
        <v>0</v>
      </c>
      <c r="AM600" s="72">
        <f>T600*LeagueRatings!$K$27</f>
        <v>0</v>
      </c>
      <c r="AN600" s="30"/>
    </row>
    <row r="601" spans="1:40" x14ac:dyDescent="0.2">
      <c r="C601" s="76">
        <v>1</v>
      </c>
      <c r="D601" s="76">
        <v>2</v>
      </c>
      <c r="E601" s="76">
        <v>1.71</v>
      </c>
      <c r="F601" s="76">
        <v>28</v>
      </c>
      <c r="G601" s="76">
        <v>0</v>
      </c>
      <c r="H601" s="76">
        <v>0</v>
      </c>
      <c r="I601" s="76">
        <v>0</v>
      </c>
      <c r="J601" s="76">
        <v>17</v>
      </c>
      <c r="K601" s="76">
        <v>19</v>
      </c>
      <c r="T601" s="158"/>
      <c r="U601" s="158"/>
      <c r="V601" s="153"/>
      <c r="W601" s="152">
        <f>SUM(W599:W600)</f>
        <v>26.755606290961712</v>
      </c>
      <c r="X601" s="153"/>
      <c r="Y601" s="153"/>
      <c r="Z601" s="152">
        <f>SUM(Z599:Z600)</f>
        <v>25.166709476709944</v>
      </c>
      <c r="AA601" s="153"/>
      <c r="AB601" s="103"/>
      <c r="AC601" s="103"/>
      <c r="AD601" s="103"/>
      <c r="AE601" s="153">
        <f>SUM(AE599:AE600)</f>
        <v>10.757113038855117</v>
      </c>
      <c r="AF601" s="41" t="s">
        <v>644</v>
      </c>
      <c r="AG601" s="5" t="s">
        <v>34</v>
      </c>
      <c r="AH601" s="5" t="s">
        <v>17</v>
      </c>
      <c r="AI601" s="5" t="s">
        <v>33</v>
      </c>
      <c r="AJ601" s="174">
        <f>SUM(AJ597:AJ600)</f>
        <v>25</v>
      </c>
      <c r="AK601" s="14">
        <f>SUM(AK597:AK600)</f>
        <v>26.666666666666668</v>
      </c>
      <c r="AL601" s="14">
        <f>SUM(AL597:AL600)</f>
        <v>0</v>
      </c>
      <c r="AM601" s="14">
        <f>SUM(AM597:AM600)</f>
        <v>101.11111111111111</v>
      </c>
      <c r="AN601" s="30"/>
    </row>
    <row r="602" spans="1:40" x14ac:dyDescent="0.2">
      <c r="T602" s="158"/>
      <c r="U602" s="158"/>
      <c r="V602" s="153"/>
      <c r="W602" s="152"/>
      <c r="X602" s="153"/>
      <c r="Y602" s="153"/>
      <c r="Z602" s="152"/>
      <c r="AA602" s="153"/>
      <c r="AB602" s="103"/>
      <c r="AC602" s="103"/>
      <c r="AD602" s="103"/>
      <c r="AE602" s="153"/>
      <c r="AF602" s="41"/>
      <c r="AG602" s="5"/>
      <c r="AH602" s="5"/>
      <c r="AI602" s="5"/>
      <c r="AJ602" s="174"/>
      <c r="AK602" s="14"/>
      <c r="AL602" s="14"/>
      <c r="AM602" s="14"/>
      <c r="AN602" s="30"/>
    </row>
    <row r="603" spans="1:40" x14ac:dyDescent="0.2">
      <c r="L603" s="97">
        <v>33</v>
      </c>
      <c r="M603" s="76">
        <v>18</v>
      </c>
      <c r="N603" s="76">
        <v>4</v>
      </c>
      <c r="O603" s="76">
        <v>4</v>
      </c>
      <c r="P603" s="76">
        <v>3</v>
      </c>
      <c r="Q603" s="76">
        <v>7</v>
      </c>
      <c r="R603" s="76">
        <v>0</v>
      </c>
      <c r="S603" s="76">
        <v>34</v>
      </c>
      <c r="T603" s="76">
        <v>121</v>
      </c>
      <c r="V603" s="151">
        <f>+(Q603-R603)/(T603-R603)*100</f>
        <v>5.785123966942149</v>
      </c>
      <c r="W603" s="152">
        <f>IF(V603&lt;LeagueRatings!$K$10,((LeagueRatings!$K$10-V603)/LeagueRatings!$K$10)*36,(LeagueRatings!$K$10-V603)*6.48)</f>
        <v>11.971958243368851</v>
      </c>
      <c r="X603" s="153">
        <v>-0.92</v>
      </c>
      <c r="Y603" s="153">
        <f>(P603/(T603-R603))*100</f>
        <v>2.4793388429752068</v>
      </c>
      <c r="Z603" s="152">
        <f>IF(Y603&lt;LeagueRatings!$K$8,((LeagueRatings!$K$8-Y603)/LeagueRatings!$K$8)*36,(LeagueRatings!$K$8-Y603)/LeagueRatings!$K$11)</f>
        <v>8.1267555645692831</v>
      </c>
      <c r="AA603" s="153">
        <v>0.08</v>
      </c>
      <c r="AB603" s="103">
        <f>+((LeagueRatings!$I$6-E600)*5)+9.5</f>
        <v>25.058051455277404</v>
      </c>
      <c r="AC603" s="103">
        <f>IF(AB603&lt;4,4,AB603)</f>
        <v>25.058051455277404</v>
      </c>
      <c r="AD603" s="103">
        <f>IF(M603&lt;L603,((1-(M603/L603))*7)-0.07,(1-(M603/L603))*5)</f>
        <v>3.1118181818181823</v>
      </c>
      <c r="AE603" s="154">
        <f>+X603+AA603+AC603+AD603</f>
        <v>27.329869637095587</v>
      </c>
      <c r="AJ603" s="103">
        <f>+AO486*LeagueRatings!$K$27</f>
        <v>18.333333333333336</v>
      </c>
      <c r="AK603" s="72">
        <f>F600*LeagueRatings!$K$27</f>
        <v>18.333333333333336</v>
      </c>
      <c r="AL603" s="72">
        <f>G600*LeagueRatings!$K$27</f>
        <v>0</v>
      </c>
      <c r="AM603" s="72">
        <f>T603*LeagueRatings!$K$27</f>
        <v>67.222222222222229</v>
      </c>
      <c r="AN603" s="30"/>
    </row>
    <row r="604" spans="1:40" x14ac:dyDescent="0.2">
      <c r="A604" t="s">
        <v>330</v>
      </c>
      <c r="B604" s="76" t="s">
        <v>159</v>
      </c>
      <c r="L604" s="97">
        <v>26.33</v>
      </c>
      <c r="M604" s="76">
        <v>24</v>
      </c>
      <c r="N604" s="76">
        <v>5</v>
      </c>
      <c r="O604" s="76">
        <v>5</v>
      </c>
      <c r="P604" s="76">
        <v>1</v>
      </c>
      <c r="Q604" s="76">
        <v>7</v>
      </c>
      <c r="R604" s="76">
        <v>3</v>
      </c>
      <c r="S604" s="76">
        <v>23</v>
      </c>
      <c r="T604" s="76">
        <v>108</v>
      </c>
      <c r="U604" s="147"/>
      <c r="V604" s="151">
        <f>+(Q604-R604)/(T604-R604)*100</f>
        <v>3.8095238095238098</v>
      </c>
      <c r="W604" s="152">
        <f>IF(V604&lt;LeagueRatings!$K$10,((LeagueRatings!$K$10-V604)/LeagueRatings!$K$10)*36,(LeagueRatings!$K$10-V604)*6.48)</f>
        <v>20.177452775225202</v>
      </c>
      <c r="X604" s="153">
        <v>-1.69</v>
      </c>
      <c r="Y604" s="153">
        <f>(P604/(T604-R604))*100</f>
        <v>0.95238095238095244</v>
      </c>
      <c r="Z604" s="152">
        <f>IF(Y604&lt;LeagueRatings!$K$8,((LeagueRatings!$K$8-Y604)/LeagueRatings!$K$8)*36,(LeagueRatings!$K$8-Y604)/LeagueRatings!$K$11)</f>
        <v>25.293134677183758</v>
      </c>
      <c r="AA604" s="153">
        <v>-1.68</v>
      </c>
      <c r="AB604" s="103">
        <f>+((LeagueRatings!$I$6-E601)*5)+9.5</f>
        <v>21.958051455277403</v>
      </c>
      <c r="AC604" s="103">
        <f>IF(AB604&lt;4,4,AB604)</f>
        <v>21.958051455277403</v>
      </c>
      <c r="AD604" s="103">
        <f>IF(M604&lt;L604,((1-(M604/L604))*7)-0.07,(1-(M604/L604))*5)</f>
        <v>0.54944549943030729</v>
      </c>
      <c r="AE604" s="154">
        <f>+X604+AA604+AC604+AD604</f>
        <v>19.137496954707707</v>
      </c>
      <c r="AG604" s="9"/>
      <c r="AH604" s="9"/>
      <c r="AI604" s="9"/>
      <c r="AJ604" s="103">
        <f>+AO487*LeagueRatings!$K$27</f>
        <v>15</v>
      </c>
      <c r="AK604" s="72">
        <f>F601*LeagueRatings!$K$27</f>
        <v>15.555555555555557</v>
      </c>
      <c r="AL604" s="72">
        <f>G601*LeagueRatings!$K$27</f>
        <v>0</v>
      </c>
      <c r="AM604" s="72">
        <f>T604*LeagueRatings!$K$27</f>
        <v>60</v>
      </c>
      <c r="AN604" s="30"/>
    </row>
    <row r="605" spans="1:40" x14ac:dyDescent="0.2">
      <c r="A605" s="41" t="s">
        <v>330</v>
      </c>
      <c r="B605" s="76" t="s">
        <v>143</v>
      </c>
      <c r="L605" s="157">
        <f>(L603/100)/((L603+L604)/100)</f>
        <v>0.55621102309118498</v>
      </c>
      <c r="T605" s="158"/>
      <c r="U605" s="158"/>
      <c r="V605" s="153"/>
      <c r="W605" s="152">
        <f>W603*L605</f>
        <v>6.6589351429491348</v>
      </c>
      <c r="X605" s="153"/>
      <c r="Y605" s="153"/>
      <c r="Z605" s="152">
        <f>Z603*L605</f>
        <v>4.5201910269810615</v>
      </c>
      <c r="AA605" s="153"/>
      <c r="AB605" s="103"/>
      <c r="AC605" s="103"/>
      <c r="AD605" s="103"/>
      <c r="AE605" s="154">
        <f>AE603*L605</f>
        <v>15.201174751797648</v>
      </c>
      <c r="AG605" s="5"/>
      <c r="AH605" s="5"/>
      <c r="AI605" s="5"/>
      <c r="AJ605" s="103"/>
      <c r="AK605" s="72">
        <f>F602*LeagueRatings!$K$27</f>
        <v>0</v>
      </c>
      <c r="AL605" s="72">
        <f>G602*LeagueRatings!$K$27</f>
        <v>0</v>
      </c>
      <c r="AM605" s="72">
        <f>T605*LeagueRatings!$K$27</f>
        <v>0</v>
      </c>
      <c r="AN605" s="30"/>
    </row>
    <row r="606" spans="1:40" x14ac:dyDescent="0.2">
      <c r="C606" s="76">
        <v>1</v>
      </c>
      <c r="D606" s="76">
        <v>0</v>
      </c>
      <c r="E606" s="97">
        <v>2.63</v>
      </c>
      <c r="F606" s="76">
        <v>37</v>
      </c>
      <c r="G606" s="76">
        <v>0</v>
      </c>
      <c r="H606" s="76">
        <v>0</v>
      </c>
      <c r="I606" s="76">
        <v>0</v>
      </c>
      <c r="J606" s="76">
        <v>0</v>
      </c>
      <c r="K606" s="76">
        <v>1</v>
      </c>
      <c r="L606" s="157">
        <f>(L604/100)/((L603+L604)/100)</f>
        <v>0.44378897690881514</v>
      </c>
      <c r="T606" s="158"/>
      <c r="U606" s="158"/>
      <c r="V606" s="153"/>
      <c r="W606" s="152">
        <f>W604*L606</f>
        <v>8.9545311237431253</v>
      </c>
      <c r="X606" s="153"/>
      <c r="Y606" s="153"/>
      <c r="Z606" s="152">
        <f>Z604*L606</f>
        <v>11.224814361204254</v>
      </c>
      <c r="AA606" s="153"/>
      <c r="AB606" s="103"/>
      <c r="AC606" s="103"/>
      <c r="AD606" s="103"/>
      <c r="AE606" s="154">
        <f>AE604*L606</f>
        <v>8.4930101941252989</v>
      </c>
      <c r="AG606" s="5"/>
      <c r="AH606" s="5"/>
      <c r="AI606" s="5"/>
      <c r="AJ606" s="103"/>
      <c r="AK606" s="72">
        <f>F603*LeagueRatings!$K$27</f>
        <v>0</v>
      </c>
      <c r="AL606" s="72">
        <f>G603*LeagueRatings!$K$27</f>
        <v>0</v>
      </c>
      <c r="AM606" s="72">
        <f>T606*LeagueRatings!$K$27</f>
        <v>0</v>
      </c>
      <c r="AN606" s="30"/>
    </row>
    <row r="607" spans="1:40" x14ac:dyDescent="0.2">
      <c r="C607" s="76">
        <v>1</v>
      </c>
      <c r="D607" s="76">
        <v>1</v>
      </c>
      <c r="E607" s="97">
        <v>8.5299999999999994</v>
      </c>
      <c r="F607" s="76">
        <v>16</v>
      </c>
      <c r="G607" s="76">
        <v>0</v>
      </c>
      <c r="H607" s="76">
        <v>0</v>
      </c>
      <c r="I607" s="76">
        <v>0</v>
      </c>
      <c r="J607" s="76">
        <v>0</v>
      </c>
      <c r="K607" s="76">
        <v>0</v>
      </c>
      <c r="T607" s="158"/>
      <c r="U607" s="158"/>
      <c r="V607" s="153"/>
      <c r="W607" s="152">
        <f>SUM(W605:W606)</f>
        <v>15.61346626669226</v>
      </c>
      <c r="X607" s="153"/>
      <c r="Y607" s="153"/>
      <c r="Z607" s="152">
        <f>SUM(Z605:Z606)</f>
        <v>15.745005388185316</v>
      </c>
      <c r="AA607" s="153"/>
      <c r="AB607" s="103"/>
      <c r="AC607" s="103"/>
      <c r="AD607" s="103"/>
      <c r="AE607" s="153">
        <f>SUM(AE605:AE606)</f>
        <v>23.694184945922949</v>
      </c>
      <c r="AF607" s="41" t="s">
        <v>439</v>
      </c>
      <c r="AG607" s="5" t="s">
        <v>74</v>
      </c>
      <c r="AH607" s="5" t="s">
        <v>36</v>
      </c>
      <c r="AI607" s="5" t="s">
        <v>62</v>
      </c>
      <c r="AJ607" s="174">
        <f>SUM(AJ603:AJ606)</f>
        <v>33.333333333333336</v>
      </c>
      <c r="AK607" s="14">
        <f>SUM(AK603:AK606)</f>
        <v>33.888888888888893</v>
      </c>
      <c r="AL607" s="14">
        <f>SUM(AL603:AL606)</f>
        <v>0</v>
      </c>
      <c r="AM607" s="14">
        <f>SUM(AM603:AM606)</f>
        <v>127.22222222222223</v>
      </c>
      <c r="AN607" s="30"/>
    </row>
    <row r="608" spans="1:40" x14ac:dyDescent="0.2">
      <c r="T608" s="158"/>
      <c r="U608" s="158"/>
      <c r="V608" s="153"/>
      <c r="W608" s="152"/>
      <c r="X608" s="153"/>
      <c r="Y608" s="153"/>
      <c r="Z608" s="152"/>
      <c r="AA608" s="153"/>
      <c r="AB608" s="103"/>
      <c r="AC608" s="103"/>
      <c r="AD608" s="103"/>
      <c r="AE608" s="153"/>
      <c r="AF608" s="41"/>
      <c r="AG608" s="5"/>
      <c r="AH608" s="5"/>
      <c r="AI608" s="5"/>
      <c r="AJ608" s="174"/>
      <c r="AK608" s="14"/>
      <c r="AL608" s="14"/>
      <c r="AM608" s="14"/>
      <c r="AN608" s="30"/>
    </row>
    <row r="609" spans="1:40" x14ac:dyDescent="0.2">
      <c r="L609" s="97">
        <v>24</v>
      </c>
      <c r="M609" s="76">
        <v>23</v>
      </c>
      <c r="N609" s="76">
        <v>10</v>
      </c>
      <c r="O609" s="76">
        <v>7</v>
      </c>
      <c r="P609" s="76">
        <v>3</v>
      </c>
      <c r="Q609" s="76">
        <v>3</v>
      </c>
      <c r="R609" s="76">
        <v>1</v>
      </c>
      <c r="S609" s="76">
        <v>25</v>
      </c>
      <c r="T609" s="76">
        <v>100</v>
      </c>
      <c r="V609" s="151">
        <f>+(Q609-R609)/(T609-R609)*100</f>
        <v>2.0202020202020203</v>
      </c>
      <c r="W609" s="152">
        <f>IF(V609&lt;LeagueRatings!$K$10,((LeagueRatings!$K$10-V609)/LeagueRatings!$K$10)*36,(LeagueRatings!$K$10-V609)*6.48)</f>
        <v>27.609255259589123</v>
      </c>
      <c r="X609" s="153">
        <v>-2.5499999999999998</v>
      </c>
      <c r="Y609" s="153">
        <f>(P609/(T609-R609))*100</f>
        <v>3.0303030303030303</v>
      </c>
      <c r="Z609" s="152">
        <f>IF(Y609&lt;LeagueRatings!$K$8,((LeagueRatings!$K$8-Y609)/LeagueRatings!$K$8)*36,(LeagueRatings!$K$8-Y609)/LeagueRatings!$K$11)</f>
        <v>1.932701245584683</v>
      </c>
      <c r="AA609" s="153">
        <v>0.42</v>
      </c>
      <c r="AB609" s="103">
        <f>+((LeagueRatings!$I$6-E606)*5)+9.5</f>
        <v>17.358051455277405</v>
      </c>
      <c r="AC609" s="103">
        <f>IF(AB609&lt;4,4,AB609)</f>
        <v>17.358051455277405</v>
      </c>
      <c r="AD609" s="103">
        <f>IF(M609&lt;L609,((1-(M609/L609))*7)-0.07,(1-(M609/L609))*5)</f>
        <v>0.2216666666666664</v>
      </c>
      <c r="AE609" s="154">
        <f>+X609+AA609+AC609+AD609</f>
        <v>15.449718121944072</v>
      </c>
      <c r="AJ609" s="103">
        <f>+AO492*LeagueRatings!$K$27</f>
        <v>13.333333333333334</v>
      </c>
      <c r="AK609" s="72">
        <f>F606*LeagueRatings!$K$27</f>
        <v>20.555555555555557</v>
      </c>
      <c r="AL609" s="72">
        <f>G606*LeagueRatings!$K$27</f>
        <v>0</v>
      </c>
      <c r="AM609" s="72">
        <f>T609*LeagueRatings!$K$27</f>
        <v>55.555555555555557</v>
      </c>
      <c r="AN609" s="30"/>
    </row>
    <row r="610" spans="1:40" x14ac:dyDescent="0.2">
      <c r="A610" t="s">
        <v>502</v>
      </c>
      <c r="B610" s="76" t="s">
        <v>152</v>
      </c>
      <c r="L610" s="97">
        <v>6.33</v>
      </c>
      <c r="M610" s="76">
        <v>13</v>
      </c>
      <c r="N610" s="76">
        <v>6</v>
      </c>
      <c r="O610" s="76">
        <v>6</v>
      </c>
      <c r="P610" s="76">
        <v>0</v>
      </c>
      <c r="Q610" s="76">
        <v>1</v>
      </c>
      <c r="R610" s="76">
        <v>0</v>
      </c>
      <c r="S610" s="76">
        <v>2</v>
      </c>
      <c r="T610" s="76">
        <v>35</v>
      </c>
      <c r="U610" s="147"/>
      <c r="V610" s="151">
        <f>+(Q610-R610)/(T610-R610)*100</f>
        <v>2.8571428571428572</v>
      </c>
      <c r="W610" s="152">
        <f>IF(V610&lt;LeagueRatings!$K$10,((LeagueRatings!$K$10-V610)/LeagueRatings!$K$10)*36,(LeagueRatings!$K$10-V610)*6.48)</f>
        <v>24.133089581418901</v>
      </c>
      <c r="X610" s="153">
        <v>-2.11</v>
      </c>
      <c r="Y610" s="153">
        <f>(P610/(T610-R610))*100</f>
        <v>0</v>
      </c>
      <c r="Z610" s="152">
        <f>IF(Y610&lt;LeagueRatings!$K$8,((LeagueRatings!$K$8-Y610)/LeagueRatings!$K$8)*36,(LeagueRatings!$K$8-Y610)/LeagueRatings!$K$11)</f>
        <v>36</v>
      </c>
      <c r="AA610" s="153">
        <v>-3.26</v>
      </c>
      <c r="AB610" s="103">
        <f>+((LeagueRatings!$I$6-E607)*5)+9.5</f>
        <v>-12.141948544722595</v>
      </c>
      <c r="AC610" s="103">
        <f>IF(AB610&lt;4,4,AB610)</f>
        <v>4</v>
      </c>
      <c r="AD610" s="103">
        <f>IF(M610&lt;L610,((1-(M610/L610))*7)-0.07,(1-(M610/L610))*5)</f>
        <v>-5.2685624012638232</v>
      </c>
      <c r="AE610" s="154">
        <f>+X610+AA610+AC610+AD610</f>
        <v>-6.6385624012638225</v>
      </c>
      <c r="AG610" s="7"/>
      <c r="AH610" s="7"/>
      <c r="AI610" s="7"/>
      <c r="AJ610" s="103">
        <f>+AO493*LeagueRatings!$K$27</f>
        <v>3.8888888888888893</v>
      </c>
      <c r="AK610" s="72">
        <f>F607*LeagueRatings!$K$27</f>
        <v>8.8888888888888893</v>
      </c>
      <c r="AL610" s="72">
        <f>G607*LeagueRatings!$K$27</f>
        <v>0</v>
      </c>
      <c r="AM610" s="72">
        <f>T610*LeagueRatings!$K$27</f>
        <v>19.444444444444446</v>
      </c>
      <c r="AN610" s="30"/>
    </row>
    <row r="611" spans="1:40" x14ac:dyDescent="0.2">
      <c r="A611" s="41" t="s">
        <v>502</v>
      </c>
      <c r="B611" s="76" t="s">
        <v>173</v>
      </c>
      <c r="L611" s="157">
        <f>(L609/100)/((L609+L610)/100)</f>
        <v>0.79129574678536108</v>
      </c>
      <c r="T611" s="158"/>
      <c r="U611" s="158"/>
      <c r="V611" s="153"/>
      <c r="W611" s="152">
        <f>W609*L611</f>
        <v>21.847086258824234</v>
      </c>
      <c r="X611" s="153"/>
      <c r="Y611" s="153"/>
      <c r="Z611" s="152">
        <f>Z609*L611</f>
        <v>1.5293382754379292</v>
      </c>
      <c r="AA611" s="153"/>
      <c r="AB611" s="103"/>
      <c r="AC611" s="103"/>
      <c r="AD611" s="103"/>
      <c r="AE611" s="154">
        <f>AE609*L611</f>
        <v>12.22529623892706</v>
      </c>
      <c r="AG611" s="5"/>
      <c r="AH611" s="5"/>
      <c r="AI611" s="5"/>
      <c r="AJ611" s="103"/>
      <c r="AK611" s="72">
        <f>F608*LeagueRatings!$K$27</f>
        <v>0</v>
      </c>
      <c r="AL611" s="72">
        <f>G608*LeagueRatings!$K$27</f>
        <v>0</v>
      </c>
      <c r="AM611" s="72">
        <f>T611*LeagueRatings!$K$27</f>
        <v>0</v>
      </c>
      <c r="AN611" s="30"/>
    </row>
    <row r="612" spans="1:40" x14ac:dyDescent="0.2">
      <c r="C612" s="76">
        <v>0</v>
      </c>
      <c r="D612" s="76">
        <v>3</v>
      </c>
      <c r="E612" s="76">
        <v>2.5499999999999998</v>
      </c>
      <c r="F612" s="76">
        <v>46</v>
      </c>
      <c r="G612" s="76">
        <v>0</v>
      </c>
      <c r="H612" s="76">
        <v>0</v>
      </c>
      <c r="I612" s="76">
        <v>0</v>
      </c>
      <c r="J612" s="76">
        <v>0</v>
      </c>
      <c r="K612" s="76">
        <v>4</v>
      </c>
      <c r="L612" s="157">
        <f>(L610/100)/((L609+L610)/100)</f>
        <v>0.20870425321463898</v>
      </c>
      <c r="T612" s="158"/>
      <c r="U612" s="158"/>
      <c r="V612" s="153"/>
      <c r="W612" s="152">
        <f>W610*L612</f>
        <v>5.0366784388520163</v>
      </c>
      <c r="X612" s="153"/>
      <c r="Y612" s="153"/>
      <c r="Z612" s="152">
        <f>Z610*L612</f>
        <v>7.5133531157270035</v>
      </c>
      <c r="AA612" s="153"/>
      <c r="AB612" s="103"/>
      <c r="AC612" s="103"/>
      <c r="AD612" s="103"/>
      <c r="AE612" s="154">
        <f>AE610*L612</f>
        <v>-1.3854962083745466</v>
      </c>
      <c r="AG612" s="5"/>
      <c r="AH612" s="5"/>
      <c r="AI612" s="5"/>
      <c r="AJ612" s="103"/>
      <c r="AK612" s="72">
        <f>F609*LeagueRatings!$K$27</f>
        <v>0</v>
      </c>
      <c r="AL612" s="72">
        <f>G609*LeagueRatings!$K$27</f>
        <v>0</v>
      </c>
      <c r="AM612" s="72">
        <f>T612*LeagueRatings!$K$27</f>
        <v>0</v>
      </c>
      <c r="AN612" s="30"/>
    </row>
    <row r="613" spans="1:40" x14ac:dyDescent="0.2">
      <c r="C613" s="76">
        <v>1</v>
      </c>
      <c r="D613" s="76">
        <v>0</v>
      </c>
      <c r="E613" s="97">
        <v>0</v>
      </c>
      <c r="F613" s="76">
        <v>18</v>
      </c>
      <c r="G613" s="76">
        <v>0</v>
      </c>
      <c r="H613" s="76">
        <v>0</v>
      </c>
      <c r="I613" s="76">
        <v>0</v>
      </c>
      <c r="J613" s="76">
        <v>0</v>
      </c>
      <c r="K613" s="76">
        <v>0</v>
      </c>
      <c r="T613" s="158"/>
      <c r="U613" s="158"/>
      <c r="V613" s="153"/>
      <c r="W613" s="152">
        <f>SUM(W611:W612)</f>
        <v>26.883764697676249</v>
      </c>
      <c r="X613" s="153"/>
      <c r="Y613" s="153"/>
      <c r="Z613" s="152">
        <f>SUM(Z611:Z612)</f>
        <v>9.0426913911649329</v>
      </c>
      <c r="AA613" s="153"/>
      <c r="AB613" s="103"/>
      <c r="AC613" s="103"/>
      <c r="AD613" s="103"/>
      <c r="AE613" s="153">
        <f>SUM(AE611:AE612)</f>
        <v>10.839800030552514</v>
      </c>
      <c r="AF613" s="41" t="s">
        <v>330</v>
      </c>
      <c r="AG613" s="5" t="s">
        <v>39</v>
      </c>
      <c r="AH613" s="5" t="s">
        <v>17</v>
      </c>
      <c r="AI613" s="5" t="s">
        <v>22</v>
      </c>
      <c r="AJ613" s="174">
        <f>SUM(AJ609:AJ612)</f>
        <v>17.222222222222221</v>
      </c>
      <c r="AK613" s="14">
        <f>SUM(AK609:AK612)</f>
        <v>29.444444444444446</v>
      </c>
      <c r="AL613" s="14">
        <f>SUM(AL609:AL612)</f>
        <v>0</v>
      </c>
      <c r="AM613" s="14">
        <f>SUM(AM609:AM612)</f>
        <v>75</v>
      </c>
      <c r="AN613" s="30"/>
    </row>
    <row r="614" spans="1:40" x14ac:dyDescent="0.2">
      <c r="T614" s="158"/>
      <c r="U614" s="158"/>
      <c r="V614" s="153"/>
      <c r="W614" s="152"/>
      <c r="X614" s="153"/>
      <c r="Y614" s="153"/>
      <c r="Z614" s="152"/>
      <c r="AA614" s="153"/>
      <c r="AB614" s="103"/>
      <c r="AC614" s="103"/>
      <c r="AD614" s="103"/>
      <c r="AE614" s="153"/>
      <c r="AF614" s="41"/>
      <c r="AG614" s="5"/>
      <c r="AH614" s="5"/>
      <c r="AI614" s="5"/>
      <c r="AJ614" s="174"/>
      <c r="AK614" s="14"/>
      <c r="AL614" s="14"/>
      <c r="AM614" s="14"/>
      <c r="AN614" s="30"/>
    </row>
    <row r="615" spans="1:40" x14ac:dyDescent="0.2">
      <c r="L615" s="76">
        <v>24.67</v>
      </c>
      <c r="M615" s="76">
        <v>23</v>
      </c>
      <c r="N615" s="76">
        <v>9</v>
      </c>
      <c r="O615" s="76">
        <v>7</v>
      </c>
      <c r="P615" s="76">
        <v>0</v>
      </c>
      <c r="Q615" s="76">
        <v>6</v>
      </c>
      <c r="R615" s="76">
        <v>2</v>
      </c>
      <c r="S615" s="76">
        <v>20</v>
      </c>
      <c r="T615" s="76">
        <v>107</v>
      </c>
      <c r="V615" s="151">
        <f>+(Q615-R615)/(T615-R615)*100</f>
        <v>3.8095238095238098</v>
      </c>
      <c r="W615" s="152">
        <f>IF(V615&lt;LeagueRatings!$K$10,((LeagueRatings!$K$10-V615)/LeagueRatings!$K$10)*36,(LeagueRatings!$K$10-V615)*6.48)</f>
        <v>20.177452775225202</v>
      </c>
      <c r="X615" s="153">
        <v>-1.69</v>
      </c>
      <c r="Y615" s="153">
        <f>(P615/(T615-R615))*100</f>
        <v>0</v>
      </c>
      <c r="Z615" s="152">
        <f>IF(Y615&lt;LeagueRatings!$K$8,((LeagueRatings!$K$8-Y615)/LeagueRatings!$K$8)*36,(LeagueRatings!$K$8-Y615)/LeagueRatings!$K$11)</f>
        <v>36</v>
      </c>
      <c r="AA615" s="153">
        <v>-3.26</v>
      </c>
      <c r="AB615" s="103">
        <f>+((LeagueRatings!$I$6-E612)*5)+9.5</f>
        <v>17.758051455277403</v>
      </c>
      <c r="AC615" s="103">
        <f>IF(AB615&lt;4,4,AB615)</f>
        <v>17.758051455277403</v>
      </c>
      <c r="AD615" s="103">
        <f>IF(M615&lt;L615,((1-(M615/L615))*7)-0.07,(1-(M615/L615))*5)</f>
        <v>0.40385488447507117</v>
      </c>
      <c r="AE615" s="154">
        <f>+X615+AA615+AC615+AD615</f>
        <v>13.211906339752476</v>
      </c>
      <c r="AJ615" s="103">
        <f>+AO498*LeagueRatings!$K$27</f>
        <v>13.888888888888889</v>
      </c>
      <c r="AK615" s="72">
        <f>F612*LeagueRatings!$K$27</f>
        <v>25.555555555555557</v>
      </c>
      <c r="AL615" s="72">
        <f>G612*LeagueRatings!$K$27</f>
        <v>0</v>
      </c>
      <c r="AM615" s="72">
        <f>T615*LeagueRatings!$K$27</f>
        <v>59.44444444444445</v>
      </c>
      <c r="AN615" s="30"/>
    </row>
    <row r="616" spans="1:40" x14ac:dyDescent="0.2">
      <c r="A616" t="s">
        <v>394</v>
      </c>
      <c r="B616" s="76" t="s">
        <v>244</v>
      </c>
      <c r="L616" s="97">
        <v>11.33</v>
      </c>
      <c r="M616" s="76">
        <v>10</v>
      </c>
      <c r="N616" s="76">
        <v>0</v>
      </c>
      <c r="O616" s="76">
        <v>0</v>
      </c>
      <c r="P616" s="76">
        <v>0</v>
      </c>
      <c r="Q616" s="76">
        <v>2</v>
      </c>
      <c r="R616" s="76">
        <v>0</v>
      </c>
      <c r="S616" s="76">
        <v>8</v>
      </c>
      <c r="T616" s="76">
        <v>45</v>
      </c>
      <c r="U616" s="147"/>
      <c r="V616" s="151">
        <f>+(Q616-R616)/(T616-R616)*100</f>
        <v>4.4444444444444446</v>
      </c>
      <c r="W616" s="152">
        <f>IF(V616&lt;LeagueRatings!$K$10,((LeagueRatings!$K$10-V616)/LeagueRatings!$K$10)*36,(LeagueRatings!$K$10-V616)*6.48)</f>
        <v>17.540361571096071</v>
      </c>
      <c r="X616" s="153">
        <v>-1.39</v>
      </c>
      <c r="Y616" s="153">
        <f>(P616/(T616-R616))*100</f>
        <v>0</v>
      </c>
      <c r="Z616" s="152">
        <f>IF(Y616&lt;LeagueRatings!$K$8,((LeagueRatings!$K$8-Y616)/LeagueRatings!$K$8)*36,(LeagueRatings!$K$8-Y616)/LeagueRatings!$K$11)</f>
        <v>36</v>
      </c>
      <c r="AA616" s="153">
        <v>-3.26</v>
      </c>
      <c r="AB616" s="103">
        <f>+((LeagueRatings!$I$6-E613)*5)+9.5</f>
        <v>30.508051455277403</v>
      </c>
      <c r="AC616" s="103">
        <f>IF(AB616&lt;4,4,AB616)</f>
        <v>30.508051455277403</v>
      </c>
      <c r="AD616" s="103">
        <f>IF(M616&lt;L616,((1-(M616/L616))*7)-0.07,(1-(M616/L616))*5)</f>
        <v>0.75171226831421034</v>
      </c>
      <c r="AE616" s="154">
        <f>+X616+AA616+AC616+AD616</f>
        <v>26.609763723591616</v>
      </c>
      <c r="AG616" s="7"/>
      <c r="AH616" s="7"/>
      <c r="AI616" s="7"/>
      <c r="AJ616" s="103">
        <f>+AO499*LeagueRatings!$K$27</f>
        <v>6.666666666666667</v>
      </c>
      <c r="AK616" s="72">
        <f>F613*LeagueRatings!$K$27</f>
        <v>10</v>
      </c>
      <c r="AL616" s="72">
        <f>G613*LeagueRatings!$K$27</f>
        <v>0</v>
      </c>
      <c r="AM616" s="72">
        <f>T616*LeagueRatings!$K$27</f>
        <v>25</v>
      </c>
      <c r="AN616" s="30"/>
    </row>
    <row r="617" spans="1:40" x14ac:dyDescent="0.2">
      <c r="A617" s="41" t="s">
        <v>394</v>
      </c>
      <c r="B617" s="76" t="s">
        <v>161</v>
      </c>
      <c r="L617" s="157">
        <f>(L615/100)/((L615+L616)/100)</f>
        <v>0.68527777777777787</v>
      </c>
      <c r="T617" s="158"/>
      <c r="U617" s="158"/>
      <c r="V617" s="153"/>
      <c r="W617" s="152">
        <f>W615*L617</f>
        <v>13.827159999022383</v>
      </c>
      <c r="X617" s="153"/>
      <c r="Y617" s="153"/>
      <c r="Z617" s="152">
        <f>Z615*L617</f>
        <v>24.67</v>
      </c>
      <c r="AA617" s="153"/>
      <c r="AB617" s="103"/>
      <c r="AC617" s="103"/>
      <c r="AD617" s="103"/>
      <c r="AE617" s="154">
        <f>AE615*L617</f>
        <v>9.0538258167137116</v>
      </c>
      <c r="AG617" s="5"/>
      <c r="AH617" s="5"/>
      <c r="AI617" s="5"/>
      <c r="AJ617" s="103"/>
      <c r="AK617" s="72">
        <f>F614*LeagueRatings!$K$27</f>
        <v>0</v>
      </c>
      <c r="AL617" s="72">
        <f>G614*LeagueRatings!$K$27</f>
        <v>0</v>
      </c>
      <c r="AM617" s="72">
        <f>T617*LeagueRatings!$K$27</f>
        <v>0</v>
      </c>
      <c r="AN617" s="30"/>
    </row>
    <row r="618" spans="1:40" x14ac:dyDescent="0.2">
      <c r="C618" s="76">
        <v>4</v>
      </c>
      <c r="D618" s="76">
        <v>7</v>
      </c>
      <c r="E618" s="97">
        <v>5.97</v>
      </c>
      <c r="F618" s="76">
        <v>20</v>
      </c>
      <c r="G618" s="76">
        <v>12</v>
      </c>
      <c r="H618" s="76">
        <v>0</v>
      </c>
      <c r="I618" s="76">
        <v>0</v>
      </c>
      <c r="J618" s="76">
        <v>0</v>
      </c>
      <c r="K618" s="76">
        <v>0</v>
      </c>
      <c r="L618" s="157">
        <f>(L616/100)/((L615+L616)/100)</f>
        <v>0.31472222222222224</v>
      </c>
      <c r="T618" s="158"/>
      <c r="U618" s="158"/>
      <c r="V618" s="153"/>
      <c r="W618" s="152">
        <f>W616*L618</f>
        <v>5.5203415722366245</v>
      </c>
      <c r="X618" s="153"/>
      <c r="Y618" s="153"/>
      <c r="Z618" s="152">
        <f>Z616*L618</f>
        <v>11.33</v>
      </c>
      <c r="AA618" s="153"/>
      <c r="AB618" s="103"/>
      <c r="AC618" s="103"/>
      <c r="AD618" s="103"/>
      <c r="AE618" s="154">
        <f>AE616*L618</f>
        <v>8.3746839718970278</v>
      </c>
      <c r="AG618" s="5"/>
      <c r="AH618" s="5"/>
      <c r="AI618" s="5"/>
      <c r="AJ618" s="103"/>
      <c r="AK618" s="72">
        <f>F615*LeagueRatings!$K$27</f>
        <v>0</v>
      </c>
      <c r="AL618" s="72">
        <f>G615*LeagueRatings!$K$27</f>
        <v>0</v>
      </c>
      <c r="AM618" s="72">
        <f>T618*LeagueRatings!$K$27</f>
        <v>0</v>
      </c>
      <c r="AN618" s="30"/>
    </row>
    <row r="619" spans="1:40" x14ac:dyDescent="0.2">
      <c r="C619" s="76">
        <v>2</v>
      </c>
      <c r="D619" s="76">
        <v>4</v>
      </c>
      <c r="E619" s="97">
        <v>6.49</v>
      </c>
      <c r="F619" s="76">
        <v>8</v>
      </c>
      <c r="G619" s="76">
        <v>6</v>
      </c>
      <c r="H619" s="76">
        <v>0</v>
      </c>
      <c r="I619" s="76">
        <v>0</v>
      </c>
      <c r="J619" s="76">
        <v>0</v>
      </c>
      <c r="K619" s="76">
        <v>0</v>
      </c>
      <c r="T619" s="158"/>
      <c r="U619" s="158"/>
      <c r="V619" s="153"/>
      <c r="W619" s="152">
        <f>SUM(W617:W618)</f>
        <v>19.347501571259009</v>
      </c>
      <c r="X619" s="153"/>
      <c r="Y619" s="153"/>
      <c r="Z619" s="152">
        <f>SUM(Z617:Z618)</f>
        <v>36</v>
      </c>
      <c r="AA619" s="153"/>
      <c r="AB619" s="103"/>
      <c r="AC619" s="103"/>
      <c r="AD619" s="103"/>
      <c r="AE619" s="153">
        <f>SUM(AE617:AE618)</f>
        <v>17.428509788610739</v>
      </c>
      <c r="AF619" s="41" t="s">
        <v>502</v>
      </c>
      <c r="AG619" s="5" t="s">
        <v>14</v>
      </c>
      <c r="AH619" s="5" t="s">
        <v>54</v>
      </c>
      <c r="AI619" s="5" t="s">
        <v>27</v>
      </c>
      <c r="AJ619" s="174">
        <f>SUM(AJ615:AJ618)</f>
        <v>20.555555555555557</v>
      </c>
      <c r="AK619" s="14">
        <f>SUM(AK615:AK618)</f>
        <v>35.555555555555557</v>
      </c>
      <c r="AL619" s="14">
        <f>SUM(AL615:AL618)</f>
        <v>0</v>
      </c>
      <c r="AM619" s="14">
        <f>SUM(AM615:AM618)</f>
        <v>84.444444444444457</v>
      </c>
      <c r="AN619" s="30"/>
    </row>
    <row r="620" spans="1:40" x14ac:dyDescent="0.2">
      <c r="T620" s="158"/>
      <c r="U620" s="158"/>
      <c r="V620" s="153"/>
      <c r="W620" s="152"/>
      <c r="X620" s="153"/>
      <c r="Y620" s="153"/>
      <c r="Z620" s="152"/>
      <c r="AA620" s="153"/>
      <c r="AB620" s="103"/>
      <c r="AC620" s="103"/>
      <c r="AD620" s="103"/>
      <c r="AE620" s="153"/>
      <c r="AF620" s="41"/>
      <c r="AG620" s="5"/>
      <c r="AH620" s="5"/>
      <c r="AI620" s="5"/>
      <c r="AJ620" s="174"/>
      <c r="AK620" s="14"/>
      <c r="AL620" s="14"/>
      <c r="AM620" s="14"/>
      <c r="AN620" s="30"/>
    </row>
    <row r="621" spans="1:40" x14ac:dyDescent="0.2">
      <c r="L621" s="97">
        <v>78.33</v>
      </c>
      <c r="M621" s="76">
        <v>106</v>
      </c>
      <c r="N621" s="76">
        <v>54</v>
      </c>
      <c r="O621" s="76">
        <v>52</v>
      </c>
      <c r="P621" s="76">
        <v>8</v>
      </c>
      <c r="Q621" s="76">
        <v>23</v>
      </c>
      <c r="R621" s="76">
        <v>1</v>
      </c>
      <c r="S621" s="76">
        <v>54</v>
      </c>
      <c r="T621" s="76">
        <v>352</v>
      </c>
      <c r="V621" s="151">
        <f>+(Q621-R621)/(T621-R621)*100</f>
        <v>6.267806267806268</v>
      </c>
      <c r="W621" s="152">
        <f>IF(V621&lt;LeagueRatings!$K$21,((LeagueRatings!$K$21-V621)/LeagueRatings!$K$21)*36,(LeagueRatings!$K$21-V621)*6.48)</f>
        <v>10.7972039651451</v>
      </c>
      <c r="X621" s="153">
        <v>-0.65</v>
      </c>
      <c r="Y621" s="153">
        <f>(P621/(T621-R621))*100</f>
        <v>2.2792022792022792</v>
      </c>
      <c r="Z621" s="152">
        <f>IF(Y621&lt;LeagueRatings!$K$19,((LeagueRatings!$K$19-Y621)/LeagueRatings!$K$19)*36,(LeagueRatings!$K$19-Y621)/LeagueRatings!$K$22)</f>
        <v>7.7842934345176502</v>
      </c>
      <c r="AA621" s="153">
        <v>0</v>
      </c>
      <c r="AB621" s="103">
        <f>+((LeagueRatings!$I$17-E618)*5)+9.5</f>
        <v>0.46438724370636386</v>
      </c>
      <c r="AC621" s="103">
        <f>IF(AB621&lt;4,4,AB621)</f>
        <v>4</v>
      </c>
      <c r="AD621" s="103">
        <f>IF(M621&lt;L621,((1-(M621/L621))*7)-0.07,(1-(M621/L621))*5)</f>
        <v>-1.7662453721434956</v>
      </c>
      <c r="AE621" s="154">
        <f>+X621+AA621+AC621+AD621</f>
        <v>1.5837546278565044</v>
      </c>
      <c r="AJ621" s="103">
        <f>+AO504*LeagueRatings!$K$27</f>
        <v>43.888888888888893</v>
      </c>
      <c r="AK621" s="72">
        <f>F618*LeagueRatings!$K$27</f>
        <v>11.111111111111111</v>
      </c>
      <c r="AL621" s="72">
        <f>G618*LeagueRatings!$K$27</f>
        <v>6.666666666666667</v>
      </c>
      <c r="AM621" s="72">
        <f>T621*LeagueRatings!$K$27</f>
        <v>195.55555555555557</v>
      </c>
      <c r="AN621" s="30"/>
    </row>
    <row r="622" spans="1:40" x14ac:dyDescent="0.2">
      <c r="A622" t="s">
        <v>539</v>
      </c>
      <c r="B622" s="76" t="s">
        <v>161</v>
      </c>
      <c r="L622" s="97">
        <v>34.67</v>
      </c>
      <c r="M622" s="76">
        <v>42</v>
      </c>
      <c r="N622" s="76">
        <v>27</v>
      </c>
      <c r="O622" s="76">
        <v>25</v>
      </c>
      <c r="P622" s="76">
        <v>4</v>
      </c>
      <c r="Q622" s="76">
        <v>10</v>
      </c>
      <c r="R622" s="76">
        <v>1</v>
      </c>
      <c r="S622" s="76">
        <v>17</v>
      </c>
      <c r="T622" s="76">
        <v>149</v>
      </c>
      <c r="U622" s="138"/>
      <c r="V622" s="151">
        <f>+(Q622-R622)/(T622-R622)*100</f>
        <v>6.0810810810810816</v>
      </c>
      <c r="W622" s="152">
        <f>IF(V622&lt;LeagueRatings!$K$10,((LeagueRatings!$K$10-V622)/LeagueRatings!$K$10)*36,(LeagueRatings!$K$10-V622)*6.48)</f>
        <v>10.74272444693888</v>
      </c>
      <c r="X622" s="153">
        <v>-0.74</v>
      </c>
      <c r="Y622" s="153">
        <f>(P622/(T622-R622))*100</f>
        <v>2.7027027027027026</v>
      </c>
      <c r="Z622" s="152">
        <f>IF(Y622&lt;LeagueRatings!$K$8,((LeagueRatings!$K$8-Y622)/LeagueRatings!$K$8)*36,(LeagueRatings!$K$8-Y622)/LeagueRatings!$K$11)</f>
        <v>5.6156524622782307</v>
      </c>
      <c r="AA622" s="153">
        <v>0.24</v>
      </c>
      <c r="AB622" s="103">
        <f>+((LeagueRatings!$I$6-E619)*5)+9.5</f>
        <v>-1.9419485447225977</v>
      </c>
      <c r="AC622" s="103">
        <f>IF(AB622&lt;4,4,AB622)</f>
        <v>4</v>
      </c>
      <c r="AD622" s="103">
        <f>IF(M622&lt;L622,((1-(M622/L622))*7)-0.07,(1-(M622/L622))*5)</f>
        <v>-1.057109893279492</v>
      </c>
      <c r="AE622" s="154">
        <f>+X622+AA622+AC622+AD622</f>
        <v>2.4428901067205082</v>
      </c>
      <c r="AG622" s="5"/>
      <c r="AH622" s="5"/>
      <c r="AI622" s="5"/>
      <c r="AJ622" s="103">
        <f>+AO505*LeagueRatings!$K$27</f>
        <v>19.444444444444446</v>
      </c>
      <c r="AK622" s="72">
        <f>F619*LeagueRatings!$K$27</f>
        <v>4.4444444444444446</v>
      </c>
      <c r="AL622" s="72">
        <f>G619*LeagueRatings!$K$27</f>
        <v>3.3333333333333335</v>
      </c>
      <c r="AM622" s="72">
        <f>T622*LeagueRatings!$K$27</f>
        <v>82.777777777777786</v>
      </c>
      <c r="AN622" s="30"/>
    </row>
    <row r="623" spans="1:40" x14ac:dyDescent="0.2">
      <c r="A623" s="41" t="s">
        <v>539</v>
      </c>
      <c r="B623" s="76" t="s">
        <v>164</v>
      </c>
      <c r="L623" s="157">
        <f>(L621/100)/((L621+L622)/100)</f>
        <v>0.69318584070796463</v>
      </c>
      <c r="T623" s="158"/>
      <c r="U623" s="158"/>
      <c r="V623" s="153"/>
      <c r="W623" s="152">
        <f>W621*L623</f>
        <v>7.4844689078744748</v>
      </c>
      <c r="X623" s="153"/>
      <c r="Y623" s="153"/>
      <c r="Z623" s="152">
        <f>Z621*L623</f>
        <v>5.3959619887236068</v>
      </c>
      <c r="AA623" s="153"/>
      <c r="AB623" s="103"/>
      <c r="AC623" s="103"/>
      <c r="AD623" s="103"/>
      <c r="AE623" s="154">
        <f>AE621*L623</f>
        <v>1.0978362831858406</v>
      </c>
      <c r="AG623" s="5"/>
      <c r="AH623" s="5"/>
      <c r="AI623" s="5"/>
      <c r="AJ623" s="103"/>
      <c r="AK623" s="72">
        <f>F620*LeagueRatings!$K$27</f>
        <v>0</v>
      </c>
      <c r="AL623" s="72">
        <f>G620*LeagueRatings!$K$27</f>
        <v>0</v>
      </c>
      <c r="AM623" s="72">
        <f>T623*LeagueRatings!$K$27</f>
        <v>0</v>
      </c>
      <c r="AN623" s="30"/>
    </row>
    <row r="624" spans="1:40" x14ac:dyDescent="0.2">
      <c r="C624" s="76">
        <v>0</v>
      </c>
      <c r="D624" s="76">
        <v>1</v>
      </c>
      <c r="E624" s="97">
        <v>8.1</v>
      </c>
      <c r="F624" s="76">
        <v>12</v>
      </c>
      <c r="G624" s="76">
        <v>0</v>
      </c>
      <c r="H624" s="76">
        <v>0</v>
      </c>
      <c r="I624" s="76">
        <v>0</v>
      </c>
      <c r="J624" s="76">
        <v>0</v>
      </c>
      <c r="K624" s="76">
        <v>2</v>
      </c>
      <c r="L624" s="157">
        <f>(L622/100)/((L621+L622)/100)</f>
        <v>0.30681415929203543</v>
      </c>
      <c r="T624" s="158"/>
      <c r="U624" s="158"/>
      <c r="V624" s="153"/>
      <c r="W624" s="152">
        <f>W622*L624</f>
        <v>3.2960199696935484</v>
      </c>
      <c r="X624" s="153"/>
      <c r="Y624" s="153"/>
      <c r="Z624" s="152">
        <f>Z622*L624</f>
        <v>1.722961689090144</v>
      </c>
      <c r="AA624" s="153"/>
      <c r="AB624" s="103"/>
      <c r="AC624" s="103"/>
      <c r="AD624" s="103"/>
      <c r="AE624" s="154">
        <f>AE622*L624</f>
        <v>0.74951327433628345</v>
      </c>
      <c r="AG624" s="5"/>
      <c r="AH624" s="5"/>
      <c r="AI624" s="5"/>
      <c r="AJ624" s="103"/>
      <c r="AK624" s="72">
        <f>F621*LeagueRatings!$K$27</f>
        <v>0</v>
      </c>
      <c r="AL624" s="72">
        <f>G621*LeagueRatings!$K$27</f>
        <v>0</v>
      </c>
      <c r="AM624" s="72">
        <f>T624*LeagueRatings!$K$27</f>
        <v>0</v>
      </c>
      <c r="AN624" s="30"/>
    </row>
    <row r="625" spans="1:40" x14ac:dyDescent="0.2">
      <c r="C625" s="76">
        <v>4</v>
      </c>
      <c r="D625" s="76">
        <v>0</v>
      </c>
      <c r="E625" s="97">
        <v>3.03</v>
      </c>
      <c r="F625" s="76">
        <v>34</v>
      </c>
      <c r="G625" s="76">
        <v>0</v>
      </c>
      <c r="H625" s="76">
        <v>0</v>
      </c>
      <c r="I625" s="76">
        <v>0</v>
      </c>
      <c r="J625" s="76">
        <v>1</v>
      </c>
      <c r="K625" s="76">
        <v>4</v>
      </c>
      <c r="T625" s="158"/>
      <c r="U625" s="158"/>
      <c r="V625" s="153"/>
      <c r="W625" s="152">
        <f>SUM(W623:W624)</f>
        <v>10.780488877568024</v>
      </c>
      <c r="X625" s="153"/>
      <c r="Y625" s="153"/>
      <c r="Z625" s="152">
        <f>SUM(Z623:Z624)</f>
        <v>7.1189236778137506</v>
      </c>
      <c r="AA625" s="153"/>
      <c r="AB625" s="103"/>
      <c r="AC625" s="103"/>
      <c r="AD625" s="103"/>
      <c r="AE625" s="153">
        <f>SUM(AE623:AE624)</f>
        <v>1.8473495575221239</v>
      </c>
      <c r="AF625" s="41" t="s">
        <v>394</v>
      </c>
      <c r="AG625" s="5" t="s">
        <v>50</v>
      </c>
      <c r="AH625" s="5" t="s">
        <v>62</v>
      </c>
      <c r="AI625" s="5" t="s">
        <v>15</v>
      </c>
      <c r="AJ625" s="174">
        <f>SUM(AJ621:AJ624)</f>
        <v>63.333333333333343</v>
      </c>
      <c r="AK625" s="14">
        <f>SUM(AK621:AK624)</f>
        <v>15.555555555555555</v>
      </c>
      <c r="AL625" s="14">
        <f>SUM(AL621:AL624)</f>
        <v>10</v>
      </c>
      <c r="AM625" s="14">
        <f>SUM(AM621:AM624)</f>
        <v>278.33333333333337</v>
      </c>
      <c r="AN625" s="30"/>
    </row>
    <row r="626" spans="1:40" x14ac:dyDescent="0.2">
      <c r="AK626" s="72">
        <f>F623*LeagueRatings!$K$27</f>
        <v>0</v>
      </c>
      <c r="AL626" s="72">
        <f>G623*LeagueRatings!$K$27</f>
        <v>0</v>
      </c>
      <c r="AM626" s="72">
        <f>T626*LeagueRatings!$K$27</f>
        <v>0</v>
      </c>
      <c r="AN626" s="30"/>
    </row>
    <row r="627" spans="1:40" x14ac:dyDescent="0.2">
      <c r="L627" s="97">
        <v>13.33</v>
      </c>
      <c r="M627" s="76">
        <v>12</v>
      </c>
      <c r="N627" s="76">
        <v>12</v>
      </c>
      <c r="O627" s="76">
        <v>12</v>
      </c>
      <c r="P627" s="76">
        <v>2</v>
      </c>
      <c r="Q627" s="76">
        <v>11</v>
      </c>
      <c r="R627" s="76">
        <v>0</v>
      </c>
      <c r="S627" s="76">
        <v>13</v>
      </c>
      <c r="T627" s="76">
        <v>64</v>
      </c>
      <c r="V627" s="151">
        <f>+(Q627-R627)/(T627-R627)*100</f>
        <v>17.1875</v>
      </c>
      <c r="W627" s="152">
        <f>IF(V627&lt;LeagueRatings!$K$21,((LeagueRatings!$K$21-V627)/LeagueRatings!$K$21)*36,(LeagueRatings!$K$21-V627)*6.48)</f>
        <v>-53.359459020668972</v>
      </c>
      <c r="X627" s="153">
        <v>5.44</v>
      </c>
      <c r="Y627" s="153">
        <f>(P627/(T627-R627))*100</f>
        <v>3.125</v>
      </c>
      <c r="Z627" s="152">
        <f>IF(Y627&lt;LeagueRatings!$K$19,((LeagueRatings!$K$19-Y627)/LeagueRatings!$K$19)*36,(LeagueRatings!$K$19-Y627)/LeagueRatings!$K$22)</f>
        <v>-1.7533536585365843</v>
      </c>
      <c r="AA627" s="153">
        <v>0.61</v>
      </c>
      <c r="AB627" s="103">
        <f>+((LeagueRatings!$I$17-E624)*5)+9.5</f>
        <v>-10.185612756293636</v>
      </c>
      <c r="AC627" s="103">
        <f>IF(AB627&lt;4,4,AB627)</f>
        <v>4</v>
      </c>
      <c r="AD627" s="103">
        <f>IF(M627&lt;L627,((1-(M627/L627))*7)-0.07,(1-(M627/L627))*5)</f>
        <v>0.62842460615153795</v>
      </c>
      <c r="AE627" s="154">
        <f>+X627+AA627+AC627+AD627</f>
        <v>10.678424606151539</v>
      </c>
      <c r="AJ627" s="103">
        <f>+AO510*LeagueRatings!$K$27</f>
        <v>7.7777777777777786</v>
      </c>
      <c r="AK627" s="72">
        <f>F624*LeagueRatings!$K$27</f>
        <v>6.666666666666667</v>
      </c>
      <c r="AL627" s="72">
        <f>G624*LeagueRatings!$K$27</f>
        <v>0</v>
      </c>
      <c r="AM627" s="72">
        <f>T627*LeagueRatings!$K$27</f>
        <v>35.555555555555557</v>
      </c>
      <c r="AN627" s="30"/>
    </row>
    <row r="628" spans="1:40" x14ac:dyDescent="0.2">
      <c r="A628" t="s">
        <v>568</v>
      </c>
      <c r="B628" s="76" t="s">
        <v>164</v>
      </c>
      <c r="L628" s="97">
        <v>32.67</v>
      </c>
      <c r="M628" s="76">
        <v>25</v>
      </c>
      <c r="N628" s="76">
        <v>13</v>
      </c>
      <c r="O628" s="76">
        <v>11</v>
      </c>
      <c r="P628" s="76">
        <v>4</v>
      </c>
      <c r="Q628" s="76">
        <v>16</v>
      </c>
      <c r="R628" s="76">
        <v>1</v>
      </c>
      <c r="S628" s="76">
        <v>37</v>
      </c>
      <c r="T628" s="76">
        <v>139</v>
      </c>
      <c r="U628" s="147"/>
      <c r="V628" s="151">
        <f>+(Q628-R628)/(T628-R628)*100</f>
        <v>10.869565217391305</v>
      </c>
      <c r="W628" s="152">
        <f>IF(V628&lt;LeagueRatings!$K$10,((LeagueRatings!$K$10-V628)/LeagueRatings!$K$10)*36,(LeagueRatings!$K$10-V628)*6.48)</f>
        <v>-14.269002114501994</v>
      </c>
      <c r="X628" s="153">
        <v>1.93</v>
      </c>
      <c r="Y628" s="153">
        <f>(P628/(T628-R628))*100</f>
        <v>2.8985507246376812</v>
      </c>
      <c r="Z628" s="152">
        <f>IF(Y628&lt;LeagueRatings!$K$8,((LeagueRatings!$K$8-Y628)/LeagueRatings!$K$8)*36,(LeagueRatings!$K$8-Y628)/LeagueRatings!$K$11)</f>
        <v>3.4138881479505661</v>
      </c>
      <c r="AA628" s="153">
        <v>0.33</v>
      </c>
      <c r="AB628" s="103">
        <f>+((LeagueRatings!$I$6-E625)*5)+9.5</f>
        <v>15.358051455277405</v>
      </c>
      <c r="AC628" s="103">
        <f>IF(AB628&lt;4,4,AB628)</f>
        <v>15.358051455277405</v>
      </c>
      <c r="AD628" s="103">
        <f>IF(M628&lt;L628,((1-(M628/L628))*7)-0.07,(1-(M628/L628))*5)</f>
        <v>1.5734037343128251</v>
      </c>
      <c r="AE628" s="154">
        <f>+X628+AA628+AC628+AD628</f>
        <v>19.191455189590229</v>
      </c>
      <c r="AF628" s="170"/>
      <c r="AG628" s="5"/>
      <c r="AH628" s="5"/>
      <c r="AI628" s="5"/>
      <c r="AJ628" s="103">
        <f>+AO511*LeagueRatings!$K$27</f>
        <v>18.333333333333336</v>
      </c>
      <c r="AK628" s="72">
        <f>F625*LeagueRatings!$K$27</f>
        <v>18.888888888888889</v>
      </c>
      <c r="AL628" s="72">
        <f>G625*LeagueRatings!$K$27</f>
        <v>0</v>
      </c>
      <c r="AM628" s="72">
        <f>T628*LeagueRatings!$K$27</f>
        <v>77.222222222222229</v>
      </c>
      <c r="AN628" s="30"/>
    </row>
    <row r="629" spans="1:40" x14ac:dyDescent="0.2">
      <c r="A629" t="s">
        <v>568</v>
      </c>
      <c r="B629" s="76" t="s">
        <v>155</v>
      </c>
      <c r="L629" s="157">
        <f>(L627/100)/((L627+L628)/100)</f>
        <v>0.28978260869565214</v>
      </c>
      <c r="T629" s="158"/>
      <c r="U629" s="158"/>
      <c r="V629" s="153"/>
      <c r="W629" s="152">
        <f>W627*L629</f>
        <v>-15.462643233598202</v>
      </c>
      <c r="X629" s="153"/>
      <c r="Y629" s="153"/>
      <c r="Z629" s="152">
        <f>Z627*L629</f>
        <v>-0.50809139713679707</v>
      </c>
      <c r="AA629" s="153"/>
      <c r="AB629" s="103"/>
      <c r="AC629" s="103"/>
      <c r="AD629" s="103"/>
      <c r="AE629" s="154">
        <f>AE627*L629</f>
        <v>3.0944217391304347</v>
      </c>
      <c r="AG629" s="5"/>
      <c r="AH629" s="5"/>
      <c r="AI629" s="5"/>
      <c r="AJ629" s="103"/>
      <c r="AK629" s="72">
        <f>F626*LeagueRatings!$K$27</f>
        <v>0</v>
      </c>
      <c r="AL629" s="72">
        <f>G626*LeagueRatings!$K$27</f>
        <v>0</v>
      </c>
      <c r="AM629" s="72">
        <f>T629*LeagueRatings!$K$27</f>
        <v>0</v>
      </c>
      <c r="AN629" s="30"/>
    </row>
    <row r="630" spans="1:40" x14ac:dyDescent="0.2">
      <c r="A630" s="41" t="s">
        <v>568</v>
      </c>
      <c r="B630" s="76" t="s">
        <v>168</v>
      </c>
      <c r="C630" s="76">
        <v>1</v>
      </c>
      <c r="D630" s="76">
        <v>4</v>
      </c>
      <c r="E630" s="97">
        <v>6.04</v>
      </c>
      <c r="F630" s="76">
        <v>26</v>
      </c>
      <c r="G630" s="76">
        <v>0</v>
      </c>
      <c r="H630" s="76">
        <v>0</v>
      </c>
      <c r="I630" s="76">
        <v>0</v>
      </c>
      <c r="J630" s="76">
        <v>0</v>
      </c>
      <c r="K630" s="76">
        <v>3</v>
      </c>
      <c r="L630" s="157">
        <f>(L628/100)/((L627+L628)/100)</f>
        <v>0.7102173913043478</v>
      </c>
      <c r="T630" s="158"/>
      <c r="U630" s="158"/>
      <c r="V630" s="153"/>
      <c r="W630" s="152">
        <f>W628*L630</f>
        <v>-10.134093458277828</v>
      </c>
      <c r="X630" s="153"/>
      <c r="Y630" s="153"/>
      <c r="Z630" s="152">
        <f>Z628*L630</f>
        <v>2.4246027346422823</v>
      </c>
      <c r="AA630" s="153"/>
      <c r="AB630" s="103"/>
      <c r="AC630" s="103"/>
      <c r="AD630" s="103"/>
      <c r="AE630" s="154">
        <f>AE628*L630</f>
        <v>13.63010524008506</v>
      </c>
      <c r="AG630" s="5"/>
      <c r="AH630" s="5"/>
      <c r="AI630" s="5"/>
      <c r="AJ630" s="103"/>
      <c r="AK630" s="72">
        <f>F627*LeagueRatings!$K$27</f>
        <v>0</v>
      </c>
      <c r="AL630" s="72">
        <f>G627*LeagueRatings!$K$27</f>
        <v>0</v>
      </c>
      <c r="AM630" s="72">
        <f>T630*LeagueRatings!$K$27</f>
        <v>0</v>
      </c>
      <c r="AN630" s="30"/>
    </row>
    <row r="631" spans="1:40" x14ac:dyDescent="0.2">
      <c r="C631" s="76">
        <v>1</v>
      </c>
      <c r="D631" s="76">
        <v>1</v>
      </c>
      <c r="E631" s="97">
        <v>9.9</v>
      </c>
      <c r="F631" s="76">
        <v>2</v>
      </c>
      <c r="G631" s="76">
        <v>2</v>
      </c>
      <c r="H631" s="76">
        <v>0</v>
      </c>
      <c r="I631" s="76">
        <v>0</v>
      </c>
      <c r="J631" s="76">
        <v>0</v>
      </c>
      <c r="K631" s="76">
        <v>0</v>
      </c>
      <c r="T631" s="158"/>
      <c r="U631" s="158"/>
      <c r="V631" s="153"/>
      <c r="W631" s="152">
        <f>SUM(W629:W630)</f>
        <v>-25.596736691876032</v>
      </c>
      <c r="X631" s="153"/>
      <c r="Y631" s="153"/>
      <c r="Z631" s="152">
        <f>SUM(Z629:Z630)</f>
        <v>1.9165113375054852</v>
      </c>
      <c r="AA631" s="153"/>
      <c r="AB631" s="103"/>
      <c r="AC631" s="103"/>
      <c r="AD631" s="103"/>
      <c r="AE631" s="153">
        <f>SUM(AE629:AE630)</f>
        <v>16.724526979215494</v>
      </c>
      <c r="AF631" s="41" t="s">
        <v>539</v>
      </c>
      <c r="AG631" s="5" t="s">
        <v>14</v>
      </c>
      <c r="AH631" s="5" t="s">
        <v>64</v>
      </c>
      <c r="AI631" s="5" t="s">
        <v>25</v>
      </c>
      <c r="AJ631" s="174">
        <f>SUM(AJ627:AJ630)</f>
        <v>26.111111111111114</v>
      </c>
      <c r="AK631" s="14">
        <f>SUM(AK627:AK630)</f>
        <v>25.555555555555557</v>
      </c>
      <c r="AL631" s="14">
        <f>SUM(AL627:AL630)</f>
        <v>0</v>
      </c>
      <c r="AM631" s="14">
        <f>SUM(AM627:AM630)</f>
        <v>112.77777777777779</v>
      </c>
      <c r="AN631" s="30"/>
    </row>
    <row r="632" spans="1:40" x14ac:dyDescent="0.2">
      <c r="C632" s="76">
        <v>4</v>
      </c>
      <c r="D632" s="76">
        <v>2</v>
      </c>
      <c r="E632" s="97">
        <v>2.83</v>
      </c>
      <c r="F632" s="76">
        <v>9</v>
      </c>
      <c r="G632" s="76">
        <v>9</v>
      </c>
      <c r="H632" s="76">
        <v>0</v>
      </c>
      <c r="I632" s="76">
        <v>0</v>
      </c>
      <c r="J632" s="76">
        <v>0</v>
      </c>
      <c r="K632" s="76">
        <v>0</v>
      </c>
      <c r="AK632" s="72">
        <f>F629*LeagueRatings!$K$27</f>
        <v>0</v>
      </c>
      <c r="AL632" s="72">
        <f>G629*LeagueRatings!$K$27</f>
        <v>0</v>
      </c>
      <c r="AM632" s="72">
        <f>T632*LeagueRatings!$K$27</f>
        <v>0</v>
      </c>
      <c r="AN632" s="30"/>
    </row>
    <row r="633" spans="1:40" x14ac:dyDescent="0.2">
      <c r="L633" s="97">
        <v>47.67</v>
      </c>
      <c r="M633" s="76">
        <v>59</v>
      </c>
      <c r="N633" s="76">
        <v>33</v>
      </c>
      <c r="O633" s="76">
        <v>32</v>
      </c>
      <c r="P633" s="76">
        <v>7</v>
      </c>
      <c r="Q633" s="76">
        <v>16</v>
      </c>
      <c r="R633" s="76">
        <v>1</v>
      </c>
      <c r="S633" s="76">
        <v>38</v>
      </c>
      <c r="T633" s="76">
        <v>219</v>
      </c>
      <c r="V633" s="151">
        <f>+(Q633-R633)/(T633-R633)*100</f>
        <v>6.8807339449541285</v>
      </c>
      <c r="W633" s="152">
        <f>IF(V633&lt;LeagueRatings!$K$21,((LeagueRatings!$K$21-V633)/LeagueRatings!$K$21)*36,(LeagueRatings!$K$21-V633)*6.48)</f>
        <v>8.3326269550644181</v>
      </c>
      <c r="X633" s="153">
        <v>-0.4</v>
      </c>
      <c r="Y633" s="153">
        <f>(P633/(T633-R633))*100</f>
        <v>3.2110091743119269</v>
      </c>
      <c r="Z633" s="152">
        <f>IF(Y633&lt;LeagueRatings!$K$19,((LeagueRatings!$K$19-Y633)/LeagueRatings!$K$19)*36,(LeagueRatings!$K$19-Y633)/LeagueRatings!$K$22)</f>
        <v>-2.4483061087491622</v>
      </c>
      <c r="AA633" s="153">
        <v>0.71</v>
      </c>
      <c r="AB633" s="103">
        <f>+((LeagueRatings!$I$17-E630)*5)+9.5</f>
        <v>0.11438724370636244</v>
      </c>
      <c r="AC633" s="103">
        <f>IF(AB633&lt;4,4,AB633)</f>
        <v>4</v>
      </c>
      <c r="AD633" s="103">
        <f>IF(M633&lt;L633,((1-(M633/L633))*7)-0.07,(1-(M633/L633))*5)</f>
        <v>-1.1883784350744697</v>
      </c>
      <c r="AE633" s="154">
        <f>+X633+AA633+AC633+AD633</f>
        <v>3.1216215649255297</v>
      </c>
      <c r="AJ633" s="103">
        <f>+AO516*LeagueRatings!$K$27</f>
        <v>26.666666666666668</v>
      </c>
      <c r="AK633" s="72">
        <f>F630*LeagueRatings!$K$27</f>
        <v>14.444444444444445</v>
      </c>
      <c r="AL633" s="72">
        <f>G630*LeagueRatings!$K$27</f>
        <v>0</v>
      </c>
      <c r="AM633" s="72">
        <f>T633*LeagueRatings!$K$27</f>
        <v>121.66666666666667</v>
      </c>
      <c r="AN633" s="30"/>
    </row>
    <row r="634" spans="1:40" x14ac:dyDescent="0.2">
      <c r="A634" s="193"/>
      <c r="B634" s="193"/>
      <c r="L634" s="97">
        <v>10</v>
      </c>
      <c r="M634" s="76">
        <v>18</v>
      </c>
      <c r="N634" s="76">
        <v>11</v>
      </c>
      <c r="O634" s="76">
        <v>11</v>
      </c>
      <c r="P634" s="76">
        <v>0</v>
      </c>
      <c r="Q634" s="76">
        <v>3</v>
      </c>
      <c r="R634" s="76">
        <v>0</v>
      </c>
      <c r="S634" s="76">
        <v>6</v>
      </c>
      <c r="T634" s="76">
        <v>48</v>
      </c>
      <c r="V634" s="151">
        <f>+(Q634-R634)/(T634-R634)*100</f>
        <v>6.25</v>
      </c>
      <c r="W634" s="152">
        <f>IF(V634&lt;LeagueRatings!$K$21,((LeagueRatings!$K$21-V634)/LeagueRatings!$K$21)*36,(LeagueRatings!$K$21-V634)*6.48)</f>
        <v>10.868802817516846</v>
      </c>
      <c r="X634" s="153">
        <v>-0.65</v>
      </c>
      <c r="Y634" s="153">
        <f>(P634/(T634-R634))*100</f>
        <v>0</v>
      </c>
      <c r="Z634" s="152">
        <f>IF(Y634&lt;LeagueRatings!$K$19,((LeagueRatings!$K$19-Y634)/LeagueRatings!$K$19)*36,(LeagueRatings!$K$19-Y634)/LeagueRatings!$K$22)</f>
        <v>36</v>
      </c>
      <c r="AA634" s="153">
        <v>-3.26</v>
      </c>
      <c r="AB634" s="103">
        <f>+((LeagueRatings!$I$17-E631)*5)+9.5</f>
        <v>-19.18561275629364</v>
      </c>
      <c r="AC634" s="103">
        <f>IF(AB634&lt;4,4,AB634)</f>
        <v>4</v>
      </c>
      <c r="AD634" s="103">
        <f>IF(M634&lt;L634,((1-(M634/L634))*7)-0.07,(1-(M634/L634))*5)</f>
        <v>-4</v>
      </c>
      <c r="AE634" s="154">
        <f>+X634+AA634+AC634+AD634</f>
        <v>-3.9099999999999997</v>
      </c>
      <c r="AJ634" s="103">
        <f>+AO517*LeagueRatings!$K$27</f>
        <v>5.5555555555555554</v>
      </c>
      <c r="AK634" s="72">
        <f>F631*LeagueRatings!$K$27</f>
        <v>1.1111111111111112</v>
      </c>
      <c r="AL634" s="72">
        <f>G631*LeagueRatings!$K$27</f>
        <v>1.1111111111111112</v>
      </c>
      <c r="AM634" s="72">
        <f>T634*LeagueRatings!$K$27</f>
        <v>26.666666666666668</v>
      </c>
      <c r="AN634" s="30"/>
    </row>
    <row r="635" spans="1:40" x14ac:dyDescent="0.2">
      <c r="A635" s="187"/>
      <c r="B635" s="187"/>
      <c r="L635" s="97">
        <v>57.33</v>
      </c>
      <c r="M635" s="76">
        <v>48</v>
      </c>
      <c r="N635" s="76">
        <v>20</v>
      </c>
      <c r="O635" s="76">
        <v>18</v>
      </c>
      <c r="P635" s="76">
        <v>5</v>
      </c>
      <c r="Q635" s="76">
        <v>17</v>
      </c>
      <c r="R635" s="76">
        <v>1</v>
      </c>
      <c r="S635" s="76">
        <v>38</v>
      </c>
      <c r="T635" s="76">
        <v>230</v>
      </c>
      <c r="U635" s="138"/>
      <c r="V635" s="151">
        <f>+(Q635-R635)/(T635-R635)*100</f>
        <v>6.9868995633187767</v>
      </c>
      <c r="W635" s="152">
        <f>IF(V635&lt;LeagueRatings!$K$21,((LeagueRatings!$K$21-V635)/LeagueRatings!$K$21)*36,(LeagueRatings!$K$21-V635)*6.48)</f>
        <v>7.9057359008048609</v>
      </c>
      <c r="X635" s="153">
        <v>-0.4</v>
      </c>
      <c r="Y635" s="153">
        <f>(P635/(T635-R635))*100</f>
        <v>2.1834061135371177</v>
      </c>
      <c r="Z635" s="152">
        <f>IF(Y635&lt;LeagueRatings!$K$19,((LeagueRatings!$K$19-Y635)/LeagueRatings!$K$19)*36,(LeagueRatings!$K$19-Y635)/LeagueRatings!$K$22)</f>
        <v>8.9702155991148924</v>
      </c>
      <c r="AA635" s="153">
        <v>-7.0000000000000007E-2</v>
      </c>
      <c r="AB635" s="103">
        <f>+((LeagueRatings!$I$17-E632)*5)+9.5</f>
        <v>16.164387243706361</v>
      </c>
      <c r="AC635" s="103">
        <f>IF(AB635&lt;4,4,AB635)</f>
        <v>16.164387243706361</v>
      </c>
      <c r="AD635" s="103">
        <f>IF(M635&lt;L635,((1-(M635/L635))*7)-0.07,(1-(M635/L635))*5)</f>
        <v>1.0691941391941391</v>
      </c>
      <c r="AE635" s="154">
        <f>+X635+AA635+AC635+AD635</f>
        <v>16.763581382900501</v>
      </c>
      <c r="AJ635" s="103">
        <f>+AO518*LeagueRatings!$K$27</f>
        <v>32.222222222222221</v>
      </c>
      <c r="AK635" s="72">
        <f>F632*LeagueRatings!$K$27</f>
        <v>5</v>
      </c>
      <c r="AL635" s="72">
        <f>G632*LeagueRatings!$K$27</f>
        <v>5</v>
      </c>
      <c r="AM635" s="72">
        <f>T635*LeagueRatings!$K$27</f>
        <v>127.77777777777779</v>
      </c>
      <c r="AN635" s="30"/>
    </row>
    <row r="636" spans="1:40" x14ac:dyDescent="0.2">
      <c r="A636" s="155" t="s">
        <v>666</v>
      </c>
      <c r="B636" s="156" t="s">
        <v>161</v>
      </c>
      <c r="C636" s="193"/>
      <c r="D636" s="193"/>
      <c r="E636" s="194"/>
      <c r="F636" s="193"/>
      <c r="G636" s="193"/>
      <c r="H636" s="193"/>
      <c r="I636" s="193"/>
      <c r="J636" s="193"/>
      <c r="K636" s="193"/>
      <c r="L636" s="157">
        <f>(L633/100)/((L633+L634+L635)/100)</f>
        <v>0.41452173913043483</v>
      </c>
      <c r="T636" s="158"/>
      <c r="U636" s="158"/>
      <c r="V636" s="153"/>
      <c r="W636" s="152">
        <f>W633*L636</f>
        <v>3.4540550169384421</v>
      </c>
      <c r="X636" s="153"/>
      <c r="Y636" s="153"/>
      <c r="Z636" s="152">
        <f>Z633*L636</f>
        <v>-1.0148761061223703</v>
      </c>
      <c r="AA636" s="153"/>
      <c r="AB636" s="103"/>
      <c r="AC636" s="103"/>
      <c r="AD636" s="103"/>
      <c r="AE636" s="152">
        <f>AE633*L636</f>
        <v>1.2939800000000001</v>
      </c>
      <c r="AJ636" s="103"/>
      <c r="AK636" s="72">
        <f>F633*LeagueRatings!$K$27</f>
        <v>0</v>
      </c>
      <c r="AL636" s="72">
        <f>G633*LeagueRatings!$K$27</f>
        <v>0</v>
      </c>
      <c r="AM636" s="72">
        <f>T636*LeagueRatings!$K$27</f>
        <v>0</v>
      </c>
      <c r="AN636" s="30"/>
    </row>
    <row r="637" spans="1:40" x14ac:dyDescent="0.2">
      <c r="A637" s="196" t="s">
        <v>666</v>
      </c>
      <c r="B637" s="197" t="s">
        <v>665</v>
      </c>
      <c r="C637" s="187"/>
      <c r="D637" s="187"/>
      <c r="E637" s="192"/>
      <c r="F637" s="187"/>
      <c r="G637" s="187"/>
      <c r="H637" s="187"/>
      <c r="I637" s="187"/>
      <c r="J637" s="187"/>
      <c r="K637" s="187"/>
      <c r="L637" s="157">
        <f>(L634/100)/((L633+L634+L635)/100)</f>
        <v>8.6956521739130446E-2</v>
      </c>
      <c r="T637" s="158"/>
      <c r="U637" s="158"/>
      <c r="V637" s="153"/>
      <c r="W637" s="152">
        <f>W634*L637</f>
        <v>0.94511328847972587</v>
      </c>
      <c r="X637" s="153"/>
      <c r="Y637" s="153"/>
      <c r="Z637" s="152">
        <f>Z634*L637</f>
        <v>3.1304347826086962</v>
      </c>
      <c r="AA637" s="153"/>
      <c r="AB637" s="103"/>
      <c r="AC637" s="103"/>
      <c r="AD637" s="103"/>
      <c r="AE637" s="152">
        <f>AE634*L637</f>
        <v>-0.34</v>
      </c>
      <c r="AJ637" s="103"/>
      <c r="AK637" s="72">
        <f>F634*LeagueRatings!$K$27</f>
        <v>0</v>
      </c>
      <c r="AL637" s="72">
        <f>G634*LeagueRatings!$K$27</f>
        <v>0</v>
      </c>
      <c r="AM637" s="72">
        <f>T637*LeagueRatings!$K$27</f>
        <v>0</v>
      </c>
      <c r="AN637" s="30"/>
    </row>
    <row r="638" spans="1:40" x14ac:dyDescent="0.2">
      <c r="L638" s="157">
        <f>(L635/100)/((L633+L634+L635)/100)</f>
        <v>0.49852173913043485</v>
      </c>
      <c r="T638" s="158"/>
      <c r="U638" s="158"/>
      <c r="V638" s="153"/>
      <c r="W638" s="152">
        <f>W635*L638</f>
        <v>3.941181210375154</v>
      </c>
      <c r="X638" s="153"/>
      <c r="Y638" s="153"/>
      <c r="Z638" s="152">
        <f>Z635*L638</f>
        <v>4.471847480845712</v>
      </c>
      <c r="AA638" s="153"/>
      <c r="AB638" s="103"/>
      <c r="AC638" s="103"/>
      <c r="AD638" s="103"/>
      <c r="AE638" s="152">
        <f>AE635*L638</f>
        <v>8.3570097450581375</v>
      </c>
      <c r="AJ638" s="174"/>
      <c r="AK638" s="72">
        <f>F635*LeagueRatings!$K$27</f>
        <v>0</v>
      </c>
      <c r="AL638" s="72">
        <f>G635*LeagueRatings!$K$27</f>
        <v>0</v>
      </c>
      <c r="AM638" s="72">
        <f>T638*LeagueRatings!$K$27</f>
        <v>0</v>
      </c>
      <c r="AN638" s="30"/>
    </row>
    <row r="639" spans="1:40" x14ac:dyDescent="0.2">
      <c r="L639" s="194"/>
      <c r="M639" s="193"/>
      <c r="N639" s="193"/>
      <c r="O639" s="193"/>
      <c r="P639" s="193"/>
      <c r="Q639" s="193"/>
      <c r="R639" s="193"/>
      <c r="S639" s="193"/>
      <c r="T639" s="193"/>
      <c r="U639" s="193"/>
      <c r="V639" s="193"/>
      <c r="W639" s="195">
        <f>SUM(W636:W638)</f>
        <v>8.3403495157933207</v>
      </c>
      <c r="X639" s="193"/>
      <c r="Y639" s="193"/>
      <c r="Z639" s="195">
        <f>SUM(Z636:Z638)</f>
        <v>6.5874061573320377</v>
      </c>
      <c r="AA639" s="193"/>
      <c r="AB639" s="193"/>
      <c r="AC639" s="193"/>
      <c r="AD639" s="193"/>
      <c r="AE639" s="164">
        <f>SUM(AE636:AE638)</f>
        <v>9.3109897450581371</v>
      </c>
      <c r="AF639" s="41" t="s">
        <v>568</v>
      </c>
      <c r="AG639" s="9" t="s">
        <v>55</v>
      </c>
      <c r="AH639" s="9" t="s">
        <v>47</v>
      </c>
      <c r="AI639" s="9" t="s">
        <v>45</v>
      </c>
      <c r="AJ639" s="167">
        <f>SUM(AJ633:AJ638)</f>
        <v>64.444444444444443</v>
      </c>
      <c r="AK639" s="72">
        <f>SUM(AK633:AK638)</f>
        <v>20.555555555555557</v>
      </c>
      <c r="AL639" s="72">
        <f>SUM(AL633:AL638)</f>
        <v>6.1111111111111107</v>
      </c>
      <c r="AM639" s="72">
        <f>SUM(AM633:AM638)</f>
        <v>276.11111111111114</v>
      </c>
      <c r="AN639" s="122"/>
    </row>
    <row r="640" spans="1:40" x14ac:dyDescent="0.2">
      <c r="L640" s="192"/>
      <c r="M640" s="187"/>
      <c r="N640" s="187"/>
      <c r="O640" s="187"/>
      <c r="P640" s="187"/>
      <c r="Q640" s="187"/>
      <c r="R640" s="187"/>
      <c r="S640" s="187"/>
      <c r="T640" s="187"/>
      <c r="U640" s="187"/>
      <c r="V640" s="187"/>
      <c r="W640" s="187"/>
      <c r="X640" s="187"/>
      <c r="Y640" s="187"/>
      <c r="Z640" s="187"/>
      <c r="AA640" s="187"/>
      <c r="AB640" s="187"/>
      <c r="AC640" s="187"/>
      <c r="AD640" s="187"/>
      <c r="AE640" s="187"/>
      <c r="AF640" s="188"/>
      <c r="AG640" s="187"/>
      <c r="AH640" s="187"/>
      <c r="AI640" s="187"/>
      <c r="AJ640" s="189"/>
      <c r="AK640" s="190"/>
      <c r="AL640" s="190"/>
      <c r="AM640" s="190"/>
      <c r="AN640" s="191"/>
    </row>
    <row r="641" spans="1:40" x14ac:dyDescent="0.2">
      <c r="A641" s="166" t="s">
        <v>471</v>
      </c>
      <c r="B641" s="138" t="s">
        <v>172</v>
      </c>
      <c r="AG641" s="5"/>
      <c r="AH641" s="5"/>
      <c r="AI641" s="5"/>
      <c r="AJ641" s="103"/>
      <c r="AK641" s="72">
        <f>F645*LeagueRatings!$K$27</f>
        <v>0</v>
      </c>
      <c r="AL641" s="72">
        <f>G645*LeagueRatings!$K$27</f>
        <v>0</v>
      </c>
      <c r="AM641" s="72">
        <f>T648*LeagueRatings!$K$27</f>
        <v>0</v>
      </c>
      <c r="AN641" s="30"/>
    </row>
    <row r="642" spans="1:40" x14ac:dyDescent="0.2">
      <c r="A642" s="58" t="s">
        <v>471</v>
      </c>
      <c r="B642" s="138" t="s">
        <v>148</v>
      </c>
      <c r="AG642" s="5"/>
      <c r="AH642" s="5"/>
      <c r="AI642" s="5"/>
      <c r="AJ642" s="103"/>
      <c r="AK642" s="72">
        <f>F646*LeagueRatings!$K$27</f>
        <v>0</v>
      </c>
      <c r="AL642" s="72">
        <f>G646*LeagueRatings!$K$27</f>
        <v>0</v>
      </c>
      <c r="AM642" s="72">
        <f>T649*LeagueRatings!$K$27</f>
        <v>0</v>
      </c>
      <c r="AN642" s="30"/>
    </row>
    <row r="643" spans="1:40" x14ac:dyDescent="0.2">
      <c r="C643" s="138">
        <v>0</v>
      </c>
      <c r="D643" s="138">
        <v>0</v>
      </c>
      <c r="E643" s="159">
        <v>7.84</v>
      </c>
      <c r="F643" s="138">
        <v>11</v>
      </c>
      <c r="G643" s="138">
        <v>0</v>
      </c>
      <c r="H643" s="138">
        <v>0</v>
      </c>
      <c r="I643" s="138">
        <v>0</v>
      </c>
      <c r="J643" s="138">
        <v>0</v>
      </c>
      <c r="K643" s="160">
        <v>0</v>
      </c>
      <c r="AF643" s="170" t="s">
        <v>471</v>
      </c>
      <c r="AG643" s="5" t="s">
        <v>53</v>
      </c>
      <c r="AH643" s="5" t="s">
        <v>23</v>
      </c>
      <c r="AI643" s="5" t="s">
        <v>36</v>
      </c>
      <c r="AJ643" s="174">
        <f>ROUNDUP((AJ639+AJ640),0)</f>
        <v>65</v>
      </c>
      <c r="AK643" s="14">
        <f>SUM(AK639:AK642)</f>
        <v>20.555555555555557</v>
      </c>
      <c r="AL643" s="14">
        <f>SUM(AL639:AL642)</f>
        <v>6.1111111111111107</v>
      </c>
      <c r="AM643" s="14">
        <f>SUM(AM639:AM642)</f>
        <v>276.11111111111114</v>
      </c>
      <c r="AN643" s="30"/>
    </row>
    <row r="644" spans="1:40" x14ac:dyDescent="0.2">
      <c r="C644" s="138">
        <v>0</v>
      </c>
      <c r="D644" s="138">
        <v>0</v>
      </c>
      <c r="E644" s="159">
        <v>0.89</v>
      </c>
      <c r="F644" s="138">
        <v>27</v>
      </c>
      <c r="G644" s="138">
        <v>0</v>
      </c>
      <c r="H644" s="146">
        <v>0</v>
      </c>
      <c r="I644" s="138">
        <v>0</v>
      </c>
      <c r="J644" s="138">
        <v>0</v>
      </c>
      <c r="K644" s="160">
        <v>0</v>
      </c>
      <c r="AK644" s="72">
        <f>F648*LeagueRatings!$K$27</f>
        <v>0</v>
      </c>
      <c r="AL644" s="72">
        <f>G648*LeagueRatings!$K$27</f>
        <v>0</v>
      </c>
      <c r="AM644" s="72">
        <f>T651*LeagueRatings!$K$27</f>
        <v>0</v>
      </c>
      <c r="AN644" s="30"/>
    </row>
    <row r="645" spans="1:40" x14ac:dyDescent="0.2">
      <c r="AJ645" s="103">
        <f>+AO522*LeagueRatings!$K$27</f>
        <v>0</v>
      </c>
      <c r="AK645" s="72">
        <f>F649*LeagueRatings!$K$27</f>
        <v>16.111111111111111</v>
      </c>
      <c r="AL645" s="72">
        <f>G649*LeagueRatings!$K$27</f>
        <v>0</v>
      </c>
      <c r="AM645" s="72">
        <f>T652*LeagueRatings!$K$27</f>
        <v>61.666666666666671</v>
      </c>
      <c r="AN645" s="30"/>
    </row>
    <row r="646" spans="1:40" x14ac:dyDescent="0.2">
      <c r="L646" s="159">
        <v>10.33</v>
      </c>
      <c r="M646" s="138">
        <v>16</v>
      </c>
      <c r="N646" s="138">
        <v>9</v>
      </c>
      <c r="O646" s="138">
        <v>9</v>
      </c>
      <c r="P646" s="138">
        <v>1</v>
      </c>
      <c r="Q646" s="138">
        <v>4</v>
      </c>
      <c r="R646" s="138">
        <v>1</v>
      </c>
      <c r="S646" s="138">
        <v>9</v>
      </c>
      <c r="T646" s="161">
        <v>50</v>
      </c>
      <c r="V646" s="151">
        <f>+(Q646-R646)/(T646-R646)*100</f>
        <v>6.1224489795918364</v>
      </c>
      <c r="W646" s="152">
        <f>IF(V646&lt;LeagueRatings!$K$21,((LeagueRatings!$K$21-V646)/LeagueRatings!$K$21)*36,(LeagueRatings!$K$21-V646)*6.48)</f>
        <v>11.381684392669566</v>
      </c>
      <c r="X646" s="153">
        <v>-0.74</v>
      </c>
      <c r="Y646" s="153">
        <f>(P646/(T646-R646))*100</f>
        <v>2.0408163265306123</v>
      </c>
      <c r="Z646" s="152">
        <f>IF(Y646&lt;LeagueRatings!$K$19,((LeagueRatings!$K$19-Y646)/LeagueRatings!$K$19)*36,(LeagueRatings!$K$19-Y646)/LeagueRatings!$K$22)</f>
        <v>10.735426008968611</v>
      </c>
      <c r="AA646" s="153">
        <v>-0.35</v>
      </c>
      <c r="AB646" s="103">
        <f>+((LeagueRatings!$I$17-E643)*5)+9.5</f>
        <v>-8.8856127562936358</v>
      </c>
      <c r="AC646" s="103">
        <f>IF(AB646&lt;4,4,AB646)</f>
        <v>4</v>
      </c>
      <c r="AD646" s="103">
        <f>IF(M646&lt;L646,((1-(M646/L646))*7)-0.07,(1-(M646/L646))*5)</f>
        <v>-2.7444336882865441</v>
      </c>
      <c r="AE646" s="154">
        <f>+X646+AA646+AC646+AD646</f>
        <v>0.16556631171345604</v>
      </c>
      <c r="AF646" s="170"/>
      <c r="AG646" s="7" t="s">
        <v>21</v>
      </c>
      <c r="AH646" s="7" t="s">
        <v>30</v>
      </c>
      <c r="AI646" s="7" t="s">
        <v>29</v>
      </c>
      <c r="AJ646" s="103">
        <f>+AO523*LeagueRatings!$K$27</f>
        <v>0</v>
      </c>
      <c r="AK646" s="72">
        <f>F650*LeagueRatings!$K$27</f>
        <v>20.555555555555557</v>
      </c>
      <c r="AL646" s="72">
        <f>G650*LeagueRatings!$K$27</f>
        <v>0</v>
      </c>
      <c r="AM646" s="72">
        <f>T653*LeagueRatings!$K$27</f>
        <v>79.444444444444443</v>
      </c>
      <c r="AN646" s="30"/>
    </row>
    <row r="647" spans="1:40" x14ac:dyDescent="0.2">
      <c r="A647" s="146" t="s">
        <v>342</v>
      </c>
      <c r="B647" s="147" t="s">
        <v>145</v>
      </c>
      <c r="L647" s="159">
        <v>20.329999999999998</v>
      </c>
      <c r="M647" s="138">
        <v>11</v>
      </c>
      <c r="N647" s="138">
        <v>4</v>
      </c>
      <c r="O647" s="138">
        <v>2</v>
      </c>
      <c r="P647" s="138">
        <v>1</v>
      </c>
      <c r="Q647" s="138">
        <v>6</v>
      </c>
      <c r="R647" s="138">
        <v>2</v>
      </c>
      <c r="S647" s="138">
        <v>20</v>
      </c>
      <c r="T647" s="138">
        <v>79</v>
      </c>
      <c r="U647" s="138"/>
      <c r="V647" s="151">
        <f>+(Q647-R647)/(T647-R647)*100</f>
        <v>5.1948051948051948</v>
      </c>
      <c r="W647" s="152">
        <f>IF(V647&lt;LeagueRatings!$K$10,((LeagueRatings!$K$10-V647)/LeagueRatings!$K$10)*36,(LeagueRatings!$K$10-V647)*6.48)</f>
        <v>14.423799238943459</v>
      </c>
      <c r="X647" s="153">
        <v>-1.19</v>
      </c>
      <c r="Y647" s="153">
        <f>(P647/(T647-R647))*100</f>
        <v>1.2987012987012987</v>
      </c>
      <c r="Z647" s="152">
        <f>IF(Y647&lt;LeagueRatings!$K$8,((LeagueRatings!$K$8-Y647)/LeagueRatings!$K$8)*36,(LeagueRatings!$K$8-Y647)/LeagueRatings!$K$11)</f>
        <v>21.399729105250579</v>
      </c>
      <c r="AA647" s="153">
        <v>-1.5</v>
      </c>
      <c r="AB647" s="103">
        <f>+((LeagueRatings!$I$6-E644)*5)+9.5</f>
        <v>26.058051455277404</v>
      </c>
      <c r="AC647" s="103">
        <f>IF(AB647&lt;4,4,AB647)</f>
        <v>26.058051455277404</v>
      </c>
      <c r="AD647" s="103">
        <f>IF(M647&lt;L647,((1-(M647/L647))*7)-0.07,(1-(M647/L647))*5)</f>
        <v>3.1424938514510572</v>
      </c>
      <c r="AE647" s="154">
        <f>+X647+AA647+AC647+AD647</f>
        <v>26.51054530672846</v>
      </c>
      <c r="AG647" s="5"/>
      <c r="AH647" s="5"/>
      <c r="AI647" s="5"/>
      <c r="AJ647" s="103"/>
      <c r="AK647" s="72">
        <f>F651*LeagueRatings!$K$27</f>
        <v>0</v>
      </c>
      <c r="AL647" s="72">
        <f>G651*LeagueRatings!$K$27</f>
        <v>0</v>
      </c>
      <c r="AM647" s="72">
        <f>T654*LeagueRatings!$K$27</f>
        <v>0</v>
      </c>
      <c r="AN647" s="30"/>
    </row>
    <row r="648" spans="1:40" x14ac:dyDescent="0.2">
      <c r="A648" s="58" t="s">
        <v>342</v>
      </c>
      <c r="B648" s="147" t="s">
        <v>161</v>
      </c>
      <c r="L648" s="157">
        <f>(L646/100)/((L646+L647)/100)</f>
        <v>0.33692106979778214</v>
      </c>
      <c r="T648" s="158"/>
      <c r="U648" s="158"/>
      <c r="V648" s="153"/>
      <c r="W648" s="152">
        <f>W646*L648</f>
        <v>3.8347292816789507</v>
      </c>
      <c r="X648" s="153"/>
      <c r="Y648" s="153"/>
      <c r="Z648" s="152">
        <f>Z646*L648</f>
        <v>3.6169912156766393</v>
      </c>
      <c r="AA648" s="153"/>
      <c r="AB648" s="103"/>
      <c r="AC648" s="103"/>
      <c r="AD648" s="103"/>
      <c r="AE648" s="154">
        <f>AE646*L648</f>
        <v>5.5782778864970677E-2</v>
      </c>
      <c r="AG648" s="5"/>
      <c r="AH648" s="5"/>
      <c r="AI648" s="5"/>
      <c r="AJ648" s="103"/>
      <c r="AK648" s="72">
        <f>F652*LeagueRatings!$K$27</f>
        <v>0</v>
      </c>
      <c r="AL648" s="72">
        <f>G652*LeagueRatings!$K$27</f>
        <v>0</v>
      </c>
      <c r="AM648" s="72">
        <f>T655*LeagueRatings!$K$27</f>
        <v>0</v>
      </c>
      <c r="AN648" s="30"/>
    </row>
    <row r="649" spans="1:40" x14ac:dyDescent="0.2">
      <c r="C649" s="147">
        <v>0</v>
      </c>
      <c r="D649" s="147">
        <v>3</v>
      </c>
      <c r="E649" s="148">
        <v>7.25</v>
      </c>
      <c r="F649" s="147">
        <v>29</v>
      </c>
      <c r="G649" s="147">
        <v>0</v>
      </c>
      <c r="H649" s="147">
        <v>0</v>
      </c>
      <c r="I649" s="147">
        <v>0</v>
      </c>
      <c r="J649" s="147">
        <v>0</v>
      </c>
      <c r="K649" s="149">
        <v>3</v>
      </c>
      <c r="L649" s="157">
        <f>(L647/100)/((L646+L647)/100)</f>
        <v>0.66307893020221786</v>
      </c>
      <c r="T649" s="158"/>
      <c r="U649" s="158"/>
      <c r="V649" s="153"/>
      <c r="W649" s="152">
        <f>W647*L649</f>
        <v>9.5641173688101926</v>
      </c>
      <c r="X649" s="153"/>
      <c r="Y649" s="153"/>
      <c r="Z649" s="152">
        <f>Z647*L649</f>
        <v>14.189709481726819</v>
      </c>
      <c r="AA649" s="153"/>
      <c r="AB649" s="103"/>
      <c r="AC649" s="103"/>
      <c r="AD649" s="103"/>
      <c r="AE649" s="154">
        <f>AE647*L649</f>
        <v>17.578584021062934</v>
      </c>
      <c r="AF649" s="170" t="s">
        <v>342</v>
      </c>
      <c r="AG649" s="5" t="s">
        <v>59</v>
      </c>
      <c r="AH649" s="5" t="s">
        <v>35</v>
      </c>
      <c r="AI649" s="5" t="s">
        <v>48</v>
      </c>
      <c r="AJ649" s="174">
        <f>SUM(AJ645:AJ648)</f>
        <v>0</v>
      </c>
      <c r="AK649" s="14">
        <f>SUM(AK645:AK648)</f>
        <v>36.666666666666671</v>
      </c>
      <c r="AL649" s="14">
        <f>SUM(AL645:AL648)</f>
        <v>0</v>
      </c>
      <c r="AM649" s="14">
        <f>SUM(AM645:AM648)</f>
        <v>141.11111111111111</v>
      </c>
      <c r="AN649" s="30"/>
    </row>
    <row r="650" spans="1:40" x14ac:dyDescent="0.2">
      <c r="C650" s="147">
        <v>2</v>
      </c>
      <c r="D650" s="147">
        <v>2</v>
      </c>
      <c r="E650" s="148">
        <v>2.83</v>
      </c>
      <c r="F650" s="147">
        <v>37</v>
      </c>
      <c r="G650" s="147">
        <v>0</v>
      </c>
      <c r="H650" s="147">
        <v>0</v>
      </c>
      <c r="I650" s="147">
        <v>0</v>
      </c>
      <c r="J650" s="147">
        <v>1</v>
      </c>
      <c r="K650" s="147">
        <v>1</v>
      </c>
      <c r="T650" s="158"/>
      <c r="U650" s="158"/>
      <c r="V650" s="153"/>
      <c r="W650" s="152">
        <f>SUM(W648:W649)</f>
        <v>13.398846650489144</v>
      </c>
      <c r="X650" s="153"/>
      <c r="Y650" s="153"/>
      <c r="Z650" s="152">
        <f>SUM(Z648:Z649)</f>
        <v>17.806700697403457</v>
      </c>
      <c r="AA650" s="153"/>
      <c r="AB650" s="103"/>
      <c r="AC650" s="103"/>
      <c r="AD650" s="103"/>
      <c r="AE650" s="153">
        <f>SUM(AE648:AE649)</f>
        <v>17.634366799927903</v>
      </c>
      <c r="AK650" s="72">
        <f>F654*LeagueRatings!$K$27</f>
        <v>0</v>
      </c>
      <c r="AL650" s="72">
        <f>G654*LeagueRatings!$K$27</f>
        <v>0</v>
      </c>
      <c r="AM650" s="72">
        <f>T657*LeagueRatings!$K$27</f>
        <v>0</v>
      </c>
      <c r="AN650" s="30"/>
    </row>
    <row r="651" spans="1:40" x14ac:dyDescent="0.2">
      <c r="AJ651" s="103">
        <f>+AO528*LeagueRatings!$K$27</f>
        <v>0</v>
      </c>
      <c r="AK651" s="72">
        <f>F655*LeagueRatings!$K$27</f>
        <v>27.777777777777779</v>
      </c>
      <c r="AL651" s="72">
        <f>G655*LeagueRatings!$K$27</f>
        <v>0</v>
      </c>
      <c r="AM651" s="72">
        <f>T658*LeagueRatings!$K$27</f>
        <v>67.222222222222229</v>
      </c>
      <c r="AN651" s="30"/>
    </row>
    <row r="652" spans="1:40" x14ac:dyDescent="0.2">
      <c r="L652" s="148">
        <v>22.33</v>
      </c>
      <c r="M652" s="147">
        <v>23</v>
      </c>
      <c r="N652" s="147">
        <v>19</v>
      </c>
      <c r="O652" s="147">
        <v>18</v>
      </c>
      <c r="P652" s="147">
        <v>4</v>
      </c>
      <c r="Q652" s="147">
        <v>15</v>
      </c>
      <c r="R652" s="147">
        <v>2</v>
      </c>
      <c r="S652" s="147">
        <v>24</v>
      </c>
      <c r="T652" s="147">
        <v>111</v>
      </c>
      <c r="V652" s="151">
        <f>+(Q652-R652)/(T652-R652)*100</f>
        <v>11.926605504587156</v>
      </c>
      <c r="W652" s="152">
        <f>IF(V652&lt;LeagueRatings!$K$10,((LeagueRatings!$K$10-V652)/LeagueRatings!$K$10)*36,(LeagueRatings!$K$10-V652)*6.48)</f>
        <v>-21.118623175531113</v>
      </c>
      <c r="X652" s="153">
        <v>2.5499999999999998</v>
      </c>
      <c r="Y652" s="153">
        <f>(P652/(T652-R652))*100</f>
        <v>3.669724770642202</v>
      </c>
      <c r="Z652" s="152">
        <f>IF(Y652&lt;LeagueRatings!$K$8,((LeagueRatings!$K$8-Y652)/LeagueRatings!$K$8)*36,(LeagueRatings!$K$8-Y652)/LeagueRatings!$K$11)</f>
        <v>-3.712217250533365</v>
      </c>
      <c r="AA652" s="153">
        <v>0.71</v>
      </c>
      <c r="AB652" s="103">
        <f>+((LeagueRatings!$I$6-E649)*5)+9.5</f>
        <v>-5.7419485447225966</v>
      </c>
      <c r="AC652" s="103">
        <f>IF(AB652&lt;4,4,AB652)</f>
        <v>4</v>
      </c>
      <c r="AD652" s="103">
        <f>IF(M652&lt;L652,((1-(M652/L652))*7)-0.07,(1-(M652/L652))*5)</f>
        <v>-0.15002239140170182</v>
      </c>
      <c r="AE652" s="154">
        <f>+X652+AA652+AC652+AD652</f>
        <v>7.1099776085982977</v>
      </c>
      <c r="AF652" s="170"/>
      <c r="AG652" s="5" t="s">
        <v>55</v>
      </c>
      <c r="AH652" s="5" t="s">
        <v>61</v>
      </c>
      <c r="AI652" s="5" t="s">
        <v>45</v>
      </c>
      <c r="AJ652" s="103">
        <f>+AO529*LeagueRatings!$K$27</f>
        <v>6.1111111111111116</v>
      </c>
      <c r="AK652" s="72">
        <f>F656*LeagueRatings!$K$27</f>
        <v>12.222222222222223</v>
      </c>
      <c r="AL652" s="72">
        <f>G656*LeagueRatings!$K$27</f>
        <v>0</v>
      </c>
      <c r="AM652" s="72">
        <f>T659*LeagueRatings!$K$27</f>
        <v>23.888888888888889</v>
      </c>
      <c r="AN652" s="30"/>
    </row>
    <row r="653" spans="1:40" x14ac:dyDescent="0.2">
      <c r="A653" s="166" t="s">
        <v>330</v>
      </c>
      <c r="B653" s="138" t="s">
        <v>170</v>
      </c>
      <c r="L653" s="148">
        <v>35</v>
      </c>
      <c r="M653" s="147">
        <v>22</v>
      </c>
      <c r="N653" s="147">
        <v>11</v>
      </c>
      <c r="O653" s="147">
        <v>11</v>
      </c>
      <c r="P653" s="147">
        <v>1</v>
      </c>
      <c r="Q653" s="147">
        <v>11</v>
      </c>
      <c r="R653" s="147">
        <v>0</v>
      </c>
      <c r="S653" s="147">
        <v>42</v>
      </c>
      <c r="T653" s="150">
        <v>143</v>
      </c>
      <c r="U653" s="138"/>
      <c r="V653" s="162">
        <f>+(Q653-R653)/(T653-R653)*100</f>
        <v>7.6923076923076925</v>
      </c>
      <c r="W653" s="163">
        <f>IF(V653&lt;LeagueRatings!$K$21,((LeagueRatings!$K$21-V653)/LeagueRatings!$K$21)*36,(LeagueRatings!$K$21-V653)*6.48)</f>
        <v>5.0692957754053483</v>
      </c>
      <c r="X653" s="164">
        <v>-0.24</v>
      </c>
      <c r="Y653" s="164">
        <f>(P653/(T653-R653))*100</f>
        <v>0.69930069930069927</v>
      </c>
      <c r="Z653" s="163">
        <f>IF(Y653&lt;LeagueRatings!$K$19,((LeagueRatings!$K$19-Y653)/LeagueRatings!$K$19)*36,(LeagueRatings!$K$19-Y653)/LeagueRatings!$K$22)</f>
        <v>27.342908212863374</v>
      </c>
      <c r="AA653" s="164">
        <v>-2.08</v>
      </c>
      <c r="AB653" s="71">
        <f>+((LeagueRatings!$I$17-E650)*5)+9.5</f>
        <v>16.164387243706361</v>
      </c>
      <c r="AC653" s="71">
        <f>IF(AB653&lt;4,4,AB653)</f>
        <v>16.164387243706361</v>
      </c>
      <c r="AD653" s="103">
        <f>IF(M653&lt;L653,((1-(M653/L653))*7)-0.07,(1-(M653/L653))*5)</f>
        <v>2.5300000000000002</v>
      </c>
      <c r="AE653" s="165">
        <f>+X653+AA653+AC653+AD653</f>
        <v>16.374387243706362</v>
      </c>
      <c r="AG653" s="5"/>
      <c r="AH653" s="5"/>
      <c r="AI653" s="5"/>
      <c r="AJ653" s="103"/>
      <c r="AK653" s="72">
        <f>F657*LeagueRatings!$K$27</f>
        <v>0</v>
      </c>
      <c r="AL653" s="72">
        <f>G657*LeagueRatings!$K$27</f>
        <v>0</v>
      </c>
      <c r="AM653" s="72">
        <f>T660*LeagueRatings!$K$27</f>
        <v>0</v>
      </c>
      <c r="AN653" s="30"/>
    </row>
    <row r="654" spans="1:40" x14ac:dyDescent="0.2">
      <c r="A654" s="58" t="s">
        <v>330</v>
      </c>
      <c r="B654" s="147" t="s">
        <v>159</v>
      </c>
      <c r="L654" s="157">
        <f>(L652/100)/((L652+L653)/100)</f>
        <v>0.38949938949938945</v>
      </c>
      <c r="T654" s="158"/>
      <c r="U654" s="158"/>
      <c r="V654" s="153"/>
      <c r="W654" s="152">
        <f>W652*L654</f>
        <v>-8.2256908339370263</v>
      </c>
      <c r="X654" s="153"/>
      <c r="Y654" s="153"/>
      <c r="Z654" s="152">
        <f>Z652*L654</f>
        <v>-1.4459063527718476</v>
      </c>
      <c r="AA654" s="153"/>
      <c r="AB654" s="103"/>
      <c r="AC654" s="103"/>
      <c r="AD654" s="103"/>
      <c r="AE654" s="154">
        <f>AE652*L654</f>
        <v>2.7693319379033658</v>
      </c>
      <c r="AG654" s="5"/>
      <c r="AH654" s="5"/>
      <c r="AI654" s="5"/>
      <c r="AJ654" s="103"/>
      <c r="AK654" s="72">
        <f>F658*LeagueRatings!$K$27</f>
        <v>0</v>
      </c>
      <c r="AL654" s="72">
        <f>G658*LeagueRatings!$K$27</f>
        <v>0</v>
      </c>
      <c r="AM654" s="72">
        <f>T661*LeagueRatings!$K$27</f>
        <v>0</v>
      </c>
      <c r="AN654" s="30"/>
    </row>
    <row r="655" spans="1:40" x14ac:dyDescent="0.2">
      <c r="C655" s="138">
        <v>3</v>
      </c>
      <c r="D655" s="138">
        <v>1</v>
      </c>
      <c r="E655" s="159">
        <v>2.1</v>
      </c>
      <c r="F655" s="138">
        <v>50</v>
      </c>
      <c r="G655" s="138">
        <v>0</v>
      </c>
      <c r="H655" s="138">
        <v>0</v>
      </c>
      <c r="I655" s="138">
        <v>0</v>
      </c>
      <c r="J655" s="138">
        <v>0</v>
      </c>
      <c r="K655" s="160">
        <v>2</v>
      </c>
      <c r="L655" s="157">
        <f>(L653/100)/((L652+L653)/100)</f>
        <v>0.61050061050061044</v>
      </c>
      <c r="T655" s="158"/>
      <c r="U655" s="158"/>
      <c r="V655" s="153"/>
      <c r="W655" s="152">
        <f>W653*L655</f>
        <v>3.0948081656931303</v>
      </c>
      <c r="X655" s="153"/>
      <c r="Y655" s="153"/>
      <c r="Z655" s="152">
        <f>Z653*L655</f>
        <v>16.692862156815245</v>
      </c>
      <c r="AA655" s="153"/>
      <c r="AB655" s="103"/>
      <c r="AC655" s="103"/>
      <c r="AD655" s="103"/>
      <c r="AE655" s="154">
        <f>AE653*L655</f>
        <v>9.9965734088561415</v>
      </c>
      <c r="AF655" s="170" t="s">
        <v>330</v>
      </c>
      <c r="AG655" s="5" t="s">
        <v>21</v>
      </c>
      <c r="AH655" s="5" t="s">
        <v>20</v>
      </c>
      <c r="AI655" s="5" t="s">
        <v>15</v>
      </c>
      <c r="AJ655" s="174">
        <f>SUM(AJ651:AJ654)</f>
        <v>6.1111111111111116</v>
      </c>
      <c r="AK655" s="14">
        <f>SUM(AK651:AK654)</f>
        <v>40</v>
      </c>
      <c r="AL655" s="14">
        <f>SUM(AL651:AL654)</f>
        <v>0</v>
      </c>
      <c r="AM655" s="14">
        <f>SUM(AM651:AM654)</f>
        <v>91.111111111111114</v>
      </c>
      <c r="AN655" s="30"/>
    </row>
    <row r="656" spans="1:40" x14ac:dyDescent="0.2">
      <c r="C656" s="147">
        <v>0</v>
      </c>
      <c r="D656" s="147">
        <v>1</v>
      </c>
      <c r="E656" s="148">
        <v>6.75</v>
      </c>
      <c r="F656" s="147">
        <v>22</v>
      </c>
      <c r="G656" s="147">
        <v>0</v>
      </c>
      <c r="H656" s="147">
        <v>0</v>
      </c>
      <c r="I656" s="147">
        <v>0</v>
      </c>
      <c r="J656" s="147">
        <v>0</v>
      </c>
      <c r="K656" s="147">
        <v>2</v>
      </c>
      <c r="T656" s="158"/>
      <c r="U656" s="158"/>
      <c r="V656" s="153"/>
      <c r="W656" s="152">
        <f>SUM(W654:W655)</f>
        <v>-5.1308826682438955</v>
      </c>
      <c r="X656" s="153"/>
      <c r="Y656" s="153"/>
      <c r="Z656" s="152">
        <f>SUM(Z654:Z655)</f>
        <v>15.246955804043397</v>
      </c>
      <c r="AA656" s="153"/>
      <c r="AB656" s="103"/>
      <c r="AC656" s="103"/>
      <c r="AD656" s="103"/>
      <c r="AE656" s="153">
        <f>SUM(AE654:AE655)</f>
        <v>12.765905346759507</v>
      </c>
      <c r="AK656" s="72">
        <f>F660*LeagueRatings!$K$27</f>
        <v>0</v>
      </c>
      <c r="AL656" s="72">
        <f>G660*LeagueRatings!$K$27</f>
        <v>0</v>
      </c>
      <c r="AM656" s="72">
        <f>T663*LeagueRatings!$K$27</f>
        <v>0</v>
      </c>
      <c r="AN656" s="30"/>
    </row>
    <row r="657" spans="1:40" x14ac:dyDescent="0.2">
      <c r="AJ657" s="103">
        <f>+AO534*LeagueRatings!$K$27</f>
        <v>0</v>
      </c>
      <c r="AK657" s="72">
        <f>F661*LeagueRatings!$K$27</f>
        <v>22.222222222222221</v>
      </c>
      <c r="AL657" s="72">
        <f>G661*LeagueRatings!$K$27</f>
        <v>0</v>
      </c>
      <c r="AM657" s="72">
        <f>T664*LeagueRatings!$K$27</f>
        <v>64.444444444444443</v>
      </c>
      <c r="AN657" s="30"/>
    </row>
    <row r="658" spans="1:40" x14ac:dyDescent="0.2">
      <c r="L658" s="159">
        <v>30</v>
      </c>
      <c r="M658" s="138">
        <v>28</v>
      </c>
      <c r="N658" s="138">
        <v>7</v>
      </c>
      <c r="O658" s="138">
        <v>7</v>
      </c>
      <c r="P658" s="138">
        <v>3</v>
      </c>
      <c r="Q658" s="138">
        <v>4</v>
      </c>
      <c r="R658" s="138">
        <v>0</v>
      </c>
      <c r="S658" s="138">
        <v>29</v>
      </c>
      <c r="T658" s="161">
        <v>121</v>
      </c>
      <c r="V658" s="151">
        <f>+(Q658-R658)/(T658-R658)*100</f>
        <v>3.3057851239669422</v>
      </c>
      <c r="W658" s="152">
        <f>IF(V658&lt;LeagueRatings!$K$21,((LeagueRatings!$K$21-V658)/LeagueRatings!$K$21)*36,(LeagueRatings!$K$21-V658)*6.48)</f>
        <v>22.707465953066762</v>
      </c>
      <c r="X658" s="153">
        <v>-2</v>
      </c>
      <c r="Y658" s="153">
        <f>(P658/(T658-R658))*100</f>
        <v>2.4793388429752068</v>
      </c>
      <c r="Z658" s="152">
        <f>IF(Y658&lt;LeagueRatings!$K$19,((LeagueRatings!$K$19-Y658)/LeagueRatings!$K$19)*36,(LeagueRatings!$K$19-Y658)/LeagueRatings!$K$22)</f>
        <v>5.3066745728792188</v>
      </c>
      <c r="AA658" s="153">
        <v>0.08</v>
      </c>
      <c r="AB658" s="103">
        <f>+((LeagueRatings!$I$17-E655)*5)+9.5</f>
        <v>19.814387243706364</v>
      </c>
      <c r="AC658" s="103">
        <f>IF(AB658&lt;4,4,AB658)</f>
        <v>19.814387243706364</v>
      </c>
      <c r="AD658" s="103">
        <f>IF(M658&lt;L658,((1-(M658/L658))*7)-0.07,(1-(M658/L658))*5)</f>
        <v>0.39666666666666656</v>
      </c>
      <c r="AE658" s="154">
        <f>+X658+AA658+AC658+AD658</f>
        <v>18.29105391037303</v>
      </c>
      <c r="AF658" s="170"/>
      <c r="AG658" s="5" t="s">
        <v>24</v>
      </c>
      <c r="AH658" s="5" t="s">
        <v>40</v>
      </c>
      <c r="AI658" s="5" t="s">
        <v>27</v>
      </c>
      <c r="AJ658" s="103">
        <f>+AO535*LeagueRatings!$K$27</f>
        <v>12.777777777777779</v>
      </c>
      <c r="AK658" s="72">
        <f>F662*LeagueRatings!$K$27</f>
        <v>11.111111111111111</v>
      </c>
      <c r="AL658" s="72">
        <f>G662*LeagueRatings!$K$27</f>
        <v>0</v>
      </c>
      <c r="AM658" s="72">
        <f>T665*LeagueRatings!$K$27</f>
        <v>39.444444444444443</v>
      </c>
      <c r="AN658" s="30"/>
    </row>
    <row r="659" spans="1:40" x14ac:dyDescent="0.2">
      <c r="A659" s="146" t="s">
        <v>502</v>
      </c>
      <c r="B659" s="138" t="s">
        <v>147</v>
      </c>
      <c r="L659" s="148">
        <v>9.33</v>
      </c>
      <c r="M659" s="147">
        <v>12</v>
      </c>
      <c r="N659" s="147">
        <v>7</v>
      </c>
      <c r="O659" s="147">
        <v>7</v>
      </c>
      <c r="P659" s="147">
        <v>1</v>
      </c>
      <c r="Q659" s="147">
        <v>6</v>
      </c>
      <c r="R659" s="147">
        <v>0</v>
      </c>
      <c r="S659" s="147">
        <v>7</v>
      </c>
      <c r="T659" s="150">
        <v>43</v>
      </c>
      <c r="U659" s="138"/>
      <c r="V659" s="151">
        <f>+(Q659-R659)/(T659-R659)*100</f>
        <v>13.953488372093023</v>
      </c>
      <c r="W659" s="152">
        <f>IF(V659&lt;LeagueRatings!$K$21,((LeagueRatings!$K$21-V659)/LeagueRatings!$K$21)*36,(LeagueRatings!$K$21-V659)*6.48)</f>
        <v>-32.40306367183176</v>
      </c>
      <c r="X659" s="153">
        <v>5.44</v>
      </c>
      <c r="Y659" s="153">
        <f>(P659/(T659-R659))*100</f>
        <v>2.3255813953488373</v>
      </c>
      <c r="Z659" s="152">
        <f>IF(Y659&lt;LeagueRatings!$K$19,((LeagueRatings!$K$19-Y659)/LeagueRatings!$K$19)*36,(LeagueRatings!$K$19-Y659)/LeagueRatings!$K$22)</f>
        <v>7.2101366148712067</v>
      </c>
      <c r="AA659" s="153">
        <v>0</v>
      </c>
      <c r="AB659" s="103">
        <f>+((LeagueRatings!$I$17-E656)*5)+9.5</f>
        <v>-3.4356127562936365</v>
      </c>
      <c r="AC659" s="103">
        <f>IF(AB659&lt;4,4,AB659)</f>
        <v>4</v>
      </c>
      <c r="AD659" s="103">
        <f>IF(M659&lt;L659,((1-(M659/L659))*7)-0.07,(1-(M659/L659))*5)</f>
        <v>-1.4308681672025725</v>
      </c>
      <c r="AE659" s="154">
        <f>+X659+AA659+AC659+AD659</f>
        <v>8.0091318327974292</v>
      </c>
      <c r="AG659" s="5"/>
      <c r="AH659" s="5"/>
      <c r="AI659" s="5"/>
      <c r="AJ659" s="103"/>
      <c r="AK659" s="72">
        <f>F663*LeagueRatings!$K$27</f>
        <v>0</v>
      </c>
      <c r="AL659" s="72">
        <f>G663*LeagueRatings!$K$27</f>
        <v>0</v>
      </c>
      <c r="AM659" s="72">
        <f>T666*LeagueRatings!$K$27</f>
        <v>0</v>
      </c>
      <c r="AN659" s="30"/>
    </row>
    <row r="660" spans="1:40" x14ac:dyDescent="0.2">
      <c r="A660" s="58" t="s">
        <v>502</v>
      </c>
      <c r="B660" s="147" t="s">
        <v>146</v>
      </c>
      <c r="L660" s="157">
        <f>(L658/100)/((L658+L659)/100)</f>
        <v>0.76277650648360029</v>
      </c>
      <c r="T660" s="158"/>
      <c r="U660" s="158"/>
      <c r="V660" s="153"/>
      <c r="W660" s="152">
        <f>W658*L660</f>
        <v>17.320721550775563</v>
      </c>
      <c r="X660" s="153"/>
      <c r="Y660" s="153"/>
      <c r="Z660" s="152">
        <f>Z658*L660</f>
        <v>4.0478066917461621</v>
      </c>
      <c r="AA660" s="153"/>
      <c r="AB660" s="103"/>
      <c r="AC660" s="103"/>
      <c r="AD660" s="103"/>
      <c r="AE660" s="154">
        <f>AE658*L660</f>
        <v>13.951986201657537</v>
      </c>
      <c r="AG660" s="5"/>
      <c r="AH660" s="5"/>
      <c r="AI660" s="5"/>
      <c r="AJ660" s="103"/>
      <c r="AK660" s="72">
        <f>F664*LeagueRatings!$K$27</f>
        <v>0</v>
      </c>
      <c r="AL660" s="72">
        <f>G664*LeagueRatings!$K$27</f>
        <v>0</v>
      </c>
      <c r="AM660" s="72">
        <f>T667*LeagueRatings!$K$27</f>
        <v>0</v>
      </c>
      <c r="AN660" s="30"/>
    </row>
    <row r="661" spans="1:40" x14ac:dyDescent="0.2">
      <c r="C661" s="138">
        <v>0</v>
      </c>
      <c r="D661" s="138">
        <v>3</v>
      </c>
      <c r="E661" s="159">
        <v>3.86</v>
      </c>
      <c r="F661" s="138">
        <v>40</v>
      </c>
      <c r="G661" s="138">
        <v>0</v>
      </c>
      <c r="H661" s="138">
        <v>0</v>
      </c>
      <c r="I661" s="138">
        <v>0</v>
      </c>
      <c r="J661" s="138">
        <v>0</v>
      </c>
      <c r="K661" s="160">
        <v>1</v>
      </c>
      <c r="L661" s="157">
        <f>(L659/100)/((L658+L659)/100)</f>
        <v>0.23722349351639968</v>
      </c>
      <c r="T661" s="158"/>
      <c r="U661" s="158"/>
      <c r="V661" s="153"/>
      <c r="W661" s="152">
        <f>W659*L661</f>
        <v>-7.6867679648662675</v>
      </c>
      <c r="X661" s="153"/>
      <c r="Y661" s="153"/>
      <c r="Z661" s="152">
        <f>Z659*L661</f>
        <v>1.7104137965102557</v>
      </c>
      <c r="AA661" s="153"/>
      <c r="AB661" s="103"/>
      <c r="AC661" s="103"/>
      <c r="AD661" s="103"/>
      <c r="AE661" s="154">
        <f>AE659*L661</f>
        <v>1.8999542334096113</v>
      </c>
      <c r="AF661" s="170" t="s">
        <v>502</v>
      </c>
      <c r="AG661" s="5" t="s">
        <v>39</v>
      </c>
      <c r="AH661" s="5" t="s">
        <v>47</v>
      </c>
      <c r="AI661" s="5" t="s">
        <v>62</v>
      </c>
      <c r="AJ661" s="174">
        <f>SUM(AJ657:AJ660)</f>
        <v>12.777777777777779</v>
      </c>
      <c r="AK661" s="14">
        <f>SUM(AK657:AK660)</f>
        <v>33.333333333333329</v>
      </c>
      <c r="AL661" s="14">
        <f>SUM(AL657:AL660)</f>
        <v>0</v>
      </c>
      <c r="AM661" s="14">
        <f>SUM(AM657:AM660)</f>
        <v>103.88888888888889</v>
      </c>
      <c r="AN661" s="30"/>
    </row>
    <row r="662" spans="1:40" x14ac:dyDescent="0.2">
      <c r="C662" s="147">
        <v>0</v>
      </c>
      <c r="D662" s="147">
        <v>1</v>
      </c>
      <c r="E662" s="148">
        <v>3.52</v>
      </c>
      <c r="F662" s="147">
        <v>20</v>
      </c>
      <c r="G662" s="147">
        <v>0</v>
      </c>
      <c r="H662" s="146">
        <v>0</v>
      </c>
      <c r="I662" s="147">
        <v>0</v>
      </c>
      <c r="J662" s="147">
        <v>0</v>
      </c>
      <c r="K662" s="147">
        <v>0</v>
      </c>
      <c r="T662" s="158"/>
      <c r="U662" s="158"/>
      <c r="V662" s="153"/>
      <c r="W662" s="152">
        <f>SUM(W660:W661)</f>
        <v>9.6339535859092962</v>
      </c>
      <c r="X662" s="153"/>
      <c r="Y662" s="153"/>
      <c r="Z662" s="152">
        <f>SUM(Z660:Z661)</f>
        <v>5.7582204882564181</v>
      </c>
      <c r="AA662" s="153"/>
      <c r="AB662" s="103"/>
      <c r="AC662" s="103"/>
      <c r="AD662" s="103"/>
      <c r="AE662" s="153">
        <f>SUM(AE660:AE661)</f>
        <v>15.851940435067148</v>
      </c>
      <c r="AK662" s="72">
        <f>F666*LeagueRatings!$K$27</f>
        <v>0</v>
      </c>
      <c r="AL662" s="72">
        <f>G666*LeagueRatings!$K$27</f>
        <v>0</v>
      </c>
      <c r="AM662" s="72">
        <f>T669*LeagueRatings!$K$27</f>
        <v>0</v>
      </c>
      <c r="AN662" s="30"/>
    </row>
    <row r="663" spans="1:40" x14ac:dyDescent="0.2">
      <c r="AJ663" s="103">
        <f>+AO540*LeagueRatings!$K$27</f>
        <v>0</v>
      </c>
      <c r="AK663" s="72">
        <f>F667*LeagueRatings!$K$27</f>
        <v>23.333333333333336</v>
      </c>
      <c r="AL663" s="72">
        <f>G667*LeagueRatings!$K$27</f>
        <v>0</v>
      </c>
      <c r="AM663" s="72">
        <f>T670*LeagueRatings!$K$27</f>
        <v>93.8888888888889</v>
      </c>
      <c r="AN663" s="30"/>
    </row>
    <row r="664" spans="1:40" x14ac:dyDescent="0.2">
      <c r="L664" s="159">
        <v>28</v>
      </c>
      <c r="M664" s="138">
        <v>25</v>
      </c>
      <c r="N664" s="138">
        <v>14</v>
      </c>
      <c r="O664" s="138">
        <v>12</v>
      </c>
      <c r="P664" s="138">
        <v>4</v>
      </c>
      <c r="Q664" s="138">
        <v>10</v>
      </c>
      <c r="R664" s="138">
        <v>1</v>
      </c>
      <c r="S664" s="138">
        <v>21</v>
      </c>
      <c r="T664" s="138">
        <v>116</v>
      </c>
      <c r="V664" s="151">
        <f>+(Q664-R664)/(T664-R664)*100</f>
        <v>7.8260869565217401</v>
      </c>
      <c r="W664" s="152">
        <f>IF(V664&lt;LeagueRatings!$K$10,((LeagueRatings!$K$10-V664)/LeagueRatings!$K$10)*36,(LeagueRatings!$K$10-V664)*6.48)</f>
        <v>3.4949845056256863</v>
      </c>
      <c r="X664" s="153">
        <v>-0.24</v>
      </c>
      <c r="Y664" s="153">
        <f>(P664/(T664-R664))*100</f>
        <v>3.4782608695652173</v>
      </c>
      <c r="Z664" s="152">
        <f>IF(Y664&lt;LeagueRatings!$K$8,((LeagueRatings!$K$8-Y664)/LeagueRatings!$K$8)*36,(LeagueRatings!$K$8-Y664)/LeagueRatings!$K$11)</f>
        <v>-2.1919072240480606</v>
      </c>
      <c r="AA664" s="153">
        <v>0.51</v>
      </c>
      <c r="AB664" s="103">
        <f>+((LeagueRatings!$I$6-E661)*5)+9.5</f>
        <v>11.208051455277404</v>
      </c>
      <c r="AC664" s="103">
        <f>IF(AB664&lt;4,4,AB664)</f>
        <v>11.208051455277404</v>
      </c>
      <c r="AD664" s="103">
        <f>IF(M664&lt;L664,((1-(M664/L664))*7)-0.07,(1-(M664/L664))*5)</f>
        <v>0.67999999999999972</v>
      </c>
      <c r="AE664" s="154">
        <f>+X664+AA664+AC664+AD664</f>
        <v>12.158051455277404</v>
      </c>
      <c r="AF664" s="170"/>
      <c r="AG664" s="5" t="s">
        <v>21</v>
      </c>
      <c r="AH664" s="5" t="s">
        <v>57</v>
      </c>
      <c r="AI664" s="5" t="s">
        <v>30</v>
      </c>
      <c r="AJ664" s="103">
        <f>+AO541*LeagueRatings!$K$27</f>
        <v>16.666666666666668</v>
      </c>
      <c r="AK664" s="72">
        <f>F668*LeagueRatings!$K$27</f>
        <v>13.888888888888889</v>
      </c>
      <c r="AL664" s="72">
        <f>G668*LeagueRatings!$K$27</f>
        <v>0</v>
      </c>
      <c r="AM664" s="72">
        <f>T671*LeagueRatings!$K$27</f>
        <v>47.222222222222221</v>
      </c>
      <c r="AN664" s="30"/>
    </row>
    <row r="665" spans="1:40" x14ac:dyDescent="0.2">
      <c r="A665" s="146" t="s">
        <v>539</v>
      </c>
      <c r="B665" s="138" t="s">
        <v>164</v>
      </c>
      <c r="L665" s="148">
        <v>15.33</v>
      </c>
      <c r="M665" s="147">
        <v>22</v>
      </c>
      <c r="N665" s="147">
        <v>6</v>
      </c>
      <c r="O665" s="147">
        <v>6</v>
      </c>
      <c r="P665" s="147">
        <v>0</v>
      </c>
      <c r="Q665" s="147">
        <v>5</v>
      </c>
      <c r="R665" s="147">
        <v>0</v>
      </c>
      <c r="S665" s="147">
        <v>9</v>
      </c>
      <c r="T665" s="147">
        <v>71</v>
      </c>
      <c r="U665" s="147"/>
      <c r="V665" s="151">
        <f>+(Q665-R665)/(T665-R665)*100</f>
        <v>7.042253521126761</v>
      </c>
      <c r="W665" s="152">
        <f>IF(V665&lt;LeagueRatings!$K$10,((LeagueRatings!$K$10-V665)/LeagueRatings!$K$10)*36,(LeagueRatings!$K$10-V665)*6.48)</f>
        <v>6.750572911947998</v>
      </c>
      <c r="X665" s="153">
        <v>-0.56000000000000005</v>
      </c>
      <c r="Y665" s="153">
        <f>(P665/(T665-R665))*100</f>
        <v>0</v>
      </c>
      <c r="Z665" s="152">
        <f>IF(Y665&lt;LeagueRatings!$K$8,((LeagueRatings!$K$8-Y665)/LeagueRatings!$K$8)*36,(LeagueRatings!$K$8-Y665)/LeagueRatings!$K$11)</f>
        <v>36</v>
      </c>
      <c r="AA665" s="153">
        <v>-3.26</v>
      </c>
      <c r="AB665" s="103">
        <f>+((LeagueRatings!$I$6-E662)*5)+9.5</f>
        <v>12.908051455277404</v>
      </c>
      <c r="AC665" s="103">
        <f>IF(AB665&lt;4,4,AB665)</f>
        <v>12.908051455277404</v>
      </c>
      <c r="AD665" s="103">
        <f>IF(M665&lt;L665,((1-(M665/L665))*7)-0.07,(1-(M665/L665))*5)</f>
        <v>-2.175472928897586</v>
      </c>
      <c r="AE665" s="154">
        <f>+X665+AA665+AC665+AD665</f>
        <v>6.9125785263798178</v>
      </c>
      <c r="AG665" s="5"/>
      <c r="AH665" s="5"/>
      <c r="AI665" s="5"/>
      <c r="AJ665" s="103"/>
      <c r="AK665" s="72">
        <f>F669*LeagueRatings!$K$27</f>
        <v>0</v>
      </c>
      <c r="AL665" s="72">
        <f>G669*LeagueRatings!$K$27</f>
        <v>0</v>
      </c>
      <c r="AM665" s="72">
        <f>T672*LeagueRatings!$K$27</f>
        <v>0</v>
      </c>
      <c r="AN665" s="30"/>
    </row>
    <row r="666" spans="1:40" x14ac:dyDescent="0.2">
      <c r="A666" s="58" t="s">
        <v>539</v>
      </c>
      <c r="B666" s="138" t="s">
        <v>149</v>
      </c>
      <c r="L666" s="157">
        <f>(L664/100)/((L664+L665)/100)</f>
        <v>0.64620355411954777</v>
      </c>
      <c r="T666" s="158"/>
      <c r="U666" s="158"/>
      <c r="V666" s="153"/>
      <c r="W666" s="152">
        <f>W664*L666</f>
        <v>2.2584714091280693</v>
      </c>
      <c r="X666" s="153"/>
      <c r="Y666" s="153"/>
      <c r="Z666" s="152">
        <f>Z664*L666</f>
        <v>-1.4164182384801687</v>
      </c>
      <c r="AA666" s="153"/>
      <c r="AB666" s="103"/>
      <c r="AC666" s="103"/>
      <c r="AD666" s="103"/>
      <c r="AE666" s="154">
        <f>AE664*L666</f>
        <v>7.8565760615685987</v>
      </c>
      <c r="AG666" s="5"/>
      <c r="AH666" s="5"/>
      <c r="AI666" s="5"/>
      <c r="AJ666" s="103"/>
      <c r="AK666" s="72">
        <f>F670*LeagueRatings!$K$27</f>
        <v>0</v>
      </c>
      <c r="AL666" s="72">
        <f>G670*LeagueRatings!$K$27</f>
        <v>0</v>
      </c>
      <c r="AM666" s="72">
        <f>T673*LeagueRatings!$K$27</f>
        <v>0</v>
      </c>
      <c r="AN666" s="30"/>
    </row>
    <row r="667" spans="1:40" x14ac:dyDescent="0.2">
      <c r="C667" s="138">
        <v>0</v>
      </c>
      <c r="D667" s="138">
        <v>4</v>
      </c>
      <c r="E667" s="159">
        <v>2.93</v>
      </c>
      <c r="F667" s="138">
        <v>42</v>
      </c>
      <c r="G667" s="138">
        <v>0</v>
      </c>
      <c r="H667" s="138">
        <v>0</v>
      </c>
      <c r="I667" s="138">
        <v>0</v>
      </c>
      <c r="J667" s="138">
        <v>19</v>
      </c>
      <c r="K667" s="160">
        <v>22</v>
      </c>
      <c r="L667" s="157">
        <f>(L665/100)/((L664+L665)/100)</f>
        <v>0.35379644588045234</v>
      </c>
      <c r="T667" s="158"/>
      <c r="U667" s="158"/>
      <c r="V667" s="153"/>
      <c r="W667" s="152">
        <f>W665*L667</f>
        <v>2.3883287039040573</v>
      </c>
      <c r="X667" s="153"/>
      <c r="Y667" s="153"/>
      <c r="Z667" s="152">
        <f>Z665*L667</f>
        <v>12.736672051696285</v>
      </c>
      <c r="AA667" s="153"/>
      <c r="AB667" s="103"/>
      <c r="AC667" s="103"/>
      <c r="AD667" s="103"/>
      <c r="AE667" s="154">
        <f>AE665*L667</f>
        <v>2.4456457145027142</v>
      </c>
      <c r="AF667" s="170" t="s">
        <v>539</v>
      </c>
      <c r="AG667" s="5" t="s">
        <v>31</v>
      </c>
      <c r="AH667" s="5" t="s">
        <v>57</v>
      </c>
      <c r="AI667" s="5" t="s">
        <v>47</v>
      </c>
      <c r="AJ667" s="174">
        <f>SUM(AJ663:AJ666)</f>
        <v>16.666666666666668</v>
      </c>
      <c r="AK667" s="14">
        <f>SUM(AK663:AK666)</f>
        <v>37.222222222222229</v>
      </c>
      <c r="AL667" s="14">
        <f>SUM(AL663:AL666)</f>
        <v>0</v>
      </c>
      <c r="AM667" s="14">
        <f>SUM(AM663:AM666)</f>
        <v>141.11111111111111</v>
      </c>
      <c r="AN667" s="30"/>
    </row>
    <row r="668" spans="1:40" x14ac:dyDescent="0.2">
      <c r="C668" s="138">
        <v>0</v>
      </c>
      <c r="D668" s="138">
        <v>1</v>
      </c>
      <c r="E668" s="159">
        <v>3.2</v>
      </c>
      <c r="F668" s="138">
        <v>25</v>
      </c>
      <c r="G668" s="138">
        <v>0</v>
      </c>
      <c r="H668" s="146">
        <v>0</v>
      </c>
      <c r="I668" s="138">
        <v>0</v>
      </c>
      <c r="J668" s="138">
        <v>2</v>
      </c>
      <c r="K668" s="160">
        <v>3</v>
      </c>
      <c r="T668" s="158"/>
      <c r="U668" s="158"/>
      <c r="V668" s="153"/>
      <c r="W668" s="152">
        <f>SUM(W666:W667)</f>
        <v>4.6468001130321266</v>
      </c>
      <c r="X668" s="153"/>
      <c r="Y668" s="153"/>
      <c r="Z668" s="152">
        <f>SUM(Z666:Z667)</f>
        <v>11.320253813216116</v>
      </c>
      <c r="AA668" s="153"/>
      <c r="AB668" s="103"/>
      <c r="AC668" s="103"/>
      <c r="AD668" s="103"/>
      <c r="AE668" s="153">
        <f>SUM(AE666:AE667)</f>
        <v>10.302221776071313</v>
      </c>
      <c r="AK668" s="72">
        <f>F672*LeagueRatings!$K$27</f>
        <v>0</v>
      </c>
      <c r="AL668" s="72">
        <f>G672*LeagueRatings!$K$27</f>
        <v>0</v>
      </c>
      <c r="AM668" s="72">
        <f>T675*LeagueRatings!$K$27</f>
        <v>0</v>
      </c>
      <c r="AN668" s="30"/>
    </row>
    <row r="669" spans="1:40" x14ac:dyDescent="0.2">
      <c r="AK669" s="72">
        <f>F673*LeagueRatings!$K$27</f>
        <v>0</v>
      </c>
      <c r="AL669" s="72">
        <f>G673*LeagueRatings!$K$27</f>
        <v>0</v>
      </c>
      <c r="AM669" s="72">
        <f>T676*LeagueRatings!$K$27</f>
        <v>0</v>
      </c>
      <c r="AN669" s="30"/>
    </row>
    <row r="670" spans="1:40" x14ac:dyDescent="0.2">
      <c r="L670" s="159">
        <v>43</v>
      </c>
      <c r="M670" s="138">
        <v>29</v>
      </c>
      <c r="N670" s="138">
        <v>15</v>
      </c>
      <c r="O670" s="138">
        <v>14</v>
      </c>
      <c r="P670" s="138">
        <v>4</v>
      </c>
      <c r="Q670" s="138">
        <v>14</v>
      </c>
      <c r="R670" s="138">
        <v>0</v>
      </c>
      <c r="S670" s="138">
        <v>44</v>
      </c>
      <c r="T670" s="138">
        <v>169</v>
      </c>
      <c r="V670" s="151">
        <f>+(Q670-R670)/(T670-R670)*100</f>
        <v>8.2840236686390547</v>
      </c>
      <c r="W670" s="152">
        <f>IF(V670&lt;LeagueRatings!$K$10,((LeagueRatings!$K$10-V670)/LeagueRatings!$K$10)*36,(LeagueRatings!$K$10-V670)*6.48)</f>
        <v>1.5929816265991796</v>
      </c>
      <c r="X670" s="153">
        <v>-0.08</v>
      </c>
      <c r="Y670" s="153">
        <f>(P670/(T670-R670))*100</f>
        <v>2.3668639053254439</v>
      </c>
      <c r="Z670" s="152">
        <f>IF(Y670&lt;LeagueRatings!$K$8,((LeagueRatings!$K$8-Y670)/LeagueRatings!$K$8)*36,(LeagueRatings!$K$8-Y670)/LeagueRatings!$K$11)</f>
        <v>9.3912222746578564</v>
      </c>
      <c r="AA670" s="153">
        <v>-0.35</v>
      </c>
      <c r="AB670" s="103">
        <f>+((LeagueRatings!$I$6-E667)*5)+9.5</f>
        <v>15.858051455277403</v>
      </c>
      <c r="AC670" s="103">
        <f>IF(AB670&lt;4,4,AB670)</f>
        <v>15.858051455277403</v>
      </c>
      <c r="AD670" s="103">
        <f>IF(M670&lt;L670,((1-(M670/L670))*7)-0.07,(1-(M670/L670))*5)</f>
        <v>2.2090697674418607</v>
      </c>
      <c r="AE670" s="154">
        <f>+X670+AA670+AC670+AD670</f>
        <v>17.637121222719266</v>
      </c>
      <c r="AK670" s="72">
        <f>F674*LeagueRatings!$K$27</f>
        <v>0</v>
      </c>
      <c r="AL670" s="72">
        <f>G674*LeagueRatings!$K$27</f>
        <v>0</v>
      </c>
      <c r="AM670" s="72">
        <f>T677*LeagueRatings!$K$27</f>
        <v>0</v>
      </c>
      <c r="AN670" s="30"/>
    </row>
    <row r="671" spans="1:40" x14ac:dyDescent="0.2">
      <c r="A671" s="155" t="s">
        <v>110</v>
      </c>
      <c r="B671" s="156" t="s">
        <v>146</v>
      </c>
      <c r="L671" s="159">
        <v>19.670000000000002</v>
      </c>
      <c r="M671" s="138">
        <v>16</v>
      </c>
      <c r="N671" s="138">
        <v>8</v>
      </c>
      <c r="O671" s="138">
        <v>7</v>
      </c>
      <c r="P671" s="138">
        <v>2</v>
      </c>
      <c r="Q671" s="138">
        <v>8</v>
      </c>
      <c r="R671" s="138">
        <v>1</v>
      </c>
      <c r="S671" s="138">
        <v>16</v>
      </c>
      <c r="T671" s="138">
        <v>85</v>
      </c>
      <c r="U671" s="138"/>
      <c r="V671" s="151">
        <f>+(Q671-R671)/(T671-R671)*100</f>
        <v>8.3333333333333321</v>
      </c>
      <c r="W671" s="152">
        <f>IF(V671&lt;LeagueRatings!$K$10,((LeagueRatings!$K$10-V671)/LeagueRatings!$K$10)*36,(LeagueRatings!$K$10-V671)*6.48)</f>
        <v>1.3881779458051384</v>
      </c>
      <c r="X671" s="153">
        <v>-0.08</v>
      </c>
      <c r="Y671" s="153">
        <f>(P671/(T671-R671))*100</f>
        <v>2.3809523809523809</v>
      </c>
      <c r="Z671" s="152">
        <f>IF(Y671&lt;LeagueRatings!$K$8,((LeagueRatings!$K$8-Y671)/LeagueRatings!$K$8)*36,(LeagueRatings!$K$8-Y671)/LeagueRatings!$K$11)</f>
        <v>9.2328366929593937</v>
      </c>
      <c r="AA671" s="153">
        <v>-0.28000000000000003</v>
      </c>
      <c r="AB671" s="103">
        <f>+((LeagueRatings!$I$6-E668)*5)+9.5</f>
        <v>14.508051455277403</v>
      </c>
      <c r="AC671" s="103">
        <f>IF(AB671&lt;4,4,AB671)</f>
        <v>14.508051455277403</v>
      </c>
      <c r="AD671" s="103">
        <f>IF(M671&lt;L671,((1-(M671/L671))*7)-0.07,(1-(M671/L671))*5)</f>
        <v>1.236049822064057</v>
      </c>
      <c r="AE671" s="154">
        <f>+X671+AA671+AC671+AD671</f>
        <v>15.384101277341461</v>
      </c>
      <c r="AK671" s="72">
        <f>F675*LeagueRatings!$K$27</f>
        <v>0</v>
      </c>
      <c r="AL671" s="72">
        <f>G675*LeagueRatings!$K$27</f>
        <v>0</v>
      </c>
      <c r="AM671" s="72">
        <f>T678*LeagueRatings!$K$27</f>
        <v>0</v>
      </c>
      <c r="AN671" s="30"/>
    </row>
    <row r="672" spans="1:40" x14ac:dyDescent="0.2">
      <c r="A672" s="155" t="s">
        <v>110</v>
      </c>
      <c r="B672" s="156" t="s">
        <v>149</v>
      </c>
      <c r="L672" s="157">
        <f>(L670/100)/((L670+L671)/100)</f>
        <v>0.68613371629168651</v>
      </c>
      <c r="T672" s="158"/>
      <c r="U672" s="158"/>
      <c r="V672" s="153"/>
      <c r="W672" s="152">
        <f>W670*L672</f>
        <v>1.0929984034428708</v>
      </c>
      <c r="X672" s="153"/>
      <c r="Y672" s="153"/>
      <c r="Z672" s="152">
        <f>Z670*L672</f>
        <v>6.4436342398322601</v>
      </c>
      <c r="AA672" s="153"/>
      <c r="AB672" s="103"/>
      <c r="AC672" s="103"/>
      <c r="AD672" s="103"/>
      <c r="AE672" s="154">
        <f>AE670*L672</f>
        <v>12.101423529231344</v>
      </c>
      <c r="AK672" s="72">
        <f>F676*LeagueRatings!$K$27</f>
        <v>0</v>
      </c>
      <c r="AL672" s="72">
        <f>G676*LeagueRatings!$K$27</f>
        <v>0</v>
      </c>
      <c r="AM672" s="72">
        <f>T679*LeagueRatings!$K$27</f>
        <v>0</v>
      </c>
      <c r="AN672" s="30"/>
    </row>
    <row r="673" spans="1:40" x14ac:dyDescent="0.2">
      <c r="L673" s="157">
        <f>(L671/100)/((L670+L671)/100)</f>
        <v>0.31386628370831338</v>
      </c>
      <c r="T673" s="158"/>
      <c r="U673" s="158"/>
      <c r="V673" s="153"/>
      <c r="W673" s="152">
        <f>W671*L673</f>
        <v>0.43570225297569926</v>
      </c>
      <c r="X673" s="153"/>
      <c r="Y673" s="153"/>
      <c r="Z673" s="152">
        <f>Z671*L673</f>
        <v>2.897876140904919</v>
      </c>
      <c r="AA673" s="153"/>
      <c r="AB673" s="103"/>
      <c r="AC673" s="103"/>
      <c r="AD673" s="103"/>
      <c r="AE673" s="154">
        <f>AE671*L673</f>
        <v>4.8285506961114812</v>
      </c>
      <c r="AK673" s="72">
        <f>F677*LeagueRatings!$K$27</f>
        <v>0</v>
      </c>
      <c r="AL673" s="72">
        <f>G677*LeagueRatings!$K$27</f>
        <v>0</v>
      </c>
      <c r="AM673" s="72">
        <f>T680*LeagueRatings!$K$27</f>
        <v>0</v>
      </c>
      <c r="AN673" s="30"/>
    </row>
    <row r="674" spans="1:40" x14ac:dyDescent="0.2">
      <c r="T674" s="158"/>
      <c r="U674" s="158"/>
      <c r="V674" s="153"/>
      <c r="W674" s="152">
        <f>SUM(W672:W673)</f>
        <v>1.5287006564185701</v>
      </c>
      <c r="X674" s="153"/>
      <c r="Y674" s="153"/>
      <c r="Z674" s="152">
        <f>SUM(Z672:Z673)</f>
        <v>9.34151038073718</v>
      </c>
      <c r="AA674" s="153"/>
      <c r="AB674" s="103"/>
      <c r="AC674" s="103"/>
      <c r="AD674" s="103"/>
      <c r="AE674" s="153">
        <f>SUM(AE672:AE673)</f>
        <v>16.929974225342825</v>
      </c>
      <c r="AK674" s="72">
        <f>F678*LeagueRatings!$K$27</f>
        <v>0</v>
      </c>
      <c r="AL674" s="72">
        <f>G678*LeagueRatings!$K$27</f>
        <v>0</v>
      </c>
      <c r="AM674" s="72">
        <f>T681*LeagueRatings!$K$27</f>
        <v>0</v>
      </c>
      <c r="AN674" s="30"/>
    </row>
    <row r="675" spans="1:40" x14ac:dyDescent="0.2">
      <c r="AJ675" s="103">
        <f>+AO552*LeagueRatings!$K$27</f>
        <v>0</v>
      </c>
      <c r="AK675" s="72">
        <f>F679*LeagueRatings!$K$27</f>
        <v>15</v>
      </c>
      <c r="AL675" s="72">
        <f>G679*LeagueRatings!$K$27</f>
        <v>15</v>
      </c>
      <c r="AM675" s="72">
        <f>T682*LeagueRatings!$K$27</f>
        <v>366.11111111111114</v>
      </c>
      <c r="AN675" s="30"/>
    </row>
    <row r="676" spans="1:40" x14ac:dyDescent="0.2">
      <c r="AG676" s="5" t="s">
        <v>34</v>
      </c>
      <c r="AH676" s="5" t="s">
        <v>40</v>
      </c>
      <c r="AI676" s="5" t="s">
        <v>41</v>
      </c>
      <c r="AJ676" s="103">
        <f>+AO553*LeagueRatings!$K$27</f>
        <v>23.888888888888889</v>
      </c>
      <c r="AK676" s="72">
        <f>F680*LeagueRatings!$K$27</f>
        <v>3.3333333333333335</v>
      </c>
      <c r="AL676" s="72">
        <f>G680*LeagueRatings!$K$27</f>
        <v>2.7777777777777777</v>
      </c>
      <c r="AM676" s="72">
        <f>T683*LeagueRatings!$K$27</f>
        <v>65.555555555555557</v>
      </c>
      <c r="AN676" s="30"/>
    </row>
    <row r="677" spans="1:40" x14ac:dyDescent="0.2">
      <c r="A677" s="166" t="s">
        <v>381</v>
      </c>
      <c r="B677" s="138" t="s">
        <v>170</v>
      </c>
      <c r="AG677" s="5"/>
      <c r="AH677" s="5"/>
      <c r="AI677" s="5"/>
      <c r="AJ677" s="103"/>
      <c r="AK677" s="72">
        <f>F681*LeagueRatings!$K$27</f>
        <v>0</v>
      </c>
      <c r="AL677" s="72">
        <f>G681*LeagueRatings!$K$27</f>
        <v>0</v>
      </c>
      <c r="AM677" s="72">
        <f>T684*LeagueRatings!$K$27</f>
        <v>0</v>
      </c>
      <c r="AN677" s="30"/>
    </row>
    <row r="678" spans="1:40" x14ac:dyDescent="0.2">
      <c r="A678" s="58" t="s">
        <v>381</v>
      </c>
      <c r="B678" s="147" t="s">
        <v>165</v>
      </c>
      <c r="AG678" s="5"/>
      <c r="AH678" s="5"/>
      <c r="AI678" s="5"/>
      <c r="AJ678" s="103"/>
      <c r="AK678" s="72">
        <f>F682*LeagueRatings!$K$27</f>
        <v>0</v>
      </c>
      <c r="AL678" s="72">
        <f>G682*LeagueRatings!$K$27</f>
        <v>0</v>
      </c>
      <c r="AM678" s="72">
        <f>T685*LeagueRatings!$K$27</f>
        <v>0</v>
      </c>
      <c r="AN678" s="30"/>
    </row>
    <row r="679" spans="1:40" x14ac:dyDescent="0.2">
      <c r="C679" s="138">
        <v>9</v>
      </c>
      <c r="D679" s="138">
        <v>10</v>
      </c>
      <c r="E679" s="159">
        <v>6.01</v>
      </c>
      <c r="F679" s="138">
        <v>27</v>
      </c>
      <c r="G679" s="138">
        <v>27</v>
      </c>
      <c r="H679" s="138">
        <v>0</v>
      </c>
      <c r="I679" s="138">
        <v>0</v>
      </c>
      <c r="J679" s="138">
        <v>0</v>
      </c>
      <c r="K679" s="160">
        <v>0</v>
      </c>
      <c r="AF679" s="170" t="s">
        <v>381</v>
      </c>
      <c r="AG679" s="5" t="s">
        <v>19</v>
      </c>
      <c r="AH679" s="5" t="s">
        <v>51</v>
      </c>
      <c r="AI679" s="5" t="s">
        <v>45</v>
      </c>
      <c r="AJ679" s="174">
        <f>SUM(AJ675:AJ678)</f>
        <v>23.888888888888889</v>
      </c>
      <c r="AK679" s="14">
        <f>SUM(AK675:AK678)</f>
        <v>18.333333333333332</v>
      </c>
      <c r="AL679" s="14">
        <f>SUM(AL675:AL678)</f>
        <v>17.777777777777779</v>
      </c>
      <c r="AM679" s="14">
        <f>SUM(AM675:AM678)</f>
        <v>431.66666666666669</v>
      </c>
      <c r="AN679" s="30"/>
    </row>
    <row r="680" spans="1:40" x14ac:dyDescent="0.2">
      <c r="C680" s="147">
        <v>0</v>
      </c>
      <c r="D680" s="147">
        <v>2</v>
      </c>
      <c r="E680" s="148">
        <v>4.18</v>
      </c>
      <c r="F680" s="147">
        <v>6</v>
      </c>
      <c r="G680" s="147">
        <v>5</v>
      </c>
      <c r="H680" s="147">
        <v>0</v>
      </c>
      <c r="I680" s="147">
        <v>0</v>
      </c>
      <c r="J680" s="147">
        <v>0</v>
      </c>
      <c r="K680" s="147">
        <v>0</v>
      </c>
      <c r="AK680" s="72">
        <f>F684*LeagueRatings!$K$27</f>
        <v>0</v>
      </c>
      <c r="AL680" s="72">
        <f>G684*LeagueRatings!$K$27</f>
        <v>0</v>
      </c>
      <c r="AM680" s="72">
        <f>T687*LeagueRatings!$K$27</f>
        <v>0</v>
      </c>
      <c r="AN680" s="30"/>
    </row>
    <row r="681" spans="1:40" x14ac:dyDescent="0.2">
      <c r="AK681" s="72">
        <f>F685*LeagueRatings!$K$27</f>
        <v>0</v>
      </c>
      <c r="AL681" s="72">
        <f>G685*LeagueRatings!$K$27</f>
        <v>0</v>
      </c>
      <c r="AM681" s="72">
        <f>T688*LeagueRatings!$K$27</f>
        <v>0</v>
      </c>
      <c r="AN681" s="30"/>
    </row>
    <row r="682" spans="1:40" x14ac:dyDescent="0.2">
      <c r="L682" s="159">
        <v>142.33000000000001</v>
      </c>
      <c r="M682" s="138">
        <v>168</v>
      </c>
      <c r="N682" s="138">
        <v>100</v>
      </c>
      <c r="O682" s="138">
        <v>95</v>
      </c>
      <c r="P682" s="138">
        <v>14</v>
      </c>
      <c r="Q682" s="138">
        <v>69</v>
      </c>
      <c r="R682" s="138">
        <v>2</v>
      </c>
      <c r="S682" s="138">
        <v>116</v>
      </c>
      <c r="T682" s="161">
        <v>659</v>
      </c>
      <c r="V682" s="151">
        <f>+(Q682-R682)/(T682-R682)*100</f>
        <v>10.197869101978691</v>
      </c>
      <c r="W682" s="152">
        <f>IF(V682&lt;LeagueRatings!$K$21,((LeagueRatings!$K$21-V682)/LeagueRatings!$K$21)*36,(LeagueRatings!$K$21-V682)*6.48)</f>
        <v>-8.0666508014908853</v>
      </c>
      <c r="X682" s="153">
        <v>1.24</v>
      </c>
      <c r="Y682" s="153">
        <f>(P682/(T682-R682))*100</f>
        <v>2.1308980213089801</v>
      </c>
      <c r="Z682" s="152">
        <f>IF(Y682&lt;LeagueRatings!$K$19,((LeagueRatings!$K$19-Y682)/LeagueRatings!$K$19)*36,(LeagueRatings!$K$19-Y682)/LeagueRatings!$K$22)</f>
        <v>9.6202469439154772</v>
      </c>
      <c r="AA682" s="153">
        <v>-0.21</v>
      </c>
      <c r="AB682" s="103">
        <f>+((LeagueRatings!$I$17-E679)*5)+9.5</f>
        <v>0.2643872437063628</v>
      </c>
      <c r="AC682" s="103">
        <f>IF(AB682&lt;4,4,AB682)</f>
        <v>4</v>
      </c>
      <c r="AD682" s="103">
        <f>IF(M682&lt;L682,((1-(M682/L682))*7)-0.07,(1-(M682/L682))*5)</f>
        <v>-0.90177755919342295</v>
      </c>
      <c r="AE682" s="154">
        <f>+X682+AA682+AC682+AD682</f>
        <v>4.1282224408065771</v>
      </c>
      <c r="AK682" s="72">
        <f>F686*LeagueRatings!$K$27</f>
        <v>0</v>
      </c>
      <c r="AL682" s="72">
        <f>G686*LeagueRatings!$K$27</f>
        <v>0</v>
      </c>
      <c r="AM682" s="72">
        <f>T689*LeagueRatings!$K$27</f>
        <v>0</v>
      </c>
      <c r="AN682" s="30"/>
    </row>
    <row r="683" spans="1:40" x14ac:dyDescent="0.2">
      <c r="A683" s="155" t="s">
        <v>667</v>
      </c>
      <c r="B683" s="156" t="s">
        <v>156</v>
      </c>
      <c r="L683" s="148">
        <v>28</v>
      </c>
      <c r="M683" s="147">
        <v>25</v>
      </c>
      <c r="N683" s="147">
        <v>14</v>
      </c>
      <c r="O683" s="147">
        <v>13</v>
      </c>
      <c r="P683" s="147">
        <v>5</v>
      </c>
      <c r="Q683" s="147">
        <v>8</v>
      </c>
      <c r="R683" s="147">
        <v>0</v>
      </c>
      <c r="S683" s="147">
        <v>26</v>
      </c>
      <c r="T683" s="150">
        <v>118</v>
      </c>
      <c r="U683" s="138"/>
      <c r="V683" s="151">
        <f>+(Q683-R683)/(T683-R683)*100</f>
        <v>6.7796610169491522</v>
      </c>
      <c r="W683" s="152">
        <f>IF(V683&lt;LeagueRatings!$K$21,((LeagueRatings!$K$21-V683)/LeagueRatings!$K$21)*36,(LeagueRatings!$K$21-V683)*6.48)</f>
        <v>8.7390403444250548</v>
      </c>
      <c r="X683" s="153">
        <v>-0.56000000000000005</v>
      </c>
      <c r="Y683" s="153">
        <f>(P683/(T683-R683))*100</f>
        <v>4.2372881355932197</v>
      </c>
      <c r="Z683" s="152">
        <f>IF(Y683&lt;LeagueRatings!$K$19,((LeagueRatings!$K$19-Y683)/LeagueRatings!$K$19)*36,(LeagueRatings!$K$19-Y683)/LeagueRatings!$K$22)</f>
        <v>-10.740620090946667</v>
      </c>
      <c r="AA683" s="153">
        <v>1.5</v>
      </c>
      <c r="AB683" s="103">
        <f>+((LeagueRatings!$I$17-E680)*5)+9.5</f>
        <v>9.4143872437063649</v>
      </c>
      <c r="AC683" s="103">
        <f>IF(AB683&lt;4,4,AB683)</f>
        <v>9.4143872437063649</v>
      </c>
      <c r="AD683" s="103">
        <f>IF(M683&lt;L683,((1-(M683/L683))*7)-0.07,(1-(M683/L683))*5)</f>
        <v>0.67999999999999972</v>
      </c>
      <c r="AE683" s="154">
        <f>+X683+AA683+AC683+AD683</f>
        <v>11.034387243706364</v>
      </c>
      <c r="AK683" s="72">
        <f>F687*LeagueRatings!$K$27</f>
        <v>0</v>
      </c>
      <c r="AL683" s="72">
        <f>G687*LeagueRatings!$K$27</f>
        <v>0</v>
      </c>
      <c r="AM683" s="72">
        <f>T690*LeagueRatings!$K$27</f>
        <v>0</v>
      </c>
      <c r="AN683" s="30"/>
    </row>
    <row r="684" spans="1:40" x14ac:dyDescent="0.2">
      <c r="A684" s="155" t="s">
        <v>667</v>
      </c>
      <c r="B684" s="156" t="s">
        <v>170</v>
      </c>
      <c r="L684" s="157">
        <f>(L682/100)/((L682+L683)/100)</f>
        <v>0.83561322139376515</v>
      </c>
      <c r="T684" s="158"/>
      <c r="U684" s="158"/>
      <c r="V684" s="153"/>
      <c r="W684" s="152">
        <f>W682*L684</f>
        <v>-6.7406000620923958</v>
      </c>
      <c r="X684" s="153"/>
      <c r="Y684" s="153"/>
      <c r="Z684" s="152">
        <f>Z682*L684</f>
        <v>8.0388055394087363</v>
      </c>
      <c r="AA684" s="153"/>
      <c r="AB684" s="103"/>
      <c r="AC684" s="103"/>
      <c r="AD684" s="103"/>
      <c r="AE684" s="154">
        <f>AE682*L684</f>
        <v>3.4495972523924157</v>
      </c>
      <c r="AK684" s="72">
        <f>F688*LeagueRatings!$K$27</f>
        <v>0</v>
      </c>
      <c r="AL684" s="72">
        <f>G688*LeagueRatings!$K$27</f>
        <v>0</v>
      </c>
      <c r="AM684" s="72">
        <f>T691*LeagueRatings!$K$27</f>
        <v>0</v>
      </c>
      <c r="AN684" s="30"/>
    </row>
    <row r="685" spans="1:40" x14ac:dyDescent="0.2">
      <c r="L685" s="157">
        <f>(L683/100)/((L682+L683)/100)</f>
        <v>0.16438677860623496</v>
      </c>
      <c r="T685" s="158"/>
      <c r="U685" s="158"/>
      <c r="V685" s="153"/>
      <c r="W685" s="152">
        <f>W683*L685</f>
        <v>1.4365826903299568</v>
      </c>
      <c r="X685" s="153"/>
      <c r="Y685" s="153"/>
      <c r="Z685" s="152">
        <f>Z683*L685</f>
        <v>-1.7656159369841289</v>
      </c>
      <c r="AA685" s="153"/>
      <c r="AB685" s="103"/>
      <c r="AC685" s="103"/>
      <c r="AD685" s="103"/>
      <c r="AE685" s="154">
        <f>AE683*L685</f>
        <v>1.8139073728866213</v>
      </c>
      <c r="AK685" s="72">
        <f>F689*LeagueRatings!$K$27</f>
        <v>0</v>
      </c>
      <c r="AL685" s="72">
        <f>G689*LeagueRatings!$K$27</f>
        <v>0</v>
      </c>
      <c r="AM685" s="72">
        <f>T692*LeagueRatings!$K$27</f>
        <v>0</v>
      </c>
      <c r="AN685" s="30"/>
    </row>
    <row r="686" spans="1:40" x14ac:dyDescent="0.2">
      <c r="T686" s="158"/>
      <c r="U686" s="158"/>
      <c r="V686" s="153"/>
      <c r="W686" s="152">
        <f>SUM(W684:W685)</f>
        <v>-5.3040173717624395</v>
      </c>
      <c r="X686" s="153"/>
      <c r="Y686" s="153"/>
      <c r="Z686" s="152">
        <f>SUM(Z684:Z685)</f>
        <v>6.2731896024246074</v>
      </c>
      <c r="AA686" s="153"/>
      <c r="AB686" s="103"/>
      <c r="AC686" s="103"/>
      <c r="AD686" s="103"/>
      <c r="AE686" s="153">
        <f>SUM(AE684:AE685)</f>
        <v>5.2635046252790367</v>
      </c>
      <c r="AK686" s="72">
        <f>F690*LeagueRatings!$K$27</f>
        <v>0</v>
      </c>
      <c r="AL686" s="72">
        <f>G690*LeagueRatings!$K$27</f>
        <v>0</v>
      </c>
      <c r="AM686" s="72">
        <f>T693*LeagueRatings!$K$27</f>
        <v>0</v>
      </c>
    </row>
    <row r="687" spans="1:40" x14ac:dyDescent="0.2">
      <c r="AJ687" s="103">
        <f>+AO564*LeagueRatings!$K$27</f>
        <v>0</v>
      </c>
      <c r="AK687" s="72">
        <f>F691*LeagueRatings!$K$27</f>
        <v>30</v>
      </c>
      <c r="AL687" s="72">
        <f>G691*LeagueRatings!$K$27</f>
        <v>0</v>
      </c>
      <c r="AM687" s="72">
        <f>T694*LeagueRatings!$K$27</f>
        <v>102.22222222222223</v>
      </c>
    </row>
    <row r="688" spans="1:40" x14ac:dyDescent="0.2">
      <c r="AG688" s="94" t="s">
        <v>53</v>
      </c>
      <c r="AH688" s="94" t="s">
        <v>65</v>
      </c>
      <c r="AI688" s="94" t="s">
        <v>37</v>
      </c>
      <c r="AJ688" s="103">
        <f>+AO565*LeagueRatings!$K$27</f>
        <v>79.444444444444443</v>
      </c>
      <c r="AK688" s="72">
        <f>F692*LeagueRatings!$K$27</f>
        <v>8.8888888888888893</v>
      </c>
      <c r="AL688" s="72">
        <f>G692*LeagueRatings!$K$27</f>
        <v>0</v>
      </c>
      <c r="AM688" s="72">
        <f>T695*LeagueRatings!$K$27</f>
        <v>26.666666666666668</v>
      </c>
    </row>
    <row r="689" spans="1:39" x14ac:dyDescent="0.2">
      <c r="A689" s="146" t="s">
        <v>549</v>
      </c>
      <c r="B689" s="138" t="s">
        <v>164</v>
      </c>
      <c r="AG689" s="5"/>
      <c r="AH689" s="5"/>
      <c r="AI689" s="5"/>
      <c r="AJ689" s="103"/>
      <c r="AK689" s="72">
        <f>F693*LeagueRatings!$K$27</f>
        <v>0</v>
      </c>
      <c r="AL689" s="72">
        <f>G693*LeagueRatings!$K$27</f>
        <v>0</v>
      </c>
      <c r="AM689" s="72">
        <f>T696*LeagueRatings!$K$27</f>
        <v>0</v>
      </c>
    </row>
    <row r="690" spans="1:39" x14ac:dyDescent="0.2">
      <c r="A690" s="58" t="s">
        <v>549</v>
      </c>
      <c r="B690" s="138" t="s">
        <v>144</v>
      </c>
      <c r="AG690" s="5"/>
      <c r="AH690" s="5"/>
      <c r="AI690" s="5"/>
      <c r="AJ690" s="103"/>
      <c r="AK690" s="72">
        <f>F694*LeagueRatings!$K$27</f>
        <v>0</v>
      </c>
      <c r="AL690" s="72">
        <f>G694*LeagueRatings!$K$27</f>
        <v>0</v>
      </c>
      <c r="AM690" s="72">
        <f>T697*LeagueRatings!$K$27</f>
        <v>0</v>
      </c>
    </row>
    <row r="691" spans="1:39" x14ac:dyDescent="0.2">
      <c r="C691" s="138">
        <v>0</v>
      </c>
      <c r="D691" s="138">
        <v>4</v>
      </c>
      <c r="E691" s="159">
        <v>3.92</v>
      </c>
      <c r="F691" s="138">
        <v>54</v>
      </c>
      <c r="G691" s="138">
        <v>0</v>
      </c>
      <c r="H691" s="138">
        <v>0</v>
      </c>
      <c r="I691" s="138">
        <v>0</v>
      </c>
      <c r="J691" s="138">
        <v>0</v>
      </c>
      <c r="K691" s="160">
        <v>4</v>
      </c>
      <c r="AF691" s="170" t="s">
        <v>549</v>
      </c>
      <c r="AG691" s="5" t="s">
        <v>68</v>
      </c>
      <c r="AH691" s="5" t="s">
        <v>47</v>
      </c>
      <c r="AI691" s="5" t="s">
        <v>69</v>
      </c>
      <c r="AJ691" s="174">
        <f>SUM(AJ687:AJ690)</f>
        <v>79.444444444444443</v>
      </c>
      <c r="AK691" s="14">
        <f>SUM(AK687:AK690)</f>
        <v>38.888888888888886</v>
      </c>
      <c r="AL691" s="14">
        <f>SUM(AL687:AL690)</f>
        <v>0</v>
      </c>
      <c r="AM691" s="14">
        <f>SUM(AM687:AM690)</f>
        <v>128.88888888888889</v>
      </c>
    </row>
    <row r="692" spans="1:39" x14ac:dyDescent="0.2">
      <c r="C692" s="138">
        <v>0</v>
      </c>
      <c r="D692" s="138">
        <v>0</v>
      </c>
      <c r="E692" s="159">
        <v>2.92</v>
      </c>
      <c r="F692" s="138">
        <v>16</v>
      </c>
      <c r="G692" s="138">
        <v>0</v>
      </c>
      <c r="H692" s="146">
        <v>0</v>
      </c>
      <c r="I692" s="138">
        <v>0</v>
      </c>
      <c r="J692" s="138">
        <v>0</v>
      </c>
      <c r="K692" s="160">
        <v>0</v>
      </c>
    </row>
    <row r="694" spans="1:39" x14ac:dyDescent="0.2">
      <c r="L694" s="159">
        <v>41.33</v>
      </c>
      <c r="M694" s="138">
        <v>45</v>
      </c>
      <c r="N694" s="138">
        <v>20</v>
      </c>
      <c r="O694" s="138">
        <v>18</v>
      </c>
      <c r="P694" s="138">
        <v>5</v>
      </c>
      <c r="Q694" s="138">
        <v>16</v>
      </c>
      <c r="R694" s="138">
        <v>2</v>
      </c>
      <c r="S694" s="138">
        <v>40</v>
      </c>
      <c r="T694" s="138">
        <v>184</v>
      </c>
      <c r="V694" s="151">
        <f>+(Q694-R694)/(T694-R694)*100</f>
        <v>7.6923076923076925</v>
      </c>
      <c r="W694" s="152">
        <f>IF(V694&lt;LeagueRatings!$K$10,((LeagueRatings!$K$10-V694)/LeagueRatings!$K$10)*36,(LeagueRatings!$K$10-V694)*6.48)</f>
        <v>4.0506257961278145</v>
      </c>
      <c r="X694" s="153">
        <v>-0.32</v>
      </c>
      <c r="Y694" s="153">
        <f>(P694/(T694-R694))*100</f>
        <v>2.7472527472527473</v>
      </c>
      <c r="Z694" s="152">
        <f>IF(Y694&lt;LeagueRatings!$K$8,((LeagueRatings!$K$8-Y694)/LeagueRatings!$K$8)*36,(LeagueRatings!$K$8-Y694)/LeagueRatings!$K$11)</f>
        <v>5.1148115687993005</v>
      </c>
      <c r="AA694" s="153">
        <v>0</v>
      </c>
      <c r="AB694" s="103">
        <f>+((LeagueRatings!$I$6-E691)*5)+9.5</f>
        <v>10.908051455277404</v>
      </c>
      <c r="AC694" s="103">
        <f>IF(AB694&lt;4,4,AB694)</f>
        <v>10.908051455277404</v>
      </c>
      <c r="AD694" s="103">
        <f>IF(M694&lt;L694,((1-(M694/L694))*7)-0.07,(1-(M694/L694))*5)</f>
        <v>-0.44398741834018929</v>
      </c>
      <c r="AE694" s="154">
        <f>+X694+AA694+AC694+AD694</f>
        <v>10.144064036937214</v>
      </c>
    </row>
    <row r="695" spans="1:39" x14ac:dyDescent="0.2">
      <c r="A695" s="155" t="s">
        <v>111</v>
      </c>
      <c r="B695" s="156" t="s">
        <v>169</v>
      </c>
      <c r="L695" s="159">
        <v>12.33</v>
      </c>
      <c r="M695" s="138">
        <v>9</v>
      </c>
      <c r="N695" s="138">
        <v>4</v>
      </c>
      <c r="O695" s="138">
        <v>4</v>
      </c>
      <c r="P695" s="138">
        <v>2</v>
      </c>
      <c r="Q695" s="138">
        <v>3</v>
      </c>
      <c r="R695" s="138">
        <v>0</v>
      </c>
      <c r="S695" s="138">
        <v>15</v>
      </c>
      <c r="T695" s="138">
        <v>48</v>
      </c>
      <c r="U695" s="138"/>
      <c r="V695" s="151">
        <f>+(Q695-R695)/(T695-R695)*100</f>
        <v>6.25</v>
      </c>
      <c r="W695" s="152">
        <f>IF(V695&lt;LeagueRatings!$K$10,((LeagueRatings!$K$10-V695)/LeagueRatings!$K$10)*36,(LeagueRatings!$K$10-V695)*6.48)</f>
        <v>10.041133459353849</v>
      </c>
      <c r="X695" s="153">
        <v>-0.83</v>
      </c>
      <c r="Y695" s="153">
        <f>(P695/(T695-R695))*100</f>
        <v>4.1666666666666661</v>
      </c>
      <c r="Z695" s="152">
        <f>IF(Y695&lt;LeagueRatings!$K$8,((LeagueRatings!$K$8-Y695)/LeagueRatings!$K$8)*36,(LeagueRatings!$K$8-Y695)/LeagueRatings!$K$11)</f>
        <v>-7.6581608088589253</v>
      </c>
      <c r="AA695" s="153">
        <v>1.03</v>
      </c>
      <c r="AB695" s="103">
        <f>+((LeagueRatings!$I$6-E692)*5)+9.5</f>
        <v>15.908051455277404</v>
      </c>
      <c r="AC695" s="103">
        <f>IF(AB695&lt;4,4,AB695)</f>
        <v>15.908051455277404</v>
      </c>
      <c r="AD695" s="103">
        <f>IF(M695&lt;L695,((1-(M695/L695))*7)-0.07,(1-(M695/L695))*5)</f>
        <v>1.8205109489051094</v>
      </c>
      <c r="AE695" s="154">
        <f>+X695+AA695+AC695+AD695</f>
        <v>17.928562404182514</v>
      </c>
    </row>
    <row r="696" spans="1:39" x14ac:dyDescent="0.2">
      <c r="A696" s="155" t="s">
        <v>111</v>
      </c>
      <c r="B696" s="156" t="s">
        <v>152</v>
      </c>
      <c r="L696" s="157">
        <f>(L694/100)/((L694+L695)/100)</f>
        <v>0.77021990309355204</v>
      </c>
      <c r="T696" s="158"/>
      <c r="U696" s="158"/>
      <c r="V696" s="153"/>
      <c r="W696" s="152">
        <f>W694*L696</f>
        <v>3.1198726081618076</v>
      </c>
      <c r="X696" s="153"/>
      <c r="Y696" s="153"/>
      <c r="Z696" s="152">
        <f>Z694*L696</f>
        <v>3.9395296708623762</v>
      </c>
      <c r="AA696" s="153"/>
      <c r="AB696" s="103"/>
      <c r="AC696" s="103"/>
      <c r="AD696" s="103"/>
      <c r="AE696" s="154">
        <f>AE694*L696</f>
        <v>7.8131600195045676</v>
      </c>
    </row>
    <row r="697" spans="1:39" x14ac:dyDescent="0.2">
      <c r="L697" s="157">
        <f>(L695/100)/((L694+L695)/100)</f>
        <v>0.22978009690644804</v>
      </c>
      <c r="T697" s="158"/>
      <c r="U697" s="158"/>
      <c r="V697" s="153"/>
      <c r="W697" s="152">
        <f>W695*L697</f>
        <v>2.3072526193409053</v>
      </c>
      <c r="X697" s="153"/>
      <c r="Y697" s="153"/>
      <c r="Z697" s="152">
        <f>Z695*L697</f>
        <v>-1.7596929327847664</v>
      </c>
      <c r="AA697" s="153"/>
      <c r="AB697" s="103"/>
      <c r="AC697" s="103"/>
      <c r="AD697" s="103"/>
      <c r="AE697" s="154">
        <f>AE695*L697</f>
        <v>4.1196268066263597</v>
      </c>
    </row>
    <row r="698" spans="1:39" x14ac:dyDescent="0.2">
      <c r="T698" s="158"/>
      <c r="U698" s="158"/>
      <c r="V698" s="153"/>
      <c r="W698" s="152">
        <f>SUM(W696:W697)</f>
        <v>5.4271252275027129</v>
      </c>
      <c r="X698" s="153"/>
      <c r="Y698" s="153"/>
      <c r="Z698" s="152">
        <f>SUM(Z696:Z697)</f>
        <v>2.1798367380776096</v>
      </c>
      <c r="AA698" s="153"/>
      <c r="AB698" s="103"/>
      <c r="AC698" s="103"/>
      <c r="AD698" s="103"/>
      <c r="AE698" s="153">
        <f>SUM(AE696:AE697)</f>
        <v>11.932786826130927</v>
      </c>
    </row>
  </sheetData>
  <phoneticPr fontId="0" type="noConversion"/>
  <conditionalFormatting sqref="V403:X403 AE530 V4:X5 V77:X77 V11:X11 V17:X17 V23:X23 V29:X29 V35:X35 V41:X41 V47:X47 V53:X53 V59:X59 V65:X65 V71:X71 V83:X83">
    <cfRule type="cellIs" priority="1127" stopIfTrue="1" operator="lessThan">
      <formula>10.237</formula>
    </cfRule>
  </conditionalFormatting>
  <conditionalFormatting sqref="V402:X402">
    <cfRule type="cellIs" priority="1125" stopIfTrue="1" operator="lessThan">
      <formula>10.237</formula>
    </cfRule>
  </conditionalFormatting>
  <conditionalFormatting sqref="AE404:AE405 Z404:Z406 V404:W406">
    <cfRule type="cellIs" priority="1124" stopIfTrue="1" operator="lessThan">
      <formula>10.237</formula>
    </cfRule>
  </conditionalFormatting>
  <conditionalFormatting sqref="V396:W397">
    <cfRule type="cellIs" priority="1123" stopIfTrue="1" operator="lessThan">
      <formula>10.237</formula>
    </cfRule>
  </conditionalFormatting>
  <conditionalFormatting sqref="AE398:AE399 Z398:Z400 V398:W400">
    <cfRule type="cellIs" priority="1122" stopIfTrue="1" operator="lessThan">
      <formula>10.237</formula>
    </cfRule>
  </conditionalFormatting>
  <conditionalFormatting sqref="V409:X409">
    <cfRule type="cellIs" priority="1121" stopIfTrue="1" operator="lessThan">
      <formula>10.237</formula>
    </cfRule>
  </conditionalFormatting>
  <conditionalFormatting sqref="V408:X408">
    <cfRule type="cellIs" priority="1120" stopIfTrue="1" operator="lessThan">
      <formula>10.237</formula>
    </cfRule>
  </conditionalFormatting>
  <conditionalFormatting sqref="AE410:AE411 Z410:Z412 V410:W412">
    <cfRule type="cellIs" priority="1119" stopIfTrue="1" operator="lessThan">
      <formula>10.237</formula>
    </cfRule>
  </conditionalFormatting>
  <conditionalFormatting sqref="AE611:AE612 Z611:Z614 V611:W614">
    <cfRule type="cellIs" priority="1073" stopIfTrue="1" operator="lessThan">
      <formula>10.237</formula>
    </cfRule>
  </conditionalFormatting>
  <conditionalFormatting sqref="V421:X421 V420:W420">
    <cfRule type="cellIs" priority="1118" stopIfTrue="1" operator="lessThan">
      <formula>10.237</formula>
    </cfRule>
  </conditionalFormatting>
  <conditionalFormatting sqref="AE422:AE423 Z422:Z424 V422:W424">
    <cfRule type="cellIs" priority="1117" stopIfTrue="1" operator="lessThan">
      <formula>10.237</formula>
    </cfRule>
  </conditionalFormatting>
  <conditionalFormatting sqref="V427:X427 V426:W426">
    <cfRule type="cellIs" priority="1116" stopIfTrue="1" operator="lessThan">
      <formula>10.237</formula>
    </cfRule>
  </conditionalFormatting>
  <conditionalFormatting sqref="AE428:AE429 Z428:Z430 V428:W430">
    <cfRule type="cellIs" priority="1115" stopIfTrue="1" operator="lessThan">
      <formula>10.237</formula>
    </cfRule>
  </conditionalFormatting>
  <conditionalFormatting sqref="V433:X433 V432:W432">
    <cfRule type="cellIs" priority="1114" stopIfTrue="1" operator="lessThan">
      <formula>10.237</formula>
    </cfRule>
  </conditionalFormatting>
  <conditionalFormatting sqref="AE434:AE435 Z434:Z436 V434:W436">
    <cfRule type="cellIs" priority="1113" stopIfTrue="1" operator="lessThan">
      <formula>10.237</formula>
    </cfRule>
  </conditionalFormatting>
  <conditionalFormatting sqref="V445:W445">
    <cfRule type="cellIs" priority="1112" stopIfTrue="1" operator="lessThan">
      <formula>10.237</formula>
    </cfRule>
  </conditionalFormatting>
  <conditionalFormatting sqref="AE446:AE447 Z446:Z448 V446:W448">
    <cfRule type="cellIs" priority="1111" stopIfTrue="1" operator="lessThan">
      <formula>10.237</formula>
    </cfRule>
  </conditionalFormatting>
  <conditionalFormatting sqref="V444:W444">
    <cfRule type="cellIs" priority="1110" stopIfTrue="1" operator="lessThan">
      <formula>10.237</formula>
    </cfRule>
  </conditionalFormatting>
  <conditionalFormatting sqref="V451:X451">
    <cfRule type="cellIs" priority="1109" stopIfTrue="1" operator="lessThan">
      <formula>10.237</formula>
    </cfRule>
  </conditionalFormatting>
  <conditionalFormatting sqref="V450:W450">
    <cfRule type="cellIs" priority="1108" stopIfTrue="1" operator="lessThan">
      <formula>10.237</formula>
    </cfRule>
  </conditionalFormatting>
  <conditionalFormatting sqref="AE452:AE453 Z452:Z454 V452:W454">
    <cfRule type="cellIs" priority="1107" stopIfTrue="1" operator="lessThan">
      <formula>10.237</formula>
    </cfRule>
  </conditionalFormatting>
  <conditionalFormatting sqref="V457:X457 V456:W456">
    <cfRule type="cellIs" priority="1106" stopIfTrue="1" operator="lessThan">
      <formula>10.237</formula>
    </cfRule>
  </conditionalFormatting>
  <conditionalFormatting sqref="AE458:AE459 Z458:Z460 V458:W460">
    <cfRule type="cellIs" priority="1105" stopIfTrue="1" operator="lessThan">
      <formula>10.237</formula>
    </cfRule>
  </conditionalFormatting>
  <conditionalFormatting sqref="V469:W469">
    <cfRule type="cellIs" priority="1104" stopIfTrue="1" operator="lessThan">
      <formula>10.237</formula>
    </cfRule>
  </conditionalFormatting>
  <conditionalFormatting sqref="V468:W468">
    <cfRule type="cellIs" priority="1103" stopIfTrue="1" operator="lessThan">
      <formula>10.237</formula>
    </cfRule>
  </conditionalFormatting>
  <conditionalFormatting sqref="AE470:AE471 Z470:Z472 V470:W472">
    <cfRule type="cellIs" priority="1102" stopIfTrue="1" operator="lessThan">
      <formula>10.237</formula>
    </cfRule>
  </conditionalFormatting>
  <conditionalFormatting sqref="V475:X475">
    <cfRule type="cellIs" priority="1101" stopIfTrue="1" operator="lessThan">
      <formula>10.237</formula>
    </cfRule>
  </conditionalFormatting>
  <conditionalFormatting sqref="V474:W474">
    <cfRule type="cellIs" priority="1100" stopIfTrue="1" operator="lessThan">
      <formula>10.237</formula>
    </cfRule>
  </conditionalFormatting>
  <conditionalFormatting sqref="AE476:AE477 Z476:Z478 V476:W478">
    <cfRule type="cellIs" priority="1099" stopIfTrue="1" operator="lessThan">
      <formula>10.237</formula>
    </cfRule>
  </conditionalFormatting>
  <conditionalFormatting sqref="V481:X481">
    <cfRule type="cellIs" priority="1098" stopIfTrue="1" operator="lessThan">
      <formula>10.237</formula>
    </cfRule>
  </conditionalFormatting>
  <conditionalFormatting sqref="V480:X480">
    <cfRule type="cellIs" priority="1097" stopIfTrue="1" operator="lessThan">
      <formula>10.237</formula>
    </cfRule>
  </conditionalFormatting>
  <conditionalFormatting sqref="AE482:AE483 Z482:Z484 V482:W484">
    <cfRule type="cellIs" priority="1096" stopIfTrue="1" operator="lessThan">
      <formula>10.237</formula>
    </cfRule>
  </conditionalFormatting>
  <conditionalFormatting sqref="V487:X487">
    <cfRule type="cellIs" priority="1095" stopIfTrue="1" operator="lessThan">
      <formula>10.237</formula>
    </cfRule>
  </conditionalFormatting>
  <conditionalFormatting sqref="V486:X486">
    <cfRule type="cellIs" priority="1094" stopIfTrue="1" operator="lessThan">
      <formula>10.237</formula>
    </cfRule>
  </conditionalFormatting>
  <conditionalFormatting sqref="AE488:AE489 Z488:Z490 V488:W490">
    <cfRule type="cellIs" priority="1093" stopIfTrue="1" operator="lessThan">
      <formula>10.237</formula>
    </cfRule>
  </conditionalFormatting>
  <conditionalFormatting sqref="V499:X499">
    <cfRule type="cellIs" priority="1092" stopIfTrue="1" operator="lessThan">
      <formula>10.237</formula>
    </cfRule>
  </conditionalFormatting>
  <conditionalFormatting sqref="V498:X498">
    <cfRule type="cellIs" priority="1091" stopIfTrue="1" operator="lessThan">
      <formula>10.237</formula>
    </cfRule>
  </conditionalFormatting>
  <conditionalFormatting sqref="AE500:AE501 Z500:Z502 V500:W502">
    <cfRule type="cellIs" priority="1090" stopIfTrue="1" operator="lessThan">
      <formula>10.237</formula>
    </cfRule>
  </conditionalFormatting>
  <conditionalFormatting sqref="V504:X505">
    <cfRule type="cellIs" priority="1089" stopIfTrue="1" operator="lessThan">
      <formula>10.237</formula>
    </cfRule>
  </conditionalFormatting>
  <conditionalFormatting sqref="AE506:AE507 Z506:Z508 V506:W508">
    <cfRule type="cellIs" priority="1088" stopIfTrue="1" operator="lessThan">
      <formula>10.237</formula>
    </cfRule>
  </conditionalFormatting>
  <conditionalFormatting sqref="V510:X511">
    <cfRule type="cellIs" priority="1087" stopIfTrue="1" operator="lessThan">
      <formula>10.237</formula>
    </cfRule>
  </conditionalFormatting>
  <conditionalFormatting sqref="AE512:AE513 Z512:Z514 V512:W514">
    <cfRule type="cellIs" priority="1086" stopIfTrue="1" operator="lessThan">
      <formula>10.237</formula>
    </cfRule>
  </conditionalFormatting>
  <conditionalFormatting sqref="V517:W517">
    <cfRule type="cellIs" priority="1085" stopIfTrue="1" operator="lessThan">
      <formula>10.237</formula>
    </cfRule>
  </conditionalFormatting>
  <conditionalFormatting sqref="V516:X516">
    <cfRule type="cellIs" priority="1084" stopIfTrue="1" operator="lessThan">
      <formula>10.237</formula>
    </cfRule>
  </conditionalFormatting>
  <conditionalFormatting sqref="AE518:AE519 Z518:Z521 V518:W521">
    <cfRule type="cellIs" priority="1083" stopIfTrue="1" operator="lessThan">
      <formula>10.237</formula>
    </cfRule>
  </conditionalFormatting>
  <conditionalFormatting sqref="V540:W540 V542:W542">
    <cfRule type="cellIs" priority="1082" stopIfTrue="1" operator="lessThan">
      <formula>10.237</formula>
    </cfRule>
  </conditionalFormatting>
  <conditionalFormatting sqref="V543:W545">
    <cfRule type="cellIs" priority="1081" stopIfTrue="1" operator="lessThan">
      <formula>10.237</formula>
    </cfRule>
  </conditionalFormatting>
  <conditionalFormatting sqref="V585:W586">
    <cfRule type="cellIs" priority="1080" stopIfTrue="1" operator="lessThan">
      <formula>10.237</formula>
    </cfRule>
  </conditionalFormatting>
  <conditionalFormatting sqref="AE587:AE588 Z587:Z589 V587:W589">
    <cfRule type="cellIs" priority="1079" stopIfTrue="1" operator="lessThan">
      <formula>10.237</formula>
    </cfRule>
  </conditionalFormatting>
  <conditionalFormatting sqref="V573:W574">
    <cfRule type="cellIs" priority="1078" stopIfTrue="1" operator="lessThan">
      <formula>10.237</formula>
    </cfRule>
  </conditionalFormatting>
  <conditionalFormatting sqref="AE575:AE576 Z575:Z577 V575:W577">
    <cfRule type="cellIs" priority="1077" stopIfTrue="1" operator="lessThan">
      <formula>10.237</formula>
    </cfRule>
  </conditionalFormatting>
  <conditionalFormatting sqref="V597:X598">
    <cfRule type="cellIs" priority="1076" stopIfTrue="1" operator="lessThan">
      <formula>10.237</formula>
    </cfRule>
  </conditionalFormatting>
  <conditionalFormatting sqref="AE599:AE600 Z599:Z602 V599:W602">
    <cfRule type="cellIs" priority="1075" stopIfTrue="1" operator="lessThan">
      <formula>10.237</formula>
    </cfRule>
  </conditionalFormatting>
  <conditionalFormatting sqref="V609:X610">
    <cfRule type="cellIs" priority="1074" stopIfTrue="1" operator="lessThan">
      <formula>10.237</formula>
    </cfRule>
  </conditionalFormatting>
  <conditionalFormatting sqref="V622:X622">
    <cfRule type="cellIs" priority="1072" stopIfTrue="1" operator="lessThan">
      <formula>10.237</formula>
    </cfRule>
  </conditionalFormatting>
  <conditionalFormatting sqref="V621:W621">
    <cfRule type="cellIs" priority="1071" stopIfTrue="1" operator="lessThan">
      <formula>10.237</formula>
    </cfRule>
  </conditionalFormatting>
  <conditionalFormatting sqref="AE623:AE624 Z623:Z625 V623:W625">
    <cfRule type="cellIs" priority="1070" stopIfTrue="1" operator="lessThan">
      <formula>10.237</formula>
    </cfRule>
  </conditionalFormatting>
  <conditionalFormatting sqref="V627:W627">
    <cfRule type="cellIs" priority="1069" stopIfTrue="1" operator="lessThan">
      <formula>10.237</formula>
    </cfRule>
  </conditionalFormatting>
  <conditionalFormatting sqref="V628:X628">
    <cfRule type="cellIs" priority="1068" stopIfTrue="1" operator="lessThan">
      <formula>10.237</formula>
    </cfRule>
  </conditionalFormatting>
  <conditionalFormatting sqref="AE629:AE630 Z629:Z631 V629:W631">
    <cfRule type="cellIs" priority="1067" stopIfTrue="1" operator="lessThan">
      <formula>10.237</formula>
    </cfRule>
  </conditionalFormatting>
  <conditionalFormatting sqref="V646:W646">
    <cfRule type="cellIs" priority="1066" stopIfTrue="1" operator="lessThan">
      <formula>10.237</formula>
    </cfRule>
  </conditionalFormatting>
  <conditionalFormatting sqref="V647:X647">
    <cfRule type="cellIs" priority="1065" stopIfTrue="1" operator="lessThan">
      <formula>10.237</formula>
    </cfRule>
  </conditionalFormatting>
  <conditionalFormatting sqref="AE648:AE649 Z648:Z650 V648:W650">
    <cfRule type="cellIs" priority="1064" stopIfTrue="1" operator="lessThan">
      <formula>10.237</formula>
    </cfRule>
  </conditionalFormatting>
  <conditionalFormatting sqref="V653:X653">
    <cfRule type="cellIs" priority="1063" stopIfTrue="1" operator="lessThan">
      <formula>10.237</formula>
    </cfRule>
  </conditionalFormatting>
  <conditionalFormatting sqref="V652:X652">
    <cfRule type="cellIs" priority="1062" stopIfTrue="1" operator="lessThan">
      <formula>10.237</formula>
    </cfRule>
  </conditionalFormatting>
  <conditionalFormatting sqref="AE654:AE655 Z654:Z656 V654:W656">
    <cfRule type="cellIs" priority="1061" stopIfTrue="1" operator="lessThan">
      <formula>10.237</formula>
    </cfRule>
  </conditionalFormatting>
  <conditionalFormatting sqref="V658:X659">
    <cfRule type="cellIs" priority="1060" stopIfTrue="1" operator="lessThan">
      <formula>10.237</formula>
    </cfRule>
  </conditionalFormatting>
  <conditionalFormatting sqref="AE660:AE661 Z660:Z662 V660:W662">
    <cfRule type="cellIs" priority="1059" stopIfTrue="1" operator="lessThan">
      <formula>10.237</formula>
    </cfRule>
  </conditionalFormatting>
  <conditionalFormatting sqref="V664:X665">
    <cfRule type="cellIs" priority="1058" stopIfTrue="1" operator="lessThan">
      <formula>10.237</formula>
    </cfRule>
  </conditionalFormatting>
  <conditionalFormatting sqref="AE666:AE667 Z666:Z668 V666:W668">
    <cfRule type="cellIs" priority="1057" stopIfTrue="1" operator="lessThan">
      <formula>10.237</formula>
    </cfRule>
  </conditionalFormatting>
  <conditionalFormatting sqref="V670:X671">
    <cfRule type="cellIs" priority="1056" stopIfTrue="1" operator="lessThan">
      <formula>10.237</formula>
    </cfRule>
  </conditionalFormatting>
  <conditionalFormatting sqref="AE672:AE673 Z672:Z674 V672:W674">
    <cfRule type="cellIs" priority="1055" stopIfTrue="1" operator="lessThan">
      <formula>10.237</formula>
    </cfRule>
  </conditionalFormatting>
  <conditionalFormatting sqref="V682:W683">
    <cfRule type="cellIs" priority="1054" stopIfTrue="1" operator="lessThan">
      <formula>10.237</formula>
    </cfRule>
  </conditionalFormatting>
  <conditionalFormatting sqref="AE684:AE685 Z684:Z686 V684:W686">
    <cfRule type="cellIs" priority="1053" stopIfTrue="1" operator="lessThan">
      <formula>10.237</formula>
    </cfRule>
  </conditionalFormatting>
  <conditionalFormatting sqref="V694:X695">
    <cfRule type="cellIs" priority="1052" stopIfTrue="1" operator="lessThan">
      <formula>10.237</formula>
    </cfRule>
  </conditionalFormatting>
  <conditionalFormatting sqref="AE696:AE697 Z696:Z698 V696:W698">
    <cfRule type="cellIs" priority="1051" stopIfTrue="1" operator="lessThan">
      <formula>10.237</formula>
    </cfRule>
  </conditionalFormatting>
  <conditionalFormatting sqref="V529:W529">
    <cfRule type="cellIs" priority="1050" stopIfTrue="1" operator="lessThan">
      <formula>10.237</formula>
    </cfRule>
  </conditionalFormatting>
  <conditionalFormatting sqref="V528:X528">
    <cfRule type="cellIs" priority="1049" stopIfTrue="1" operator="lessThan">
      <formula>10.237</formula>
    </cfRule>
  </conditionalFormatting>
  <conditionalFormatting sqref="Z530 V530:W530 V531">
    <cfRule type="cellIs" priority="1048" stopIfTrue="1" operator="lessThan">
      <formula>10.237</formula>
    </cfRule>
  </conditionalFormatting>
  <conditionalFormatting sqref="AE531 Z531 W531">
    <cfRule type="cellIs" priority="1047" stopIfTrue="1" operator="lessThan">
      <formula>10.237</formula>
    </cfRule>
  </conditionalFormatting>
  <conditionalFormatting sqref="Z532 W532">
    <cfRule type="cellIs" priority="1046" stopIfTrue="1" operator="lessThan">
      <formula>10.237</formula>
    </cfRule>
  </conditionalFormatting>
  <conditionalFormatting sqref="V415:X415">
    <cfRule type="cellIs" priority="1045" stopIfTrue="1" operator="lessThan">
      <formula>10.237</formula>
    </cfRule>
  </conditionalFormatting>
  <conditionalFormatting sqref="V414:X414">
    <cfRule type="cellIs" priority="1044" stopIfTrue="1" operator="lessThan">
      <formula>10.237</formula>
    </cfRule>
  </conditionalFormatting>
  <conditionalFormatting sqref="AE416:AE417 Z416:Z418 V416:W418">
    <cfRule type="cellIs" priority="1043" stopIfTrue="1" operator="lessThan">
      <formula>10.237</formula>
    </cfRule>
  </conditionalFormatting>
  <conditionalFormatting sqref="V439:W439">
    <cfRule type="cellIs" priority="1042" stopIfTrue="1" operator="lessThan">
      <formula>10.237</formula>
    </cfRule>
  </conditionalFormatting>
  <conditionalFormatting sqref="AE440:AE441 Z440:Z442 V440:W442">
    <cfRule type="cellIs" priority="1041" stopIfTrue="1" operator="lessThan">
      <formula>10.237</formula>
    </cfRule>
  </conditionalFormatting>
  <conditionalFormatting sqref="V438:W438">
    <cfRule type="cellIs" priority="1040" stopIfTrue="1" operator="lessThan">
      <formula>10.237</formula>
    </cfRule>
  </conditionalFormatting>
  <conditionalFormatting sqref="V493:X493">
    <cfRule type="cellIs" priority="1039" stopIfTrue="1" operator="lessThan">
      <formula>10.237</formula>
    </cfRule>
  </conditionalFormatting>
  <conditionalFormatting sqref="V492:X492">
    <cfRule type="cellIs" priority="1038" stopIfTrue="1" operator="lessThan">
      <formula>10.237</formula>
    </cfRule>
  </conditionalFormatting>
  <conditionalFormatting sqref="AE494:AE495 Z494:Z496 V494:W496">
    <cfRule type="cellIs" priority="1037" stopIfTrue="1" operator="lessThan">
      <formula>10.237</formula>
    </cfRule>
  </conditionalFormatting>
  <conditionalFormatting sqref="AE464:AE465 Z464:Z466 V464:W466">
    <cfRule type="cellIs" priority="1034" stopIfTrue="1" operator="lessThan">
      <formula>10.237</formula>
    </cfRule>
  </conditionalFormatting>
  <conditionalFormatting sqref="V541:W541">
    <cfRule type="cellIs" priority="1033" stopIfTrue="1" operator="lessThan">
      <formula>10.237</formula>
    </cfRule>
  </conditionalFormatting>
  <conditionalFormatting sqref="V463:X463">
    <cfRule type="cellIs" priority="1036" stopIfTrue="1" operator="lessThan">
      <formula>10.237</formula>
    </cfRule>
  </conditionalFormatting>
  <conditionalFormatting sqref="V462:X462">
    <cfRule type="cellIs" priority="1035" stopIfTrue="1" operator="lessThan">
      <formula>10.237</formula>
    </cfRule>
  </conditionalFormatting>
  <conditionalFormatting sqref="V522:W523">
    <cfRule type="cellIs" priority="1032" stopIfTrue="1" operator="lessThan">
      <formula>10.237</formula>
    </cfRule>
  </conditionalFormatting>
  <conditionalFormatting sqref="AE524:AE525 Z524:Z526 V524:W526">
    <cfRule type="cellIs" priority="1031" stopIfTrue="1" operator="lessThan">
      <formula>10.237</formula>
    </cfRule>
  </conditionalFormatting>
  <conditionalFormatting sqref="Z543:Z545">
    <cfRule type="cellIs" priority="1030" stopIfTrue="1" operator="lessThan">
      <formula>10.237</formula>
    </cfRule>
  </conditionalFormatting>
  <conditionalFormatting sqref="AE543:AE545">
    <cfRule type="cellIs" priority="1029" stopIfTrue="1" operator="lessThan">
      <formula>10.237</formula>
    </cfRule>
  </conditionalFormatting>
  <conditionalFormatting sqref="AE550">
    <cfRule type="cellIs" priority="1028" stopIfTrue="1" operator="lessThan">
      <formula>10.237</formula>
    </cfRule>
  </conditionalFormatting>
  <conditionalFormatting sqref="V549:W549">
    <cfRule type="cellIs" priority="1027" stopIfTrue="1" operator="lessThan">
      <formula>10.237</formula>
    </cfRule>
  </conditionalFormatting>
  <conditionalFormatting sqref="V548:X548">
    <cfRule type="cellIs" priority="1026" stopIfTrue="1" operator="lessThan">
      <formula>10.237</formula>
    </cfRule>
  </conditionalFormatting>
  <conditionalFormatting sqref="Z550 V550:W550 V551">
    <cfRule type="cellIs" priority="1025" stopIfTrue="1" operator="lessThan">
      <formula>10.237</formula>
    </cfRule>
  </conditionalFormatting>
  <conditionalFormatting sqref="AE551 Z551 W551">
    <cfRule type="cellIs" priority="1024" stopIfTrue="1" operator="lessThan">
      <formula>10.237</formula>
    </cfRule>
  </conditionalFormatting>
  <conditionalFormatting sqref="Z552 W552">
    <cfRule type="cellIs" priority="1023" stopIfTrue="1" operator="lessThan">
      <formula>10.237</formula>
    </cfRule>
  </conditionalFormatting>
  <conditionalFormatting sqref="AE557">
    <cfRule type="cellIs" priority="1022" stopIfTrue="1" operator="lessThan">
      <formula>10.237</formula>
    </cfRule>
  </conditionalFormatting>
  <conditionalFormatting sqref="V556:W556">
    <cfRule type="cellIs" priority="1021" stopIfTrue="1" operator="lessThan">
      <formula>10.237</formula>
    </cfRule>
  </conditionalFormatting>
  <conditionalFormatting sqref="V555:X555">
    <cfRule type="cellIs" priority="1020" stopIfTrue="1" operator="lessThan">
      <formula>10.237</formula>
    </cfRule>
  </conditionalFormatting>
  <conditionalFormatting sqref="Z557 V557:W557 V558">
    <cfRule type="cellIs" priority="1019" stopIfTrue="1" operator="lessThan">
      <formula>10.237</formula>
    </cfRule>
  </conditionalFormatting>
  <conditionalFormatting sqref="AE558 Z558 W558">
    <cfRule type="cellIs" priority="1018" stopIfTrue="1" operator="lessThan">
      <formula>10.237</formula>
    </cfRule>
  </conditionalFormatting>
  <conditionalFormatting sqref="Z559 W559">
    <cfRule type="cellIs" priority="1017" stopIfTrue="1" operator="lessThan">
      <formula>10.237</formula>
    </cfRule>
  </conditionalFormatting>
  <conditionalFormatting sqref="AE563">
    <cfRule type="cellIs" priority="1016" stopIfTrue="1" operator="lessThan">
      <formula>10.237</formula>
    </cfRule>
  </conditionalFormatting>
  <conditionalFormatting sqref="V562:W562">
    <cfRule type="cellIs" priority="1015" stopIfTrue="1" operator="lessThan">
      <formula>10.237</formula>
    </cfRule>
  </conditionalFormatting>
  <conditionalFormatting sqref="V561:X561">
    <cfRule type="cellIs" priority="1014" stopIfTrue="1" operator="lessThan">
      <formula>10.237</formula>
    </cfRule>
  </conditionalFormatting>
  <conditionalFormatting sqref="Z563 V563:W563 V564">
    <cfRule type="cellIs" priority="1013" stopIfTrue="1" operator="lessThan">
      <formula>10.237</formula>
    </cfRule>
  </conditionalFormatting>
  <conditionalFormatting sqref="AE564 Z564 W564">
    <cfRule type="cellIs" priority="1012" stopIfTrue="1" operator="lessThan">
      <formula>10.237</formula>
    </cfRule>
  </conditionalFormatting>
  <conditionalFormatting sqref="Z565 W565">
    <cfRule type="cellIs" priority="1011" stopIfTrue="1" operator="lessThan">
      <formula>10.237</formula>
    </cfRule>
  </conditionalFormatting>
  <conditionalFormatting sqref="V579:W580">
    <cfRule type="cellIs" priority="1010" stopIfTrue="1" operator="lessThan">
      <formula>10.237</formula>
    </cfRule>
  </conditionalFormatting>
  <conditionalFormatting sqref="AE581:AE582 Z581:Z583 V581:W583">
    <cfRule type="cellIs" priority="1009" stopIfTrue="1" operator="lessThan">
      <formula>10.237</formula>
    </cfRule>
  </conditionalFormatting>
  <conditionalFormatting sqref="Z571 W571">
    <cfRule type="cellIs" priority="1001" stopIfTrue="1" operator="lessThan">
      <formula>10.237</formula>
    </cfRule>
  </conditionalFormatting>
  <conditionalFormatting sqref="AE636:AE638">
    <cfRule type="cellIs" priority="996" stopIfTrue="1" operator="lessThan">
      <formula>10.237</formula>
    </cfRule>
  </conditionalFormatting>
  <conditionalFormatting sqref="AE593:AE594 Z593:Z595 V593:W595">
    <cfRule type="cellIs" priority="1007" stopIfTrue="1" operator="lessThan">
      <formula>10.237</formula>
    </cfRule>
  </conditionalFormatting>
  <conditionalFormatting sqref="V591:X592">
    <cfRule type="cellIs" priority="1008" stopIfTrue="1" operator="lessThan">
      <formula>10.237</formula>
    </cfRule>
  </conditionalFormatting>
  <conditionalFormatting sqref="AE569">
    <cfRule type="cellIs" priority="1006" stopIfTrue="1" operator="lessThan">
      <formula>10.237</formula>
    </cfRule>
  </conditionalFormatting>
  <conditionalFormatting sqref="V568:W568">
    <cfRule type="cellIs" priority="1005" stopIfTrue="1" operator="lessThan">
      <formula>10.237</formula>
    </cfRule>
  </conditionalFormatting>
  <conditionalFormatting sqref="V567:X567">
    <cfRule type="cellIs" priority="1004" stopIfTrue="1" operator="lessThan">
      <formula>10.237</formula>
    </cfRule>
  </conditionalFormatting>
  <conditionalFormatting sqref="Z569 V569:W569 V570">
    <cfRule type="cellIs" priority="1003" stopIfTrue="1" operator="lessThan">
      <formula>10.237</formula>
    </cfRule>
  </conditionalFormatting>
  <conditionalFormatting sqref="AE570 Z570 W570">
    <cfRule type="cellIs" priority="1002" stopIfTrue="1" operator="lessThan">
      <formula>10.237</formula>
    </cfRule>
  </conditionalFormatting>
  <conditionalFormatting sqref="V633:W633 V635:W635">
    <cfRule type="cellIs" priority="1000" stopIfTrue="1" operator="lessThan">
      <formula>10.237</formula>
    </cfRule>
  </conditionalFormatting>
  <conditionalFormatting sqref="V636:W638">
    <cfRule type="cellIs" priority="999" stopIfTrue="1" operator="lessThan">
      <formula>10.237</formula>
    </cfRule>
  </conditionalFormatting>
  <conditionalFormatting sqref="V634:W634">
    <cfRule type="cellIs" priority="998" stopIfTrue="1" operator="lessThan">
      <formula>10.237</formula>
    </cfRule>
  </conditionalFormatting>
  <conditionalFormatting sqref="Z636:Z638">
    <cfRule type="cellIs" priority="997" stopIfTrue="1" operator="lessThan">
      <formula>10.237</formula>
    </cfRule>
  </conditionalFormatting>
  <conditionalFormatting sqref="V603:X604">
    <cfRule type="cellIs" priority="995" stopIfTrue="1" operator="lessThan">
      <formula>10.237</formula>
    </cfRule>
  </conditionalFormatting>
  <conditionalFormatting sqref="AE605:AE606 Z605:Z608 V605:W608">
    <cfRule type="cellIs" priority="994" stopIfTrue="1" operator="lessThan">
      <formula>10.237</formula>
    </cfRule>
  </conditionalFormatting>
  <conditionalFormatting sqref="AE617:AE618 Z617:Z620 V617:W620">
    <cfRule type="cellIs" priority="992" stopIfTrue="1" operator="lessThan">
      <formula>10.237</formula>
    </cfRule>
  </conditionalFormatting>
  <conditionalFormatting sqref="V615:X616">
    <cfRule type="cellIs" priority="993" stopIfTrue="1" operator="lessThan">
      <formula>10.237</formula>
    </cfRule>
  </conditionalFormatting>
  <conditionalFormatting sqref="AE536">
    <cfRule type="cellIs" priority="991" stopIfTrue="1" operator="lessThan">
      <formula>10.237</formula>
    </cfRule>
  </conditionalFormatting>
  <conditionalFormatting sqref="V535:W535">
    <cfRule type="cellIs" priority="990" stopIfTrue="1" operator="lessThan">
      <formula>10.237</formula>
    </cfRule>
  </conditionalFormatting>
  <conditionalFormatting sqref="V534:X534">
    <cfRule type="cellIs" priority="989" stopIfTrue="1" operator="lessThan">
      <formula>10.237</formula>
    </cfRule>
  </conditionalFormatting>
  <conditionalFormatting sqref="Z536 V536:W536 V537">
    <cfRule type="cellIs" priority="988" stopIfTrue="1" operator="lessThan">
      <formula>10.237</formula>
    </cfRule>
  </conditionalFormatting>
  <conditionalFormatting sqref="AE537 Z537 W537">
    <cfRule type="cellIs" priority="987" stopIfTrue="1" operator="lessThan">
      <formula>10.237</formula>
    </cfRule>
  </conditionalFormatting>
  <conditionalFormatting sqref="Z538 W538">
    <cfRule type="cellIs" priority="986" stopIfTrue="1" operator="lessThan">
      <formula>10.237</formula>
    </cfRule>
  </conditionalFormatting>
  <conditionalFormatting sqref="V6:W7">
    <cfRule type="cellIs" priority="985" stopIfTrue="1" operator="lessThan">
      <formula>10.237</formula>
    </cfRule>
  </conditionalFormatting>
  <conditionalFormatting sqref="AH6:AH7">
    <cfRule type="cellIs" priority="984" stopIfTrue="1" operator="lessThan">
      <formula>10.237</formula>
    </cfRule>
  </conditionalFormatting>
  <conditionalFormatting sqref="AI6:AI7">
    <cfRule type="cellIs" priority="983" stopIfTrue="1" operator="lessThan">
      <formula>10.237</formula>
    </cfRule>
  </conditionalFormatting>
  <conditionalFormatting sqref="AH6:AI7">
    <cfRule type="cellIs" dxfId="297" priority="981" operator="lessThan">
      <formula>0</formula>
    </cfRule>
    <cfRule type="cellIs" dxfId="296" priority="982" operator="lessThan">
      <formula>0</formula>
    </cfRule>
  </conditionalFormatting>
  <conditionalFormatting sqref="X6:X7">
    <cfRule type="cellIs" priority="980" stopIfTrue="1" operator="lessThan">
      <formula>10.237</formula>
    </cfRule>
  </conditionalFormatting>
  <conditionalFormatting sqref="AA6:AA7">
    <cfRule type="cellIs" priority="979" stopIfTrue="1" operator="lessThan">
      <formula>10.237</formula>
    </cfRule>
  </conditionalFormatting>
  <conditionalFormatting sqref="AE8:AE9 Z8:Z10 V8:W10">
    <cfRule type="cellIs" priority="978" stopIfTrue="1" operator="lessThan">
      <formula>10.237</formula>
    </cfRule>
  </conditionalFormatting>
  <conditionalFormatting sqref="AH10">
    <cfRule type="cellIs" priority="977" stopIfTrue="1" operator="lessThan">
      <formula>10.237</formula>
    </cfRule>
  </conditionalFormatting>
  <conditionalFormatting sqref="AI10">
    <cfRule type="cellIs" priority="976" stopIfTrue="1" operator="lessThan">
      <formula>10.237</formula>
    </cfRule>
  </conditionalFormatting>
  <conditionalFormatting sqref="AH10:AI10">
    <cfRule type="cellIs" dxfId="295" priority="974" operator="lessThan">
      <formula>0</formula>
    </cfRule>
    <cfRule type="cellIs" dxfId="294" priority="975" operator="lessThan">
      <formula>0</formula>
    </cfRule>
  </conditionalFormatting>
  <conditionalFormatting sqref="V12:W13">
    <cfRule type="cellIs" priority="973" stopIfTrue="1" operator="lessThan">
      <formula>10.237</formula>
    </cfRule>
  </conditionalFormatting>
  <conditionalFormatting sqref="AH12:AH13">
    <cfRule type="cellIs" priority="972" stopIfTrue="1" operator="lessThan">
      <formula>10.237</formula>
    </cfRule>
  </conditionalFormatting>
  <conditionalFormatting sqref="AI12:AI13">
    <cfRule type="cellIs" priority="971" stopIfTrue="1" operator="lessThan">
      <formula>10.237</formula>
    </cfRule>
  </conditionalFormatting>
  <conditionalFormatting sqref="AH12:AI13">
    <cfRule type="cellIs" dxfId="293" priority="969" operator="lessThan">
      <formula>0</formula>
    </cfRule>
    <cfRule type="cellIs" dxfId="292" priority="970" operator="lessThan">
      <formula>0</formula>
    </cfRule>
  </conditionalFormatting>
  <conditionalFormatting sqref="X12:X13">
    <cfRule type="cellIs" priority="968" stopIfTrue="1" operator="lessThan">
      <formula>10.237</formula>
    </cfRule>
  </conditionalFormatting>
  <conditionalFormatting sqref="AA12:AA13">
    <cfRule type="cellIs" priority="967" stopIfTrue="1" operator="lessThan">
      <formula>10.237</formula>
    </cfRule>
  </conditionalFormatting>
  <conditionalFormatting sqref="AE14:AE15 Z14:Z16 V14:W16">
    <cfRule type="cellIs" priority="966" stopIfTrue="1" operator="lessThan">
      <formula>10.237</formula>
    </cfRule>
  </conditionalFormatting>
  <conditionalFormatting sqref="AH16">
    <cfRule type="cellIs" priority="965" stopIfTrue="1" operator="lessThan">
      <formula>10.237</formula>
    </cfRule>
  </conditionalFormatting>
  <conditionalFormatting sqref="AI16">
    <cfRule type="cellIs" priority="964" stopIfTrue="1" operator="lessThan">
      <formula>10.237</formula>
    </cfRule>
  </conditionalFormatting>
  <conditionalFormatting sqref="AH16:AI16">
    <cfRule type="cellIs" dxfId="291" priority="962" operator="lessThan">
      <formula>0</formula>
    </cfRule>
    <cfRule type="cellIs" dxfId="290" priority="963" operator="lessThan">
      <formula>0</formula>
    </cfRule>
  </conditionalFormatting>
  <conditionalFormatting sqref="V18:X19">
    <cfRule type="cellIs" priority="961" stopIfTrue="1" operator="lessThan">
      <formula>10.237</formula>
    </cfRule>
  </conditionalFormatting>
  <conditionalFormatting sqref="AH18:AH19">
    <cfRule type="cellIs" priority="960" stopIfTrue="1" operator="lessThan">
      <formula>10.237</formula>
    </cfRule>
  </conditionalFormatting>
  <conditionalFormatting sqref="AI18:AI19">
    <cfRule type="cellIs" priority="959" stopIfTrue="1" operator="lessThan">
      <formula>10.237</formula>
    </cfRule>
  </conditionalFormatting>
  <conditionalFormatting sqref="AH18:AI19">
    <cfRule type="cellIs" dxfId="289" priority="954" operator="lessThan">
      <formula>0</formula>
    </cfRule>
    <cfRule type="cellIs" dxfId="288" priority="958" operator="lessThan">
      <formula>0</formula>
    </cfRule>
  </conditionalFormatting>
  <conditionalFormatting sqref="AA18:AA19">
    <cfRule type="cellIs" priority="957" stopIfTrue="1" operator="lessThan">
      <formula>10.237</formula>
    </cfRule>
  </conditionalFormatting>
  <conditionalFormatting sqref="AH18:AH19">
    <cfRule type="cellIs" priority="956" stopIfTrue="1" operator="lessThan">
      <formula>10.237</formula>
    </cfRule>
  </conditionalFormatting>
  <conditionalFormatting sqref="AI18:AI19">
    <cfRule type="cellIs" priority="955" stopIfTrue="1" operator="lessThan">
      <formula>10.237</formula>
    </cfRule>
  </conditionalFormatting>
  <conditionalFormatting sqref="AE20:AE21 Z20:Z22 V20:W22">
    <cfRule type="cellIs" priority="953" stopIfTrue="1" operator="lessThan">
      <formula>10.237</formula>
    </cfRule>
  </conditionalFormatting>
  <conditionalFormatting sqref="AH22">
    <cfRule type="cellIs" priority="952" stopIfTrue="1" operator="lessThan">
      <formula>10.237</formula>
    </cfRule>
  </conditionalFormatting>
  <conditionalFormatting sqref="AI22">
    <cfRule type="cellIs" priority="951" stopIfTrue="1" operator="lessThan">
      <formula>10.237</formula>
    </cfRule>
  </conditionalFormatting>
  <conditionalFormatting sqref="AH22:AI22">
    <cfRule type="cellIs" dxfId="287" priority="949" operator="lessThan">
      <formula>0</formula>
    </cfRule>
    <cfRule type="cellIs" dxfId="286" priority="950" operator="lessThan">
      <formula>0</formula>
    </cfRule>
  </conditionalFormatting>
  <conditionalFormatting sqref="V24:X25">
    <cfRule type="cellIs" priority="948" stopIfTrue="1" operator="lessThan">
      <formula>10.237</formula>
    </cfRule>
  </conditionalFormatting>
  <conditionalFormatting sqref="AH24:AH25">
    <cfRule type="cellIs" priority="947" stopIfTrue="1" operator="lessThan">
      <formula>10.237</formula>
    </cfRule>
  </conditionalFormatting>
  <conditionalFormatting sqref="AI24:AI25">
    <cfRule type="cellIs" priority="946" stopIfTrue="1" operator="lessThan">
      <formula>10.237</formula>
    </cfRule>
  </conditionalFormatting>
  <conditionalFormatting sqref="AH24:AI25">
    <cfRule type="cellIs" dxfId="285" priority="941" operator="lessThan">
      <formula>0</formula>
    </cfRule>
    <cfRule type="cellIs" dxfId="284" priority="945" operator="lessThan">
      <formula>0</formula>
    </cfRule>
  </conditionalFormatting>
  <conditionalFormatting sqref="AA24:AA25">
    <cfRule type="cellIs" priority="944" stopIfTrue="1" operator="lessThan">
      <formula>10.237</formula>
    </cfRule>
  </conditionalFormatting>
  <conditionalFormatting sqref="AH24:AH25">
    <cfRule type="cellIs" priority="943" stopIfTrue="1" operator="lessThan">
      <formula>10.237</formula>
    </cfRule>
  </conditionalFormatting>
  <conditionalFormatting sqref="AI24:AI25">
    <cfRule type="cellIs" priority="942" stopIfTrue="1" operator="lessThan">
      <formula>10.237</formula>
    </cfRule>
  </conditionalFormatting>
  <conditionalFormatting sqref="AE26:AE27 Z26:Z28 V26:W28">
    <cfRule type="cellIs" priority="940" stopIfTrue="1" operator="lessThan">
      <formula>10.237</formula>
    </cfRule>
  </conditionalFormatting>
  <conditionalFormatting sqref="AH28">
    <cfRule type="cellIs" priority="939" stopIfTrue="1" operator="lessThan">
      <formula>10.237</formula>
    </cfRule>
  </conditionalFormatting>
  <conditionalFormatting sqref="AI28">
    <cfRule type="cellIs" priority="938" stopIfTrue="1" operator="lessThan">
      <formula>10.237</formula>
    </cfRule>
  </conditionalFormatting>
  <conditionalFormatting sqref="AH28:AI28">
    <cfRule type="cellIs" dxfId="283" priority="936" operator="lessThan">
      <formula>0</formula>
    </cfRule>
    <cfRule type="cellIs" dxfId="282" priority="937" operator="lessThan">
      <formula>0</formula>
    </cfRule>
  </conditionalFormatting>
  <conditionalFormatting sqref="V30:W31">
    <cfRule type="cellIs" priority="935" stopIfTrue="1" operator="lessThan">
      <formula>10.237</formula>
    </cfRule>
  </conditionalFormatting>
  <conditionalFormatting sqref="AH30:AH31">
    <cfRule type="cellIs" priority="934" stopIfTrue="1" operator="lessThan">
      <formula>10.237</formula>
    </cfRule>
  </conditionalFormatting>
  <conditionalFormatting sqref="AI30:AI31">
    <cfRule type="cellIs" priority="933" stopIfTrue="1" operator="lessThan">
      <formula>10.237</formula>
    </cfRule>
  </conditionalFormatting>
  <conditionalFormatting sqref="AH30:AI31">
    <cfRule type="cellIs" dxfId="281" priority="931" operator="lessThan">
      <formula>0</formula>
    </cfRule>
    <cfRule type="cellIs" dxfId="280" priority="932" operator="lessThan">
      <formula>0</formula>
    </cfRule>
  </conditionalFormatting>
  <conditionalFormatting sqref="X30:X31">
    <cfRule type="cellIs" priority="930" stopIfTrue="1" operator="lessThan">
      <formula>10.237</formula>
    </cfRule>
  </conditionalFormatting>
  <conditionalFormatting sqref="AA30:AA31">
    <cfRule type="cellIs" priority="929" stopIfTrue="1" operator="lessThan">
      <formula>10.237</formula>
    </cfRule>
  </conditionalFormatting>
  <conditionalFormatting sqref="AE32:AE33 Z32:Z34 V32:W34">
    <cfRule type="cellIs" priority="928" stopIfTrue="1" operator="lessThan">
      <formula>10.237</formula>
    </cfRule>
  </conditionalFormatting>
  <conditionalFormatting sqref="AH34">
    <cfRule type="cellIs" priority="927" stopIfTrue="1" operator="lessThan">
      <formula>10.237</formula>
    </cfRule>
  </conditionalFormatting>
  <conditionalFormatting sqref="AI34">
    <cfRule type="cellIs" priority="926" stopIfTrue="1" operator="lessThan">
      <formula>10.237</formula>
    </cfRule>
  </conditionalFormatting>
  <conditionalFormatting sqref="AH34:AI34">
    <cfRule type="cellIs" dxfId="279" priority="924" operator="lessThan">
      <formula>0</formula>
    </cfRule>
    <cfRule type="cellIs" dxfId="278" priority="925" operator="lessThan">
      <formula>0</formula>
    </cfRule>
  </conditionalFormatting>
  <conditionalFormatting sqref="AI36">
    <cfRule type="cellIs" priority="903" stopIfTrue="1" operator="lessThan">
      <formula>10.237</formula>
    </cfRule>
  </conditionalFormatting>
  <conditionalFormatting sqref="AA42">
    <cfRule type="cellIs" priority="882" stopIfTrue="1" operator="lessThan">
      <formula>10.237</formula>
    </cfRule>
  </conditionalFormatting>
  <conditionalFormatting sqref="AE38:AE39 Z38:Z40 V38:W40">
    <cfRule type="cellIs" priority="901" stopIfTrue="1" operator="lessThan">
      <formula>10.237</formula>
    </cfRule>
  </conditionalFormatting>
  <conditionalFormatting sqref="AE201:AE203">
    <cfRule type="cellIs" priority="446" stopIfTrue="1" operator="lessThan">
      <formula>10.237</formula>
    </cfRule>
  </conditionalFormatting>
  <conditionalFormatting sqref="Z201:Z203">
    <cfRule type="cellIs" priority="447" stopIfTrue="1" operator="lessThan">
      <formula>10.237</formula>
    </cfRule>
  </conditionalFormatting>
  <conditionalFormatting sqref="V37:W37">
    <cfRule type="cellIs" priority="916" stopIfTrue="1" operator="lessThan">
      <formula>10.237</formula>
    </cfRule>
  </conditionalFormatting>
  <conditionalFormatting sqref="AH37">
    <cfRule type="cellIs" priority="915" stopIfTrue="1" operator="lessThan">
      <formula>10.237</formula>
    </cfRule>
  </conditionalFormatting>
  <conditionalFormatting sqref="AI37">
    <cfRule type="cellIs" priority="914" stopIfTrue="1" operator="lessThan">
      <formula>10.237</formula>
    </cfRule>
  </conditionalFormatting>
  <conditionalFormatting sqref="AH37:AI37">
    <cfRule type="cellIs" dxfId="277" priority="912" operator="lessThan">
      <formula>0</formula>
    </cfRule>
    <cfRule type="cellIs" dxfId="276" priority="913" operator="lessThan">
      <formula>0</formula>
    </cfRule>
  </conditionalFormatting>
  <conditionalFormatting sqref="AA37">
    <cfRule type="cellIs" priority="910" stopIfTrue="1" operator="lessThan">
      <formula>10.237</formula>
    </cfRule>
  </conditionalFormatting>
  <conditionalFormatting sqref="X37">
    <cfRule type="cellIs" priority="911" stopIfTrue="1" operator="lessThan">
      <formula>10.237</formula>
    </cfRule>
  </conditionalFormatting>
  <conditionalFormatting sqref="V36:X36">
    <cfRule type="cellIs" priority="909" stopIfTrue="1" operator="lessThan">
      <formula>10.237</formula>
    </cfRule>
  </conditionalFormatting>
  <conditionalFormatting sqref="AH36">
    <cfRule type="cellIs" priority="908" stopIfTrue="1" operator="lessThan">
      <formula>10.237</formula>
    </cfRule>
  </conditionalFormatting>
  <conditionalFormatting sqref="AI36">
    <cfRule type="cellIs" priority="907" stopIfTrue="1" operator="lessThan">
      <formula>10.237</formula>
    </cfRule>
  </conditionalFormatting>
  <conditionalFormatting sqref="AH36:AI36">
    <cfRule type="cellIs" dxfId="275" priority="902" operator="lessThan">
      <formula>0</formula>
    </cfRule>
    <cfRule type="cellIs" dxfId="274" priority="906" operator="lessThan">
      <formula>0</formula>
    </cfRule>
  </conditionalFormatting>
  <conditionalFormatting sqref="AA36">
    <cfRule type="cellIs" priority="905" stopIfTrue="1" operator="lessThan">
      <formula>10.237</formula>
    </cfRule>
  </conditionalFormatting>
  <conditionalFormatting sqref="AH36">
    <cfRule type="cellIs" priority="904" stopIfTrue="1" operator="lessThan">
      <formula>10.237</formula>
    </cfRule>
  </conditionalFormatting>
  <conditionalFormatting sqref="X42">
    <cfRule type="cellIs" priority="883" stopIfTrue="1" operator="lessThan">
      <formula>10.237</formula>
    </cfRule>
  </conditionalFormatting>
  <conditionalFormatting sqref="AE44:AE45 Z44:Z46 V44:W46">
    <cfRule type="cellIs" priority="881" stopIfTrue="1" operator="lessThan">
      <formula>10.237</formula>
    </cfRule>
  </conditionalFormatting>
  <conditionalFormatting sqref="AH40">
    <cfRule type="cellIs" priority="900" stopIfTrue="1" operator="lessThan">
      <formula>10.237</formula>
    </cfRule>
  </conditionalFormatting>
  <conditionalFormatting sqref="AI40">
    <cfRule type="cellIs" priority="899" stopIfTrue="1" operator="lessThan">
      <formula>10.237</formula>
    </cfRule>
  </conditionalFormatting>
  <conditionalFormatting sqref="AH40:AI40">
    <cfRule type="cellIs" dxfId="273" priority="897" operator="lessThan">
      <formula>0</formula>
    </cfRule>
    <cfRule type="cellIs" dxfId="272" priority="898" operator="lessThan">
      <formula>0</formula>
    </cfRule>
  </conditionalFormatting>
  <conditionalFormatting sqref="V43:X43">
    <cfRule type="cellIs" priority="896" stopIfTrue="1" operator="lessThan">
      <formula>10.237</formula>
    </cfRule>
  </conditionalFormatting>
  <conditionalFormatting sqref="AH43">
    <cfRule type="cellIs" priority="895" stopIfTrue="1" operator="lessThan">
      <formula>10.237</formula>
    </cfRule>
  </conditionalFormatting>
  <conditionalFormatting sqref="AI43">
    <cfRule type="cellIs" priority="894" stopIfTrue="1" operator="lessThan">
      <formula>10.237</formula>
    </cfRule>
  </conditionalFormatting>
  <conditionalFormatting sqref="AH43:AI43">
    <cfRule type="cellIs" dxfId="271" priority="889" operator="lessThan">
      <formula>0</formula>
    </cfRule>
    <cfRule type="cellIs" dxfId="270" priority="893" operator="lessThan">
      <formula>0</formula>
    </cfRule>
  </conditionalFormatting>
  <conditionalFormatting sqref="AA43">
    <cfRule type="cellIs" priority="892" stopIfTrue="1" operator="lessThan">
      <formula>10.237</formula>
    </cfRule>
  </conditionalFormatting>
  <conditionalFormatting sqref="AH43">
    <cfRule type="cellIs" priority="891" stopIfTrue="1" operator="lessThan">
      <formula>10.237</formula>
    </cfRule>
  </conditionalFormatting>
  <conditionalFormatting sqref="AI43">
    <cfRule type="cellIs" priority="890" stopIfTrue="1" operator="lessThan">
      <formula>10.237</formula>
    </cfRule>
  </conditionalFormatting>
  <conditionalFormatting sqref="V42:W42">
    <cfRule type="cellIs" priority="888" stopIfTrue="1" operator="lessThan">
      <formula>10.237</formula>
    </cfRule>
  </conditionalFormatting>
  <conditionalFormatting sqref="AH42">
    <cfRule type="cellIs" priority="887" stopIfTrue="1" operator="lessThan">
      <formula>10.237</formula>
    </cfRule>
  </conditionalFormatting>
  <conditionalFormatting sqref="AI42">
    <cfRule type="cellIs" priority="886" stopIfTrue="1" operator="lessThan">
      <formula>10.237</formula>
    </cfRule>
  </conditionalFormatting>
  <conditionalFormatting sqref="AH42:AI42">
    <cfRule type="cellIs" dxfId="269" priority="884" operator="lessThan">
      <formula>0</formula>
    </cfRule>
    <cfRule type="cellIs" dxfId="268" priority="885" operator="lessThan">
      <formula>0</formula>
    </cfRule>
  </conditionalFormatting>
  <conditionalFormatting sqref="AA54:AA55">
    <cfRule type="cellIs" priority="857" stopIfTrue="1" operator="lessThan">
      <formula>10.237</formula>
    </cfRule>
  </conditionalFormatting>
  <conditionalFormatting sqref="AI48:AI49">
    <cfRule type="cellIs" priority="870" stopIfTrue="1" operator="lessThan">
      <formula>10.237</formula>
    </cfRule>
  </conditionalFormatting>
  <conditionalFormatting sqref="AE50:AE51 Z50:Z52 V50:W52">
    <cfRule type="cellIs" priority="868" stopIfTrue="1" operator="lessThan">
      <formula>10.237</formula>
    </cfRule>
  </conditionalFormatting>
  <conditionalFormatting sqref="AH46">
    <cfRule type="cellIs" priority="880" stopIfTrue="1" operator="lessThan">
      <formula>10.237</formula>
    </cfRule>
  </conditionalFormatting>
  <conditionalFormatting sqref="AI46">
    <cfRule type="cellIs" priority="879" stopIfTrue="1" operator="lessThan">
      <formula>10.237</formula>
    </cfRule>
  </conditionalFormatting>
  <conditionalFormatting sqref="AH46:AI46">
    <cfRule type="cellIs" dxfId="267" priority="877" operator="lessThan">
      <formula>0</formula>
    </cfRule>
    <cfRule type="cellIs" dxfId="266" priority="878" operator="lessThan">
      <formula>0</formula>
    </cfRule>
  </conditionalFormatting>
  <conditionalFormatting sqref="V48:X49">
    <cfRule type="cellIs" priority="876" stopIfTrue="1" operator="lessThan">
      <formula>10.237</formula>
    </cfRule>
  </conditionalFormatting>
  <conditionalFormatting sqref="AH48:AH49">
    <cfRule type="cellIs" priority="875" stopIfTrue="1" operator="lessThan">
      <formula>10.237</formula>
    </cfRule>
  </conditionalFormatting>
  <conditionalFormatting sqref="AI48:AI49">
    <cfRule type="cellIs" priority="874" stopIfTrue="1" operator="lessThan">
      <formula>10.237</formula>
    </cfRule>
  </conditionalFormatting>
  <conditionalFormatting sqref="AH48:AI49">
    <cfRule type="cellIs" dxfId="265" priority="869" operator="lessThan">
      <formula>0</formula>
    </cfRule>
    <cfRule type="cellIs" dxfId="264" priority="873" operator="lessThan">
      <formula>0</formula>
    </cfRule>
  </conditionalFormatting>
  <conditionalFormatting sqref="AA48:AA49">
    <cfRule type="cellIs" priority="872" stopIfTrue="1" operator="lessThan">
      <formula>10.237</formula>
    </cfRule>
  </conditionalFormatting>
  <conditionalFormatting sqref="AH48:AH49">
    <cfRule type="cellIs" priority="871" stopIfTrue="1" operator="lessThan">
      <formula>10.237</formula>
    </cfRule>
  </conditionalFormatting>
  <conditionalFormatting sqref="X54:X55">
    <cfRule type="cellIs" priority="858" stopIfTrue="1" operator="lessThan">
      <formula>10.237</formula>
    </cfRule>
  </conditionalFormatting>
  <conditionalFormatting sqref="AE56:AE57 Z56:Z58 V56:W58">
    <cfRule type="cellIs" priority="856" stopIfTrue="1" operator="lessThan">
      <formula>10.237</formula>
    </cfRule>
  </conditionalFormatting>
  <conditionalFormatting sqref="AH52">
    <cfRule type="cellIs" priority="867" stopIfTrue="1" operator="lessThan">
      <formula>10.237</formula>
    </cfRule>
  </conditionalFormatting>
  <conditionalFormatting sqref="AI52">
    <cfRule type="cellIs" priority="866" stopIfTrue="1" operator="lessThan">
      <formula>10.237</formula>
    </cfRule>
  </conditionalFormatting>
  <conditionalFormatting sqref="AH52:AI52">
    <cfRule type="cellIs" dxfId="263" priority="864" operator="lessThan">
      <formula>0</formula>
    </cfRule>
    <cfRule type="cellIs" dxfId="262" priority="865" operator="lessThan">
      <formula>0</formula>
    </cfRule>
  </conditionalFormatting>
  <conditionalFormatting sqref="V54:W55">
    <cfRule type="cellIs" priority="863" stopIfTrue="1" operator="lessThan">
      <formula>10.237</formula>
    </cfRule>
  </conditionalFormatting>
  <conditionalFormatting sqref="AH54:AH55">
    <cfRule type="cellIs" priority="862" stopIfTrue="1" operator="lessThan">
      <formula>10.237</formula>
    </cfRule>
  </conditionalFormatting>
  <conditionalFormatting sqref="AI54:AI55">
    <cfRule type="cellIs" priority="861" stopIfTrue="1" operator="lessThan">
      <formula>10.237</formula>
    </cfRule>
  </conditionalFormatting>
  <conditionalFormatting sqref="AH54:AI55">
    <cfRule type="cellIs" dxfId="261" priority="859" operator="lessThan">
      <formula>0</formula>
    </cfRule>
    <cfRule type="cellIs" dxfId="260" priority="860" operator="lessThan">
      <formula>0</formula>
    </cfRule>
  </conditionalFormatting>
  <conditionalFormatting sqref="X60:X61">
    <cfRule type="cellIs" priority="846" stopIfTrue="1" operator="lessThan">
      <formula>10.237</formula>
    </cfRule>
  </conditionalFormatting>
  <conditionalFormatting sqref="AA60:AA61">
    <cfRule type="cellIs" priority="845" stopIfTrue="1" operator="lessThan">
      <formula>10.237</formula>
    </cfRule>
  </conditionalFormatting>
  <conditionalFormatting sqref="AE62:AE63 Z62:Z64 V62:W64">
    <cfRule type="cellIs" priority="844" stopIfTrue="1" operator="lessThan">
      <formula>10.237</formula>
    </cfRule>
  </conditionalFormatting>
  <conditionalFormatting sqref="AH58">
    <cfRule type="cellIs" priority="855" stopIfTrue="1" operator="lessThan">
      <formula>10.237</formula>
    </cfRule>
  </conditionalFormatting>
  <conditionalFormatting sqref="AI58">
    <cfRule type="cellIs" priority="854" stopIfTrue="1" operator="lessThan">
      <formula>10.237</formula>
    </cfRule>
  </conditionalFormatting>
  <conditionalFormatting sqref="AH58:AI58">
    <cfRule type="cellIs" dxfId="259" priority="852" operator="lessThan">
      <formula>0</formula>
    </cfRule>
    <cfRule type="cellIs" dxfId="258" priority="853" operator="lessThan">
      <formula>0</formula>
    </cfRule>
  </conditionalFormatting>
  <conditionalFormatting sqref="V60:W61">
    <cfRule type="cellIs" priority="851" stopIfTrue="1" operator="lessThan">
      <formula>10.237</formula>
    </cfRule>
  </conditionalFormatting>
  <conditionalFormatting sqref="AH60:AH61">
    <cfRule type="cellIs" priority="850" stopIfTrue="1" operator="lessThan">
      <formula>10.237</formula>
    </cfRule>
  </conditionalFormatting>
  <conditionalFormatting sqref="AI60:AI61">
    <cfRule type="cellIs" priority="849" stopIfTrue="1" operator="lessThan">
      <formula>10.237</formula>
    </cfRule>
  </conditionalFormatting>
  <conditionalFormatting sqref="AH60:AI61">
    <cfRule type="cellIs" dxfId="257" priority="847" operator="lessThan">
      <formula>0</formula>
    </cfRule>
    <cfRule type="cellIs" dxfId="256" priority="848" operator="lessThan">
      <formula>0</formula>
    </cfRule>
  </conditionalFormatting>
  <conditionalFormatting sqref="AI78">
    <cfRule type="cellIs" priority="786" stopIfTrue="1" operator="lessThan">
      <formula>10.237</formula>
    </cfRule>
  </conditionalFormatting>
  <conditionalFormatting sqref="AA84">
    <cfRule type="cellIs" priority="765" stopIfTrue="1" operator="lessThan">
      <formula>10.237</formula>
    </cfRule>
  </conditionalFormatting>
  <conditionalFormatting sqref="AE68:AE69 Z68:Z70 V68:W70">
    <cfRule type="cellIs" priority="824" stopIfTrue="1" operator="lessThan">
      <formula>10.237</formula>
    </cfRule>
  </conditionalFormatting>
  <conditionalFormatting sqref="AH64">
    <cfRule type="cellIs" priority="843" stopIfTrue="1" operator="lessThan">
      <formula>10.237</formula>
    </cfRule>
  </conditionalFormatting>
  <conditionalFormatting sqref="AI64">
    <cfRule type="cellIs" priority="842" stopIfTrue="1" operator="lessThan">
      <formula>10.237</formula>
    </cfRule>
  </conditionalFormatting>
  <conditionalFormatting sqref="AH64:AI64">
    <cfRule type="cellIs" dxfId="255" priority="840" operator="lessThan">
      <formula>0</formula>
    </cfRule>
    <cfRule type="cellIs" dxfId="254" priority="841" operator="lessThan">
      <formula>0</formula>
    </cfRule>
  </conditionalFormatting>
  <conditionalFormatting sqref="V67:X67">
    <cfRule type="cellIs" priority="839" stopIfTrue="1" operator="lessThan">
      <formula>10.237</formula>
    </cfRule>
  </conditionalFormatting>
  <conditionalFormatting sqref="AH67">
    <cfRule type="cellIs" priority="838" stopIfTrue="1" operator="lessThan">
      <formula>10.237</formula>
    </cfRule>
  </conditionalFormatting>
  <conditionalFormatting sqref="AI67">
    <cfRule type="cellIs" priority="837" stopIfTrue="1" operator="lessThan">
      <formula>10.237</formula>
    </cfRule>
  </conditionalFormatting>
  <conditionalFormatting sqref="AH67:AI67">
    <cfRule type="cellIs" dxfId="253" priority="832" operator="lessThan">
      <formula>0</formula>
    </cfRule>
    <cfRule type="cellIs" dxfId="252" priority="836" operator="lessThan">
      <formula>0</formula>
    </cfRule>
  </conditionalFormatting>
  <conditionalFormatting sqref="AA67">
    <cfRule type="cellIs" priority="835" stopIfTrue="1" operator="lessThan">
      <formula>10.237</formula>
    </cfRule>
  </conditionalFormatting>
  <conditionalFormatting sqref="AH67">
    <cfRule type="cellIs" priority="834" stopIfTrue="1" operator="lessThan">
      <formula>10.237</formula>
    </cfRule>
  </conditionalFormatting>
  <conditionalFormatting sqref="AI67">
    <cfRule type="cellIs" priority="833" stopIfTrue="1" operator="lessThan">
      <formula>10.237</formula>
    </cfRule>
  </conditionalFormatting>
  <conditionalFormatting sqref="X66">
    <cfRule type="cellIs" priority="830" stopIfTrue="1" operator="lessThan">
      <formula>10.237</formula>
    </cfRule>
  </conditionalFormatting>
  <conditionalFormatting sqref="AA66">
    <cfRule type="cellIs" priority="829" stopIfTrue="1" operator="lessThan">
      <formula>10.237</formula>
    </cfRule>
  </conditionalFormatting>
  <conditionalFormatting sqref="V66:W66">
    <cfRule type="cellIs" priority="831" stopIfTrue="1" operator="lessThan">
      <formula>10.237</formula>
    </cfRule>
  </conditionalFormatting>
  <conditionalFormatting sqref="AH66">
    <cfRule type="cellIs" priority="828" stopIfTrue="1" operator="lessThan">
      <formula>10.237</formula>
    </cfRule>
  </conditionalFormatting>
  <conditionalFormatting sqref="AI66">
    <cfRule type="cellIs" priority="827" stopIfTrue="1" operator="lessThan">
      <formula>10.237</formula>
    </cfRule>
  </conditionalFormatting>
  <conditionalFormatting sqref="AH66:AI66">
    <cfRule type="cellIs" dxfId="251" priority="825" operator="lessThan">
      <formula>0</formula>
    </cfRule>
    <cfRule type="cellIs" dxfId="250" priority="826" operator="lessThan">
      <formula>0</formula>
    </cfRule>
  </conditionalFormatting>
  <conditionalFormatting sqref="AE74:AE75 Z74:Z76 V74:W76">
    <cfRule type="cellIs" priority="804" stopIfTrue="1" operator="lessThan">
      <formula>10.237</formula>
    </cfRule>
  </conditionalFormatting>
  <conditionalFormatting sqref="AH70">
    <cfRule type="cellIs" priority="823" stopIfTrue="1" operator="lessThan">
      <formula>10.237</formula>
    </cfRule>
  </conditionalFormatting>
  <conditionalFormatting sqref="AI70">
    <cfRule type="cellIs" priority="822" stopIfTrue="1" operator="lessThan">
      <formula>10.237</formula>
    </cfRule>
  </conditionalFormatting>
  <conditionalFormatting sqref="AH70:AI70">
    <cfRule type="cellIs" dxfId="249" priority="820" operator="lessThan">
      <formula>0</formula>
    </cfRule>
    <cfRule type="cellIs" dxfId="248" priority="821" operator="lessThan">
      <formula>0</formula>
    </cfRule>
  </conditionalFormatting>
  <conditionalFormatting sqref="V73:X73">
    <cfRule type="cellIs" priority="819" stopIfTrue="1" operator="lessThan">
      <formula>10.237</formula>
    </cfRule>
  </conditionalFormatting>
  <conditionalFormatting sqref="AH73">
    <cfRule type="cellIs" priority="818" stopIfTrue="1" operator="lessThan">
      <formula>10.237</formula>
    </cfRule>
  </conditionalFormatting>
  <conditionalFormatting sqref="AI73">
    <cfRule type="cellIs" priority="817" stopIfTrue="1" operator="lessThan">
      <formula>10.237</formula>
    </cfRule>
  </conditionalFormatting>
  <conditionalFormatting sqref="AH73:AI73">
    <cfRule type="cellIs" dxfId="247" priority="812" operator="lessThan">
      <formula>0</formula>
    </cfRule>
    <cfRule type="cellIs" dxfId="246" priority="816" operator="lessThan">
      <formula>0</formula>
    </cfRule>
  </conditionalFormatting>
  <conditionalFormatting sqref="AA73">
    <cfRule type="cellIs" priority="815" stopIfTrue="1" operator="lessThan">
      <formula>10.237</formula>
    </cfRule>
  </conditionalFormatting>
  <conditionalFormatting sqref="AH73">
    <cfRule type="cellIs" priority="814" stopIfTrue="1" operator="lessThan">
      <formula>10.237</formula>
    </cfRule>
  </conditionalFormatting>
  <conditionalFormatting sqref="AI73">
    <cfRule type="cellIs" priority="813" stopIfTrue="1" operator="lessThan">
      <formula>10.237</formula>
    </cfRule>
  </conditionalFormatting>
  <conditionalFormatting sqref="X72">
    <cfRule type="cellIs" priority="810" stopIfTrue="1" operator="lessThan">
      <formula>10.237</formula>
    </cfRule>
  </conditionalFormatting>
  <conditionalFormatting sqref="AA72">
    <cfRule type="cellIs" priority="809" stopIfTrue="1" operator="lessThan">
      <formula>10.237</formula>
    </cfRule>
  </conditionalFormatting>
  <conditionalFormatting sqref="V72:W72">
    <cfRule type="cellIs" priority="811" stopIfTrue="1" operator="lessThan">
      <formula>10.237</formula>
    </cfRule>
  </conditionalFormatting>
  <conditionalFormatting sqref="AH72">
    <cfRule type="cellIs" priority="808" stopIfTrue="1" operator="lessThan">
      <formula>10.237</formula>
    </cfRule>
  </conditionalFormatting>
  <conditionalFormatting sqref="AI72">
    <cfRule type="cellIs" priority="807" stopIfTrue="1" operator="lessThan">
      <formula>10.237</formula>
    </cfRule>
  </conditionalFormatting>
  <conditionalFormatting sqref="AH72:AI72">
    <cfRule type="cellIs" dxfId="245" priority="805" operator="lessThan">
      <formula>0</formula>
    </cfRule>
    <cfRule type="cellIs" dxfId="244" priority="806" operator="lessThan">
      <formula>0</formula>
    </cfRule>
  </conditionalFormatting>
  <conditionalFormatting sqref="AE80:AE81 Z80:Z82 V80:W82">
    <cfRule type="cellIs" priority="784" stopIfTrue="1" operator="lessThan">
      <formula>10.237</formula>
    </cfRule>
  </conditionalFormatting>
  <conditionalFormatting sqref="AH76">
    <cfRule type="cellIs" priority="803" stopIfTrue="1" operator="lessThan">
      <formula>10.237</formula>
    </cfRule>
  </conditionalFormatting>
  <conditionalFormatting sqref="AI76">
    <cfRule type="cellIs" priority="802" stopIfTrue="1" operator="lessThan">
      <formula>10.237</formula>
    </cfRule>
  </conditionalFormatting>
  <conditionalFormatting sqref="AH76:AI76">
    <cfRule type="cellIs" dxfId="243" priority="800" operator="lessThan">
      <formula>0</formula>
    </cfRule>
    <cfRule type="cellIs" dxfId="242" priority="801" operator="lessThan">
      <formula>0</formula>
    </cfRule>
  </conditionalFormatting>
  <conditionalFormatting sqref="V79:W79">
    <cfRule type="cellIs" priority="799" stopIfTrue="1" operator="lessThan">
      <formula>10.237</formula>
    </cfRule>
  </conditionalFormatting>
  <conditionalFormatting sqref="AH79">
    <cfRule type="cellIs" priority="798" stopIfTrue="1" operator="lessThan">
      <formula>10.237</formula>
    </cfRule>
  </conditionalFormatting>
  <conditionalFormatting sqref="AI79">
    <cfRule type="cellIs" priority="797" stopIfTrue="1" operator="lessThan">
      <formula>10.237</formula>
    </cfRule>
  </conditionalFormatting>
  <conditionalFormatting sqref="AH79:AI79">
    <cfRule type="cellIs" dxfId="241" priority="795" operator="lessThan">
      <formula>0</formula>
    </cfRule>
    <cfRule type="cellIs" dxfId="240" priority="796" operator="lessThan">
      <formula>0</formula>
    </cfRule>
  </conditionalFormatting>
  <conditionalFormatting sqref="X79">
    <cfRule type="cellIs" priority="794" stopIfTrue="1" operator="lessThan">
      <formula>10.237</formula>
    </cfRule>
  </conditionalFormatting>
  <conditionalFormatting sqref="AA79">
    <cfRule type="cellIs" priority="793" stopIfTrue="1" operator="lessThan">
      <formula>10.237</formula>
    </cfRule>
  </conditionalFormatting>
  <conditionalFormatting sqref="V78:X78">
    <cfRule type="cellIs" priority="792" stopIfTrue="1" operator="lessThan">
      <formula>10.237</formula>
    </cfRule>
  </conditionalFormatting>
  <conditionalFormatting sqref="AH78">
    <cfRule type="cellIs" priority="791" stopIfTrue="1" operator="lessThan">
      <formula>10.237</formula>
    </cfRule>
  </conditionalFormatting>
  <conditionalFormatting sqref="AI78">
    <cfRule type="cellIs" priority="790" stopIfTrue="1" operator="lessThan">
      <formula>10.237</formula>
    </cfRule>
  </conditionalFormatting>
  <conditionalFormatting sqref="AH78:AI78">
    <cfRule type="cellIs" dxfId="239" priority="785" operator="lessThan">
      <formula>0</formula>
    </cfRule>
    <cfRule type="cellIs" dxfId="238" priority="789" operator="lessThan">
      <formula>0</formula>
    </cfRule>
  </conditionalFormatting>
  <conditionalFormatting sqref="AA78">
    <cfRule type="cellIs" priority="788" stopIfTrue="1" operator="lessThan">
      <formula>10.237</formula>
    </cfRule>
  </conditionalFormatting>
  <conditionalFormatting sqref="AH78">
    <cfRule type="cellIs" priority="787" stopIfTrue="1" operator="lessThan">
      <formula>10.237</formula>
    </cfRule>
  </conditionalFormatting>
  <conditionalFormatting sqref="X84">
    <cfRule type="cellIs" priority="766" stopIfTrue="1" operator="lessThan">
      <formula>10.237</formula>
    </cfRule>
  </conditionalFormatting>
  <conditionalFormatting sqref="AE86:AE87 Z86:Z88 V86:W88">
    <cfRule type="cellIs" priority="764" stopIfTrue="1" operator="lessThan">
      <formula>10.237</formula>
    </cfRule>
  </conditionalFormatting>
  <conditionalFormatting sqref="AH82">
    <cfRule type="cellIs" priority="783" stopIfTrue="1" operator="lessThan">
      <formula>10.237</formula>
    </cfRule>
  </conditionalFormatting>
  <conditionalFormatting sqref="AI82">
    <cfRule type="cellIs" priority="782" stopIfTrue="1" operator="lessThan">
      <formula>10.237</formula>
    </cfRule>
  </conditionalFormatting>
  <conditionalFormatting sqref="AH82:AI82">
    <cfRule type="cellIs" dxfId="237" priority="780" operator="lessThan">
      <formula>0</formula>
    </cfRule>
    <cfRule type="cellIs" dxfId="236" priority="781" operator="lessThan">
      <formula>0</formula>
    </cfRule>
  </conditionalFormatting>
  <conditionalFormatting sqref="V85:X85">
    <cfRule type="cellIs" priority="779" stopIfTrue="1" operator="lessThan">
      <formula>10.237</formula>
    </cfRule>
  </conditionalFormatting>
  <conditionalFormatting sqref="AH85">
    <cfRule type="cellIs" priority="778" stopIfTrue="1" operator="lessThan">
      <formula>10.237</formula>
    </cfRule>
  </conditionalFormatting>
  <conditionalFormatting sqref="AI85">
    <cfRule type="cellIs" priority="777" stopIfTrue="1" operator="lessThan">
      <formula>10.237</formula>
    </cfRule>
  </conditionalFormatting>
  <conditionalFormatting sqref="AH85:AI85">
    <cfRule type="cellIs" dxfId="235" priority="772" operator="lessThan">
      <formula>0</formula>
    </cfRule>
    <cfRule type="cellIs" dxfId="234" priority="776" operator="lessThan">
      <formula>0</formula>
    </cfRule>
  </conditionalFormatting>
  <conditionalFormatting sqref="AA85">
    <cfRule type="cellIs" priority="775" stopIfTrue="1" operator="lessThan">
      <formula>10.237</formula>
    </cfRule>
  </conditionalFormatting>
  <conditionalFormatting sqref="AH85">
    <cfRule type="cellIs" priority="774" stopIfTrue="1" operator="lessThan">
      <formula>10.237</formula>
    </cfRule>
  </conditionalFormatting>
  <conditionalFormatting sqref="AI85">
    <cfRule type="cellIs" priority="773" stopIfTrue="1" operator="lessThan">
      <formula>10.237</formula>
    </cfRule>
  </conditionalFormatting>
  <conditionalFormatting sqref="V84:W84">
    <cfRule type="cellIs" priority="771" stopIfTrue="1" operator="lessThan">
      <formula>10.237</formula>
    </cfRule>
  </conditionalFormatting>
  <conditionalFormatting sqref="AH84">
    <cfRule type="cellIs" priority="770" stopIfTrue="1" operator="lessThan">
      <formula>10.237</formula>
    </cfRule>
  </conditionalFormatting>
  <conditionalFormatting sqref="AI84">
    <cfRule type="cellIs" priority="769" stopIfTrue="1" operator="lessThan">
      <formula>10.237</formula>
    </cfRule>
  </conditionalFormatting>
  <conditionalFormatting sqref="AH84:AI84">
    <cfRule type="cellIs" dxfId="233" priority="767" operator="lessThan">
      <formula>0</formula>
    </cfRule>
    <cfRule type="cellIs" dxfId="232" priority="768" operator="lessThan">
      <formula>0</formula>
    </cfRule>
  </conditionalFormatting>
  <conditionalFormatting sqref="AI90:AI91">
    <cfRule type="cellIs" priority="753" stopIfTrue="1" operator="lessThan">
      <formula>10.237</formula>
    </cfRule>
  </conditionalFormatting>
  <conditionalFormatting sqref="AA96">
    <cfRule type="cellIs" priority="732" stopIfTrue="1" operator="lessThan">
      <formula>10.237</formula>
    </cfRule>
  </conditionalFormatting>
  <conditionalFormatting sqref="AE92:AE93 Z92:Z94 V92:W94">
    <cfRule type="cellIs" priority="751" stopIfTrue="1" operator="lessThan">
      <formula>10.237</formula>
    </cfRule>
  </conditionalFormatting>
  <conditionalFormatting sqref="AH88">
    <cfRule type="cellIs" priority="763" stopIfTrue="1" operator="lessThan">
      <formula>10.237</formula>
    </cfRule>
  </conditionalFormatting>
  <conditionalFormatting sqref="AI88">
    <cfRule type="cellIs" priority="762" stopIfTrue="1" operator="lessThan">
      <formula>10.237</formula>
    </cfRule>
  </conditionalFormatting>
  <conditionalFormatting sqref="AH88:AI88">
    <cfRule type="cellIs" dxfId="231" priority="760" operator="lessThan">
      <formula>0</formula>
    </cfRule>
    <cfRule type="cellIs" dxfId="230" priority="761" operator="lessThan">
      <formula>0</formula>
    </cfRule>
  </conditionalFormatting>
  <conditionalFormatting sqref="V90:X91">
    <cfRule type="cellIs" priority="759" stopIfTrue="1" operator="lessThan">
      <formula>10.237</formula>
    </cfRule>
  </conditionalFormatting>
  <conditionalFormatting sqref="AH90:AH91">
    <cfRule type="cellIs" priority="758" stopIfTrue="1" operator="lessThan">
      <formula>10.237</formula>
    </cfRule>
  </conditionalFormatting>
  <conditionalFormatting sqref="AI90:AI91">
    <cfRule type="cellIs" priority="757" stopIfTrue="1" operator="lessThan">
      <formula>10.237</formula>
    </cfRule>
  </conditionalFormatting>
  <conditionalFormatting sqref="AH90:AI91">
    <cfRule type="cellIs" dxfId="229" priority="752" operator="lessThan">
      <formula>0</formula>
    </cfRule>
    <cfRule type="cellIs" dxfId="228" priority="756" operator="lessThan">
      <formula>0</formula>
    </cfRule>
  </conditionalFormatting>
  <conditionalFormatting sqref="AA90:AA91">
    <cfRule type="cellIs" priority="755" stopIfTrue="1" operator="lessThan">
      <formula>10.237</formula>
    </cfRule>
  </conditionalFormatting>
  <conditionalFormatting sqref="AH90:AH91">
    <cfRule type="cellIs" priority="754" stopIfTrue="1" operator="lessThan">
      <formula>10.237</formula>
    </cfRule>
  </conditionalFormatting>
  <conditionalFormatting sqref="AE98:AE99 Z98:Z100 V98:W100">
    <cfRule type="cellIs" priority="731" stopIfTrue="1" operator="lessThan">
      <formula>10.237</formula>
    </cfRule>
  </conditionalFormatting>
  <conditionalFormatting sqref="AH94">
    <cfRule type="cellIs" priority="750" stopIfTrue="1" operator="lessThan">
      <formula>10.237</formula>
    </cfRule>
  </conditionalFormatting>
  <conditionalFormatting sqref="AI94">
    <cfRule type="cellIs" priority="749" stopIfTrue="1" operator="lessThan">
      <formula>10.237</formula>
    </cfRule>
  </conditionalFormatting>
  <conditionalFormatting sqref="AH94:AI94">
    <cfRule type="cellIs" dxfId="227" priority="747" operator="lessThan">
      <formula>0</formula>
    </cfRule>
    <cfRule type="cellIs" dxfId="226" priority="748" operator="lessThan">
      <formula>0</formula>
    </cfRule>
  </conditionalFormatting>
  <conditionalFormatting sqref="V97:X97">
    <cfRule type="cellIs" priority="746" stopIfTrue="1" operator="lessThan">
      <formula>10.237</formula>
    </cfRule>
  </conditionalFormatting>
  <conditionalFormatting sqref="AH97">
    <cfRule type="cellIs" priority="745" stopIfTrue="1" operator="lessThan">
      <formula>10.237</formula>
    </cfRule>
  </conditionalFormatting>
  <conditionalFormatting sqref="AI97">
    <cfRule type="cellIs" priority="744" stopIfTrue="1" operator="lessThan">
      <formula>10.237</formula>
    </cfRule>
  </conditionalFormatting>
  <conditionalFormatting sqref="AH97:AI97">
    <cfRule type="cellIs" dxfId="225" priority="739" operator="lessThan">
      <formula>0</formula>
    </cfRule>
    <cfRule type="cellIs" dxfId="224" priority="743" operator="lessThan">
      <formula>0</formula>
    </cfRule>
  </conditionalFormatting>
  <conditionalFormatting sqref="AA97">
    <cfRule type="cellIs" priority="742" stopIfTrue="1" operator="lessThan">
      <formula>10.237</formula>
    </cfRule>
  </conditionalFormatting>
  <conditionalFormatting sqref="AH97">
    <cfRule type="cellIs" priority="741" stopIfTrue="1" operator="lessThan">
      <formula>10.237</formula>
    </cfRule>
  </conditionalFormatting>
  <conditionalFormatting sqref="AI97">
    <cfRule type="cellIs" priority="740" stopIfTrue="1" operator="lessThan">
      <formula>10.237</formula>
    </cfRule>
  </conditionalFormatting>
  <conditionalFormatting sqref="AA108">
    <cfRule type="cellIs" priority="698" stopIfTrue="1" operator="lessThan">
      <formula>10.237</formula>
    </cfRule>
  </conditionalFormatting>
  <conditionalFormatting sqref="AI102:AI103">
    <cfRule type="cellIs" priority="720" stopIfTrue="1" operator="lessThan">
      <formula>10.237</formula>
    </cfRule>
  </conditionalFormatting>
  <conditionalFormatting sqref="V96:W96">
    <cfRule type="cellIs" priority="738" stopIfTrue="1" operator="lessThan">
      <formula>10.237</formula>
    </cfRule>
  </conditionalFormatting>
  <conditionalFormatting sqref="AH96">
    <cfRule type="cellIs" priority="737" stopIfTrue="1" operator="lessThan">
      <formula>10.237</formula>
    </cfRule>
  </conditionalFormatting>
  <conditionalFormatting sqref="AI96">
    <cfRule type="cellIs" priority="736" stopIfTrue="1" operator="lessThan">
      <formula>10.237</formula>
    </cfRule>
  </conditionalFormatting>
  <conditionalFormatting sqref="AH96:AI96">
    <cfRule type="cellIs" dxfId="223" priority="734" operator="lessThan">
      <formula>0</formula>
    </cfRule>
    <cfRule type="cellIs" dxfId="222" priority="735" operator="lessThan">
      <formula>0</formula>
    </cfRule>
  </conditionalFormatting>
  <conditionalFormatting sqref="AE104:AE105 Z104:Z106 V104:W106">
    <cfRule type="cellIs" priority="718" stopIfTrue="1" operator="lessThan">
      <formula>10.237</formula>
    </cfRule>
  </conditionalFormatting>
  <conditionalFormatting sqref="AH100">
    <cfRule type="cellIs" priority="730" stopIfTrue="1" operator="lessThan">
      <formula>10.237</formula>
    </cfRule>
  </conditionalFormatting>
  <conditionalFormatting sqref="AI100">
    <cfRule type="cellIs" priority="729" stopIfTrue="1" operator="lessThan">
      <formula>10.237</formula>
    </cfRule>
  </conditionalFormatting>
  <conditionalFormatting sqref="AH100:AI100">
    <cfRule type="cellIs" dxfId="221" priority="727" operator="lessThan">
      <formula>0</formula>
    </cfRule>
    <cfRule type="cellIs" dxfId="220" priority="728" operator="lessThan">
      <formula>0</formula>
    </cfRule>
  </conditionalFormatting>
  <conditionalFormatting sqref="V102:X103">
    <cfRule type="cellIs" priority="726" stopIfTrue="1" operator="lessThan">
      <formula>10.237</formula>
    </cfRule>
  </conditionalFormatting>
  <conditionalFormatting sqref="AH102:AH103">
    <cfRule type="cellIs" priority="725" stopIfTrue="1" operator="lessThan">
      <formula>10.237</formula>
    </cfRule>
  </conditionalFormatting>
  <conditionalFormatting sqref="AI102:AI103">
    <cfRule type="cellIs" priority="724" stopIfTrue="1" operator="lessThan">
      <formula>10.237</formula>
    </cfRule>
  </conditionalFormatting>
  <conditionalFormatting sqref="AH102:AI103">
    <cfRule type="cellIs" dxfId="219" priority="719" operator="lessThan">
      <formula>0</formula>
    </cfRule>
    <cfRule type="cellIs" dxfId="218" priority="723" operator="lessThan">
      <formula>0</formula>
    </cfRule>
  </conditionalFormatting>
  <conditionalFormatting sqref="AA102:AA103">
    <cfRule type="cellIs" priority="722" stopIfTrue="1" operator="lessThan">
      <formula>10.237</formula>
    </cfRule>
  </conditionalFormatting>
  <conditionalFormatting sqref="AH102:AH103">
    <cfRule type="cellIs" priority="721" stopIfTrue="1" operator="lessThan">
      <formula>10.237</formula>
    </cfRule>
  </conditionalFormatting>
  <conditionalFormatting sqref="AE110:AE111 Z110:Z112 V110:W112">
    <cfRule type="cellIs" priority="697" stopIfTrue="1" operator="lessThan">
      <formula>10.237</formula>
    </cfRule>
  </conditionalFormatting>
  <conditionalFormatting sqref="AH106">
    <cfRule type="cellIs" priority="717" stopIfTrue="1" operator="lessThan">
      <formula>10.237</formula>
    </cfRule>
  </conditionalFormatting>
  <conditionalFormatting sqref="AI106">
    <cfRule type="cellIs" priority="716" stopIfTrue="1" operator="lessThan">
      <formula>10.237</formula>
    </cfRule>
  </conditionalFormatting>
  <conditionalFormatting sqref="AH106:AI106">
    <cfRule type="cellIs" dxfId="217" priority="714" operator="lessThan">
      <formula>0</formula>
    </cfRule>
    <cfRule type="cellIs" dxfId="216" priority="715" operator="lessThan">
      <formula>0</formula>
    </cfRule>
  </conditionalFormatting>
  <conditionalFormatting sqref="X109">
    <cfRule type="cellIs" priority="713" stopIfTrue="1" operator="lessThan">
      <formula>10.237</formula>
    </cfRule>
  </conditionalFormatting>
  <conditionalFormatting sqref="V109:W109">
    <cfRule type="cellIs" priority="712" stopIfTrue="1" operator="lessThan">
      <formula>10.237</formula>
    </cfRule>
  </conditionalFormatting>
  <conditionalFormatting sqref="AH109">
    <cfRule type="cellIs" priority="711" stopIfTrue="1" operator="lessThan">
      <formula>10.237</formula>
    </cfRule>
  </conditionalFormatting>
  <conditionalFormatting sqref="AI109">
    <cfRule type="cellIs" priority="710" stopIfTrue="1" operator="lessThan">
      <formula>10.237</formula>
    </cfRule>
  </conditionalFormatting>
  <conditionalFormatting sqref="AH109:AI109">
    <cfRule type="cellIs" dxfId="215" priority="705" operator="lessThan">
      <formula>0</formula>
    </cfRule>
    <cfRule type="cellIs" dxfId="214" priority="709" operator="lessThan">
      <formula>0</formula>
    </cfRule>
  </conditionalFormatting>
  <conditionalFormatting sqref="AA109">
    <cfRule type="cellIs" priority="708" stopIfTrue="1" operator="lessThan">
      <formula>10.237</formula>
    </cfRule>
  </conditionalFormatting>
  <conditionalFormatting sqref="AH109">
    <cfRule type="cellIs" priority="707" stopIfTrue="1" operator="lessThan">
      <formula>10.237</formula>
    </cfRule>
  </conditionalFormatting>
  <conditionalFormatting sqref="AI109">
    <cfRule type="cellIs" priority="706" stopIfTrue="1" operator="lessThan">
      <formula>10.237</formula>
    </cfRule>
  </conditionalFormatting>
  <conditionalFormatting sqref="AA126:AA127">
    <cfRule type="cellIs" priority="644" stopIfTrue="1" operator="lessThan">
      <formula>10.237</formula>
    </cfRule>
  </conditionalFormatting>
  <conditionalFormatting sqref="AI114">
    <cfRule type="cellIs" priority="678" stopIfTrue="1" operator="lessThan">
      <formula>10.237</formula>
    </cfRule>
  </conditionalFormatting>
  <conditionalFormatting sqref="V108:W108">
    <cfRule type="cellIs" priority="704" stopIfTrue="1" operator="lessThan">
      <formula>10.237</formula>
    </cfRule>
  </conditionalFormatting>
  <conditionalFormatting sqref="AH108">
    <cfRule type="cellIs" priority="703" stopIfTrue="1" operator="lessThan">
      <formula>10.237</formula>
    </cfRule>
  </conditionalFormatting>
  <conditionalFormatting sqref="AI108">
    <cfRule type="cellIs" priority="702" stopIfTrue="1" operator="lessThan">
      <formula>10.237</formula>
    </cfRule>
  </conditionalFormatting>
  <conditionalFormatting sqref="AH108:AI108">
    <cfRule type="cellIs" dxfId="213" priority="700" operator="lessThan">
      <formula>0</formula>
    </cfRule>
    <cfRule type="cellIs" dxfId="212" priority="701" operator="lessThan">
      <formula>0</formula>
    </cfRule>
  </conditionalFormatting>
  <conditionalFormatting sqref="AE116:AE117 Z116:Z118 V116:W118">
    <cfRule type="cellIs" priority="676" stopIfTrue="1" operator="lessThan">
      <formula>10.237</formula>
    </cfRule>
  </conditionalFormatting>
  <conditionalFormatting sqref="AH112">
    <cfRule type="cellIs" priority="696" stopIfTrue="1" operator="lessThan">
      <formula>10.237</formula>
    </cfRule>
  </conditionalFormatting>
  <conditionalFormatting sqref="AI112">
    <cfRule type="cellIs" priority="695" stopIfTrue="1" operator="lessThan">
      <formula>10.237</formula>
    </cfRule>
  </conditionalFormatting>
  <conditionalFormatting sqref="AH112:AI112">
    <cfRule type="cellIs" dxfId="211" priority="693" operator="lessThan">
      <formula>0</formula>
    </cfRule>
    <cfRule type="cellIs" dxfId="210" priority="694" operator="lessThan">
      <formula>0</formula>
    </cfRule>
  </conditionalFormatting>
  <conditionalFormatting sqref="V115:W115">
    <cfRule type="cellIs" priority="692" stopIfTrue="1" operator="lessThan">
      <formula>10.237</formula>
    </cfRule>
  </conditionalFormatting>
  <conditionalFormatting sqref="AH115">
    <cfRule type="cellIs" priority="691" stopIfTrue="1" operator="lessThan">
      <formula>10.237</formula>
    </cfRule>
  </conditionalFormatting>
  <conditionalFormatting sqref="AI115">
    <cfRule type="cellIs" priority="690" stopIfTrue="1" operator="lessThan">
      <formula>10.237</formula>
    </cfRule>
  </conditionalFormatting>
  <conditionalFormatting sqref="AH115:AI115">
    <cfRule type="cellIs" dxfId="209" priority="688" operator="lessThan">
      <formula>0</formula>
    </cfRule>
    <cfRule type="cellIs" dxfId="208" priority="689" operator="lessThan">
      <formula>0</formula>
    </cfRule>
  </conditionalFormatting>
  <conditionalFormatting sqref="X115">
    <cfRule type="cellIs" priority="687" stopIfTrue="1" operator="lessThan">
      <formula>10.237</formula>
    </cfRule>
  </conditionalFormatting>
  <conditionalFormatting sqref="AA115">
    <cfRule type="cellIs" priority="686" stopIfTrue="1" operator="lessThan">
      <formula>10.237</formula>
    </cfRule>
  </conditionalFormatting>
  <conditionalFormatting sqref="X114">
    <cfRule type="cellIs" priority="685" stopIfTrue="1" operator="lessThan">
      <formula>10.237</formula>
    </cfRule>
  </conditionalFormatting>
  <conditionalFormatting sqref="V114:W114">
    <cfRule type="cellIs" priority="684" stopIfTrue="1" operator="lessThan">
      <formula>10.237</formula>
    </cfRule>
  </conditionalFormatting>
  <conditionalFormatting sqref="AH114">
    <cfRule type="cellIs" priority="683" stopIfTrue="1" operator="lessThan">
      <formula>10.237</formula>
    </cfRule>
  </conditionalFormatting>
  <conditionalFormatting sqref="AI114">
    <cfRule type="cellIs" priority="682" stopIfTrue="1" operator="lessThan">
      <formula>10.237</formula>
    </cfRule>
  </conditionalFormatting>
  <conditionalFormatting sqref="AH114:AI114">
    <cfRule type="cellIs" dxfId="207" priority="677" operator="lessThan">
      <formula>0</formula>
    </cfRule>
    <cfRule type="cellIs" dxfId="206" priority="681" operator="lessThan">
      <formula>0</formula>
    </cfRule>
  </conditionalFormatting>
  <conditionalFormatting sqref="AA114">
    <cfRule type="cellIs" priority="680" stopIfTrue="1" operator="lessThan">
      <formula>10.237</formula>
    </cfRule>
  </conditionalFormatting>
  <conditionalFormatting sqref="AH114">
    <cfRule type="cellIs" priority="679" stopIfTrue="1" operator="lessThan">
      <formula>10.237</formula>
    </cfRule>
  </conditionalFormatting>
  <conditionalFormatting sqref="AI120">
    <cfRule type="cellIs" priority="657" stopIfTrue="1" operator="lessThan">
      <formula>10.237</formula>
    </cfRule>
  </conditionalFormatting>
  <conditionalFormatting sqref="AE122:AE123 Z122:Z124 V122:W124">
    <cfRule type="cellIs" priority="655" stopIfTrue="1" operator="lessThan">
      <formula>10.237</formula>
    </cfRule>
  </conditionalFormatting>
  <conditionalFormatting sqref="AH118">
    <cfRule type="cellIs" priority="675" stopIfTrue="1" operator="lessThan">
      <formula>10.237</formula>
    </cfRule>
  </conditionalFormatting>
  <conditionalFormatting sqref="AI118">
    <cfRule type="cellIs" priority="674" stopIfTrue="1" operator="lessThan">
      <formula>10.237</formula>
    </cfRule>
  </conditionalFormatting>
  <conditionalFormatting sqref="AH118:AI118">
    <cfRule type="cellIs" dxfId="205" priority="672" operator="lessThan">
      <formula>0</formula>
    </cfRule>
    <cfRule type="cellIs" dxfId="204" priority="673" operator="lessThan">
      <formula>0</formula>
    </cfRule>
  </conditionalFormatting>
  <conditionalFormatting sqref="V121:W121">
    <cfRule type="cellIs" priority="671" stopIfTrue="1" operator="lessThan">
      <formula>10.237</formula>
    </cfRule>
  </conditionalFormatting>
  <conditionalFormatting sqref="AH121">
    <cfRule type="cellIs" priority="670" stopIfTrue="1" operator="lessThan">
      <formula>10.237</formula>
    </cfRule>
  </conditionalFormatting>
  <conditionalFormatting sqref="AI121">
    <cfRule type="cellIs" priority="669" stopIfTrue="1" operator="lessThan">
      <formula>10.237</formula>
    </cfRule>
  </conditionalFormatting>
  <conditionalFormatting sqref="AH121:AI121">
    <cfRule type="cellIs" dxfId="203" priority="667" operator="lessThan">
      <formula>0</formula>
    </cfRule>
    <cfRule type="cellIs" dxfId="202" priority="668" operator="lessThan">
      <formula>0</formula>
    </cfRule>
  </conditionalFormatting>
  <conditionalFormatting sqref="X121">
    <cfRule type="cellIs" priority="666" stopIfTrue="1" operator="lessThan">
      <formula>10.237</formula>
    </cfRule>
  </conditionalFormatting>
  <conditionalFormatting sqref="AA121">
    <cfRule type="cellIs" priority="665" stopIfTrue="1" operator="lessThan">
      <formula>10.237</formula>
    </cfRule>
  </conditionalFormatting>
  <conditionalFormatting sqref="X126:X127">
    <cfRule type="cellIs" priority="645" stopIfTrue="1" operator="lessThan">
      <formula>10.237</formula>
    </cfRule>
  </conditionalFormatting>
  <conditionalFormatting sqref="X120">
    <cfRule type="cellIs" priority="664" stopIfTrue="1" operator="lessThan">
      <formula>10.237</formula>
    </cfRule>
  </conditionalFormatting>
  <conditionalFormatting sqref="V120:W120">
    <cfRule type="cellIs" priority="663" stopIfTrue="1" operator="lessThan">
      <formula>10.237</formula>
    </cfRule>
  </conditionalFormatting>
  <conditionalFormatting sqref="AH120">
    <cfRule type="cellIs" priority="662" stopIfTrue="1" operator="lessThan">
      <formula>10.237</formula>
    </cfRule>
  </conditionalFormatting>
  <conditionalFormatting sqref="AI120">
    <cfRule type="cellIs" priority="661" stopIfTrue="1" operator="lessThan">
      <formula>10.237</formula>
    </cfRule>
  </conditionalFormatting>
  <conditionalFormatting sqref="AH120:AI120">
    <cfRule type="cellIs" dxfId="201" priority="656" operator="lessThan">
      <formula>0</formula>
    </cfRule>
    <cfRule type="cellIs" dxfId="200" priority="660" operator="lessThan">
      <formula>0</formula>
    </cfRule>
  </conditionalFormatting>
  <conditionalFormatting sqref="AA120">
    <cfRule type="cellIs" priority="659" stopIfTrue="1" operator="lessThan">
      <formula>10.237</formula>
    </cfRule>
  </conditionalFormatting>
  <conditionalFormatting sqref="AH120">
    <cfRule type="cellIs" priority="658" stopIfTrue="1" operator="lessThan">
      <formula>10.237</formula>
    </cfRule>
  </conditionalFormatting>
  <conditionalFormatting sqref="AE128:AE129 Z128:Z130 V128:W130">
    <cfRule type="cellIs" priority="643" stopIfTrue="1" operator="lessThan">
      <formula>10.237</formula>
    </cfRule>
  </conditionalFormatting>
  <conditionalFormatting sqref="AH124">
    <cfRule type="cellIs" priority="654" stopIfTrue="1" operator="lessThan">
      <formula>10.237</formula>
    </cfRule>
  </conditionalFormatting>
  <conditionalFormatting sqref="AI124">
    <cfRule type="cellIs" priority="653" stopIfTrue="1" operator="lessThan">
      <formula>10.237</formula>
    </cfRule>
  </conditionalFormatting>
  <conditionalFormatting sqref="AH124:AI124">
    <cfRule type="cellIs" dxfId="199" priority="651" operator="lessThan">
      <formula>0</formula>
    </cfRule>
    <cfRule type="cellIs" dxfId="198" priority="652" operator="lessThan">
      <formula>0</formula>
    </cfRule>
  </conditionalFormatting>
  <conditionalFormatting sqref="V126:W127">
    <cfRule type="cellIs" priority="650" stopIfTrue="1" operator="lessThan">
      <formula>10.237</formula>
    </cfRule>
  </conditionalFormatting>
  <conditionalFormatting sqref="AH126:AH127">
    <cfRule type="cellIs" priority="649" stopIfTrue="1" operator="lessThan">
      <formula>10.237</formula>
    </cfRule>
  </conditionalFormatting>
  <conditionalFormatting sqref="AI126:AI127">
    <cfRule type="cellIs" priority="648" stopIfTrue="1" operator="lessThan">
      <formula>10.237</formula>
    </cfRule>
  </conditionalFormatting>
  <conditionalFormatting sqref="AH126:AI127">
    <cfRule type="cellIs" dxfId="197" priority="646" operator="lessThan">
      <formula>0</formula>
    </cfRule>
    <cfRule type="cellIs" dxfId="196" priority="647" operator="lessThan">
      <formula>0</formula>
    </cfRule>
  </conditionalFormatting>
  <conditionalFormatting sqref="X132">
    <cfRule type="cellIs" priority="625" stopIfTrue="1" operator="lessThan">
      <formula>10.237</formula>
    </cfRule>
  </conditionalFormatting>
  <conditionalFormatting sqref="AA132">
    <cfRule type="cellIs" priority="624" stopIfTrue="1" operator="lessThan">
      <formula>10.237</formula>
    </cfRule>
  </conditionalFormatting>
  <conditionalFormatting sqref="AE134:AE135 Z134:Z136 V134:W136">
    <cfRule type="cellIs" priority="623" stopIfTrue="1" operator="lessThan">
      <formula>10.237</formula>
    </cfRule>
  </conditionalFormatting>
  <conditionalFormatting sqref="AH130">
    <cfRule type="cellIs" priority="642" stopIfTrue="1" operator="lessThan">
      <formula>10.237</formula>
    </cfRule>
  </conditionalFormatting>
  <conditionalFormatting sqref="AI130">
    <cfRule type="cellIs" priority="641" stopIfTrue="1" operator="lessThan">
      <formula>10.237</formula>
    </cfRule>
  </conditionalFormatting>
  <conditionalFormatting sqref="AH130:AI130">
    <cfRule type="cellIs" dxfId="195" priority="639" operator="lessThan">
      <formula>0</formula>
    </cfRule>
    <cfRule type="cellIs" dxfId="194" priority="640" operator="lessThan">
      <formula>0</formula>
    </cfRule>
  </conditionalFormatting>
  <conditionalFormatting sqref="V133:X133">
    <cfRule type="cellIs" priority="638" stopIfTrue="1" operator="lessThan">
      <formula>10.237</formula>
    </cfRule>
  </conditionalFormatting>
  <conditionalFormatting sqref="AH133">
    <cfRule type="cellIs" priority="637" stopIfTrue="1" operator="lessThan">
      <formula>10.237</formula>
    </cfRule>
  </conditionalFormatting>
  <conditionalFormatting sqref="AI133">
    <cfRule type="cellIs" priority="636" stopIfTrue="1" operator="lessThan">
      <formula>10.237</formula>
    </cfRule>
  </conditionalFormatting>
  <conditionalFormatting sqref="AH133:AI133">
    <cfRule type="cellIs" dxfId="193" priority="631" operator="lessThan">
      <formula>0</formula>
    </cfRule>
    <cfRule type="cellIs" dxfId="192" priority="635" operator="lessThan">
      <formula>0</formula>
    </cfRule>
  </conditionalFormatting>
  <conditionalFormatting sqref="AA133">
    <cfRule type="cellIs" priority="634" stopIfTrue="1" operator="lessThan">
      <formula>10.237</formula>
    </cfRule>
  </conditionalFormatting>
  <conditionalFormatting sqref="AH133">
    <cfRule type="cellIs" priority="633" stopIfTrue="1" operator="lessThan">
      <formula>10.237</formula>
    </cfRule>
  </conditionalFormatting>
  <conditionalFormatting sqref="AI133">
    <cfRule type="cellIs" priority="632" stopIfTrue="1" operator="lessThan">
      <formula>10.237</formula>
    </cfRule>
  </conditionalFormatting>
  <conditionalFormatting sqref="AA144:AA145">
    <cfRule type="cellIs" priority="592" stopIfTrue="1" operator="lessThan">
      <formula>10.237</formula>
    </cfRule>
  </conditionalFormatting>
  <conditionalFormatting sqref="AI138">
    <cfRule type="cellIs" priority="605" stopIfTrue="1" operator="lessThan">
      <formula>10.237</formula>
    </cfRule>
  </conditionalFormatting>
  <conditionalFormatting sqref="V132:W132">
    <cfRule type="cellIs" priority="630" stopIfTrue="1" operator="lessThan">
      <formula>10.237</formula>
    </cfRule>
  </conditionalFormatting>
  <conditionalFormatting sqref="AH132">
    <cfRule type="cellIs" priority="629" stopIfTrue="1" operator="lessThan">
      <formula>10.237</formula>
    </cfRule>
  </conditionalFormatting>
  <conditionalFormatting sqref="AI132">
    <cfRule type="cellIs" priority="628" stopIfTrue="1" operator="lessThan">
      <formula>10.237</formula>
    </cfRule>
  </conditionalFormatting>
  <conditionalFormatting sqref="AH132:AI132">
    <cfRule type="cellIs" dxfId="191" priority="626" operator="lessThan">
      <formula>0</formula>
    </cfRule>
    <cfRule type="cellIs" dxfId="190" priority="627" operator="lessThan">
      <formula>0</formula>
    </cfRule>
  </conditionalFormatting>
  <conditionalFormatting sqref="AE140:AE141 Z140:Z142 V140:W142">
    <cfRule type="cellIs" priority="603" stopIfTrue="1" operator="lessThan">
      <formula>10.237</formula>
    </cfRule>
  </conditionalFormatting>
  <conditionalFormatting sqref="AH136">
    <cfRule type="cellIs" priority="622" stopIfTrue="1" operator="lessThan">
      <formula>10.237</formula>
    </cfRule>
  </conditionalFormatting>
  <conditionalFormatting sqref="AI136">
    <cfRule type="cellIs" priority="621" stopIfTrue="1" operator="lessThan">
      <formula>10.237</formula>
    </cfRule>
  </conditionalFormatting>
  <conditionalFormatting sqref="AH136:AI136">
    <cfRule type="cellIs" dxfId="189" priority="619" operator="lessThan">
      <formula>0</formula>
    </cfRule>
    <cfRule type="cellIs" dxfId="188" priority="620" operator="lessThan">
      <formula>0</formula>
    </cfRule>
  </conditionalFormatting>
  <conditionalFormatting sqref="V139:W139">
    <cfRule type="cellIs" priority="618" stopIfTrue="1" operator="lessThan">
      <formula>10.237</formula>
    </cfRule>
  </conditionalFormatting>
  <conditionalFormatting sqref="AH139">
    <cfRule type="cellIs" priority="617" stopIfTrue="1" operator="lessThan">
      <formula>10.237</formula>
    </cfRule>
  </conditionalFormatting>
  <conditionalFormatting sqref="AI139">
    <cfRule type="cellIs" priority="616" stopIfTrue="1" operator="lessThan">
      <formula>10.237</formula>
    </cfRule>
  </conditionalFormatting>
  <conditionalFormatting sqref="AH139:AI139">
    <cfRule type="cellIs" dxfId="187" priority="614" operator="lessThan">
      <formula>0</formula>
    </cfRule>
    <cfRule type="cellIs" dxfId="186" priority="615" operator="lessThan">
      <formula>0</formula>
    </cfRule>
  </conditionalFormatting>
  <conditionalFormatting sqref="X139">
    <cfRule type="cellIs" priority="613" stopIfTrue="1" operator="lessThan">
      <formula>10.237</formula>
    </cfRule>
  </conditionalFormatting>
  <conditionalFormatting sqref="AA139">
    <cfRule type="cellIs" priority="612" stopIfTrue="1" operator="lessThan">
      <formula>10.237</formula>
    </cfRule>
  </conditionalFormatting>
  <conditionalFormatting sqref="V138:X138">
    <cfRule type="cellIs" priority="611" stopIfTrue="1" operator="lessThan">
      <formula>10.237</formula>
    </cfRule>
  </conditionalFormatting>
  <conditionalFormatting sqref="AH138">
    <cfRule type="cellIs" priority="610" stopIfTrue="1" operator="lessThan">
      <formula>10.237</formula>
    </cfRule>
  </conditionalFormatting>
  <conditionalFormatting sqref="AI138">
    <cfRule type="cellIs" priority="609" stopIfTrue="1" operator="lessThan">
      <formula>10.237</formula>
    </cfRule>
  </conditionalFormatting>
  <conditionalFormatting sqref="AH138:AI138">
    <cfRule type="cellIs" dxfId="185" priority="604" operator="lessThan">
      <formula>0</formula>
    </cfRule>
    <cfRule type="cellIs" dxfId="184" priority="608" operator="lessThan">
      <formula>0</formula>
    </cfRule>
  </conditionalFormatting>
  <conditionalFormatting sqref="AA138">
    <cfRule type="cellIs" priority="607" stopIfTrue="1" operator="lessThan">
      <formula>10.237</formula>
    </cfRule>
  </conditionalFormatting>
  <conditionalFormatting sqref="AH138">
    <cfRule type="cellIs" priority="606" stopIfTrue="1" operator="lessThan">
      <formula>10.237</formula>
    </cfRule>
  </conditionalFormatting>
  <conditionalFormatting sqref="X144:X145">
    <cfRule type="cellIs" priority="593" stopIfTrue="1" operator="lessThan">
      <formula>10.237</formula>
    </cfRule>
  </conditionalFormatting>
  <conditionalFormatting sqref="AE146:AE147 Z146:Z148 V146:W148">
    <cfRule type="cellIs" priority="591" stopIfTrue="1" operator="lessThan">
      <formula>10.237</formula>
    </cfRule>
  </conditionalFormatting>
  <conditionalFormatting sqref="AH142">
    <cfRule type="cellIs" priority="602" stopIfTrue="1" operator="lessThan">
      <formula>10.237</formula>
    </cfRule>
  </conditionalFormatting>
  <conditionalFormatting sqref="AI142">
    <cfRule type="cellIs" priority="601" stopIfTrue="1" operator="lessThan">
      <formula>10.237</formula>
    </cfRule>
  </conditionalFormatting>
  <conditionalFormatting sqref="AH142:AI142">
    <cfRule type="cellIs" dxfId="183" priority="599" operator="lessThan">
      <formula>0</formula>
    </cfRule>
    <cfRule type="cellIs" dxfId="182" priority="600" operator="lessThan">
      <formula>0</formula>
    </cfRule>
  </conditionalFormatting>
  <conditionalFormatting sqref="V144:W145">
    <cfRule type="cellIs" priority="598" stopIfTrue="1" operator="lessThan">
      <formula>10.237</formula>
    </cfRule>
  </conditionalFormatting>
  <conditionalFormatting sqref="AH144:AH145">
    <cfRule type="cellIs" priority="597" stopIfTrue="1" operator="lessThan">
      <formula>10.237</formula>
    </cfRule>
  </conditionalFormatting>
  <conditionalFormatting sqref="AI144:AI145">
    <cfRule type="cellIs" priority="596" stopIfTrue="1" operator="lessThan">
      <formula>10.237</formula>
    </cfRule>
  </conditionalFormatting>
  <conditionalFormatting sqref="AH144:AI145">
    <cfRule type="cellIs" dxfId="181" priority="594" operator="lessThan">
      <formula>0</formula>
    </cfRule>
    <cfRule type="cellIs" dxfId="180" priority="595" operator="lessThan">
      <formula>0</formula>
    </cfRule>
  </conditionalFormatting>
  <conditionalFormatting sqref="X150">
    <cfRule type="cellIs" priority="573" stopIfTrue="1" operator="lessThan">
      <formula>10.237</formula>
    </cfRule>
  </conditionalFormatting>
  <conditionalFormatting sqref="AA150">
    <cfRule type="cellIs" priority="572" stopIfTrue="1" operator="lessThan">
      <formula>10.237</formula>
    </cfRule>
  </conditionalFormatting>
  <conditionalFormatting sqref="AE152:AE153 Z152:Z154 V152:W154">
    <cfRule type="cellIs" priority="571" stopIfTrue="1" operator="lessThan">
      <formula>10.237</formula>
    </cfRule>
  </conditionalFormatting>
  <conditionalFormatting sqref="AH148">
    <cfRule type="cellIs" priority="590" stopIfTrue="1" operator="lessThan">
      <formula>10.237</formula>
    </cfRule>
  </conditionalFormatting>
  <conditionalFormatting sqref="AI148">
    <cfRule type="cellIs" priority="589" stopIfTrue="1" operator="lessThan">
      <formula>10.237</formula>
    </cfRule>
  </conditionalFormatting>
  <conditionalFormatting sqref="AH148:AI148">
    <cfRule type="cellIs" dxfId="179" priority="587" operator="lessThan">
      <formula>0</formula>
    </cfRule>
    <cfRule type="cellIs" dxfId="178" priority="588" operator="lessThan">
      <formula>0</formula>
    </cfRule>
  </conditionalFormatting>
  <conditionalFormatting sqref="V151:X151">
    <cfRule type="cellIs" priority="586" stopIfTrue="1" operator="lessThan">
      <formula>10.237</formula>
    </cfRule>
  </conditionalFormatting>
  <conditionalFormatting sqref="AH151">
    <cfRule type="cellIs" priority="585" stopIfTrue="1" operator="lessThan">
      <formula>10.237</formula>
    </cfRule>
  </conditionalFormatting>
  <conditionalFormatting sqref="AI151">
    <cfRule type="cellIs" priority="584" stopIfTrue="1" operator="lessThan">
      <formula>10.237</formula>
    </cfRule>
  </conditionalFormatting>
  <conditionalFormatting sqref="AH151:AI151">
    <cfRule type="cellIs" dxfId="177" priority="579" operator="lessThan">
      <formula>0</formula>
    </cfRule>
    <cfRule type="cellIs" dxfId="176" priority="583" operator="lessThan">
      <formula>0</formula>
    </cfRule>
  </conditionalFormatting>
  <conditionalFormatting sqref="AA151">
    <cfRule type="cellIs" priority="582" stopIfTrue="1" operator="lessThan">
      <formula>10.237</formula>
    </cfRule>
  </conditionalFormatting>
  <conditionalFormatting sqref="AH151">
    <cfRule type="cellIs" priority="581" stopIfTrue="1" operator="lessThan">
      <formula>10.237</formula>
    </cfRule>
  </conditionalFormatting>
  <conditionalFormatting sqref="AI151">
    <cfRule type="cellIs" priority="580" stopIfTrue="1" operator="lessThan">
      <formula>10.237</formula>
    </cfRule>
  </conditionalFormatting>
  <conditionalFormatting sqref="AA168:AA169">
    <cfRule type="cellIs" priority="520" stopIfTrue="1" operator="lessThan">
      <formula>10.237</formula>
    </cfRule>
  </conditionalFormatting>
  <conditionalFormatting sqref="AI156">
    <cfRule type="cellIs" priority="553" stopIfTrue="1" operator="lessThan">
      <formula>10.237</formula>
    </cfRule>
  </conditionalFormatting>
  <conditionalFormatting sqref="V150:W150">
    <cfRule type="cellIs" priority="578" stopIfTrue="1" operator="lessThan">
      <formula>10.237</formula>
    </cfRule>
  </conditionalFormatting>
  <conditionalFormatting sqref="AH150">
    <cfRule type="cellIs" priority="577" stopIfTrue="1" operator="lessThan">
      <formula>10.237</formula>
    </cfRule>
  </conditionalFormatting>
  <conditionalFormatting sqref="AI150">
    <cfRule type="cellIs" priority="576" stopIfTrue="1" operator="lessThan">
      <formula>10.237</formula>
    </cfRule>
  </conditionalFormatting>
  <conditionalFormatting sqref="AH150:AI150">
    <cfRule type="cellIs" dxfId="175" priority="574" operator="lessThan">
      <formula>0</formula>
    </cfRule>
    <cfRule type="cellIs" dxfId="174" priority="575" operator="lessThan">
      <formula>0</formula>
    </cfRule>
  </conditionalFormatting>
  <conditionalFormatting sqref="AE158:AE159 Z158:Z160 V158:W160">
    <cfRule type="cellIs" priority="551" stopIfTrue="1" operator="lessThan">
      <formula>10.237</formula>
    </cfRule>
  </conditionalFormatting>
  <conditionalFormatting sqref="AH154">
    <cfRule type="cellIs" priority="570" stopIfTrue="1" operator="lessThan">
      <formula>10.237</formula>
    </cfRule>
  </conditionalFormatting>
  <conditionalFormatting sqref="AI154">
    <cfRule type="cellIs" priority="569" stopIfTrue="1" operator="lessThan">
      <formula>10.237</formula>
    </cfRule>
  </conditionalFormatting>
  <conditionalFormatting sqref="AH154:AI154">
    <cfRule type="cellIs" dxfId="173" priority="567" operator="lessThan">
      <formula>0</formula>
    </cfRule>
    <cfRule type="cellIs" dxfId="172" priority="568" operator="lessThan">
      <formula>0</formula>
    </cfRule>
  </conditionalFormatting>
  <conditionalFormatting sqref="V157:W157">
    <cfRule type="cellIs" priority="566" stopIfTrue="1" operator="lessThan">
      <formula>10.237</formula>
    </cfRule>
  </conditionalFormatting>
  <conditionalFormatting sqref="AH157">
    <cfRule type="cellIs" priority="565" stopIfTrue="1" operator="lessThan">
      <formula>10.237</formula>
    </cfRule>
  </conditionalFormatting>
  <conditionalFormatting sqref="AI157">
    <cfRule type="cellIs" priority="564" stopIfTrue="1" operator="lessThan">
      <formula>10.237</formula>
    </cfRule>
  </conditionalFormatting>
  <conditionalFormatting sqref="AH157:AI157">
    <cfRule type="cellIs" dxfId="171" priority="562" operator="lessThan">
      <formula>0</formula>
    </cfRule>
    <cfRule type="cellIs" dxfId="170" priority="563" operator="lessThan">
      <formula>0</formula>
    </cfRule>
  </conditionalFormatting>
  <conditionalFormatting sqref="X157">
    <cfRule type="cellIs" priority="561" stopIfTrue="1" operator="lessThan">
      <formula>10.237</formula>
    </cfRule>
  </conditionalFormatting>
  <conditionalFormatting sqref="AA157">
    <cfRule type="cellIs" priority="560" stopIfTrue="1" operator="lessThan">
      <formula>10.237</formula>
    </cfRule>
  </conditionalFormatting>
  <conditionalFormatting sqref="V156:X156">
    <cfRule type="cellIs" priority="559" stopIfTrue="1" operator="lessThan">
      <formula>10.237</formula>
    </cfRule>
  </conditionalFormatting>
  <conditionalFormatting sqref="AH156">
    <cfRule type="cellIs" priority="558" stopIfTrue="1" operator="lessThan">
      <formula>10.237</formula>
    </cfRule>
  </conditionalFormatting>
  <conditionalFormatting sqref="AI156">
    <cfRule type="cellIs" priority="557" stopIfTrue="1" operator="lessThan">
      <formula>10.237</formula>
    </cfRule>
  </conditionalFormatting>
  <conditionalFormatting sqref="AH156:AI156">
    <cfRule type="cellIs" dxfId="169" priority="552" operator="lessThan">
      <formula>0</formula>
    </cfRule>
    <cfRule type="cellIs" dxfId="168" priority="556" operator="lessThan">
      <formula>0</formula>
    </cfRule>
  </conditionalFormatting>
  <conditionalFormatting sqref="AA156">
    <cfRule type="cellIs" priority="555" stopIfTrue="1" operator="lessThan">
      <formula>10.237</formula>
    </cfRule>
  </conditionalFormatting>
  <conditionalFormatting sqref="AH156">
    <cfRule type="cellIs" priority="554" stopIfTrue="1" operator="lessThan">
      <formula>10.237</formula>
    </cfRule>
  </conditionalFormatting>
  <conditionalFormatting sqref="AI162">
    <cfRule type="cellIs" priority="533" stopIfTrue="1" operator="lessThan">
      <formula>10.237</formula>
    </cfRule>
  </conditionalFormatting>
  <conditionalFormatting sqref="AE164:AE165 Z164:Z166 V164:W166">
    <cfRule type="cellIs" priority="531" stopIfTrue="1" operator="lessThan">
      <formula>10.237</formula>
    </cfRule>
  </conditionalFormatting>
  <conditionalFormatting sqref="AH160">
    <cfRule type="cellIs" priority="550" stopIfTrue="1" operator="lessThan">
      <formula>10.237</formula>
    </cfRule>
  </conditionalFormatting>
  <conditionalFormatting sqref="AI160">
    <cfRule type="cellIs" priority="549" stopIfTrue="1" operator="lessThan">
      <formula>10.237</formula>
    </cfRule>
  </conditionalFormatting>
  <conditionalFormatting sqref="AH160:AI160">
    <cfRule type="cellIs" dxfId="167" priority="547" operator="lessThan">
      <formula>0</formula>
    </cfRule>
    <cfRule type="cellIs" dxfId="166" priority="548" operator="lessThan">
      <formula>0</formula>
    </cfRule>
  </conditionalFormatting>
  <conditionalFormatting sqref="V163:W163">
    <cfRule type="cellIs" priority="546" stopIfTrue="1" operator="lessThan">
      <formula>10.237</formula>
    </cfRule>
  </conditionalFormatting>
  <conditionalFormatting sqref="AH163">
    <cfRule type="cellIs" priority="545" stopIfTrue="1" operator="lessThan">
      <formula>10.237</formula>
    </cfRule>
  </conditionalFormatting>
  <conditionalFormatting sqref="AI163">
    <cfRule type="cellIs" priority="544" stopIfTrue="1" operator="lessThan">
      <formula>10.237</formula>
    </cfRule>
  </conditionalFormatting>
  <conditionalFormatting sqref="AH163:AI163">
    <cfRule type="cellIs" dxfId="165" priority="542" operator="lessThan">
      <formula>0</formula>
    </cfRule>
    <cfRule type="cellIs" dxfId="164" priority="543" operator="lessThan">
      <formula>0</formula>
    </cfRule>
  </conditionalFormatting>
  <conditionalFormatting sqref="X163">
    <cfRule type="cellIs" priority="541" stopIfTrue="1" operator="lessThan">
      <formula>10.237</formula>
    </cfRule>
  </conditionalFormatting>
  <conditionalFormatting sqref="AA163">
    <cfRule type="cellIs" priority="540" stopIfTrue="1" operator="lessThan">
      <formula>10.237</formula>
    </cfRule>
  </conditionalFormatting>
  <conditionalFormatting sqref="X168:X169">
    <cfRule type="cellIs" priority="521" stopIfTrue="1" operator="lessThan">
      <formula>10.237</formula>
    </cfRule>
  </conditionalFormatting>
  <conditionalFormatting sqref="V162:W162">
    <cfRule type="cellIs" priority="539" stopIfTrue="1" operator="lessThan">
      <formula>10.237</formula>
    </cfRule>
  </conditionalFormatting>
  <conditionalFormatting sqref="AH162">
    <cfRule type="cellIs" priority="538" stopIfTrue="1" operator="lessThan">
      <formula>10.237</formula>
    </cfRule>
  </conditionalFormatting>
  <conditionalFormatting sqref="AI162">
    <cfRule type="cellIs" priority="537" stopIfTrue="1" operator="lessThan">
      <formula>10.237</formula>
    </cfRule>
  </conditionalFormatting>
  <conditionalFormatting sqref="AH162:AI162">
    <cfRule type="cellIs" dxfId="163" priority="532" operator="lessThan">
      <formula>0</formula>
    </cfRule>
    <cfRule type="cellIs" dxfId="162" priority="536" operator="lessThan">
      <formula>0</formula>
    </cfRule>
  </conditionalFormatting>
  <conditionalFormatting sqref="AA162">
    <cfRule type="cellIs" priority="535" stopIfTrue="1" operator="lessThan">
      <formula>10.237</formula>
    </cfRule>
  </conditionalFormatting>
  <conditionalFormatting sqref="AH162">
    <cfRule type="cellIs" priority="534" stopIfTrue="1" operator="lessThan">
      <formula>10.237</formula>
    </cfRule>
  </conditionalFormatting>
  <conditionalFormatting sqref="AE170:AE171 Z170:Z172 V170:W172">
    <cfRule type="cellIs" priority="519" stopIfTrue="1" operator="lessThan">
      <formula>10.237</formula>
    </cfRule>
  </conditionalFormatting>
  <conditionalFormatting sqref="AH166">
    <cfRule type="cellIs" priority="530" stopIfTrue="1" operator="lessThan">
      <formula>10.237</formula>
    </cfRule>
  </conditionalFormatting>
  <conditionalFormatting sqref="AI166">
    <cfRule type="cellIs" priority="529" stopIfTrue="1" operator="lessThan">
      <formula>10.237</formula>
    </cfRule>
  </conditionalFormatting>
  <conditionalFormatting sqref="AH166:AI166">
    <cfRule type="cellIs" dxfId="161" priority="527" operator="lessThan">
      <formula>0</formula>
    </cfRule>
    <cfRule type="cellIs" dxfId="160" priority="528" operator="lessThan">
      <formula>0</formula>
    </cfRule>
  </conditionalFormatting>
  <conditionalFormatting sqref="V168:W169">
    <cfRule type="cellIs" priority="526" stopIfTrue="1" operator="lessThan">
      <formula>10.237</formula>
    </cfRule>
  </conditionalFormatting>
  <conditionalFormatting sqref="AH168:AH169">
    <cfRule type="cellIs" priority="525" stopIfTrue="1" operator="lessThan">
      <formula>10.237</formula>
    </cfRule>
  </conditionalFormatting>
  <conditionalFormatting sqref="AI168:AI169">
    <cfRule type="cellIs" priority="524" stopIfTrue="1" operator="lessThan">
      <formula>10.237</formula>
    </cfRule>
  </conditionalFormatting>
  <conditionalFormatting sqref="AH168:AI169">
    <cfRule type="cellIs" dxfId="159" priority="522" operator="lessThan">
      <formula>0</formula>
    </cfRule>
    <cfRule type="cellIs" dxfId="158" priority="523" operator="lessThan">
      <formula>0</formula>
    </cfRule>
  </conditionalFormatting>
  <conditionalFormatting sqref="AI174:AI175">
    <cfRule type="cellIs" priority="508" stopIfTrue="1" operator="lessThan">
      <formula>10.237</formula>
    </cfRule>
  </conditionalFormatting>
  <conditionalFormatting sqref="AA180:AA181">
    <cfRule type="cellIs" priority="495" stopIfTrue="1" operator="lessThan">
      <formula>10.237</formula>
    </cfRule>
  </conditionalFormatting>
  <conditionalFormatting sqref="AE176:AE177 Z176:Z178 V176:W178">
    <cfRule type="cellIs" priority="506" stopIfTrue="1" operator="lessThan">
      <formula>10.237</formula>
    </cfRule>
  </conditionalFormatting>
  <conditionalFormatting sqref="AH172">
    <cfRule type="cellIs" priority="518" stopIfTrue="1" operator="lessThan">
      <formula>10.237</formula>
    </cfRule>
  </conditionalFormatting>
  <conditionalFormatting sqref="AI172">
    <cfRule type="cellIs" priority="517" stopIfTrue="1" operator="lessThan">
      <formula>10.237</formula>
    </cfRule>
  </conditionalFormatting>
  <conditionalFormatting sqref="AH172:AI172">
    <cfRule type="cellIs" dxfId="157" priority="515" operator="lessThan">
      <formula>0</formula>
    </cfRule>
    <cfRule type="cellIs" dxfId="156" priority="516" operator="lessThan">
      <formula>0</formula>
    </cfRule>
  </conditionalFormatting>
  <conditionalFormatting sqref="V174:X175">
    <cfRule type="cellIs" priority="514" stopIfTrue="1" operator="lessThan">
      <formula>10.237</formula>
    </cfRule>
  </conditionalFormatting>
  <conditionalFormatting sqref="AH174:AH175">
    <cfRule type="cellIs" priority="513" stopIfTrue="1" operator="lessThan">
      <formula>10.237</formula>
    </cfRule>
  </conditionalFormatting>
  <conditionalFormatting sqref="AI174:AI175">
    <cfRule type="cellIs" priority="512" stopIfTrue="1" operator="lessThan">
      <formula>10.237</formula>
    </cfRule>
  </conditionalFormatting>
  <conditionalFormatting sqref="AH174:AI175">
    <cfRule type="cellIs" dxfId="155" priority="507" operator="lessThan">
      <formula>0</formula>
    </cfRule>
    <cfRule type="cellIs" dxfId="154" priority="511" operator="lessThan">
      <formula>0</formula>
    </cfRule>
  </conditionalFormatting>
  <conditionalFormatting sqref="AA174:AA175">
    <cfRule type="cellIs" priority="510" stopIfTrue="1" operator="lessThan">
      <formula>10.237</formula>
    </cfRule>
  </conditionalFormatting>
  <conditionalFormatting sqref="AH174:AH175">
    <cfRule type="cellIs" priority="509" stopIfTrue="1" operator="lessThan">
      <formula>10.237</formula>
    </cfRule>
  </conditionalFormatting>
  <conditionalFormatting sqref="X180:X181">
    <cfRule type="cellIs" priority="496" stopIfTrue="1" operator="lessThan">
      <formula>10.237</formula>
    </cfRule>
  </conditionalFormatting>
  <conditionalFormatting sqref="AE182:AE183 Z182:Z184 V182:W184">
    <cfRule type="cellIs" priority="494" stopIfTrue="1" operator="lessThan">
      <formula>10.237</formula>
    </cfRule>
  </conditionalFormatting>
  <conditionalFormatting sqref="AH178">
    <cfRule type="cellIs" priority="505" stopIfTrue="1" operator="lessThan">
      <formula>10.237</formula>
    </cfRule>
  </conditionalFormatting>
  <conditionalFormatting sqref="AI178">
    <cfRule type="cellIs" priority="504" stopIfTrue="1" operator="lessThan">
      <formula>10.237</formula>
    </cfRule>
  </conditionalFormatting>
  <conditionalFormatting sqref="AH178:AI178">
    <cfRule type="cellIs" dxfId="153" priority="502" operator="lessThan">
      <formula>0</formula>
    </cfRule>
    <cfRule type="cellIs" dxfId="152" priority="503" operator="lessThan">
      <formula>0</formula>
    </cfRule>
  </conditionalFormatting>
  <conditionalFormatting sqref="V180:W181">
    <cfRule type="cellIs" priority="501" stopIfTrue="1" operator="lessThan">
      <formula>10.237</formula>
    </cfRule>
  </conditionalFormatting>
  <conditionalFormatting sqref="AH180:AH181">
    <cfRule type="cellIs" priority="500" stopIfTrue="1" operator="lessThan">
      <formula>10.237</formula>
    </cfRule>
  </conditionalFormatting>
  <conditionalFormatting sqref="AI180:AI181">
    <cfRule type="cellIs" priority="499" stopIfTrue="1" operator="lessThan">
      <formula>10.237</formula>
    </cfRule>
  </conditionalFormatting>
  <conditionalFormatting sqref="AH180:AI181">
    <cfRule type="cellIs" dxfId="151" priority="497" operator="lessThan">
      <formula>0</formula>
    </cfRule>
    <cfRule type="cellIs" dxfId="150" priority="498" operator="lessThan">
      <formula>0</formula>
    </cfRule>
  </conditionalFormatting>
  <conditionalFormatting sqref="X186:X187">
    <cfRule type="cellIs" priority="484" stopIfTrue="1" operator="lessThan">
      <formula>10.237</formula>
    </cfRule>
  </conditionalFormatting>
  <conditionalFormatting sqref="AA186:AA187">
    <cfRule type="cellIs" priority="483" stopIfTrue="1" operator="lessThan">
      <formula>10.237</formula>
    </cfRule>
  </conditionalFormatting>
  <conditionalFormatting sqref="AE188:AE189 Z188:Z190 V188:W190">
    <cfRule type="cellIs" priority="482" stopIfTrue="1" operator="lessThan">
      <formula>10.237</formula>
    </cfRule>
  </conditionalFormatting>
  <conditionalFormatting sqref="AH184">
    <cfRule type="cellIs" priority="493" stopIfTrue="1" operator="lessThan">
      <formula>10.237</formula>
    </cfRule>
  </conditionalFormatting>
  <conditionalFormatting sqref="AI184">
    <cfRule type="cellIs" priority="492" stopIfTrue="1" operator="lessThan">
      <formula>10.237</formula>
    </cfRule>
  </conditionalFormatting>
  <conditionalFormatting sqref="AH184:AI184">
    <cfRule type="cellIs" dxfId="149" priority="490" operator="lessThan">
      <formula>0</formula>
    </cfRule>
    <cfRule type="cellIs" dxfId="148" priority="491" operator="lessThan">
      <formula>0</formula>
    </cfRule>
  </conditionalFormatting>
  <conditionalFormatting sqref="V186:W187">
    <cfRule type="cellIs" priority="489" stopIfTrue="1" operator="lessThan">
      <formula>10.237</formula>
    </cfRule>
  </conditionalFormatting>
  <conditionalFormatting sqref="AH186:AH187">
    <cfRule type="cellIs" priority="488" stopIfTrue="1" operator="lessThan">
      <formula>10.237</formula>
    </cfRule>
  </conditionalFormatting>
  <conditionalFormatting sqref="AI186:AI187">
    <cfRule type="cellIs" priority="487" stopIfTrue="1" operator="lessThan">
      <formula>10.237</formula>
    </cfRule>
  </conditionalFormatting>
  <conditionalFormatting sqref="AH186:AI187">
    <cfRule type="cellIs" dxfId="147" priority="485" operator="lessThan">
      <formula>0</formula>
    </cfRule>
    <cfRule type="cellIs" dxfId="146" priority="486" operator="lessThan">
      <formula>0</formula>
    </cfRule>
  </conditionalFormatting>
  <conditionalFormatting sqref="AI192:AI193">
    <cfRule type="cellIs" priority="470" stopIfTrue="1" operator="lessThan">
      <formula>10.237</formula>
    </cfRule>
  </conditionalFormatting>
  <conditionalFormatting sqref="AE194:AE195 Z194:Z196 V194:W196">
    <cfRule type="cellIs" priority="468" stopIfTrue="1" operator="lessThan">
      <formula>10.237</formula>
    </cfRule>
  </conditionalFormatting>
  <conditionalFormatting sqref="AH190">
    <cfRule type="cellIs" priority="481" stopIfTrue="1" operator="lessThan">
      <formula>10.237</formula>
    </cfRule>
  </conditionalFormatting>
  <conditionalFormatting sqref="AI190">
    <cfRule type="cellIs" priority="480" stopIfTrue="1" operator="lessThan">
      <formula>10.237</formula>
    </cfRule>
  </conditionalFormatting>
  <conditionalFormatting sqref="AH190:AI190">
    <cfRule type="cellIs" dxfId="145" priority="478" operator="lessThan">
      <formula>0</formula>
    </cfRule>
    <cfRule type="cellIs" dxfId="144" priority="479" operator="lessThan">
      <formula>0</formula>
    </cfRule>
  </conditionalFormatting>
  <conditionalFormatting sqref="X192:X193">
    <cfRule type="cellIs" priority="477" stopIfTrue="1" operator="lessThan">
      <formula>10.237</formula>
    </cfRule>
  </conditionalFormatting>
  <conditionalFormatting sqref="V192:W193">
    <cfRule type="cellIs" priority="476" stopIfTrue="1" operator="lessThan">
      <formula>10.237</formula>
    </cfRule>
  </conditionalFormatting>
  <conditionalFormatting sqref="AH192:AH193">
    <cfRule type="cellIs" priority="475" stopIfTrue="1" operator="lessThan">
      <formula>10.237</formula>
    </cfRule>
  </conditionalFormatting>
  <conditionalFormatting sqref="AI192:AI193">
    <cfRule type="cellIs" priority="474" stopIfTrue="1" operator="lessThan">
      <formula>10.237</formula>
    </cfRule>
  </conditionalFormatting>
  <conditionalFormatting sqref="AH192:AI193">
    <cfRule type="cellIs" dxfId="143" priority="469" operator="lessThan">
      <formula>0</formula>
    </cfRule>
    <cfRule type="cellIs" dxfId="142" priority="473" operator="lessThan">
      <formula>0</formula>
    </cfRule>
  </conditionalFormatting>
  <conditionalFormatting sqref="AA192:AA193">
    <cfRule type="cellIs" priority="472" stopIfTrue="1" operator="lessThan">
      <formula>10.237</formula>
    </cfRule>
  </conditionalFormatting>
  <conditionalFormatting sqref="AH192:AH193">
    <cfRule type="cellIs" priority="471" stopIfTrue="1" operator="lessThan">
      <formula>10.237</formula>
    </cfRule>
  </conditionalFormatting>
  <conditionalFormatting sqref="X198:X199">
    <cfRule type="cellIs" priority="450" stopIfTrue="1" operator="lessThan">
      <formula>10.237</formula>
    </cfRule>
  </conditionalFormatting>
  <conditionalFormatting sqref="AH196">
    <cfRule type="cellIs" priority="467" stopIfTrue="1" operator="lessThan">
      <formula>10.237</formula>
    </cfRule>
  </conditionalFormatting>
  <conditionalFormatting sqref="AI196">
    <cfRule type="cellIs" priority="466" stopIfTrue="1" operator="lessThan">
      <formula>10.237</formula>
    </cfRule>
  </conditionalFormatting>
  <conditionalFormatting sqref="AH196:AI196">
    <cfRule type="cellIs" dxfId="141" priority="464" operator="lessThan">
      <formula>0</formula>
    </cfRule>
    <cfRule type="cellIs" dxfId="140" priority="465" operator="lessThan">
      <formula>0</formula>
    </cfRule>
  </conditionalFormatting>
  <conditionalFormatting sqref="V200:X200">
    <cfRule type="cellIs" priority="463" stopIfTrue="1" operator="lessThan">
      <formula>10.237</formula>
    </cfRule>
  </conditionalFormatting>
  <conditionalFormatting sqref="AH200">
    <cfRule type="cellIs" priority="462" stopIfTrue="1" operator="lessThan">
      <formula>10.237</formula>
    </cfRule>
  </conditionalFormatting>
  <conditionalFormatting sqref="AI200">
    <cfRule type="cellIs" priority="461" stopIfTrue="1" operator="lessThan">
      <formula>10.237</formula>
    </cfRule>
  </conditionalFormatting>
  <conditionalFormatting sqref="AH200:AI200">
    <cfRule type="cellIs" dxfId="139" priority="456" operator="lessThan">
      <formula>0</formula>
    </cfRule>
    <cfRule type="cellIs" dxfId="138" priority="460" operator="lessThan">
      <formula>0</formula>
    </cfRule>
  </conditionalFormatting>
  <conditionalFormatting sqref="AA200">
    <cfRule type="cellIs" priority="459" stopIfTrue="1" operator="lessThan">
      <formula>10.237</formula>
    </cfRule>
  </conditionalFormatting>
  <conditionalFormatting sqref="AH200">
    <cfRule type="cellIs" priority="458" stopIfTrue="1" operator="lessThan">
      <formula>10.237</formula>
    </cfRule>
  </conditionalFormatting>
  <conditionalFormatting sqref="AI200">
    <cfRule type="cellIs" priority="457" stopIfTrue="1" operator="lessThan">
      <formula>10.237</formula>
    </cfRule>
  </conditionalFormatting>
  <conditionalFormatting sqref="AA198:AA199">
    <cfRule type="cellIs" priority="449" stopIfTrue="1" operator="lessThan">
      <formula>10.237</formula>
    </cfRule>
  </conditionalFormatting>
  <conditionalFormatting sqref="V198:W199">
    <cfRule type="cellIs" priority="455" stopIfTrue="1" operator="lessThan">
      <formula>10.237</formula>
    </cfRule>
  </conditionalFormatting>
  <conditionalFormatting sqref="AH198:AH199">
    <cfRule type="cellIs" priority="454" stopIfTrue="1" operator="lessThan">
      <formula>10.237</formula>
    </cfRule>
  </conditionalFormatting>
  <conditionalFormatting sqref="AI198:AI199">
    <cfRule type="cellIs" priority="453" stopIfTrue="1" operator="lessThan">
      <formula>10.237</formula>
    </cfRule>
  </conditionalFormatting>
  <conditionalFormatting sqref="AH198:AI199">
    <cfRule type="cellIs" dxfId="137" priority="451" operator="lessThan">
      <formula>0</formula>
    </cfRule>
    <cfRule type="cellIs" dxfId="136" priority="452" operator="lessThan">
      <formula>0</formula>
    </cfRule>
  </conditionalFormatting>
  <conditionalFormatting sqref="V201:W203">
    <cfRule type="cellIs" priority="448" stopIfTrue="1" operator="lessThan">
      <formula>10.237</formula>
    </cfRule>
  </conditionalFormatting>
  <conditionalFormatting sqref="V206:W207">
    <cfRule type="cellIs" priority="445" stopIfTrue="1" operator="lessThan">
      <formula>10.237</formula>
    </cfRule>
  </conditionalFormatting>
  <conditionalFormatting sqref="AH206:AH207">
    <cfRule type="cellIs" priority="444" stopIfTrue="1" operator="lessThan">
      <formula>10.237</formula>
    </cfRule>
  </conditionalFormatting>
  <conditionalFormatting sqref="AI206:AI207">
    <cfRule type="cellIs" priority="443" stopIfTrue="1" operator="lessThan">
      <formula>10.237</formula>
    </cfRule>
  </conditionalFormatting>
  <conditionalFormatting sqref="AH206:AI207">
    <cfRule type="cellIs" dxfId="135" priority="441" operator="lessThan">
      <formula>0</formula>
    </cfRule>
    <cfRule type="cellIs" dxfId="134" priority="442" operator="lessThan">
      <formula>0</formula>
    </cfRule>
  </conditionalFormatting>
  <conditionalFormatting sqref="X206:X207">
    <cfRule type="cellIs" priority="440" stopIfTrue="1" operator="lessThan">
      <formula>10.237</formula>
    </cfRule>
  </conditionalFormatting>
  <conditionalFormatting sqref="AA206:AA207">
    <cfRule type="cellIs" priority="439" stopIfTrue="1" operator="lessThan">
      <formula>10.237</formula>
    </cfRule>
  </conditionalFormatting>
  <conditionalFormatting sqref="AE208:AE209 Z208:Z210 V208:W210">
    <cfRule type="cellIs" priority="438" stopIfTrue="1" operator="lessThan">
      <formula>10.237</formula>
    </cfRule>
  </conditionalFormatting>
  <conditionalFormatting sqref="AH210">
    <cfRule type="cellIs" priority="437" stopIfTrue="1" operator="lessThan">
      <formula>10.237</formula>
    </cfRule>
  </conditionalFormatting>
  <conditionalFormatting sqref="AI210">
    <cfRule type="cellIs" priority="436" stopIfTrue="1" operator="lessThan">
      <formula>10.237</formula>
    </cfRule>
  </conditionalFormatting>
  <conditionalFormatting sqref="AH210:AI210">
    <cfRule type="cellIs" dxfId="133" priority="434" operator="lessThan">
      <formula>0</formula>
    </cfRule>
    <cfRule type="cellIs" dxfId="132" priority="435" operator="lessThan">
      <formula>0</formula>
    </cfRule>
  </conditionalFormatting>
  <conditionalFormatting sqref="AI212">
    <cfRule type="cellIs" priority="426" stopIfTrue="1" operator="lessThan">
      <formula>10.237</formula>
    </cfRule>
  </conditionalFormatting>
  <conditionalFormatting sqref="X212">
    <cfRule type="cellIs" priority="433" stopIfTrue="1" operator="lessThan">
      <formula>10.237</formula>
    </cfRule>
  </conditionalFormatting>
  <conditionalFormatting sqref="V212:W212">
    <cfRule type="cellIs" priority="432" stopIfTrue="1" operator="lessThan">
      <formula>10.237</formula>
    </cfRule>
  </conditionalFormatting>
  <conditionalFormatting sqref="AH212">
    <cfRule type="cellIs" priority="431" stopIfTrue="1" operator="lessThan">
      <formula>10.237</formula>
    </cfRule>
  </conditionalFormatting>
  <conditionalFormatting sqref="AI212">
    <cfRule type="cellIs" priority="430" stopIfTrue="1" operator="lessThan">
      <formula>10.237</formula>
    </cfRule>
  </conditionalFormatting>
  <conditionalFormatting sqref="AH212:AI212">
    <cfRule type="cellIs" dxfId="131" priority="425" operator="lessThan">
      <formula>0</formula>
    </cfRule>
    <cfRule type="cellIs" dxfId="130" priority="429" operator="lessThan">
      <formula>0</formula>
    </cfRule>
  </conditionalFormatting>
  <conditionalFormatting sqref="AA212">
    <cfRule type="cellIs" priority="428" stopIfTrue="1" operator="lessThan">
      <formula>10.237</formula>
    </cfRule>
  </conditionalFormatting>
  <conditionalFormatting sqref="AH212">
    <cfRule type="cellIs" priority="427" stopIfTrue="1" operator="lessThan">
      <formula>10.237</formula>
    </cfRule>
  </conditionalFormatting>
  <conditionalFormatting sqref="V213:W213">
    <cfRule type="cellIs" priority="424" stopIfTrue="1" operator="lessThan">
      <formula>10.237</formula>
    </cfRule>
  </conditionalFormatting>
  <conditionalFormatting sqref="X213">
    <cfRule type="cellIs" priority="423" stopIfTrue="1" operator="lessThan">
      <formula>10.237</formula>
    </cfRule>
  </conditionalFormatting>
  <conditionalFormatting sqref="AA213">
    <cfRule type="cellIs" priority="422" stopIfTrue="1" operator="lessThan">
      <formula>10.237</formula>
    </cfRule>
  </conditionalFormatting>
  <conditionalFormatting sqref="AH213">
    <cfRule type="cellIs" priority="421" stopIfTrue="1" operator="lessThan">
      <formula>10.237</formula>
    </cfRule>
  </conditionalFormatting>
  <conditionalFormatting sqref="AI213">
    <cfRule type="cellIs" priority="420" stopIfTrue="1" operator="lessThan">
      <formula>10.237</formula>
    </cfRule>
  </conditionalFormatting>
  <conditionalFormatting sqref="AH213:AI213">
    <cfRule type="cellIs" dxfId="129" priority="418" operator="lessThan">
      <formula>0</formula>
    </cfRule>
    <cfRule type="cellIs" dxfId="128" priority="419" operator="lessThan">
      <formula>0</formula>
    </cfRule>
  </conditionalFormatting>
  <conditionalFormatting sqref="AE214:AE215 Z214:Z216 V214:W216">
    <cfRule type="cellIs" priority="417" stopIfTrue="1" operator="lessThan">
      <formula>10.237</formula>
    </cfRule>
  </conditionalFormatting>
  <conditionalFormatting sqref="AH216">
    <cfRule type="cellIs" priority="416" stopIfTrue="1" operator="lessThan">
      <formula>10.237</formula>
    </cfRule>
  </conditionalFormatting>
  <conditionalFormatting sqref="AI216">
    <cfRule type="cellIs" priority="415" stopIfTrue="1" operator="lessThan">
      <formula>10.237</formula>
    </cfRule>
  </conditionalFormatting>
  <conditionalFormatting sqref="AH216:AI216">
    <cfRule type="cellIs" dxfId="127" priority="413" operator="lessThan">
      <formula>0</formula>
    </cfRule>
    <cfRule type="cellIs" dxfId="126" priority="414" operator="lessThan">
      <formula>0</formula>
    </cfRule>
  </conditionalFormatting>
  <conditionalFormatting sqref="V218:X219">
    <cfRule type="cellIs" priority="412" stopIfTrue="1" operator="lessThan">
      <formula>10.237</formula>
    </cfRule>
  </conditionalFormatting>
  <conditionalFormatting sqref="AH218:AH219">
    <cfRule type="cellIs" priority="411" stopIfTrue="1" operator="lessThan">
      <formula>10.237</formula>
    </cfRule>
  </conditionalFormatting>
  <conditionalFormatting sqref="AI218:AI219">
    <cfRule type="cellIs" priority="410" stopIfTrue="1" operator="lessThan">
      <formula>10.237</formula>
    </cfRule>
  </conditionalFormatting>
  <conditionalFormatting sqref="AH218:AI219">
    <cfRule type="cellIs" dxfId="125" priority="405" operator="lessThan">
      <formula>0</formula>
    </cfRule>
    <cfRule type="cellIs" dxfId="124" priority="409" operator="lessThan">
      <formula>0</formula>
    </cfRule>
  </conditionalFormatting>
  <conditionalFormatting sqref="AA218:AA219">
    <cfRule type="cellIs" priority="408" stopIfTrue="1" operator="lessThan">
      <formula>10.237</formula>
    </cfRule>
  </conditionalFormatting>
  <conditionalFormatting sqref="AH218:AH219">
    <cfRule type="cellIs" priority="407" stopIfTrue="1" operator="lessThan">
      <formula>10.237</formula>
    </cfRule>
  </conditionalFormatting>
  <conditionalFormatting sqref="AI218:AI219">
    <cfRule type="cellIs" priority="406" stopIfTrue="1" operator="lessThan">
      <formula>10.237</formula>
    </cfRule>
  </conditionalFormatting>
  <conditionalFormatting sqref="AE220:AE221 Z220:Z222 V220:W222">
    <cfRule type="cellIs" priority="404" stopIfTrue="1" operator="lessThan">
      <formula>10.237</formula>
    </cfRule>
  </conditionalFormatting>
  <conditionalFormatting sqref="AH222">
    <cfRule type="cellIs" priority="403" stopIfTrue="1" operator="lessThan">
      <formula>10.237</formula>
    </cfRule>
  </conditionalFormatting>
  <conditionalFormatting sqref="AI222">
    <cfRule type="cellIs" priority="402" stopIfTrue="1" operator="lessThan">
      <formula>10.237</formula>
    </cfRule>
  </conditionalFormatting>
  <conditionalFormatting sqref="AH222:AI222">
    <cfRule type="cellIs" dxfId="123" priority="400" operator="lessThan">
      <formula>0</formula>
    </cfRule>
    <cfRule type="cellIs" dxfId="122" priority="401" operator="lessThan">
      <formula>0</formula>
    </cfRule>
  </conditionalFormatting>
  <conditionalFormatting sqref="V225:X225">
    <cfRule type="cellIs" priority="399" stopIfTrue="1" operator="lessThan">
      <formula>10.237</formula>
    </cfRule>
  </conditionalFormatting>
  <conditionalFormatting sqref="AH225">
    <cfRule type="cellIs" priority="398" stopIfTrue="1" operator="lessThan">
      <formula>10.237</formula>
    </cfRule>
  </conditionalFormatting>
  <conditionalFormatting sqref="AI225">
    <cfRule type="cellIs" priority="397" stopIfTrue="1" operator="lessThan">
      <formula>10.237</formula>
    </cfRule>
  </conditionalFormatting>
  <conditionalFormatting sqref="AH225:AI225">
    <cfRule type="cellIs" dxfId="121" priority="392" operator="lessThan">
      <formula>0</formula>
    </cfRule>
    <cfRule type="cellIs" dxfId="120" priority="396" operator="lessThan">
      <formula>0</formula>
    </cfRule>
  </conditionalFormatting>
  <conditionalFormatting sqref="AA225">
    <cfRule type="cellIs" priority="395" stopIfTrue="1" operator="lessThan">
      <formula>10.237</formula>
    </cfRule>
  </conditionalFormatting>
  <conditionalFormatting sqref="AH225">
    <cfRule type="cellIs" priority="394" stopIfTrue="1" operator="lessThan">
      <formula>10.237</formula>
    </cfRule>
  </conditionalFormatting>
  <conditionalFormatting sqref="AI225">
    <cfRule type="cellIs" priority="393" stopIfTrue="1" operator="lessThan">
      <formula>10.237</formula>
    </cfRule>
  </conditionalFormatting>
  <conditionalFormatting sqref="V224:W224">
    <cfRule type="cellIs" priority="391" stopIfTrue="1" operator="lessThan">
      <formula>10.237</formula>
    </cfRule>
  </conditionalFormatting>
  <conditionalFormatting sqref="X224">
    <cfRule type="cellIs" priority="390" stopIfTrue="1" operator="lessThan">
      <formula>10.237</formula>
    </cfRule>
  </conditionalFormatting>
  <conditionalFormatting sqref="AA224">
    <cfRule type="cellIs" priority="389" stopIfTrue="1" operator="lessThan">
      <formula>10.237</formula>
    </cfRule>
  </conditionalFormatting>
  <conditionalFormatting sqref="AH224">
    <cfRule type="cellIs" priority="388" stopIfTrue="1" operator="lessThan">
      <formula>10.237</formula>
    </cfRule>
  </conditionalFormatting>
  <conditionalFormatting sqref="AI224">
    <cfRule type="cellIs" priority="387" stopIfTrue="1" operator="lessThan">
      <formula>10.237</formula>
    </cfRule>
  </conditionalFormatting>
  <conditionalFormatting sqref="AH224:AI224">
    <cfRule type="cellIs" dxfId="119" priority="385" operator="lessThan">
      <formula>0</formula>
    </cfRule>
    <cfRule type="cellIs" dxfId="118" priority="386" operator="lessThan">
      <formula>0</formula>
    </cfRule>
  </conditionalFormatting>
  <conditionalFormatting sqref="AE226:AE227 Z226:Z228 V226:W228">
    <cfRule type="cellIs" priority="384" stopIfTrue="1" operator="lessThan">
      <formula>10.237</formula>
    </cfRule>
  </conditionalFormatting>
  <conditionalFormatting sqref="AH228">
    <cfRule type="cellIs" priority="383" stopIfTrue="1" operator="lessThan">
      <formula>10.237</formula>
    </cfRule>
  </conditionalFormatting>
  <conditionalFormatting sqref="AI228">
    <cfRule type="cellIs" priority="382" stopIfTrue="1" operator="lessThan">
      <formula>10.237</formula>
    </cfRule>
  </conditionalFormatting>
  <conditionalFormatting sqref="AH228:AI228">
    <cfRule type="cellIs" dxfId="117" priority="380" operator="lessThan">
      <formula>0</formula>
    </cfRule>
    <cfRule type="cellIs" dxfId="116" priority="381" operator="lessThan">
      <formula>0</formula>
    </cfRule>
  </conditionalFormatting>
  <conditionalFormatting sqref="V231:X231">
    <cfRule type="cellIs" priority="379" stopIfTrue="1" operator="lessThan">
      <formula>10.237</formula>
    </cfRule>
  </conditionalFormatting>
  <conditionalFormatting sqref="AH231">
    <cfRule type="cellIs" priority="378" stopIfTrue="1" operator="lessThan">
      <formula>10.237</formula>
    </cfRule>
  </conditionalFormatting>
  <conditionalFormatting sqref="AI231">
    <cfRule type="cellIs" priority="377" stopIfTrue="1" operator="lessThan">
      <formula>10.237</formula>
    </cfRule>
  </conditionalFormatting>
  <conditionalFormatting sqref="AH231:AI231">
    <cfRule type="cellIs" dxfId="115" priority="372" operator="lessThan">
      <formula>0</formula>
    </cfRule>
    <cfRule type="cellIs" dxfId="114" priority="376" operator="lessThan">
      <formula>0</formula>
    </cfRule>
  </conditionalFormatting>
  <conditionalFormatting sqref="AA231">
    <cfRule type="cellIs" priority="375" stopIfTrue="1" operator="lessThan">
      <formula>10.237</formula>
    </cfRule>
  </conditionalFormatting>
  <conditionalFormatting sqref="AH231">
    <cfRule type="cellIs" priority="374" stopIfTrue="1" operator="lessThan">
      <formula>10.237</formula>
    </cfRule>
  </conditionalFormatting>
  <conditionalFormatting sqref="AI231">
    <cfRule type="cellIs" priority="373" stopIfTrue="1" operator="lessThan">
      <formula>10.237</formula>
    </cfRule>
  </conditionalFormatting>
  <conditionalFormatting sqref="V230:W230">
    <cfRule type="cellIs" priority="371" stopIfTrue="1" operator="lessThan">
      <formula>10.237</formula>
    </cfRule>
  </conditionalFormatting>
  <conditionalFormatting sqref="X230">
    <cfRule type="cellIs" priority="370" stopIfTrue="1" operator="lessThan">
      <formula>10.237</formula>
    </cfRule>
  </conditionalFormatting>
  <conditionalFormatting sqref="AA230">
    <cfRule type="cellIs" priority="369" stopIfTrue="1" operator="lessThan">
      <formula>10.237</formula>
    </cfRule>
  </conditionalFormatting>
  <conditionalFormatting sqref="AH230">
    <cfRule type="cellIs" priority="368" stopIfTrue="1" operator="lessThan">
      <formula>10.237</formula>
    </cfRule>
  </conditionalFormatting>
  <conditionalFormatting sqref="AI230">
    <cfRule type="cellIs" priority="367" stopIfTrue="1" operator="lessThan">
      <formula>10.237</formula>
    </cfRule>
  </conditionalFormatting>
  <conditionalFormatting sqref="AH230:AI230">
    <cfRule type="cellIs" dxfId="113" priority="365" operator="lessThan">
      <formula>0</formula>
    </cfRule>
    <cfRule type="cellIs" dxfId="112" priority="366" operator="lessThan">
      <formula>0</formula>
    </cfRule>
  </conditionalFormatting>
  <conditionalFormatting sqref="AE232:AE233 Z232:Z234 V232:W234">
    <cfRule type="cellIs" priority="364" stopIfTrue="1" operator="lessThan">
      <formula>10.237</formula>
    </cfRule>
  </conditionalFormatting>
  <conditionalFormatting sqref="AH234">
    <cfRule type="cellIs" priority="363" stopIfTrue="1" operator="lessThan">
      <formula>10.237</formula>
    </cfRule>
  </conditionalFormatting>
  <conditionalFormatting sqref="AI234">
    <cfRule type="cellIs" priority="362" stopIfTrue="1" operator="lessThan">
      <formula>10.237</formula>
    </cfRule>
  </conditionalFormatting>
  <conditionalFormatting sqref="AH234:AI234">
    <cfRule type="cellIs" dxfId="111" priority="360" operator="lessThan">
      <formula>0</formula>
    </cfRule>
    <cfRule type="cellIs" dxfId="110" priority="361" operator="lessThan">
      <formula>0</formula>
    </cfRule>
  </conditionalFormatting>
  <conditionalFormatting sqref="V237:W237">
    <cfRule type="cellIs" priority="359" stopIfTrue="1" operator="lessThan">
      <formula>10.237</formula>
    </cfRule>
  </conditionalFormatting>
  <conditionalFormatting sqref="AH237">
    <cfRule type="cellIs" priority="358" stopIfTrue="1" operator="lessThan">
      <formula>10.237</formula>
    </cfRule>
  </conditionalFormatting>
  <conditionalFormatting sqref="AI237">
    <cfRule type="cellIs" priority="357" stopIfTrue="1" operator="lessThan">
      <formula>10.237</formula>
    </cfRule>
  </conditionalFormatting>
  <conditionalFormatting sqref="AH237:AI237">
    <cfRule type="cellIs" dxfId="109" priority="355" operator="lessThan">
      <formula>0</formula>
    </cfRule>
    <cfRule type="cellIs" dxfId="108" priority="356" operator="lessThan">
      <formula>0</formula>
    </cfRule>
  </conditionalFormatting>
  <conditionalFormatting sqref="X237">
    <cfRule type="cellIs" priority="354" stopIfTrue="1" operator="lessThan">
      <formula>10.237</formula>
    </cfRule>
  </conditionalFormatting>
  <conditionalFormatting sqref="AA237">
    <cfRule type="cellIs" priority="353" stopIfTrue="1" operator="lessThan">
      <formula>10.237</formula>
    </cfRule>
  </conditionalFormatting>
  <conditionalFormatting sqref="V236:X236">
    <cfRule type="cellIs" priority="352" stopIfTrue="1" operator="lessThan">
      <formula>10.237</formula>
    </cfRule>
  </conditionalFormatting>
  <conditionalFormatting sqref="AH236">
    <cfRule type="cellIs" priority="351" stopIfTrue="1" operator="lessThan">
      <formula>10.237</formula>
    </cfRule>
  </conditionalFormatting>
  <conditionalFormatting sqref="AI236">
    <cfRule type="cellIs" priority="350" stopIfTrue="1" operator="lessThan">
      <formula>10.237</formula>
    </cfRule>
  </conditionalFormatting>
  <conditionalFormatting sqref="AH236:AI236">
    <cfRule type="cellIs" dxfId="107" priority="345" operator="lessThan">
      <formula>0</formula>
    </cfRule>
    <cfRule type="cellIs" dxfId="106" priority="349" operator="lessThan">
      <formula>0</formula>
    </cfRule>
  </conditionalFormatting>
  <conditionalFormatting sqref="AA236">
    <cfRule type="cellIs" priority="348" stopIfTrue="1" operator="lessThan">
      <formula>10.237</formula>
    </cfRule>
  </conditionalFormatting>
  <conditionalFormatting sqref="AH236">
    <cfRule type="cellIs" priority="347" stopIfTrue="1" operator="lessThan">
      <formula>10.237</formula>
    </cfRule>
  </conditionalFormatting>
  <conditionalFormatting sqref="AI236">
    <cfRule type="cellIs" priority="346" stopIfTrue="1" operator="lessThan">
      <formula>10.237</formula>
    </cfRule>
  </conditionalFormatting>
  <conditionalFormatting sqref="AE238:AE239 Z238:Z240 V238:W240">
    <cfRule type="cellIs" priority="344" stopIfTrue="1" operator="lessThan">
      <formula>10.237</formula>
    </cfRule>
  </conditionalFormatting>
  <conditionalFormatting sqref="AH240">
    <cfRule type="cellIs" priority="343" stopIfTrue="1" operator="lessThan">
      <formula>10.237</formula>
    </cfRule>
  </conditionalFormatting>
  <conditionalFormatting sqref="AI240">
    <cfRule type="cellIs" priority="342" stopIfTrue="1" operator="lessThan">
      <formula>10.237</formula>
    </cfRule>
  </conditionalFormatting>
  <conditionalFormatting sqref="AH240:AI240">
    <cfRule type="cellIs" dxfId="105" priority="340" operator="lessThan">
      <formula>0</formula>
    </cfRule>
    <cfRule type="cellIs" dxfId="104" priority="341" operator="lessThan">
      <formula>0</formula>
    </cfRule>
  </conditionalFormatting>
  <conditionalFormatting sqref="V242:X243">
    <cfRule type="cellIs" priority="339" stopIfTrue="1" operator="lessThan">
      <formula>10.237</formula>
    </cfRule>
  </conditionalFormatting>
  <conditionalFormatting sqref="AH242:AH243">
    <cfRule type="cellIs" priority="338" stopIfTrue="1" operator="lessThan">
      <formula>10.237</formula>
    </cfRule>
  </conditionalFormatting>
  <conditionalFormatting sqref="AI242:AI243">
    <cfRule type="cellIs" priority="337" stopIfTrue="1" operator="lessThan">
      <formula>10.237</formula>
    </cfRule>
  </conditionalFormatting>
  <conditionalFormatting sqref="AH242:AI243">
    <cfRule type="cellIs" dxfId="103" priority="332" operator="lessThan">
      <formula>0</formula>
    </cfRule>
    <cfRule type="cellIs" dxfId="102" priority="336" operator="lessThan">
      <formula>0</formula>
    </cfRule>
  </conditionalFormatting>
  <conditionalFormatting sqref="AA242:AA243">
    <cfRule type="cellIs" priority="335" stopIfTrue="1" operator="lessThan">
      <formula>10.237</formula>
    </cfRule>
  </conditionalFormatting>
  <conditionalFormatting sqref="AH242:AH243">
    <cfRule type="cellIs" priority="334" stopIfTrue="1" operator="lessThan">
      <formula>10.237</formula>
    </cfRule>
  </conditionalFormatting>
  <conditionalFormatting sqref="AI242:AI243">
    <cfRule type="cellIs" priority="333" stopIfTrue="1" operator="lessThan">
      <formula>10.237</formula>
    </cfRule>
  </conditionalFormatting>
  <conditionalFormatting sqref="AE244:AE245 Z244:Z246 V244:W246">
    <cfRule type="cellIs" priority="331" stopIfTrue="1" operator="lessThan">
      <formula>10.237</formula>
    </cfRule>
  </conditionalFormatting>
  <conditionalFormatting sqref="AH246">
    <cfRule type="cellIs" priority="330" stopIfTrue="1" operator="lessThan">
      <formula>10.237</formula>
    </cfRule>
  </conditionalFormatting>
  <conditionalFormatting sqref="AI246">
    <cfRule type="cellIs" priority="329" stopIfTrue="1" operator="lessThan">
      <formula>10.237</formula>
    </cfRule>
  </conditionalFormatting>
  <conditionalFormatting sqref="AH246:AI246">
    <cfRule type="cellIs" dxfId="101" priority="327" operator="lessThan">
      <formula>0</formula>
    </cfRule>
    <cfRule type="cellIs" dxfId="100" priority="328" operator="lessThan">
      <formula>0</formula>
    </cfRule>
  </conditionalFormatting>
  <conditionalFormatting sqref="V248:X248">
    <cfRule type="cellIs" priority="326" stopIfTrue="1" operator="lessThan">
      <formula>10.237</formula>
    </cfRule>
  </conditionalFormatting>
  <conditionalFormatting sqref="AH248">
    <cfRule type="cellIs" priority="325" stopIfTrue="1" operator="lessThan">
      <formula>10.237</formula>
    </cfRule>
  </conditionalFormatting>
  <conditionalFormatting sqref="AI248">
    <cfRule type="cellIs" priority="324" stopIfTrue="1" operator="lessThan">
      <formula>10.237</formula>
    </cfRule>
  </conditionalFormatting>
  <conditionalFormatting sqref="AH248:AI248">
    <cfRule type="cellIs" dxfId="99" priority="319" operator="lessThan">
      <formula>0</formula>
    </cfRule>
    <cfRule type="cellIs" dxfId="98" priority="323" operator="lessThan">
      <formula>0</formula>
    </cfRule>
  </conditionalFormatting>
  <conditionalFormatting sqref="AA248">
    <cfRule type="cellIs" priority="322" stopIfTrue="1" operator="lessThan">
      <formula>10.237</formula>
    </cfRule>
  </conditionalFormatting>
  <conditionalFormatting sqref="AH248">
    <cfRule type="cellIs" priority="321" stopIfTrue="1" operator="lessThan">
      <formula>10.237</formula>
    </cfRule>
  </conditionalFormatting>
  <conditionalFormatting sqref="AI248">
    <cfRule type="cellIs" priority="320" stopIfTrue="1" operator="lessThan">
      <formula>10.237</formula>
    </cfRule>
  </conditionalFormatting>
  <conditionalFormatting sqref="V249:W249">
    <cfRule type="cellIs" priority="318" stopIfTrue="1" operator="lessThan">
      <formula>10.237</formula>
    </cfRule>
  </conditionalFormatting>
  <conditionalFormatting sqref="AH249">
    <cfRule type="cellIs" priority="317" stopIfTrue="1" operator="lessThan">
      <formula>10.237</formula>
    </cfRule>
  </conditionalFormatting>
  <conditionalFormatting sqref="AI249">
    <cfRule type="cellIs" priority="316" stopIfTrue="1" operator="lessThan">
      <formula>10.237</formula>
    </cfRule>
  </conditionalFormatting>
  <conditionalFormatting sqref="AH249:AI249">
    <cfRule type="cellIs" dxfId="97" priority="314" operator="lessThan">
      <formula>0</formula>
    </cfRule>
    <cfRule type="cellIs" dxfId="96" priority="315" operator="lessThan">
      <formula>0</formula>
    </cfRule>
  </conditionalFormatting>
  <conditionalFormatting sqref="X249">
    <cfRule type="cellIs" priority="313" stopIfTrue="1" operator="lessThan">
      <formula>10.237</formula>
    </cfRule>
  </conditionalFormatting>
  <conditionalFormatting sqref="AA249">
    <cfRule type="cellIs" priority="312" stopIfTrue="1" operator="lessThan">
      <formula>10.237</formula>
    </cfRule>
  </conditionalFormatting>
  <conditionalFormatting sqref="AE250:AE251 Z250:Z252 V250:W252">
    <cfRule type="cellIs" priority="311" stopIfTrue="1" operator="lessThan">
      <formula>10.237</formula>
    </cfRule>
  </conditionalFormatting>
  <conditionalFormatting sqref="AH252">
    <cfRule type="cellIs" priority="310" stopIfTrue="1" operator="lessThan">
      <formula>10.237</formula>
    </cfRule>
  </conditionalFormatting>
  <conditionalFormatting sqref="AI252">
    <cfRule type="cellIs" priority="309" stopIfTrue="1" operator="lessThan">
      <formula>10.237</formula>
    </cfRule>
  </conditionalFormatting>
  <conditionalFormatting sqref="AH252:AI252">
    <cfRule type="cellIs" dxfId="95" priority="307" operator="lessThan">
      <formula>0</formula>
    </cfRule>
    <cfRule type="cellIs" dxfId="94" priority="308" operator="lessThan">
      <formula>0</formula>
    </cfRule>
  </conditionalFormatting>
  <conditionalFormatting sqref="V255:X255">
    <cfRule type="cellIs" priority="306" stopIfTrue="1" operator="lessThan">
      <formula>10.237</formula>
    </cfRule>
  </conditionalFormatting>
  <conditionalFormatting sqref="AH255">
    <cfRule type="cellIs" priority="305" stopIfTrue="1" operator="lessThan">
      <formula>10.237</formula>
    </cfRule>
  </conditionalFormatting>
  <conditionalFormatting sqref="AI255">
    <cfRule type="cellIs" priority="304" stopIfTrue="1" operator="lessThan">
      <formula>10.237</formula>
    </cfRule>
  </conditionalFormatting>
  <conditionalFormatting sqref="AH255:AI255">
    <cfRule type="cellIs" dxfId="93" priority="299" operator="lessThan">
      <formula>0</formula>
    </cfRule>
    <cfRule type="cellIs" dxfId="92" priority="303" operator="lessThan">
      <formula>0</formula>
    </cfRule>
  </conditionalFormatting>
  <conditionalFormatting sqref="AA255">
    <cfRule type="cellIs" priority="302" stopIfTrue="1" operator="lessThan">
      <formula>10.237</formula>
    </cfRule>
  </conditionalFormatting>
  <conditionalFormatting sqref="AH255">
    <cfRule type="cellIs" priority="301" stopIfTrue="1" operator="lessThan">
      <formula>10.237</formula>
    </cfRule>
  </conditionalFormatting>
  <conditionalFormatting sqref="AI255">
    <cfRule type="cellIs" priority="300" stopIfTrue="1" operator="lessThan">
      <formula>10.237</formula>
    </cfRule>
  </conditionalFormatting>
  <conditionalFormatting sqref="AE256:AE257 Z256:Z258 V256:W258">
    <cfRule type="cellIs" priority="298" stopIfTrue="1" operator="lessThan">
      <formula>10.237</formula>
    </cfRule>
  </conditionalFormatting>
  <conditionalFormatting sqref="AH258">
    <cfRule type="cellIs" priority="297" stopIfTrue="1" operator="lessThan">
      <formula>10.237</formula>
    </cfRule>
  </conditionalFormatting>
  <conditionalFormatting sqref="AI258">
    <cfRule type="cellIs" priority="296" stopIfTrue="1" operator="lessThan">
      <formula>10.237</formula>
    </cfRule>
  </conditionalFormatting>
  <conditionalFormatting sqref="AH258:AI258">
    <cfRule type="cellIs" dxfId="91" priority="294" operator="lessThan">
      <formula>0</formula>
    </cfRule>
    <cfRule type="cellIs" dxfId="90" priority="295" operator="lessThan">
      <formula>0</formula>
    </cfRule>
  </conditionalFormatting>
  <conditionalFormatting sqref="V254:X254">
    <cfRule type="cellIs" priority="293" stopIfTrue="1" operator="lessThan">
      <formula>10.237</formula>
    </cfRule>
  </conditionalFormatting>
  <conditionalFormatting sqref="AH254">
    <cfRule type="cellIs" priority="292" stopIfTrue="1" operator="lessThan">
      <formula>10.237</formula>
    </cfRule>
  </conditionalFormatting>
  <conditionalFormatting sqref="AI254">
    <cfRule type="cellIs" priority="291" stopIfTrue="1" operator="lessThan">
      <formula>10.237</formula>
    </cfRule>
  </conditionalFormatting>
  <conditionalFormatting sqref="AH254:AI254">
    <cfRule type="cellIs" dxfId="89" priority="286" operator="lessThan">
      <formula>0</formula>
    </cfRule>
    <cfRule type="cellIs" dxfId="88" priority="290" operator="lessThan">
      <formula>0</formula>
    </cfRule>
  </conditionalFormatting>
  <conditionalFormatting sqref="AA254">
    <cfRule type="cellIs" priority="289" stopIfTrue="1" operator="lessThan">
      <formula>10.237</formula>
    </cfRule>
  </conditionalFormatting>
  <conditionalFormatting sqref="AH254">
    <cfRule type="cellIs" priority="288" stopIfTrue="1" operator="lessThan">
      <formula>10.237</formula>
    </cfRule>
  </conditionalFormatting>
  <conditionalFormatting sqref="AI254">
    <cfRule type="cellIs" priority="287" stopIfTrue="1" operator="lessThan">
      <formula>10.237</formula>
    </cfRule>
  </conditionalFormatting>
  <conditionalFormatting sqref="V261:X261">
    <cfRule type="cellIs" priority="285" stopIfTrue="1" operator="lessThan">
      <formula>10.237</formula>
    </cfRule>
  </conditionalFormatting>
  <conditionalFormatting sqref="AH261">
    <cfRule type="cellIs" priority="284" stopIfTrue="1" operator="lessThan">
      <formula>10.237</formula>
    </cfRule>
  </conditionalFormatting>
  <conditionalFormatting sqref="AI261">
    <cfRule type="cellIs" priority="283" stopIfTrue="1" operator="lessThan">
      <formula>10.237</formula>
    </cfRule>
  </conditionalFormatting>
  <conditionalFormatting sqref="AH261:AI261">
    <cfRule type="cellIs" dxfId="87" priority="278" operator="lessThan">
      <formula>0</formula>
    </cfRule>
    <cfRule type="cellIs" dxfId="86" priority="282" operator="lessThan">
      <formula>0</formula>
    </cfRule>
  </conditionalFormatting>
  <conditionalFormatting sqref="AA261">
    <cfRule type="cellIs" priority="281" stopIfTrue="1" operator="lessThan">
      <formula>10.237</formula>
    </cfRule>
  </conditionalFormatting>
  <conditionalFormatting sqref="AH261">
    <cfRule type="cellIs" priority="280" stopIfTrue="1" operator="lessThan">
      <formula>10.237</formula>
    </cfRule>
  </conditionalFormatting>
  <conditionalFormatting sqref="AI261">
    <cfRule type="cellIs" priority="279" stopIfTrue="1" operator="lessThan">
      <formula>10.237</formula>
    </cfRule>
  </conditionalFormatting>
  <conditionalFormatting sqref="V260:W260">
    <cfRule type="cellIs" priority="277" stopIfTrue="1" operator="lessThan">
      <formula>10.237</formula>
    </cfRule>
  </conditionalFormatting>
  <conditionalFormatting sqref="AH260">
    <cfRule type="cellIs" priority="276" stopIfTrue="1" operator="lessThan">
      <formula>10.237</formula>
    </cfRule>
  </conditionalFormatting>
  <conditionalFormatting sqref="AI260">
    <cfRule type="cellIs" priority="275" stopIfTrue="1" operator="lessThan">
      <formula>10.237</formula>
    </cfRule>
  </conditionalFormatting>
  <conditionalFormatting sqref="AH260:AI260">
    <cfRule type="cellIs" dxfId="85" priority="273" operator="lessThan">
      <formula>0</formula>
    </cfRule>
    <cfRule type="cellIs" dxfId="84" priority="274" operator="lessThan">
      <formula>0</formula>
    </cfRule>
  </conditionalFormatting>
  <conditionalFormatting sqref="X260">
    <cfRule type="cellIs" priority="272" stopIfTrue="1" operator="lessThan">
      <formula>10.237</formula>
    </cfRule>
  </conditionalFormatting>
  <conditionalFormatting sqref="AA260">
    <cfRule type="cellIs" priority="271" stopIfTrue="1" operator="lessThan">
      <formula>10.237</formula>
    </cfRule>
  </conditionalFormatting>
  <conditionalFormatting sqref="AE262:AE263 Z262:Z264 V262:W264">
    <cfRule type="cellIs" priority="270" stopIfTrue="1" operator="lessThan">
      <formula>10.237</formula>
    </cfRule>
  </conditionalFormatting>
  <conditionalFormatting sqref="AH264">
    <cfRule type="cellIs" priority="269" stopIfTrue="1" operator="lessThan">
      <formula>10.237</formula>
    </cfRule>
  </conditionalFormatting>
  <conditionalFormatting sqref="AI264">
    <cfRule type="cellIs" priority="268" stopIfTrue="1" operator="lessThan">
      <formula>10.237</formula>
    </cfRule>
  </conditionalFormatting>
  <conditionalFormatting sqref="AH264:AI264">
    <cfRule type="cellIs" dxfId="83" priority="266" operator="lessThan">
      <formula>0</formula>
    </cfRule>
    <cfRule type="cellIs" dxfId="82" priority="267" operator="lessThan">
      <formula>0</formula>
    </cfRule>
  </conditionalFormatting>
  <conditionalFormatting sqref="V266:X266">
    <cfRule type="cellIs" priority="265" stopIfTrue="1" operator="lessThan">
      <formula>10.237</formula>
    </cfRule>
  </conditionalFormatting>
  <conditionalFormatting sqref="AH266">
    <cfRule type="cellIs" priority="264" stopIfTrue="1" operator="lessThan">
      <formula>10.237</formula>
    </cfRule>
  </conditionalFormatting>
  <conditionalFormatting sqref="AI266">
    <cfRule type="cellIs" priority="263" stopIfTrue="1" operator="lessThan">
      <formula>10.237</formula>
    </cfRule>
  </conditionalFormatting>
  <conditionalFormatting sqref="AH266:AI266">
    <cfRule type="cellIs" dxfId="81" priority="258" operator="lessThan">
      <formula>0</formula>
    </cfRule>
    <cfRule type="cellIs" dxfId="80" priority="262" operator="lessThan">
      <formula>0</formula>
    </cfRule>
  </conditionalFormatting>
  <conditionalFormatting sqref="AA266">
    <cfRule type="cellIs" priority="261" stopIfTrue="1" operator="lessThan">
      <formula>10.237</formula>
    </cfRule>
  </conditionalFormatting>
  <conditionalFormatting sqref="AH266">
    <cfRule type="cellIs" priority="260" stopIfTrue="1" operator="lessThan">
      <formula>10.237</formula>
    </cfRule>
  </conditionalFormatting>
  <conditionalFormatting sqref="AI266">
    <cfRule type="cellIs" priority="259" stopIfTrue="1" operator="lessThan">
      <formula>10.237</formula>
    </cfRule>
  </conditionalFormatting>
  <conditionalFormatting sqref="V267:W267">
    <cfRule type="cellIs" priority="257" stopIfTrue="1" operator="lessThan">
      <formula>10.237</formula>
    </cfRule>
  </conditionalFormatting>
  <conditionalFormatting sqref="AH267">
    <cfRule type="cellIs" priority="256" stopIfTrue="1" operator="lessThan">
      <formula>10.237</formula>
    </cfRule>
  </conditionalFormatting>
  <conditionalFormatting sqref="AI267">
    <cfRule type="cellIs" priority="255" stopIfTrue="1" operator="lessThan">
      <formula>10.237</formula>
    </cfRule>
  </conditionalFormatting>
  <conditionalFormatting sqref="AH267:AI267">
    <cfRule type="cellIs" dxfId="79" priority="253" operator="lessThan">
      <formula>0</formula>
    </cfRule>
    <cfRule type="cellIs" dxfId="78" priority="254" operator="lessThan">
      <formula>0</formula>
    </cfRule>
  </conditionalFormatting>
  <conditionalFormatting sqref="X267">
    <cfRule type="cellIs" priority="252" stopIfTrue="1" operator="lessThan">
      <formula>10.237</formula>
    </cfRule>
  </conditionalFormatting>
  <conditionalFormatting sqref="AA267">
    <cfRule type="cellIs" priority="251" stopIfTrue="1" operator="lessThan">
      <formula>10.237</formula>
    </cfRule>
  </conditionalFormatting>
  <conditionalFormatting sqref="AE268:AE269 Z268:Z270 V268:W270">
    <cfRule type="cellIs" priority="250" stopIfTrue="1" operator="lessThan">
      <formula>10.237</formula>
    </cfRule>
  </conditionalFormatting>
  <conditionalFormatting sqref="AH270">
    <cfRule type="cellIs" priority="249" stopIfTrue="1" operator="lessThan">
      <formula>10.237</formula>
    </cfRule>
  </conditionalFormatting>
  <conditionalFormatting sqref="AI270">
    <cfRule type="cellIs" priority="248" stopIfTrue="1" operator="lessThan">
      <formula>10.237</formula>
    </cfRule>
  </conditionalFormatting>
  <conditionalFormatting sqref="AH270:AI270">
    <cfRule type="cellIs" dxfId="77" priority="246" operator="lessThan">
      <formula>0</formula>
    </cfRule>
    <cfRule type="cellIs" dxfId="76" priority="247" operator="lessThan">
      <formula>0</formula>
    </cfRule>
  </conditionalFormatting>
  <conditionalFormatting sqref="V272:W273">
    <cfRule type="cellIs" priority="245" stopIfTrue="1" operator="lessThan">
      <formula>10.237</formula>
    </cfRule>
  </conditionalFormatting>
  <conditionalFormatting sqref="AH272:AH273">
    <cfRule type="cellIs" priority="244" stopIfTrue="1" operator="lessThan">
      <formula>10.237</formula>
    </cfRule>
  </conditionalFormatting>
  <conditionalFormatting sqref="AI272:AI273">
    <cfRule type="cellIs" priority="243" stopIfTrue="1" operator="lessThan">
      <formula>10.237</formula>
    </cfRule>
  </conditionalFormatting>
  <conditionalFormatting sqref="AH272:AI273">
    <cfRule type="cellIs" dxfId="75" priority="241" operator="lessThan">
      <formula>0</formula>
    </cfRule>
    <cfRule type="cellIs" dxfId="74" priority="242" operator="lessThan">
      <formula>0</formula>
    </cfRule>
  </conditionalFormatting>
  <conditionalFormatting sqref="AA272:AA273">
    <cfRule type="cellIs" priority="239" stopIfTrue="1" operator="lessThan">
      <formula>10.237</formula>
    </cfRule>
  </conditionalFormatting>
  <conditionalFormatting sqref="X272:X273">
    <cfRule type="cellIs" priority="240" stopIfTrue="1" operator="lessThan">
      <formula>10.237</formula>
    </cfRule>
  </conditionalFormatting>
  <conditionalFormatting sqref="AE274:AE275 Z274:Z276 V274:W276">
    <cfRule type="cellIs" priority="238" stopIfTrue="1" operator="lessThan">
      <formula>10.237</formula>
    </cfRule>
  </conditionalFormatting>
  <conditionalFormatting sqref="AH276">
    <cfRule type="cellIs" priority="237" stopIfTrue="1" operator="lessThan">
      <formula>10.237</formula>
    </cfRule>
  </conditionalFormatting>
  <conditionalFormatting sqref="AI276">
    <cfRule type="cellIs" priority="236" stopIfTrue="1" operator="lessThan">
      <formula>10.237</formula>
    </cfRule>
  </conditionalFormatting>
  <conditionalFormatting sqref="AH276:AI276">
    <cfRule type="cellIs" dxfId="73" priority="234" operator="lessThan">
      <formula>0</formula>
    </cfRule>
    <cfRule type="cellIs" dxfId="72" priority="235" operator="lessThan">
      <formula>0</formula>
    </cfRule>
  </conditionalFormatting>
  <conditionalFormatting sqref="AH283:AI283 AH289:AI289 AH295:AI295 AH301:AI301 AH307:AI307 AH313:AI313 AH319:AI319 AH325:AI325 AH331:AI1048576 AH1:AI277">
    <cfRule type="cellIs" dxfId="71" priority="233" operator="lessThan">
      <formula>0</formula>
    </cfRule>
  </conditionalFormatting>
  <conditionalFormatting sqref="V278:W278">
    <cfRule type="cellIs" priority="232" stopIfTrue="1" operator="lessThan">
      <formula>10.237</formula>
    </cfRule>
  </conditionalFormatting>
  <conditionalFormatting sqref="AH278">
    <cfRule type="cellIs" priority="231" stopIfTrue="1" operator="lessThan">
      <formula>10.237</formula>
    </cfRule>
  </conditionalFormatting>
  <conditionalFormatting sqref="AI278">
    <cfRule type="cellIs" priority="230" stopIfTrue="1" operator="lessThan">
      <formula>10.237</formula>
    </cfRule>
  </conditionalFormatting>
  <conditionalFormatting sqref="AH278:AI278">
    <cfRule type="cellIs" dxfId="70" priority="228" operator="lessThan">
      <formula>0</formula>
    </cfRule>
    <cfRule type="cellIs" dxfId="69" priority="229" operator="lessThan">
      <formula>0</formula>
    </cfRule>
  </conditionalFormatting>
  <conditionalFormatting sqref="AA278">
    <cfRule type="cellIs" priority="226" stopIfTrue="1" operator="lessThan">
      <formula>10.237</formula>
    </cfRule>
  </conditionalFormatting>
  <conditionalFormatting sqref="X278">
    <cfRule type="cellIs" priority="227" stopIfTrue="1" operator="lessThan">
      <formula>10.237</formula>
    </cfRule>
  </conditionalFormatting>
  <conditionalFormatting sqref="AH278:AI278">
    <cfRule type="cellIs" dxfId="68" priority="225" operator="lessThan">
      <formula>0</formula>
    </cfRule>
  </conditionalFormatting>
  <conditionalFormatting sqref="V279 X279">
    <cfRule type="cellIs" priority="224" stopIfTrue="1" operator="lessThan">
      <formula>10.237</formula>
    </cfRule>
  </conditionalFormatting>
  <conditionalFormatting sqref="W279">
    <cfRule type="cellIs" priority="223" stopIfTrue="1" operator="lessThan">
      <formula>10.237</formula>
    </cfRule>
  </conditionalFormatting>
  <conditionalFormatting sqref="AH279">
    <cfRule type="cellIs" priority="222" stopIfTrue="1" operator="lessThan">
      <formula>10.237</formula>
    </cfRule>
  </conditionalFormatting>
  <conditionalFormatting sqref="AI279">
    <cfRule type="cellIs" priority="221" stopIfTrue="1" operator="lessThan">
      <formula>10.237</formula>
    </cfRule>
  </conditionalFormatting>
  <conditionalFormatting sqref="AH279:AI279">
    <cfRule type="cellIs" dxfId="67" priority="216" operator="lessThan">
      <formula>0</formula>
    </cfRule>
    <cfRule type="cellIs" dxfId="66" priority="220" operator="lessThan">
      <formula>0</formula>
    </cfRule>
  </conditionalFormatting>
  <conditionalFormatting sqref="AA279">
    <cfRule type="cellIs" priority="219" stopIfTrue="1" operator="lessThan">
      <formula>10.237</formula>
    </cfRule>
  </conditionalFormatting>
  <conditionalFormatting sqref="AH279">
    <cfRule type="cellIs" priority="218" stopIfTrue="1" operator="lessThan">
      <formula>10.237</formula>
    </cfRule>
  </conditionalFormatting>
  <conditionalFormatting sqref="AI279">
    <cfRule type="cellIs" priority="217" stopIfTrue="1" operator="lessThan">
      <formula>10.237</formula>
    </cfRule>
  </conditionalFormatting>
  <conditionalFormatting sqref="AE280:AE281 Z280:Z282 V280:W282">
    <cfRule type="cellIs" priority="215" stopIfTrue="1" operator="lessThan">
      <formula>10.237</formula>
    </cfRule>
  </conditionalFormatting>
  <conditionalFormatting sqref="AH282">
    <cfRule type="cellIs" priority="214" stopIfTrue="1" operator="lessThan">
      <formula>10.237</formula>
    </cfRule>
  </conditionalFormatting>
  <conditionalFormatting sqref="AI282">
    <cfRule type="cellIs" priority="213" stopIfTrue="1" operator="lessThan">
      <formula>10.237</formula>
    </cfRule>
  </conditionalFormatting>
  <conditionalFormatting sqref="AH282:AI282">
    <cfRule type="cellIs" dxfId="65" priority="211" operator="lessThan">
      <formula>0</formula>
    </cfRule>
    <cfRule type="cellIs" dxfId="64" priority="212" operator="lessThan">
      <formula>0</formula>
    </cfRule>
  </conditionalFormatting>
  <conditionalFormatting sqref="AH280:AI282">
    <cfRule type="cellIs" dxfId="63" priority="210" operator="lessThan">
      <formula>0</formula>
    </cfRule>
  </conditionalFormatting>
  <conditionalFormatting sqref="V285:X285">
    <cfRule type="cellIs" priority="209" stopIfTrue="1" operator="lessThan">
      <formula>10.237</formula>
    </cfRule>
  </conditionalFormatting>
  <conditionalFormatting sqref="AH285">
    <cfRule type="cellIs" priority="208" stopIfTrue="1" operator="lessThan">
      <formula>10.237</formula>
    </cfRule>
  </conditionalFormatting>
  <conditionalFormatting sqref="AI285">
    <cfRule type="cellIs" priority="207" stopIfTrue="1" operator="lessThan">
      <formula>10.237</formula>
    </cfRule>
  </conditionalFormatting>
  <conditionalFormatting sqref="AH285:AI285">
    <cfRule type="cellIs" dxfId="62" priority="202" operator="lessThan">
      <formula>0</formula>
    </cfRule>
    <cfRule type="cellIs" dxfId="61" priority="206" operator="lessThan">
      <formula>0</formula>
    </cfRule>
  </conditionalFormatting>
  <conditionalFormatting sqref="AA285">
    <cfRule type="cellIs" priority="205" stopIfTrue="1" operator="lessThan">
      <formula>10.237</formula>
    </cfRule>
  </conditionalFormatting>
  <conditionalFormatting sqref="AH285">
    <cfRule type="cellIs" priority="204" stopIfTrue="1" operator="lessThan">
      <formula>10.237</formula>
    </cfRule>
  </conditionalFormatting>
  <conditionalFormatting sqref="AI285">
    <cfRule type="cellIs" priority="203" stopIfTrue="1" operator="lessThan">
      <formula>10.237</formula>
    </cfRule>
  </conditionalFormatting>
  <conditionalFormatting sqref="V284 X284">
    <cfRule type="cellIs" priority="201" stopIfTrue="1" operator="lessThan">
      <formula>10.237</formula>
    </cfRule>
  </conditionalFormatting>
  <conditionalFormatting sqref="W284">
    <cfRule type="cellIs" priority="200" stopIfTrue="1" operator="lessThan">
      <formula>10.237</formula>
    </cfRule>
  </conditionalFormatting>
  <conditionalFormatting sqref="AH284">
    <cfRule type="cellIs" priority="199" stopIfTrue="1" operator="lessThan">
      <formula>10.237</formula>
    </cfRule>
  </conditionalFormatting>
  <conditionalFormatting sqref="AI284">
    <cfRule type="cellIs" priority="198" stopIfTrue="1" operator="lessThan">
      <formula>10.237</formula>
    </cfRule>
  </conditionalFormatting>
  <conditionalFormatting sqref="AH284:AI284">
    <cfRule type="cellIs" dxfId="60" priority="193" operator="lessThan">
      <formula>0</formula>
    </cfRule>
    <cfRule type="cellIs" dxfId="59" priority="197" operator="lessThan">
      <formula>0</formula>
    </cfRule>
  </conditionalFormatting>
  <conditionalFormatting sqref="AA284">
    <cfRule type="cellIs" priority="196" stopIfTrue="1" operator="lessThan">
      <formula>10.237</formula>
    </cfRule>
  </conditionalFormatting>
  <conditionalFormatting sqref="AH284">
    <cfRule type="cellIs" priority="195" stopIfTrue="1" operator="lessThan">
      <formula>10.237</formula>
    </cfRule>
  </conditionalFormatting>
  <conditionalFormatting sqref="AI284">
    <cfRule type="cellIs" priority="194" stopIfTrue="1" operator="lessThan">
      <formula>10.237</formula>
    </cfRule>
  </conditionalFormatting>
  <conditionalFormatting sqref="AE286:AE287 Z286:Z288 V286:W288">
    <cfRule type="cellIs" priority="192" stopIfTrue="1" operator="lessThan">
      <formula>10.237</formula>
    </cfRule>
  </conditionalFormatting>
  <conditionalFormatting sqref="AH288">
    <cfRule type="cellIs" priority="191" stopIfTrue="1" operator="lessThan">
      <formula>10.237</formula>
    </cfRule>
  </conditionalFormatting>
  <conditionalFormatting sqref="AI288">
    <cfRule type="cellIs" priority="190" stopIfTrue="1" operator="lessThan">
      <formula>10.237</formula>
    </cfRule>
  </conditionalFormatting>
  <conditionalFormatting sqref="AH288:AI288">
    <cfRule type="cellIs" dxfId="58" priority="188" operator="lessThan">
      <formula>0</formula>
    </cfRule>
    <cfRule type="cellIs" dxfId="57" priority="189" operator="lessThan">
      <formula>0</formula>
    </cfRule>
  </conditionalFormatting>
  <conditionalFormatting sqref="AH286:AI288">
    <cfRule type="cellIs" dxfId="56" priority="187" operator="lessThan">
      <formula>0</formula>
    </cfRule>
  </conditionalFormatting>
  <conditionalFormatting sqref="V291:X291">
    <cfRule type="cellIs" priority="186" stopIfTrue="1" operator="lessThan">
      <formula>10.237</formula>
    </cfRule>
  </conditionalFormatting>
  <conditionalFormatting sqref="AH291">
    <cfRule type="cellIs" priority="185" stopIfTrue="1" operator="lessThan">
      <formula>10.237</formula>
    </cfRule>
  </conditionalFormatting>
  <conditionalFormatting sqref="AI291">
    <cfRule type="cellIs" priority="184" stopIfTrue="1" operator="lessThan">
      <formula>10.237</formula>
    </cfRule>
  </conditionalFormatting>
  <conditionalFormatting sqref="AH291:AI291">
    <cfRule type="cellIs" dxfId="55" priority="179" operator="lessThan">
      <formula>0</formula>
    </cfRule>
    <cfRule type="cellIs" dxfId="54" priority="183" operator="lessThan">
      <formula>0</formula>
    </cfRule>
  </conditionalFormatting>
  <conditionalFormatting sqref="AA291">
    <cfRule type="cellIs" priority="182" stopIfTrue="1" operator="lessThan">
      <formula>10.237</formula>
    </cfRule>
  </conditionalFormatting>
  <conditionalFormatting sqref="AH291">
    <cfRule type="cellIs" priority="181" stopIfTrue="1" operator="lessThan">
      <formula>10.237</formula>
    </cfRule>
  </conditionalFormatting>
  <conditionalFormatting sqref="AI291">
    <cfRule type="cellIs" priority="180" stopIfTrue="1" operator="lessThan">
      <formula>10.237</formula>
    </cfRule>
  </conditionalFormatting>
  <conditionalFormatting sqref="V290:W290">
    <cfRule type="cellIs" priority="178" stopIfTrue="1" operator="lessThan">
      <formula>10.237</formula>
    </cfRule>
  </conditionalFormatting>
  <conditionalFormatting sqref="AH290">
    <cfRule type="cellIs" priority="177" stopIfTrue="1" operator="lessThan">
      <formula>10.237</formula>
    </cfRule>
  </conditionalFormatting>
  <conditionalFormatting sqref="AI290">
    <cfRule type="cellIs" priority="176" stopIfTrue="1" operator="lessThan">
      <formula>10.237</formula>
    </cfRule>
  </conditionalFormatting>
  <conditionalFormatting sqref="AH290:AI290">
    <cfRule type="cellIs" dxfId="53" priority="174" operator="lessThan">
      <formula>0</formula>
    </cfRule>
    <cfRule type="cellIs" dxfId="52" priority="175" operator="lessThan">
      <formula>0</formula>
    </cfRule>
  </conditionalFormatting>
  <conditionalFormatting sqref="AA290">
    <cfRule type="cellIs" priority="172" stopIfTrue="1" operator="lessThan">
      <formula>10.237</formula>
    </cfRule>
  </conditionalFormatting>
  <conditionalFormatting sqref="X290">
    <cfRule type="cellIs" priority="173" stopIfTrue="1" operator="lessThan">
      <formula>10.237</formula>
    </cfRule>
  </conditionalFormatting>
  <conditionalFormatting sqref="AH290:AI290">
    <cfRule type="cellIs" dxfId="51" priority="171" operator="lessThan">
      <formula>0</formula>
    </cfRule>
  </conditionalFormatting>
  <conditionalFormatting sqref="AE292:AE293 Z292:Z294 V292:W294">
    <cfRule type="cellIs" priority="170" stopIfTrue="1" operator="lessThan">
      <formula>10.237</formula>
    </cfRule>
  </conditionalFormatting>
  <conditionalFormatting sqref="AH294">
    <cfRule type="cellIs" priority="169" stopIfTrue="1" operator="lessThan">
      <formula>10.237</formula>
    </cfRule>
  </conditionalFormatting>
  <conditionalFormatting sqref="AI294">
    <cfRule type="cellIs" priority="168" stopIfTrue="1" operator="lessThan">
      <formula>10.237</formula>
    </cfRule>
  </conditionalFormatting>
  <conditionalFormatting sqref="AH294:AI294">
    <cfRule type="cellIs" dxfId="50" priority="166" operator="lessThan">
      <formula>0</formula>
    </cfRule>
    <cfRule type="cellIs" dxfId="49" priority="167" operator="lessThan">
      <formula>0</formula>
    </cfRule>
  </conditionalFormatting>
  <conditionalFormatting sqref="AH292:AI294">
    <cfRule type="cellIs" dxfId="48" priority="165" operator="lessThan">
      <formula>0</formula>
    </cfRule>
  </conditionalFormatting>
  <conditionalFormatting sqref="V296:W296">
    <cfRule type="cellIs" priority="164" stopIfTrue="1" operator="lessThan">
      <formula>10.237</formula>
    </cfRule>
  </conditionalFormatting>
  <conditionalFormatting sqref="AH296">
    <cfRule type="cellIs" priority="163" stopIfTrue="1" operator="lessThan">
      <formula>10.237</formula>
    </cfRule>
  </conditionalFormatting>
  <conditionalFormatting sqref="AI296">
    <cfRule type="cellIs" priority="162" stopIfTrue="1" operator="lessThan">
      <formula>10.237</formula>
    </cfRule>
  </conditionalFormatting>
  <conditionalFormatting sqref="AH296:AI296">
    <cfRule type="cellIs" dxfId="47" priority="160" operator="lessThan">
      <formula>0</formula>
    </cfRule>
    <cfRule type="cellIs" dxfId="46" priority="161" operator="lessThan">
      <formula>0</formula>
    </cfRule>
  </conditionalFormatting>
  <conditionalFormatting sqref="AA296">
    <cfRule type="cellIs" priority="158" stopIfTrue="1" operator="lessThan">
      <formula>10.237</formula>
    </cfRule>
  </conditionalFormatting>
  <conditionalFormatting sqref="X296">
    <cfRule type="cellIs" priority="159" stopIfTrue="1" operator="lessThan">
      <formula>10.237</formula>
    </cfRule>
  </conditionalFormatting>
  <conditionalFormatting sqref="AH296:AI296">
    <cfRule type="cellIs" dxfId="45" priority="157" operator="lessThan">
      <formula>0</formula>
    </cfRule>
  </conditionalFormatting>
  <conditionalFormatting sqref="V297:W297">
    <cfRule type="cellIs" priority="156" stopIfTrue="1" operator="lessThan">
      <formula>10.237</formula>
    </cfRule>
  </conditionalFormatting>
  <conditionalFormatting sqref="AH297">
    <cfRule type="cellIs" priority="155" stopIfTrue="1" operator="lessThan">
      <formula>10.237</formula>
    </cfRule>
  </conditionalFormatting>
  <conditionalFormatting sqref="AI297">
    <cfRule type="cellIs" priority="154" stopIfTrue="1" operator="lessThan">
      <formula>10.237</formula>
    </cfRule>
  </conditionalFormatting>
  <conditionalFormatting sqref="AH297:AI297">
    <cfRule type="cellIs" dxfId="44" priority="152" operator="lessThan">
      <formula>0</formula>
    </cfRule>
    <cfRule type="cellIs" dxfId="43" priority="153" operator="lessThan">
      <formula>0</formula>
    </cfRule>
  </conditionalFormatting>
  <conditionalFormatting sqref="X297">
    <cfRule type="cellIs" priority="151" stopIfTrue="1" operator="lessThan">
      <formula>10.237</formula>
    </cfRule>
  </conditionalFormatting>
  <conditionalFormatting sqref="AA297">
    <cfRule type="cellIs" priority="150" stopIfTrue="1" operator="lessThan">
      <formula>10.237</formula>
    </cfRule>
  </conditionalFormatting>
  <conditionalFormatting sqref="AE298:AE299 Z298:Z300 V298:W300">
    <cfRule type="cellIs" priority="149" stopIfTrue="1" operator="lessThan">
      <formula>10.237</formula>
    </cfRule>
  </conditionalFormatting>
  <conditionalFormatting sqref="AH300">
    <cfRule type="cellIs" priority="148" stopIfTrue="1" operator="lessThan">
      <formula>10.237</formula>
    </cfRule>
  </conditionalFormatting>
  <conditionalFormatting sqref="AI300">
    <cfRule type="cellIs" priority="147" stopIfTrue="1" operator="lessThan">
      <formula>10.237</formula>
    </cfRule>
  </conditionalFormatting>
  <conditionalFormatting sqref="AH300:AI300">
    <cfRule type="cellIs" dxfId="42" priority="145" operator="lessThan">
      <formula>0</formula>
    </cfRule>
    <cfRule type="cellIs" dxfId="41" priority="146" operator="lessThan">
      <formula>0</formula>
    </cfRule>
  </conditionalFormatting>
  <conditionalFormatting sqref="AH298:AI300">
    <cfRule type="cellIs" dxfId="40" priority="144" operator="lessThan">
      <formula>0</formula>
    </cfRule>
  </conditionalFormatting>
  <conditionalFormatting sqref="V302:W302">
    <cfRule type="cellIs" priority="143" stopIfTrue="1" operator="lessThan">
      <formula>10.237</formula>
    </cfRule>
  </conditionalFormatting>
  <conditionalFormatting sqref="AH302">
    <cfRule type="cellIs" priority="142" stopIfTrue="1" operator="lessThan">
      <formula>10.237</formula>
    </cfRule>
  </conditionalFormatting>
  <conditionalFormatting sqref="AI302">
    <cfRule type="cellIs" priority="141" stopIfTrue="1" operator="lessThan">
      <formula>10.237</formula>
    </cfRule>
  </conditionalFormatting>
  <conditionalFormatting sqref="AH302:AI302">
    <cfRule type="cellIs" dxfId="39" priority="139" operator="lessThan">
      <formula>0</formula>
    </cfRule>
    <cfRule type="cellIs" dxfId="38" priority="140" operator="lessThan">
      <formula>0</formula>
    </cfRule>
  </conditionalFormatting>
  <conditionalFormatting sqref="AA302">
    <cfRule type="cellIs" priority="137" stopIfTrue="1" operator="lessThan">
      <formula>10.237</formula>
    </cfRule>
  </conditionalFormatting>
  <conditionalFormatting sqref="X302">
    <cfRule type="cellIs" priority="138" stopIfTrue="1" operator="lessThan">
      <formula>10.237</formula>
    </cfRule>
  </conditionalFormatting>
  <conditionalFormatting sqref="AH302:AI302">
    <cfRule type="cellIs" dxfId="37" priority="136" operator="lessThan">
      <formula>0</formula>
    </cfRule>
  </conditionalFormatting>
  <conditionalFormatting sqref="V303:W303">
    <cfRule type="cellIs" priority="135" stopIfTrue="1" operator="lessThan">
      <formula>10.237</formula>
    </cfRule>
  </conditionalFormatting>
  <conditionalFormatting sqref="AH303">
    <cfRule type="cellIs" priority="134" stopIfTrue="1" operator="lessThan">
      <formula>10.237</formula>
    </cfRule>
  </conditionalFormatting>
  <conditionalFormatting sqref="AI303">
    <cfRule type="cellIs" priority="133" stopIfTrue="1" operator="lessThan">
      <formula>10.237</formula>
    </cfRule>
  </conditionalFormatting>
  <conditionalFormatting sqref="AH303:AI303">
    <cfRule type="cellIs" dxfId="36" priority="131" operator="lessThan">
      <formula>0</formula>
    </cfRule>
    <cfRule type="cellIs" dxfId="35" priority="132" operator="lessThan">
      <formula>0</formula>
    </cfRule>
  </conditionalFormatting>
  <conditionalFormatting sqref="X303">
    <cfRule type="cellIs" priority="130" stopIfTrue="1" operator="lessThan">
      <formula>10.237</formula>
    </cfRule>
  </conditionalFormatting>
  <conditionalFormatting sqref="AA303">
    <cfRule type="cellIs" priority="129" stopIfTrue="1" operator="lessThan">
      <formula>10.237</formula>
    </cfRule>
  </conditionalFormatting>
  <conditionalFormatting sqref="AE304:AE305 Z304:Z306 V304:W306">
    <cfRule type="cellIs" priority="128" stopIfTrue="1" operator="lessThan">
      <formula>10.237</formula>
    </cfRule>
  </conditionalFormatting>
  <conditionalFormatting sqref="AH306">
    <cfRule type="cellIs" priority="127" stopIfTrue="1" operator="lessThan">
      <formula>10.237</formula>
    </cfRule>
  </conditionalFormatting>
  <conditionalFormatting sqref="AI306">
    <cfRule type="cellIs" priority="126" stopIfTrue="1" operator="lessThan">
      <formula>10.237</formula>
    </cfRule>
  </conditionalFormatting>
  <conditionalFormatting sqref="AH306:AI306">
    <cfRule type="cellIs" dxfId="34" priority="124" operator="lessThan">
      <formula>0</formula>
    </cfRule>
    <cfRule type="cellIs" dxfId="33" priority="125" operator="lessThan">
      <formula>0</formula>
    </cfRule>
  </conditionalFormatting>
  <conditionalFormatting sqref="AH304:AI306">
    <cfRule type="cellIs" dxfId="32" priority="123" operator="lessThan">
      <formula>0</formula>
    </cfRule>
  </conditionalFormatting>
  <conditionalFormatting sqref="X309">
    <cfRule type="cellIs" priority="100" stopIfTrue="1" operator="lessThan">
      <formula>10.237</formula>
    </cfRule>
  </conditionalFormatting>
  <conditionalFormatting sqref="AA309">
    <cfRule type="cellIs" priority="99" stopIfTrue="1" operator="lessThan">
      <formula>10.237</formula>
    </cfRule>
  </conditionalFormatting>
  <conditionalFormatting sqref="AH312">
    <cfRule type="cellIs" priority="97" stopIfTrue="1" operator="lessThan">
      <formula>10.237</formula>
    </cfRule>
  </conditionalFormatting>
  <conditionalFormatting sqref="AI312">
    <cfRule type="cellIs" priority="96" stopIfTrue="1" operator="lessThan">
      <formula>10.237</formula>
    </cfRule>
  </conditionalFormatting>
  <conditionalFormatting sqref="V308:W308">
    <cfRule type="cellIs" priority="113" stopIfTrue="1" operator="lessThan">
      <formula>10.237</formula>
    </cfRule>
  </conditionalFormatting>
  <conditionalFormatting sqref="AA308">
    <cfRule type="cellIs" priority="109" stopIfTrue="1" operator="lessThan">
      <formula>10.237</formula>
    </cfRule>
  </conditionalFormatting>
  <conditionalFormatting sqref="V309:W309">
    <cfRule type="cellIs" priority="105" stopIfTrue="1" operator="lessThan">
      <formula>10.237</formula>
    </cfRule>
  </conditionalFormatting>
  <conditionalFormatting sqref="AH309">
    <cfRule type="cellIs" priority="104" stopIfTrue="1" operator="lessThan">
      <formula>10.237</formula>
    </cfRule>
  </conditionalFormatting>
  <conditionalFormatting sqref="AI309">
    <cfRule type="cellIs" priority="103" stopIfTrue="1" operator="lessThan">
      <formula>10.237</formula>
    </cfRule>
  </conditionalFormatting>
  <conditionalFormatting sqref="AH309:AI309">
    <cfRule type="cellIs" dxfId="31" priority="101" operator="lessThan">
      <formula>0</formula>
    </cfRule>
    <cfRule type="cellIs" dxfId="30" priority="102" operator="lessThan">
      <formula>0</formula>
    </cfRule>
  </conditionalFormatting>
  <conditionalFormatting sqref="AE310:AE311 Z310:Z312 V310:W312">
    <cfRule type="cellIs" priority="98" stopIfTrue="1" operator="lessThan">
      <formula>10.237</formula>
    </cfRule>
  </conditionalFormatting>
  <conditionalFormatting sqref="AH312:AI312">
    <cfRule type="cellIs" dxfId="29" priority="94" operator="lessThan">
      <formula>0</formula>
    </cfRule>
    <cfRule type="cellIs" dxfId="28" priority="95" operator="lessThan">
      <formula>0</formula>
    </cfRule>
  </conditionalFormatting>
  <conditionalFormatting sqref="AH310:AI312">
    <cfRule type="cellIs" dxfId="27" priority="93" operator="lessThan">
      <formula>0</formula>
    </cfRule>
  </conditionalFormatting>
  <conditionalFormatting sqref="V314:W314">
    <cfRule type="cellIs" priority="92" stopIfTrue="1" operator="lessThan">
      <formula>10.237</formula>
    </cfRule>
  </conditionalFormatting>
  <conditionalFormatting sqref="AH321">
    <cfRule type="cellIs" priority="59" stopIfTrue="1" operator="lessThan">
      <formula>10.237</formula>
    </cfRule>
  </conditionalFormatting>
  <conditionalFormatting sqref="AI321">
    <cfRule type="cellIs" priority="58" stopIfTrue="1" operator="lessThan">
      <formula>10.237</formula>
    </cfRule>
  </conditionalFormatting>
  <conditionalFormatting sqref="AA314">
    <cfRule type="cellIs" priority="88" stopIfTrue="1" operator="lessThan">
      <formula>10.237</formula>
    </cfRule>
  </conditionalFormatting>
  <conditionalFormatting sqref="X321">
    <cfRule type="cellIs" priority="55" stopIfTrue="1" operator="lessThan">
      <formula>10.237</formula>
    </cfRule>
  </conditionalFormatting>
  <conditionalFormatting sqref="AA321">
    <cfRule type="cellIs" priority="54" stopIfTrue="1" operator="lessThan">
      <formula>10.237</formula>
    </cfRule>
  </conditionalFormatting>
  <conditionalFormatting sqref="V315:W315">
    <cfRule type="cellIs" priority="84" stopIfTrue="1" operator="lessThan">
      <formula>10.237</formula>
    </cfRule>
  </conditionalFormatting>
  <conditionalFormatting sqref="AH315">
    <cfRule type="cellIs" priority="83" stopIfTrue="1" operator="lessThan">
      <formula>10.237</formula>
    </cfRule>
  </conditionalFormatting>
  <conditionalFormatting sqref="AI315">
    <cfRule type="cellIs" priority="82" stopIfTrue="1" operator="lessThan">
      <formula>10.237</formula>
    </cfRule>
  </conditionalFormatting>
  <conditionalFormatting sqref="AH315:AI315">
    <cfRule type="cellIs" dxfId="26" priority="80" operator="lessThan">
      <formula>0</formula>
    </cfRule>
    <cfRule type="cellIs" dxfId="25" priority="81" operator="lessThan">
      <formula>0</formula>
    </cfRule>
  </conditionalFormatting>
  <conditionalFormatting sqref="X315">
    <cfRule type="cellIs" priority="79" stopIfTrue="1" operator="lessThan">
      <formula>10.237</formula>
    </cfRule>
  </conditionalFormatting>
  <conditionalFormatting sqref="AA315">
    <cfRule type="cellIs" priority="78" stopIfTrue="1" operator="lessThan">
      <formula>10.237</formula>
    </cfRule>
  </conditionalFormatting>
  <conditionalFormatting sqref="AH318">
    <cfRule type="cellIs" priority="76" stopIfTrue="1" operator="lessThan">
      <formula>10.237</formula>
    </cfRule>
  </conditionalFormatting>
  <conditionalFormatting sqref="AI318">
    <cfRule type="cellIs" priority="75" stopIfTrue="1" operator="lessThan">
      <formula>10.237</formula>
    </cfRule>
  </conditionalFormatting>
  <conditionalFormatting sqref="AE316:AE317 Z316:Z318 V316:W318">
    <cfRule type="cellIs" priority="77" stopIfTrue="1" operator="lessThan">
      <formula>10.237</formula>
    </cfRule>
  </conditionalFormatting>
  <conditionalFormatting sqref="AH318:AI318">
    <cfRule type="cellIs" dxfId="24" priority="73" operator="lessThan">
      <formula>0</formula>
    </cfRule>
    <cfRule type="cellIs" dxfId="23" priority="74" operator="lessThan">
      <formula>0</formula>
    </cfRule>
  </conditionalFormatting>
  <conditionalFormatting sqref="AH316:AI318">
    <cfRule type="cellIs" dxfId="22" priority="72" operator="lessThan">
      <formula>0</formula>
    </cfRule>
  </conditionalFormatting>
  <conditionalFormatting sqref="V320:W320">
    <cfRule type="cellIs" priority="71" stopIfTrue="1" operator="lessThan">
      <formula>10.237</formula>
    </cfRule>
  </conditionalFormatting>
  <conditionalFormatting sqref="AH308">
    <cfRule type="cellIs" priority="44" stopIfTrue="1" operator="lessThan">
      <formula>10.237</formula>
    </cfRule>
  </conditionalFormatting>
  <conditionalFormatting sqref="AI308">
    <cfRule type="cellIs" priority="43" stopIfTrue="1" operator="lessThan">
      <formula>10.237</formula>
    </cfRule>
  </conditionalFormatting>
  <conditionalFormatting sqref="AA320">
    <cfRule type="cellIs" priority="67" stopIfTrue="1" operator="lessThan">
      <formula>10.237</formula>
    </cfRule>
  </conditionalFormatting>
  <conditionalFormatting sqref="AI314">
    <cfRule type="cellIs" priority="40" stopIfTrue="1" operator="lessThan">
      <formula>10.237</formula>
    </cfRule>
  </conditionalFormatting>
  <conditionalFormatting sqref="X308">
    <cfRule type="cellIs" priority="63" stopIfTrue="1" operator="lessThan">
      <formula>10.237</formula>
    </cfRule>
  </conditionalFormatting>
  <conditionalFormatting sqref="X314">
    <cfRule type="cellIs" priority="62" stopIfTrue="1" operator="lessThan">
      <formula>10.237</formula>
    </cfRule>
  </conditionalFormatting>
  <conditionalFormatting sqref="X320">
    <cfRule type="cellIs" priority="61" stopIfTrue="1" operator="lessThan">
      <formula>10.237</formula>
    </cfRule>
  </conditionalFormatting>
  <conditionalFormatting sqref="V321:W321">
    <cfRule type="cellIs" priority="60" stopIfTrue="1" operator="lessThan">
      <formula>10.237</formula>
    </cfRule>
  </conditionalFormatting>
  <conditionalFormatting sqref="AH321:AI321">
    <cfRule type="cellIs" dxfId="21" priority="56" operator="lessThan">
      <formula>0</formula>
    </cfRule>
    <cfRule type="cellIs" dxfId="20" priority="57" operator="lessThan">
      <formula>0</formula>
    </cfRule>
  </conditionalFormatting>
  <conditionalFormatting sqref="AH324">
    <cfRule type="cellIs" priority="52" stopIfTrue="1" operator="lessThan">
      <formula>10.237</formula>
    </cfRule>
  </conditionalFormatting>
  <conditionalFormatting sqref="AI324">
    <cfRule type="cellIs" priority="51" stopIfTrue="1" operator="lessThan">
      <formula>10.237</formula>
    </cfRule>
  </conditionalFormatting>
  <conditionalFormatting sqref="AE322:AE323 Z322:Z324 V322:W324">
    <cfRule type="cellIs" priority="53" stopIfTrue="1" operator="lessThan">
      <formula>10.237</formula>
    </cfRule>
  </conditionalFormatting>
  <conditionalFormatting sqref="AH324:AI324">
    <cfRule type="cellIs" dxfId="19" priority="49" operator="lessThan">
      <formula>0</formula>
    </cfRule>
    <cfRule type="cellIs" dxfId="18" priority="50" operator="lessThan">
      <formula>0</formula>
    </cfRule>
  </conditionalFormatting>
  <conditionalFormatting sqref="AH322:AI324">
    <cfRule type="cellIs" dxfId="17" priority="48" operator="lessThan">
      <formula>0</formula>
    </cfRule>
  </conditionalFormatting>
  <conditionalFormatting sqref="AH308">
    <cfRule type="cellIs" priority="47" stopIfTrue="1" operator="lessThan">
      <formula>10.237</formula>
    </cfRule>
  </conditionalFormatting>
  <conditionalFormatting sqref="AI308">
    <cfRule type="cellIs" priority="46" stopIfTrue="1" operator="lessThan">
      <formula>10.237</formula>
    </cfRule>
  </conditionalFormatting>
  <conditionalFormatting sqref="AH308:AI308">
    <cfRule type="cellIs" dxfId="16" priority="42" operator="lessThan">
      <formula>0</formula>
    </cfRule>
    <cfRule type="cellIs" dxfId="15" priority="45" operator="lessThan">
      <formula>0</formula>
    </cfRule>
  </conditionalFormatting>
  <conditionalFormatting sqref="AH314">
    <cfRule type="cellIs" priority="41" stopIfTrue="1" operator="lessThan">
      <formula>10.237</formula>
    </cfRule>
  </conditionalFormatting>
  <conditionalFormatting sqref="AH314:AI314">
    <cfRule type="cellIs" dxfId="14" priority="36" operator="lessThan">
      <formula>0</formula>
    </cfRule>
    <cfRule type="cellIs" dxfId="13" priority="39" operator="lessThan">
      <formula>0</formula>
    </cfRule>
  </conditionalFormatting>
  <conditionalFormatting sqref="AH314">
    <cfRule type="cellIs" priority="38" stopIfTrue="1" operator="lessThan">
      <formula>10.237</formula>
    </cfRule>
  </conditionalFormatting>
  <conditionalFormatting sqref="AI314">
    <cfRule type="cellIs" priority="37" stopIfTrue="1" operator="lessThan">
      <formula>10.237</formula>
    </cfRule>
  </conditionalFormatting>
  <conditionalFormatting sqref="AH320">
    <cfRule type="cellIs" priority="35" stopIfTrue="1" operator="lessThan">
      <formula>10.237</formula>
    </cfRule>
  </conditionalFormatting>
  <conditionalFormatting sqref="AI320">
    <cfRule type="cellIs" priority="34" stopIfTrue="1" operator="lessThan">
      <formula>10.237</formula>
    </cfRule>
  </conditionalFormatting>
  <conditionalFormatting sqref="AH320:AI320">
    <cfRule type="cellIs" dxfId="12" priority="30" operator="lessThan">
      <formula>0</formula>
    </cfRule>
    <cfRule type="cellIs" dxfId="11" priority="33" operator="lessThan">
      <formula>0</formula>
    </cfRule>
  </conditionalFormatting>
  <conditionalFormatting sqref="AH320">
    <cfRule type="cellIs" priority="32" stopIfTrue="1" operator="lessThan">
      <formula>10.237</formula>
    </cfRule>
  </conditionalFormatting>
  <conditionalFormatting sqref="AI320">
    <cfRule type="cellIs" priority="31" stopIfTrue="1" operator="lessThan">
      <formula>10.237</formula>
    </cfRule>
  </conditionalFormatting>
  <conditionalFormatting sqref="V326:W326">
    <cfRule type="cellIs" priority="29" stopIfTrue="1" operator="lessThan">
      <formula>10.237</formula>
    </cfRule>
  </conditionalFormatting>
  <conditionalFormatting sqref="AH326">
    <cfRule type="cellIs" priority="28" stopIfTrue="1" operator="lessThan">
      <formula>10.237</formula>
    </cfRule>
  </conditionalFormatting>
  <conditionalFormatting sqref="AI326">
    <cfRule type="cellIs" priority="27" stopIfTrue="1" operator="lessThan">
      <formula>10.237</formula>
    </cfRule>
  </conditionalFormatting>
  <conditionalFormatting sqref="AH326:AI326">
    <cfRule type="cellIs" dxfId="10" priority="25" operator="lessThan">
      <formula>0</formula>
    </cfRule>
    <cfRule type="cellIs" dxfId="9" priority="26" operator="lessThan">
      <formula>0</formula>
    </cfRule>
  </conditionalFormatting>
  <conditionalFormatting sqref="X326">
    <cfRule type="cellIs" priority="24" stopIfTrue="1" operator="lessThan">
      <formula>10.237</formula>
    </cfRule>
  </conditionalFormatting>
  <conditionalFormatting sqref="AA326">
    <cfRule type="cellIs" priority="23" stopIfTrue="1" operator="lessThan">
      <formula>10.237</formula>
    </cfRule>
  </conditionalFormatting>
  <conditionalFormatting sqref="V327:W327">
    <cfRule type="cellIs" priority="22" stopIfTrue="1" operator="lessThan">
      <formula>10.237</formula>
    </cfRule>
  </conditionalFormatting>
  <conditionalFormatting sqref="AH327">
    <cfRule type="cellIs" priority="21" stopIfTrue="1" operator="lessThan">
      <formula>10.237</formula>
    </cfRule>
  </conditionalFormatting>
  <conditionalFormatting sqref="AI327">
    <cfRule type="cellIs" priority="20" stopIfTrue="1" operator="lessThan">
      <formula>10.237</formula>
    </cfRule>
  </conditionalFormatting>
  <conditionalFormatting sqref="AH327:AI327">
    <cfRule type="cellIs" dxfId="8" priority="18" operator="lessThan">
      <formula>0</formula>
    </cfRule>
    <cfRule type="cellIs" dxfId="7" priority="19" operator="lessThan">
      <formula>0</formula>
    </cfRule>
  </conditionalFormatting>
  <conditionalFormatting sqref="X327">
    <cfRule type="cellIs" priority="17" stopIfTrue="1" operator="lessThan">
      <formula>10.237</formula>
    </cfRule>
  </conditionalFormatting>
  <conditionalFormatting sqref="AA327">
    <cfRule type="cellIs" priority="16" stopIfTrue="1" operator="lessThan">
      <formula>10.237</formula>
    </cfRule>
  </conditionalFormatting>
  <conditionalFormatting sqref="AH330">
    <cfRule type="cellIs" priority="14" stopIfTrue="1" operator="lessThan">
      <formula>10.237</formula>
    </cfRule>
  </conditionalFormatting>
  <conditionalFormatting sqref="AI330">
    <cfRule type="cellIs" priority="13" stopIfTrue="1" operator="lessThan">
      <formula>10.237</formula>
    </cfRule>
  </conditionalFormatting>
  <conditionalFormatting sqref="AE328:AE329 Z328:Z330 V328:W330">
    <cfRule type="cellIs" priority="15" stopIfTrue="1" operator="lessThan">
      <formula>10.237</formula>
    </cfRule>
  </conditionalFormatting>
  <conditionalFormatting sqref="AH330:AI330">
    <cfRule type="cellIs" dxfId="6" priority="11" operator="lessThan">
      <formula>0</formula>
    </cfRule>
    <cfRule type="cellIs" dxfId="5" priority="12" operator="lessThan">
      <formula>0</formula>
    </cfRule>
  </conditionalFormatting>
  <conditionalFormatting sqref="AH328:AI330">
    <cfRule type="cellIs" dxfId="4" priority="10" operator="lessThan">
      <formula>0</formula>
    </cfRule>
  </conditionalFormatting>
  <conditionalFormatting sqref="AH204">
    <cfRule type="cellIs" priority="9" stopIfTrue="1" operator="lessThan">
      <formula>10.237</formula>
    </cfRule>
  </conditionalFormatting>
  <conditionalFormatting sqref="AH204">
    <cfRule type="cellIs" dxfId="3" priority="7" operator="lessThan">
      <formula>0</formula>
    </cfRule>
    <cfRule type="cellIs" dxfId="2" priority="8" operator="lessThan">
      <formula>0</formula>
    </cfRule>
  </conditionalFormatting>
  <conditionalFormatting sqref="AI204">
    <cfRule type="cellIs" priority="6" stopIfTrue="1" operator="lessThan">
      <formula>10.237</formula>
    </cfRule>
  </conditionalFormatting>
  <conditionalFormatting sqref="AI204">
    <cfRule type="cellIs" dxfId="1" priority="4" operator="lessThan">
      <formula>0</formula>
    </cfRule>
    <cfRule type="cellIs" dxfId="0" priority="5" operator="lessThan">
      <formula>0</formula>
    </cfRule>
  </conditionalFormatting>
  <conditionalFormatting sqref="X96">
    <cfRule type="cellIs" priority="3" stopIfTrue="1" operator="lessThan">
      <formula>10.237</formula>
    </cfRule>
  </conditionalFormatting>
  <conditionalFormatting sqref="X108">
    <cfRule type="cellIs" priority="2" stopIfTrue="1" operator="lessThan">
      <formula>10.237</formula>
    </cfRule>
  </conditionalFormatting>
  <conditionalFormatting sqref="X162">
    <cfRule type="cellIs" priority="1" stopIfTrue="1" operator="lessThan">
      <formula>10.237</formula>
    </cfRule>
  </conditionalFormatting>
  <hyperlinks>
    <hyperlink ref="H405" r:id="rId1" display="http://mlb.mlb.com/team/player.jsp?player_id=453562"/>
    <hyperlink ref="H417" r:id="rId2" display="http://mlb.mlb.com/team/player.jsp?player_id=430574"/>
    <hyperlink ref="H429" r:id="rId3" display="http://mlb.mlb.com/team/player.jsp?player_id=452666"/>
    <hyperlink ref="H441" r:id="rId4" display="http://mlb.mlb.com/team/player.jsp?player_id=502264"/>
    <hyperlink ref="H447" r:id="rId5" display="http://mlb.mlb.com/team/player.jsp?player_id=448165"/>
    <hyperlink ref="H477" r:id="rId6" display="http://mlb.mlb.com/team/player.jsp?player_id=456068"/>
    <hyperlink ref="H495" r:id="rId7" display="http://mlb.mlb.com/team/player.jsp?player_id=150188"/>
    <hyperlink ref="H507" r:id="rId8" display="http://mlb.mlb.com/team/player.jsp?player_id=429717"/>
    <hyperlink ref="H513" r:id="rId9" display="http://mlb.mlb.com/team/player.jsp?player_id=488674"/>
    <hyperlink ref="H606" r:id="rId10" display="http://mlb.mlb.com/team/player.jsp?player_id=501697"/>
    <hyperlink ref="H649" r:id="rId11" display="http://mlb.mlb.com/team/player.jsp?player_id=467008"/>
    <hyperlink ref="H661" r:id="rId12" display="http://mlb.mlb.com/team/player.jsp?player_id=502327"/>
    <hyperlink ref="H667" r:id="rId13" display="http://mlb.mlb.com/team/player.jsp?player_id=456043"/>
    <hyperlink ref="H691" r:id="rId14" display="http://mlb.mlb.com/team/player.jsp?player_id=519293"/>
    <hyperlink ref="H526" r:id="rId15" display="http://mlb.mlb.com/team/player.jsp?player_id=460283"/>
    <hyperlink ref="H465" r:id="rId16" display="http://mlb.mlb.com/team/player.jsp?player_id=491703"/>
    <hyperlink ref="H459" r:id="rId17" display="http://mlb.mlb.com/team/player.jsp?player_id=150188"/>
    <hyperlink ref="H594" r:id="rId18" display="http://mlb.mlb.com/team/player.jsp?player_id=467726"/>
    <hyperlink ref="H588" r:id="rId19" display="http://mlb.mlb.com/team/player.jsp?player_id=501697"/>
    <hyperlink ref="H600" r:id="rId20" display="http://mlb.mlb.com/team/player.jsp?player_id=467726"/>
    <hyperlink ref="H612" r:id="rId21" display="http://mlb.mlb.com/team/player.jsp?player_id=501697"/>
    <hyperlink ref="H532" r:id="rId22" display="http://mlb.mlb.com/team/player.jsp?player_id=460283"/>
  </hyperlinks>
  <pageMargins left="0.75" right="0.75" top="1" bottom="1" header="0.5" footer="0.5"/>
  <pageSetup orientation="portrait" horizontalDpi="300" verticalDpi="300" r:id="rId23"/>
  <headerFooter alignWithMargins="0"/>
  <drawing r:id="rId2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F26"/>
  <sheetViews>
    <sheetView showGridLines="0" workbookViewId="0">
      <selection activeCell="D6" sqref="D6"/>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78" t="s">
        <v>247</v>
      </c>
      <c r="C1" s="78"/>
      <c r="D1" s="85"/>
      <c r="E1" s="85"/>
      <c r="F1" s="85"/>
    </row>
    <row r="2" spans="2:6" x14ac:dyDescent="0.2">
      <c r="B2" s="78" t="s">
        <v>248</v>
      </c>
      <c r="C2" s="78"/>
      <c r="D2" s="85"/>
      <c r="E2" s="85"/>
      <c r="F2" s="85"/>
    </row>
    <row r="3" spans="2:6" x14ac:dyDescent="0.2">
      <c r="B3" s="79"/>
      <c r="C3" s="79"/>
      <c r="D3" s="86"/>
      <c r="E3" s="86"/>
      <c r="F3" s="86"/>
    </row>
    <row r="4" spans="2:6" ht="51" x14ac:dyDescent="0.2">
      <c r="B4" s="79" t="s">
        <v>249</v>
      </c>
      <c r="C4" s="79"/>
      <c r="D4" s="86"/>
      <c r="E4" s="86"/>
      <c r="F4" s="86"/>
    </row>
    <row r="5" spans="2:6" x14ac:dyDescent="0.2">
      <c r="B5" s="79"/>
      <c r="C5" s="79"/>
      <c r="D5" s="86"/>
      <c r="E5" s="86"/>
      <c r="F5" s="86"/>
    </row>
    <row r="6" spans="2:6" x14ac:dyDescent="0.2">
      <c r="B6" s="78" t="s">
        <v>250</v>
      </c>
      <c r="C6" s="78"/>
      <c r="D6" s="85"/>
      <c r="E6" s="85" t="s">
        <v>251</v>
      </c>
      <c r="F6" s="85" t="s">
        <v>252</v>
      </c>
    </row>
    <row r="7" spans="2:6" ht="13.5" thickBot="1" x14ac:dyDescent="0.25">
      <c r="B7" s="79"/>
      <c r="C7" s="79"/>
      <c r="D7" s="86"/>
      <c r="E7" s="86"/>
      <c r="F7" s="86"/>
    </row>
    <row r="8" spans="2:6" ht="51" x14ac:dyDescent="0.2">
      <c r="B8" s="80" t="s">
        <v>253</v>
      </c>
      <c r="C8" s="81"/>
      <c r="D8" s="87"/>
      <c r="E8" s="87">
        <v>77</v>
      </c>
      <c r="F8" s="88"/>
    </row>
    <row r="9" spans="2:6" ht="25.5" x14ac:dyDescent="0.2">
      <c r="B9" s="82"/>
      <c r="C9" s="79"/>
      <c r="D9" s="86"/>
      <c r="E9" s="89" t="s">
        <v>254</v>
      </c>
      <c r="F9" s="90" t="s">
        <v>270</v>
      </c>
    </row>
    <row r="10" spans="2:6" x14ac:dyDescent="0.2">
      <c r="B10" s="82"/>
      <c r="C10" s="79"/>
      <c r="D10" s="86"/>
      <c r="E10" s="89" t="s">
        <v>255</v>
      </c>
      <c r="F10" s="90"/>
    </row>
    <row r="11" spans="2:6" ht="25.5" x14ac:dyDescent="0.2">
      <c r="B11" s="82"/>
      <c r="C11" s="79"/>
      <c r="D11" s="86"/>
      <c r="E11" s="89" t="s">
        <v>256</v>
      </c>
      <c r="F11" s="90"/>
    </row>
    <row r="12" spans="2:6" ht="25.5" x14ac:dyDescent="0.2">
      <c r="B12" s="82"/>
      <c r="C12" s="79"/>
      <c r="D12" s="86"/>
      <c r="E12" s="89" t="s">
        <v>257</v>
      </c>
      <c r="F12" s="90"/>
    </row>
    <row r="13" spans="2:6" ht="25.5" x14ac:dyDescent="0.2">
      <c r="B13" s="82"/>
      <c r="C13" s="79"/>
      <c r="D13" s="86"/>
      <c r="E13" s="89" t="s">
        <v>258</v>
      </c>
      <c r="F13" s="90"/>
    </row>
    <row r="14" spans="2:6" x14ac:dyDescent="0.2">
      <c r="B14" s="82"/>
      <c r="C14" s="79"/>
      <c r="D14" s="86"/>
      <c r="E14" s="89" t="s">
        <v>259</v>
      </c>
      <c r="F14" s="90"/>
    </row>
    <row r="15" spans="2:6" ht="25.5" x14ac:dyDescent="0.2">
      <c r="B15" s="82"/>
      <c r="C15" s="79"/>
      <c r="D15" s="86"/>
      <c r="E15" s="89" t="s">
        <v>260</v>
      </c>
      <c r="F15" s="90"/>
    </row>
    <row r="16" spans="2:6" ht="25.5" x14ac:dyDescent="0.2">
      <c r="B16" s="82"/>
      <c r="C16" s="79"/>
      <c r="D16" s="86"/>
      <c r="E16" s="89" t="s">
        <v>261</v>
      </c>
      <c r="F16" s="90"/>
    </row>
    <row r="17" spans="2:6" x14ac:dyDescent="0.2">
      <c r="B17" s="82"/>
      <c r="C17" s="79"/>
      <c r="D17" s="86"/>
      <c r="E17" s="89" t="s">
        <v>262</v>
      </c>
      <c r="F17" s="90"/>
    </row>
    <row r="18" spans="2:6" x14ac:dyDescent="0.2">
      <c r="B18" s="82"/>
      <c r="C18" s="79"/>
      <c r="D18" s="86"/>
      <c r="E18" s="89" t="s">
        <v>263</v>
      </c>
      <c r="F18" s="90"/>
    </row>
    <row r="19" spans="2:6" x14ac:dyDescent="0.2">
      <c r="B19" s="82"/>
      <c r="C19" s="79"/>
      <c r="D19" s="86"/>
      <c r="E19" s="89" t="s">
        <v>264</v>
      </c>
      <c r="F19" s="90"/>
    </row>
    <row r="20" spans="2:6" ht="25.5" x14ac:dyDescent="0.2">
      <c r="B20" s="82"/>
      <c r="C20" s="79"/>
      <c r="D20" s="86"/>
      <c r="E20" s="89" t="s">
        <v>265</v>
      </c>
      <c r="F20" s="90"/>
    </row>
    <row r="21" spans="2:6" x14ac:dyDescent="0.2">
      <c r="B21" s="82"/>
      <c r="C21" s="79"/>
      <c r="D21" s="86"/>
      <c r="E21" s="89" t="s">
        <v>266</v>
      </c>
      <c r="F21" s="90"/>
    </row>
    <row r="22" spans="2:6" x14ac:dyDescent="0.2">
      <c r="B22" s="82"/>
      <c r="C22" s="79"/>
      <c r="D22" s="86"/>
      <c r="E22" s="89" t="s">
        <v>267</v>
      </c>
      <c r="F22" s="90"/>
    </row>
    <row r="23" spans="2:6" x14ac:dyDescent="0.2">
      <c r="B23" s="82"/>
      <c r="C23" s="79"/>
      <c r="D23" s="86"/>
      <c r="E23" s="89" t="s">
        <v>268</v>
      </c>
      <c r="F23" s="90"/>
    </row>
    <row r="24" spans="2:6" ht="26.25" thickBot="1" x14ac:dyDescent="0.25">
      <c r="B24" s="83"/>
      <c r="C24" s="84"/>
      <c r="D24" s="91"/>
      <c r="E24" s="92" t="s">
        <v>269</v>
      </c>
      <c r="F24" s="93"/>
    </row>
    <row r="25" spans="2:6" x14ac:dyDescent="0.2">
      <c r="B25" s="79"/>
      <c r="C25" s="79"/>
      <c r="D25" s="86"/>
      <c r="E25" s="86"/>
      <c r="F25" s="86"/>
    </row>
    <row r="26" spans="2:6" x14ac:dyDescent="0.2">
      <c r="B26" s="79"/>
      <c r="C26" s="79"/>
      <c r="D26" s="86"/>
      <c r="E26" s="86"/>
      <c r="F26" s="86"/>
    </row>
  </sheetData>
  <hyperlinks>
    <hyperlink ref="E9" location="'AL2011'!W26:W32" display="'AL2011'!W26:W32"/>
    <hyperlink ref="E10" location="'AL2011'!Z26:Z32" display="'AL2011'!Z26:Z32"/>
    <hyperlink ref="E11" location="'AL2011'!AB26:AB32" display="'AL2011'!AB26:AB32"/>
    <hyperlink ref="E12" location="'AL2011'!AJ26:AM32" display="'AL2011'!AJ26:AM32"/>
    <hyperlink ref="E13" location="'AL2011'!W34:W35" display="'AL2011'!W34:W35"/>
    <hyperlink ref="E14" location="'AL2011'!Z34:Z35" display="'AL2011'!Z34:Z35"/>
    <hyperlink ref="E15" location="'AL2011'!AB34:AB35" display="'AL2011'!AB34:AB35"/>
    <hyperlink ref="E16" location="'AL2011'!AJ34:AM35" display="'AL2011'!AJ34:AM35"/>
    <hyperlink ref="E17" location="'AL2011'!W312" display="'AL2011'!W312"/>
    <hyperlink ref="E18" location="'AL2011'!Z312" display="'AL2011'!Z312"/>
    <hyperlink ref="E19" location="'AL2011'!AB312" display="'AL2011'!AB312"/>
    <hyperlink ref="E20" location="'AL2011'!AJ312:AM312" display="'AL2011'!AJ312:AM312"/>
    <hyperlink ref="E21" location="'AL2011'!W318" display="'AL2011'!W318"/>
    <hyperlink ref="E22" location="'AL2011'!Z318" display="'AL2011'!Z318"/>
    <hyperlink ref="E23" location="'AL2011'!AB318" display="'AL2011'!AB318"/>
    <hyperlink ref="E24" location="'AL2011'!AJ318:AM318" display="'AL2011'!AJ318:AM31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Z460"/>
  <sheetViews>
    <sheetView zoomScale="60" zoomScaleNormal="60" workbookViewId="0">
      <selection activeCell="B16" sqref="B16:X16"/>
    </sheetView>
  </sheetViews>
  <sheetFormatPr defaultRowHeight="12.75" x14ac:dyDescent="0.2"/>
  <cols>
    <col min="1" max="1" width="5.140625" bestFit="1" customWidth="1"/>
    <col min="2" max="2" width="16.28515625" style="3" bestFit="1" customWidth="1"/>
    <col min="3" max="3" width="7" bestFit="1" customWidth="1"/>
    <col min="4" max="4" width="5.5703125" style="3" bestFit="1" customWidth="1"/>
    <col min="5" max="5" width="5.85546875" style="62" bestFit="1" customWidth="1"/>
    <col min="6" max="6" width="7" style="62" bestFit="1" customWidth="1"/>
    <col min="7" max="7" width="7.140625" bestFit="1" customWidth="1"/>
    <col min="8" max="8" width="6.28515625" style="62" bestFit="1" customWidth="1"/>
    <col min="9" max="9" width="7.28515625" style="3" bestFit="1" customWidth="1"/>
    <col min="10" max="10" width="8" style="2" bestFit="1" customWidth="1"/>
    <col min="11" max="11" width="7" bestFit="1" customWidth="1"/>
    <col min="12" max="12" width="7.28515625" style="62" bestFit="1" customWidth="1"/>
    <col min="13" max="13" width="7.28515625" style="3" bestFit="1" customWidth="1"/>
    <col min="14" max="14" width="9.28515625" style="3" bestFit="1" customWidth="1"/>
    <col min="15" max="15" width="5.7109375" style="3" bestFit="1" customWidth="1"/>
    <col min="16" max="16" width="5.85546875" bestFit="1" customWidth="1"/>
    <col min="17" max="17" width="5.7109375" bestFit="1" customWidth="1"/>
    <col min="18" max="18" width="5.85546875" bestFit="1" customWidth="1"/>
    <col min="19" max="19" width="7.7109375" bestFit="1" customWidth="1"/>
    <col min="20" max="20" width="7.28515625" bestFit="1" customWidth="1"/>
    <col min="21" max="21" width="7.140625" style="2" bestFit="1" customWidth="1"/>
    <col min="22" max="22" width="7.28515625" style="3" bestFit="1" customWidth="1"/>
    <col min="23" max="23" width="6" bestFit="1" customWidth="1"/>
    <col min="24" max="24" width="7.140625" style="2" bestFit="1" customWidth="1"/>
    <col min="25" max="25" width="7.140625" style="2" customWidth="1"/>
    <col min="26" max="26" width="7.140625" style="2" bestFit="1" customWidth="1"/>
    <col min="27" max="27" width="16.28515625" style="2" bestFit="1" customWidth="1"/>
    <col min="28" max="28" width="6.7109375" bestFit="1" customWidth="1"/>
    <col min="29" max="29" width="6.28515625" style="3" bestFit="1" customWidth="1"/>
    <col min="30" max="30" width="7.7109375" bestFit="1" customWidth="1"/>
    <col min="31" max="31" width="6" bestFit="1" customWidth="1"/>
    <col min="32" max="32" width="10" bestFit="1" customWidth="1"/>
    <col min="33" max="33" width="6.5703125" bestFit="1" customWidth="1"/>
    <col min="34" max="34" width="5.7109375" bestFit="1" customWidth="1"/>
    <col min="35" max="35" width="5.85546875" bestFit="1" customWidth="1"/>
    <col min="36" max="36" width="5.7109375" bestFit="1" customWidth="1"/>
    <col min="37" max="37" width="6.7109375" bestFit="1" customWidth="1"/>
    <col min="38" max="38" width="8.85546875" style="2" bestFit="1" customWidth="1"/>
    <col min="39" max="39" width="10" style="2" bestFit="1" customWidth="1"/>
    <col min="40" max="40" width="7.140625" style="2" bestFit="1" customWidth="1"/>
    <col min="41" max="41" width="5.5703125" style="3" bestFit="1" customWidth="1"/>
    <col min="42" max="42" width="6.7109375" style="3" bestFit="1" customWidth="1"/>
    <col min="43" max="43" width="7" style="3" bestFit="1" customWidth="1"/>
    <col min="44" max="44" width="8" style="3" bestFit="1" customWidth="1"/>
    <col min="45" max="45" width="6" style="3" bestFit="1" customWidth="1"/>
    <col min="46" max="52" width="6" bestFit="1" customWidth="1"/>
  </cols>
  <sheetData>
    <row r="1" spans="1:52" x14ac:dyDescent="0.2">
      <c r="A1" s="76"/>
      <c r="B1" s="95"/>
      <c r="C1" s="76"/>
      <c r="D1" s="76"/>
      <c r="E1" s="76"/>
      <c r="F1" s="97"/>
      <c r="G1" s="76"/>
      <c r="H1" s="97"/>
      <c r="I1" s="76"/>
      <c r="J1" s="76"/>
      <c r="K1" s="76"/>
      <c r="L1" s="76"/>
      <c r="M1" s="258">
        <f>INDEX('C-P-RollAdj'!$P$4:$P$900,MATCH((V1),'C-P-RollAdj'!$O$4:$O$900,FALSE),0)</f>
        <v>0</v>
      </c>
      <c r="N1" s="97"/>
      <c r="O1" s="97"/>
      <c r="P1" s="76"/>
      <c r="Q1" s="76"/>
      <c r="R1" s="76"/>
      <c r="S1" s="76"/>
      <c r="T1" s="76"/>
      <c r="U1" s="100"/>
      <c r="V1" s="97"/>
      <c r="W1" s="100"/>
      <c r="X1" s="97"/>
      <c r="Y1" s="97"/>
      <c r="Z1" s="100"/>
      <c r="AA1" s="97"/>
      <c r="AB1" s="76"/>
      <c r="AC1" s="76"/>
      <c r="AD1" s="76"/>
      <c r="AE1" s="76"/>
      <c r="AF1" s="76"/>
      <c r="AG1" s="76"/>
      <c r="AH1" s="76"/>
      <c r="AI1" s="76"/>
      <c r="AJ1" s="76"/>
      <c r="AK1" s="76"/>
      <c r="AL1" s="76"/>
      <c r="AM1" s="76"/>
      <c r="AN1" s="76"/>
      <c r="AO1" s="100"/>
      <c r="AP1" s="100"/>
      <c r="AQ1" s="100"/>
      <c r="AR1" s="97"/>
      <c r="AS1" s="97"/>
      <c r="AT1" s="97"/>
      <c r="AU1" s="97"/>
      <c r="AV1" s="3"/>
    </row>
    <row r="2" spans="1:52" x14ac:dyDescent="0.2">
      <c r="A2" s="225" t="s">
        <v>105</v>
      </c>
      <c r="B2" s="225" t="s">
        <v>106</v>
      </c>
      <c r="C2" s="225" t="s">
        <v>157</v>
      </c>
      <c r="D2" s="225" t="s">
        <v>85</v>
      </c>
      <c r="E2" s="225" t="s">
        <v>86</v>
      </c>
      <c r="F2" s="225" t="s">
        <v>107</v>
      </c>
      <c r="G2" s="225" t="s">
        <v>108</v>
      </c>
      <c r="H2" s="225" t="s">
        <v>88</v>
      </c>
      <c r="I2" s="225" t="s">
        <v>89</v>
      </c>
      <c r="J2" s="225" t="s">
        <v>1073</v>
      </c>
      <c r="K2" s="225" t="s">
        <v>90</v>
      </c>
      <c r="L2" s="225" t="s">
        <v>158</v>
      </c>
      <c r="M2" s="225" t="s">
        <v>91</v>
      </c>
      <c r="N2" s="225" t="s">
        <v>92</v>
      </c>
      <c r="O2" s="225" t="s">
        <v>93</v>
      </c>
      <c r="P2" s="225" t="s">
        <v>94</v>
      </c>
      <c r="Q2" s="225" t="s">
        <v>95</v>
      </c>
      <c r="R2" s="225" t="s">
        <v>96</v>
      </c>
      <c r="S2" s="225" t="s">
        <v>98</v>
      </c>
      <c r="T2" s="225" t="s">
        <v>97</v>
      </c>
      <c r="U2" s="225" t="s">
        <v>109</v>
      </c>
      <c r="V2" s="225" t="s">
        <v>91</v>
      </c>
      <c r="W2" s="225" t="s">
        <v>1071</v>
      </c>
      <c r="X2" s="225" t="s">
        <v>1072</v>
      </c>
      <c r="Y2" s="225"/>
      <c r="Z2" s="225" t="s">
        <v>105</v>
      </c>
      <c r="AA2" s="225" t="s">
        <v>106</v>
      </c>
      <c r="AB2" s="225" t="s">
        <v>157</v>
      </c>
      <c r="AC2" s="225" t="s">
        <v>1074</v>
      </c>
      <c r="AD2" s="225" t="s">
        <v>98</v>
      </c>
      <c r="AE2" s="225" t="s">
        <v>1075</v>
      </c>
      <c r="AF2" s="225" t="s">
        <v>1076</v>
      </c>
      <c r="AG2" s="225" t="s">
        <v>1077</v>
      </c>
      <c r="AH2" s="225" t="s">
        <v>1066</v>
      </c>
      <c r="AI2" s="225" t="s">
        <v>1067</v>
      </c>
      <c r="AJ2" s="225" t="s">
        <v>1078</v>
      </c>
      <c r="AK2" s="225" t="s">
        <v>1079</v>
      </c>
      <c r="AL2" s="225" t="s">
        <v>1057</v>
      </c>
      <c r="AM2" s="225" t="s">
        <v>1058</v>
      </c>
      <c r="AN2" s="225" t="s">
        <v>1080</v>
      </c>
      <c r="AO2" s="225" t="s">
        <v>1069</v>
      </c>
      <c r="AP2" s="102" t="s">
        <v>157</v>
      </c>
      <c r="AQ2" s="102" t="s">
        <v>1081</v>
      </c>
      <c r="AR2" s="102" t="s">
        <v>1068</v>
      </c>
      <c r="AS2" s="102" t="s">
        <v>1059</v>
      </c>
      <c r="AT2" s="102" t="s">
        <v>1060</v>
      </c>
      <c r="AU2" s="102" t="s">
        <v>1061</v>
      </c>
      <c r="AV2" s="102" t="s">
        <v>1092</v>
      </c>
      <c r="AW2" s="102" t="s">
        <v>1093</v>
      </c>
      <c r="AX2" s="102" t="s">
        <v>1094</v>
      </c>
      <c r="AY2" s="102" t="s">
        <v>1095</v>
      </c>
      <c r="AZ2" s="102" t="s">
        <v>1096</v>
      </c>
    </row>
    <row r="3" spans="1:52" x14ac:dyDescent="0.2">
      <c r="A3" s="76">
        <v>1</v>
      </c>
      <c r="B3" t="s">
        <v>1297</v>
      </c>
      <c r="C3" s="76" t="s">
        <v>145</v>
      </c>
      <c r="D3" s="76">
        <v>0</v>
      </c>
      <c r="E3" s="76">
        <v>0</v>
      </c>
      <c r="F3" s="76">
        <v>0</v>
      </c>
      <c r="G3" s="76">
        <v>3</v>
      </c>
      <c r="H3" s="76">
        <v>0</v>
      </c>
      <c r="I3" s="76">
        <v>0</v>
      </c>
      <c r="J3" s="76">
        <v>0</v>
      </c>
      <c r="K3" s="76">
        <v>0</v>
      </c>
      <c r="L3" s="76">
        <v>0</v>
      </c>
      <c r="M3" s="258">
        <f>INDEX('C-P-RollAdj'!$P$4:$P$900,MATCH((V3),'C-P-RollAdj'!$O$4:$O$900,FALSE),0)</f>
        <v>2.33</v>
      </c>
      <c r="N3" s="76">
        <v>1</v>
      </c>
      <c r="O3" s="76">
        <v>0</v>
      </c>
      <c r="P3" s="76">
        <v>0</v>
      </c>
      <c r="Q3" s="76">
        <v>0</v>
      </c>
      <c r="R3" s="76">
        <v>0</v>
      </c>
      <c r="S3" s="76">
        <v>0</v>
      </c>
      <c r="T3" s="76">
        <v>3</v>
      </c>
      <c r="U3" s="76">
        <v>8</v>
      </c>
      <c r="V3" s="76">
        <v>2.1</v>
      </c>
      <c r="W3" s="76">
        <v>0.125</v>
      </c>
      <c r="X3" s="76">
        <v>0.43</v>
      </c>
      <c r="Y3" s="76"/>
      <c r="Z3" s="76">
        <v>1</v>
      </c>
      <c r="AA3" t="s">
        <v>1297</v>
      </c>
      <c r="AB3" s="76" t="s">
        <v>145</v>
      </c>
      <c r="AC3" s="76">
        <v>0</v>
      </c>
      <c r="AD3" s="76">
        <v>0</v>
      </c>
      <c r="AE3" s="76">
        <v>2</v>
      </c>
      <c r="AF3" s="76">
        <v>0</v>
      </c>
      <c r="AG3" s="76">
        <v>0</v>
      </c>
      <c r="AH3" s="76">
        <v>0</v>
      </c>
      <c r="AI3" s="76">
        <v>4</v>
      </c>
      <c r="AJ3" s="76">
        <v>0</v>
      </c>
      <c r="AK3" s="76">
        <v>0</v>
      </c>
      <c r="AL3" s="76">
        <v>0</v>
      </c>
      <c r="AM3" s="76">
        <v>0</v>
      </c>
      <c r="AN3" s="76">
        <v>0</v>
      </c>
      <c r="AO3" s="76">
        <v>32</v>
      </c>
      <c r="AP3" s="202" t="s">
        <v>145</v>
      </c>
      <c r="AQ3" s="202">
        <v>0.625</v>
      </c>
      <c r="AR3" s="202">
        <v>1</v>
      </c>
      <c r="AS3" s="202">
        <v>0.29599999999999999</v>
      </c>
      <c r="AT3" s="202">
        <v>0.33100000000000002</v>
      </c>
      <c r="AU3" s="202">
        <v>0.627</v>
      </c>
      <c r="AV3" s="202">
        <v>10.1</v>
      </c>
      <c r="AW3" s="202">
        <v>4.3099999999999996</v>
      </c>
      <c r="AX3" s="202">
        <v>6.47</v>
      </c>
      <c r="AY3" s="202">
        <v>2.34</v>
      </c>
      <c r="AZ3" s="202">
        <v>16.47</v>
      </c>
    </row>
    <row r="4" spans="1:52" x14ac:dyDescent="0.2">
      <c r="A4" s="76">
        <v>4</v>
      </c>
      <c r="B4" s="41" t="s">
        <v>444</v>
      </c>
      <c r="C4" s="76" t="s">
        <v>145</v>
      </c>
      <c r="D4" s="76">
        <v>10</v>
      </c>
      <c r="E4" s="76">
        <v>4</v>
      </c>
      <c r="F4" s="76">
        <v>2.0499999999999998</v>
      </c>
      <c r="G4" s="76">
        <v>71</v>
      </c>
      <c r="H4" s="76">
        <v>0</v>
      </c>
      <c r="I4" s="76">
        <v>0</v>
      </c>
      <c r="J4" s="76">
        <v>0</v>
      </c>
      <c r="K4" s="76">
        <v>2</v>
      </c>
      <c r="L4" s="76">
        <v>7</v>
      </c>
      <c r="M4" s="258">
        <f>INDEX('C-P-RollAdj'!$P$4:$P$900,MATCH((V4),'C-P-RollAdj'!$O$4:$O$900,FALSE),0)</f>
        <v>79</v>
      </c>
      <c r="N4" s="76">
        <v>57</v>
      </c>
      <c r="O4" s="76">
        <v>23</v>
      </c>
      <c r="P4" s="76">
        <v>18</v>
      </c>
      <c r="Q4" s="76">
        <v>7</v>
      </c>
      <c r="R4" s="76">
        <v>25</v>
      </c>
      <c r="S4" s="76">
        <v>1</v>
      </c>
      <c r="T4" s="76">
        <v>92</v>
      </c>
      <c r="U4" s="76">
        <v>311</v>
      </c>
      <c r="V4" s="76">
        <v>79</v>
      </c>
      <c r="W4" s="76">
        <v>0.20100000000000001</v>
      </c>
      <c r="X4" s="76">
        <v>1.04</v>
      </c>
      <c r="Y4" s="76"/>
      <c r="Z4" s="76">
        <v>4</v>
      </c>
      <c r="AA4" t="s">
        <v>444</v>
      </c>
      <c r="AB4" s="76" t="s">
        <v>145</v>
      </c>
      <c r="AC4" s="76">
        <v>0</v>
      </c>
      <c r="AD4" s="76">
        <v>1</v>
      </c>
      <c r="AE4" s="76">
        <v>16</v>
      </c>
      <c r="AF4" s="76">
        <v>24</v>
      </c>
      <c r="AG4" s="76">
        <v>7</v>
      </c>
      <c r="AH4" s="76">
        <v>68</v>
      </c>
      <c r="AI4" s="76">
        <v>69</v>
      </c>
      <c r="AJ4" s="76">
        <v>4</v>
      </c>
      <c r="AK4" s="76">
        <v>1</v>
      </c>
      <c r="AL4" s="76">
        <v>3</v>
      </c>
      <c r="AM4" s="76">
        <v>1</v>
      </c>
      <c r="AN4" s="76">
        <v>0</v>
      </c>
      <c r="AO4" s="76">
        <v>1295</v>
      </c>
      <c r="AP4" s="202" t="s">
        <v>145</v>
      </c>
      <c r="AQ4" s="202">
        <v>0.57899999999999996</v>
      </c>
      <c r="AR4" s="202">
        <v>0.95</v>
      </c>
      <c r="AS4" s="202">
        <v>0.30199999999999999</v>
      </c>
      <c r="AT4" s="202">
        <v>0.45600000000000002</v>
      </c>
      <c r="AU4" s="202">
        <v>0.75800000000000001</v>
      </c>
      <c r="AV4" s="202">
        <v>7.2</v>
      </c>
      <c r="AW4" s="202">
        <v>1.93</v>
      </c>
      <c r="AX4" s="202">
        <v>9.0299999999999994</v>
      </c>
      <c r="AY4" s="202">
        <v>3.73</v>
      </c>
      <c r="AZ4" s="202">
        <v>15.73</v>
      </c>
    </row>
    <row r="5" spans="1:52" x14ac:dyDescent="0.2">
      <c r="A5" s="76">
        <v>25</v>
      </c>
      <c r="B5" t="s">
        <v>1302</v>
      </c>
      <c r="C5" s="76" t="s">
        <v>145</v>
      </c>
      <c r="D5" s="76">
        <v>0</v>
      </c>
      <c r="E5" s="76">
        <v>0</v>
      </c>
      <c r="F5" s="76">
        <v>13.5</v>
      </c>
      <c r="G5" s="76">
        <v>2</v>
      </c>
      <c r="H5" s="76">
        <v>0</v>
      </c>
      <c r="I5" s="76">
        <v>0</v>
      </c>
      <c r="J5" s="76">
        <v>0</v>
      </c>
      <c r="K5" s="76">
        <v>0</v>
      </c>
      <c r="L5" s="76">
        <v>0</v>
      </c>
      <c r="M5" s="258">
        <f>INDEX('C-P-RollAdj'!$P$4:$P$900,MATCH((V5),'C-P-RollAdj'!$O$4:$O$900,FALSE),0)</f>
        <v>3.33</v>
      </c>
      <c r="N5" s="76">
        <v>5</v>
      </c>
      <c r="O5" s="76">
        <v>5</v>
      </c>
      <c r="P5" s="76">
        <v>5</v>
      </c>
      <c r="Q5" s="76">
        <v>2</v>
      </c>
      <c r="R5" s="76">
        <v>1</v>
      </c>
      <c r="S5" s="76">
        <v>0</v>
      </c>
      <c r="T5" s="76">
        <v>3</v>
      </c>
      <c r="U5" s="76">
        <v>15</v>
      </c>
      <c r="V5" s="76">
        <v>3.1</v>
      </c>
      <c r="W5" s="76">
        <v>0.35699999999999998</v>
      </c>
      <c r="X5" s="76">
        <v>1.8</v>
      </c>
      <c r="Y5" s="76"/>
      <c r="Z5" s="76">
        <v>25</v>
      </c>
      <c r="AA5" t="s">
        <v>1302</v>
      </c>
      <c r="AB5" s="76" t="s">
        <v>145</v>
      </c>
      <c r="AC5" s="76">
        <v>0</v>
      </c>
      <c r="AD5" s="76">
        <v>0</v>
      </c>
      <c r="AE5" s="76">
        <v>1</v>
      </c>
      <c r="AF5" s="76">
        <v>0</v>
      </c>
      <c r="AG5" s="76">
        <v>0</v>
      </c>
      <c r="AH5" s="76">
        <v>1</v>
      </c>
      <c r="AI5" s="76">
        <v>5</v>
      </c>
      <c r="AJ5" s="76">
        <v>0</v>
      </c>
      <c r="AK5" s="76">
        <v>0</v>
      </c>
      <c r="AL5" s="76">
        <v>0</v>
      </c>
      <c r="AM5" s="76">
        <v>1</v>
      </c>
      <c r="AN5" s="76">
        <v>0</v>
      </c>
      <c r="AO5" s="76">
        <v>59</v>
      </c>
      <c r="AP5" s="202" t="s">
        <v>146</v>
      </c>
      <c r="AQ5" s="202">
        <v>0.42899999999999999</v>
      </c>
      <c r="AR5" s="202">
        <v>0.89</v>
      </c>
      <c r="AS5" s="202">
        <v>0.371</v>
      </c>
      <c r="AT5" s="202">
        <v>0.51700000000000002</v>
      </c>
      <c r="AU5" s="202">
        <v>0.88700000000000001</v>
      </c>
      <c r="AV5" s="202">
        <v>8.16</v>
      </c>
      <c r="AW5" s="202">
        <v>3.14</v>
      </c>
      <c r="AX5" s="202">
        <v>11.72</v>
      </c>
      <c r="AY5" s="202">
        <v>2.6</v>
      </c>
      <c r="AZ5" s="202">
        <v>18.37</v>
      </c>
    </row>
    <row r="6" spans="1:52" x14ac:dyDescent="0.2">
      <c r="A6" s="76">
        <v>3</v>
      </c>
      <c r="B6" s="41" t="s">
        <v>493</v>
      </c>
      <c r="C6" s="76" t="s">
        <v>145</v>
      </c>
      <c r="D6" s="76">
        <v>2</v>
      </c>
      <c r="E6" s="76">
        <v>1</v>
      </c>
      <c r="F6" s="76">
        <v>0.54</v>
      </c>
      <c r="G6" s="76">
        <v>69</v>
      </c>
      <c r="H6" s="76">
        <v>0</v>
      </c>
      <c r="I6" s="76">
        <v>0</v>
      </c>
      <c r="J6" s="76">
        <v>0</v>
      </c>
      <c r="K6" s="76">
        <v>47</v>
      </c>
      <c r="L6" s="76">
        <v>47</v>
      </c>
      <c r="M6" s="258">
        <f>INDEX('C-P-RollAdj'!$P$4:$P$900,MATCH((V6),'C-P-RollAdj'!$O$4:$O$900,FALSE),0)</f>
        <v>67</v>
      </c>
      <c r="N6" s="76">
        <v>38</v>
      </c>
      <c r="O6" s="76">
        <v>7</v>
      </c>
      <c r="P6" s="76">
        <v>4</v>
      </c>
      <c r="Q6" s="76">
        <v>1</v>
      </c>
      <c r="R6" s="76">
        <v>18</v>
      </c>
      <c r="S6" s="76">
        <v>3</v>
      </c>
      <c r="T6" s="76">
        <v>74</v>
      </c>
      <c r="U6" s="76">
        <v>254</v>
      </c>
      <c r="V6" s="76">
        <v>67</v>
      </c>
      <c r="W6" s="76">
        <v>0.16200000000000001</v>
      </c>
      <c r="X6" s="76">
        <v>0.84</v>
      </c>
      <c r="Y6" s="76"/>
      <c r="Z6" s="76">
        <v>3</v>
      </c>
      <c r="AA6" t="s">
        <v>493</v>
      </c>
      <c r="AB6" s="76" t="s">
        <v>145</v>
      </c>
      <c r="AC6" s="76">
        <v>0</v>
      </c>
      <c r="AD6" s="76">
        <v>3</v>
      </c>
      <c r="AE6" s="76">
        <v>63</v>
      </c>
      <c r="AF6" s="76">
        <v>0</v>
      </c>
      <c r="AG6" s="76">
        <v>4</v>
      </c>
      <c r="AH6" s="76">
        <v>110</v>
      </c>
      <c r="AI6" s="76">
        <v>14</v>
      </c>
      <c r="AJ6" s="76">
        <v>10</v>
      </c>
      <c r="AK6" s="76">
        <v>0</v>
      </c>
      <c r="AL6" s="76">
        <v>1</v>
      </c>
      <c r="AM6" s="76">
        <v>0</v>
      </c>
      <c r="AN6" s="76">
        <v>0</v>
      </c>
      <c r="AO6" s="76">
        <v>1027</v>
      </c>
      <c r="AP6" s="202" t="s">
        <v>145</v>
      </c>
      <c r="AQ6" s="202" t="s">
        <v>243</v>
      </c>
      <c r="AR6" s="202" t="s">
        <v>243</v>
      </c>
      <c r="AS6" s="202">
        <v>0.33300000000000002</v>
      </c>
      <c r="AT6" s="202">
        <v>0</v>
      </c>
      <c r="AU6" s="202">
        <v>0.33300000000000002</v>
      </c>
      <c r="AV6" s="202">
        <v>9</v>
      </c>
      <c r="AW6" s="202">
        <v>9</v>
      </c>
      <c r="AX6" s="202">
        <v>0</v>
      </c>
      <c r="AY6" s="202">
        <v>1</v>
      </c>
      <c r="AZ6" s="202">
        <v>15</v>
      </c>
    </row>
    <row r="7" spans="1:52" x14ac:dyDescent="0.2">
      <c r="A7" s="76">
        <v>13</v>
      </c>
      <c r="B7" s="41" t="s">
        <v>1299</v>
      </c>
      <c r="C7" s="76" t="s">
        <v>145</v>
      </c>
      <c r="D7" s="76">
        <v>10</v>
      </c>
      <c r="E7" s="76">
        <v>6</v>
      </c>
      <c r="F7" s="76">
        <v>4.0199999999999996</v>
      </c>
      <c r="G7" s="76">
        <v>36</v>
      </c>
      <c r="H7" s="76">
        <v>14</v>
      </c>
      <c r="I7" s="76">
        <v>0</v>
      </c>
      <c r="J7" s="76">
        <v>0</v>
      </c>
      <c r="K7" s="76">
        <v>0</v>
      </c>
      <c r="L7" s="76">
        <v>0</v>
      </c>
      <c r="M7" s="258">
        <f>INDEX('C-P-RollAdj'!$P$4:$P$900,MATCH((V7),'C-P-RollAdj'!$O$4:$O$900,FALSE),0)</f>
        <v>109.67</v>
      </c>
      <c r="N7" s="76">
        <v>109</v>
      </c>
      <c r="O7" s="76">
        <v>52</v>
      </c>
      <c r="P7" s="76">
        <v>49</v>
      </c>
      <c r="Q7" s="76">
        <v>18</v>
      </c>
      <c r="R7" s="76">
        <v>42</v>
      </c>
      <c r="S7" s="76">
        <v>4</v>
      </c>
      <c r="T7" s="76">
        <v>104</v>
      </c>
      <c r="U7" s="76">
        <v>474</v>
      </c>
      <c r="V7" s="76">
        <v>109.2</v>
      </c>
      <c r="W7" s="76">
        <v>0.25700000000000001</v>
      </c>
      <c r="X7" s="76">
        <v>1.38</v>
      </c>
      <c r="Y7" s="76"/>
      <c r="Z7" s="76">
        <v>13</v>
      </c>
      <c r="AA7" t="s">
        <v>1299</v>
      </c>
      <c r="AB7" s="76" t="s">
        <v>145</v>
      </c>
      <c r="AC7" s="76">
        <v>6</v>
      </c>
      <c r="AD7" s="76">
        <v>4</v>
      </c>
      <c r="AE7" s="76">
        <v>6</v>
      </c>
      <c r="AF7" s="76">
        <v>3</v>
      </c>
      <c r="AG7" s="76">
        <v>6</v>
      </c>
      <c r="AH7" s="76">
        <v>94</v>
      </c>
      <c r="AI7" s="76">
        <v>119</v>
      </c>
      <c r="AJ7" s="76">
        <v>0</v>
      </c>
      <c r="AK7" s="76">
        <v>0</v>
      </c>
      <c r="AL7" s="76">
        <v>10</v>
      </c>
      <c r="AM7" s="76">
        <v>6</v>
      </c>
      <c r="AN7" s="76">
        <v>0</v>
      </c>
      <c r="AO7" s="76">
        <v>1951</v>
      </c>
      <c r="AP7" s="202" t="s">
        <v>145</v>
      </c>
      <c r="AQ7" s="202">
        <v>0.2</v>
      </c>
      <c r="AR7" s="202">
        <v>0.62</v>
      </c>
      <c r="AS7" s="202">
        <v>0.29899999999999999</v>
      </c>
      <c r="AT7" s="202">
        <v>0.33900000000000002</v>
      </c>
      <c r="AU7" s="202">
        <v>0.63800000000000001</v>
      </c>
      <c r="AV7" s="202">
        <v>10.29</v>
      </c>
      <c r="AW7" s="202">
        <v>3.67</v>
      </c>
      <c r="AX7" s="202">
        <v>6.98</v>
      </c>
      <c r="AY7" s="202">
        <v>2.8</v>
      </c>
      <c r="AZ7" s="202">
        <v>17</v>
      </c>
    </row>
    <row r="8" spans="1:52" x14ac:dyDescent="0.2">
      <c r="A8" s="76">
        <v>18</v>
      </c>
      <c r="B8" t="s">
        <v>777</v>
      </c>
      <c r="C8" s="76" t="s">
        <v>145</v>
      </c>
      <c r="D8" s="76">
        <v>0</v>
      </c>
      <c r="E8" s="76">
        <v>2</v>
      </c>
      <c r="F8" s="76">
        <v>5.6</v>
      </c>
      <c r="G8" s="76">
        <v>16</v>
      </c>
      <c r="H8" s="76">
        <v>0</v>
      </c>
      <c r="I8" s="76">
        <v>0</v>
      </c>
      <c r="J8" s="76">
        <v>0</v>
      </c>
      <c r="K8" s="76">
        <v>0</v>
      </c>
      <c r="L8" s="76">
        <v>2</v>
      </c>
      <c r="M8" s="258">
        <f>INDEX('C-P-RollAdj'!$P$4:$P$900,MATCH((V8),'C-P-RollAdj'!$O$4:$O$900,FALSE),0)</f>
        <v>27.33</v>
      </c>
      <c r="N8" s="76">
        <v>32</v>
      </c>
      <c r="O8" s="76">
        <v>18</v>
      </c>
      <c r="P8" s="76">
        <v>17</v>
      </c>
      <c r="Q8" s="76">
        <v>3</v>
      </c>
      <c r="R8" s="76">
        <v>15</v>
      </c>
      <c r="S8" s="76">
        <v>1</v>
      </c>
      <c r="T8" s="76">
        <v>17</v>
      </c>
      <c r="U8" s="76">
        <v>122</v>
      </c>
      <c r="V8" s="76">
        <v>27.1</v>
      </c>
      <c r="W8" s="76">
        <v>0.30499999999999999</v>
      </c>
      <c r="X8" s="76">
        <v>1.72</v>
      </c>
      <c r="Y8" s="76"/>
      <c r="Z8" s="76">
        <v>18</v>
      </c>
      <c r="AA8" t="s">
        <v>777</v>
      </c>
      <c r="AB8" s="76" t="s">
        <v>145</v>
      </c>
      <c r="AC8" s="76">
        <v>1</v>
      </c>
      <c r="AD8" s="76">
        <v>1</v>
      </c>
      <c r="AE8" s="76">
        <v>5</v>
      </c>
      <c r="AF8" s="76">
        <v>2</v>
      </c>
      <c r="AG8" s="76">
        <v>7</v>
      </c>
      <c r="AH8" s="76">
        <v>28</v>
      </c>
      <c r="AI8" s="76">
        <v>29</v>
      </c>
      <c r="AJ8" s="76">
        <v>0</v>
      </c>
      <c r="AK8" s="76">
        <v>1</v>
      </c>
      <c r="AL8" s="76">
        <v>1</v>
      </c>
      <c r="AM8" s="76">
        <v>0</v>
      </c>
      <c r="AN8" s="76">
        <v>0</v>
      </c>
      <c r="AO8" s="76">
        <v>486</v>
      </c>
      <c r="AP8" s="202" t="s">
        <v>145</v>
      </c>
      <c r="AQ8" s="202">
        <v>0</v>
      </c>
      <c r="AR8" s="202">
        <v>1</v>
      </c>
      <c r="AS8" s="202">
        <v>0.39400000000000002</v>
      </c>
      <c r="AT8" s="202">
        <v>0.58299999999999996</v>
      </c>
      <c r="AU8" s="202">
        <v>0.97699999999999998</v>
      </c>
      <c r="AV8" s="202">
        <v>5.4</v>
      </c>
      <c r="AW8" s="202">
        <v>4.05</v>
      </c>
      <c r="AX8" s="202">
        <v>13.5</v>
      </c>
      <c r="AY8" s="202">
        <v>1.33</v>
      </c>
      <c r="AZ8" s="202">
        <v>17.399999999999999</v>
      </c>
    </row>
    <row r="9" spans="1:52" x14ac:dyDescent="0.2">
      <c r="A9" s="76">
        <v>12</v>
      </c>
      <c r="B9" t="s">
        <v>1169</v>
      </c>
      <c r="C9" s="76" t="s">
        <v>145</v>
      </c>
      <c r="D9" s="76">
        <v>1</v>
      </c>
      <c r="E9" s="76">
        <v>0</v>
      </c>
      <c r="F9" s="76">
        <v>4</v>
      </c>
      <c r="G9" s="76">
        <v>14</v>
      </c>
      <c r="H9" s="76">
        <v>0</v>
      </c>
      <c r="I9" s="76">
        <v>0</v>
      </c>
      <c r="J9" s="76">
        <v>0</v>
      </c>
      <c r="K9" s="76">
        <v>0</v>
      </c>
      <c r="L9" s="76">
        <v>1</v>
      </c>
      <c r="M9" s="258">
        <f>INDEX('C-P-RollAdj'!$P$4:$P$900,MATCH((V9),'C-P-RollAdj'!$O$4:$O$900,FALSE),0)</f>
        <v>18</v>
      </c>
      <c r="N9" s="76">
        <v>11</v>
      </c>
      <c r="O9" s="76">
        <v>11</v>
      </c>
      <c r="P9" s="76">
        <v>8</v>
      </c>
      <c r="Q9" s="76">
        <v>2</v>
      </c>
      <c r="R9" s="76">
        <v>7</v>
      </c>
      <c r="S9" s="76">
        <v>0</v>
      </c>
      <c r="T9" s="76">
        <v>21</v>
      </c>
      <c r="U9" s="76">
        <v>74</v>
      </c>
      <c r="V9" s="76">
        <v>18</v>
      </c>
      <c r="W9" s="76">
        <v>0.16700000000000001</v>
      </c>
      <c r="X9" s="76">
        <v>1</v>
      </c>
      <c r="Y9" s="76"/>
      <c r="Z9" s="76">
        <v>12</v>
      </c>
      <c r="AA9" t="s">
        <v>1169</v>
      </c>
      <c r="AB9" s="76" t="s">
        <v>145</v>
      </c>
      <c r="AC9" s="76">
        <v>0</v>
      </c>
      <c r="AD9" s="76">
        <v>0</v>
      </c>
      <c r="AE9" s="76">
        <v>5</v>
      </c>
      <c r="AF9" s="76">
        <v>0</v>
      </c>
      <c r="AG9" s="76">
        <v>0</v>
      </c>
      <c r="AH9" s="76">
        <v>21</v>
      </c>
      <c r="AI9" s="76">
        <v>14</v>
      </c>
      <c r="AJ9" s="76">
        <v>1</v>
      </c>
      <c r="AK9" s="76">
        <v>0</v>
      </c>
      <c r="AL9" s="76">
        <v>0</v>
      </c>
      <c r="AM9" s="76">
        <v>0</v>
      </c>
      <c r="AN9" s="76">
        <v>0</v>
      </c>
      <c r="AO9" s="76">
        <v>296</v>
      </c>
      <c r="AP9" s="202" t="s">
        <v>145</v>
      </c>
      <c r="AQ9" s="202" t="s">
        <v>243</v>
      </c>
      <c r="AR9" s="202">
        <v>0.86</v>
      </c>
      <c r="AS9" s="202">
        <v>0.44800000000000001</v>
      </c>
      <c r="AT9" s="202">
        <v>0.70799999999999996</v>
      </c>
      <c r="AU9" s="202">
        <v>1.157</v>
      </c>
      <c r="AV9" s="202">
        <v>5.0599999999999996</v>
      </c>
      <c r="AW9" s="202">
        <v>8.44</v>
      </c>
      <c r="AX9" s="202">
        <v>13.5</v>
      </c>
      <c r="AY9" s="202">
        <v>0.6</v>
      </c>
      <c r="AZ9" s="202">
        <v>21.19</v>
      </c>
    </row>
    <row r="10" spans="1:52" x14ac:dyDescent="0.2">
      <c r="A10" s="76">
        <v>14</v>
      </c>
      <c r="B10" t="s">
        <v>576</v>
      </c>
      <c r="C10" s="76" t="s">
        <v>145</v>
      </c>
      <c r="D10" s="76">
        <v>1</v>
      </c>
      <c r="E10" s="76">
        <v>0</v>
      </c>
      <c r="F10" s="76">
        <v>4.05</v>
      </c>
      <c r="G10" s="76">
        <v>14</v>
      </c>
      <c r="H10" s="76">
        <v>0</v>
      </c>
      <c r="I10" s="76">
        <v>0</v>
      </c>
      <c r="J10" s="76">
        <v>0</v>
      </c>
      <c r="K10" s="76">
        <v>0</v>
      </c>
      <c r="L10" s="76">
        <v>0</v>
      </c>
      <c r="M10" s="258">
        <f>INDEX('C-P-RollAdj'!$P$4:$P$900,MATCH((V10),'C-P-RollAdj'!$O$4:$O$900,FALSE),0)</f>
        <v>13.33</v>
      </c>
      <c r="N10" s="76">
        <v>13</v>
      </c>
      <c r="O10" s="76">
        <v>6</v>
      </c>
      <c r="P10" s="76">
        <v>6</v>
      </c>
      <c r="Q10" s="76">
        <v>2</v>
      </c>
      <c r="R10" s="76">
        <v>3</v>
      </c>
      <c r="S10" s="76">
        <v>1</v>
      </c>
      <c r="T10" s="76">
        <v>10</v>
      </c>
      <c r="U10" s="76">
        <v>55</v>
      </c>
      <c r="V10" s="76">
        <v>13.1</v>
      </c>
      <c r="W10" s="76">
        <v>0.25</v>
      </c>
      <c r="X10" s="76">
        <v>1.2</v>
      </c>
      <c r="Y10" s="76"/>
      <c r="Z10" s="76">
        <v>14</v>
      </c>
      <c r="AA10" t="s">
        <v>576</v>
      </c>
      <c r="AB10" s="76" t="s">
        <v>145</v>
      </c>
      <c r="AC10" s="76">
        <v>0</v>
      </c>
      <c r="AD10" s="76">
        <v>1</v>
      </c>
      <c r="AE10" s="76">
        <v>4</v>
      </c>
      <c r="AF10" s="76">
        <v>0</v>
      </c>
      <c r="AG10" s="76">
        <v>1</v>
      </c>
      <c r="AH10" s="76">
        <v>7</v>
      </c>
      <c r="AI10" s="76">
        <v>22</v>
      </c>
      <c r="AJ10" s="76">
        <v>1</v>
      </c>
      <c r="AK10" s="76">
        <v>0</v>
      </c>
      <c r="AL10" s="76">
        <v>0</v>
      </c>
      <c r="AM10" s="76">
        <v>0</v>
      </c>
      <c r="AN10" s="76">
        <v>0</v>
      </c>
      <c r="AO10" s="76">
        <v>209</v>
      </c>
      <c r="AP10" s="202" t="s">
        <v>145</v>
      </c>
      <c r="AQ10" s="202">
        <v>0.5</v>
      </c>
      <c r="AR10" s="202">
        <v>3</v>
      </c>
      <c r="AS10" s="202">
        <v>0.372</v>
      </c>
      <c r="AT10" s="202">
        <v>0.441</v>
      </c>
      <c r="AU10" s="202">
        <v>0.81399999999999995</v>
      </c>
      <c r="AV10" s="202">
        <v>5.8</v>
      </c>
      <c r="AW10" s="202">
        <v>4.0199999999999996</v>
      </c>
      <c r="AX10" s="202">
        <v>11.6</v>
      </c>
      <c r="AY10" s="202">
        <v>1.44</v>
      </c>
      <c r="AZ10" s="202">
        <v>17.03</v>
      </c>
    </row>
    <row r="11" spans="1:52" x14ac:dyDescent="0.2">
      <c r="A11" s="76">
        <v>27</v>
      </c>
      <c r="B11" t="s">
        <v>1304</v>
      </c>
      <c r="C11" s="76" t="s">
        <v>145</v>
      </c>
      <c r="D11" s="76">
        <v>0</v>
      </c>
      <c r="E11" s="76">
        <v>0</v>
      </c>
      <c r="F11" s="76">
        <v>18</v>
      </c>
      <c r="G11" s="76">
        <v>1</v>
      </c>
      <c r="H11" s="76">
        <v>0</v>
      </c>
      <c r="I11" s="76">
        <v>0</v>
      </c>
      <c r="J11" s="76">
        <v>0</v>
      </c>
      <c r="K11" s="76">
        <v>0</v>
      </c>
      <c r="L11" s="76">
        <v>0</v>
      </c>
      <c r="M11" s="258">
        <f>INDEX('C-P-RollAdj'!$P$4:$P$900,MATCH((V11),'C-P-RollAdj'!$O$4:$O$900,FALSE),0)</f>
        <v>1</v>
      </c>
      <c r="N11" s="76">
        <v>3</v>
      </c>
      <c r="O11" s="76">
        <v>2</v>
      </c>
      <c r="P11" s="76">
        <v>2</v>
      </c>
      <c r="Q11" s="76">
        <v>1</v>
      </c>
      <c r="R11" s="76">
        <v>0</v>
      </c>
      <c r="S11" s="76">
        <v>0</v>
      </c>
      <c r="T11" s="76">
        <v>0</v>
      </c>
      <c r="U11" s="76">
        <v>7</v>
      </c>
      <c r="V11" s="76">
        <v>1</v>
      </c>
      <c r="W11" s="76">
        <v>0.42899999999999999</v>
      </c>
      <c r="X11" s="76">
        <v>3</v>
      </c>
      <c r="Y11" s="76"/>
      <c r="Z11" s="76">
        <v>27</v>
      </c>
      <c r="AA11" t="s">
        <v>1304</v>
      </c>
      <c r="AB11" s="76" t="s">
        <v>145</v>
      </c>
      <c r="AC11" s="76">
        <v>0</v>
      </c>
      <c r="AD11" s="76">
        <v>0</v>
      </c>
      <c r="AE11" s="76">
        <v>1</v>
      </c>
      <c r="AF11" s="76">
        <v>0</v>
      </c>
      <c r="AG11" s="76">
        <v>0</v>
      </c>
      <c r="AH11" s="76">
        <v>3</v>
      </c>
      <c r="AI11" s="76">
        <v>1</v>
      </c>
      <c r="AJ11" s="76">
        <v>0</v>
      </c>
      <c r="AK11" s="76">
        <v>0</v>
      </c>
      <c r="AL11" s="76">
        <v>0</v>
      </c>
      <c r="AM11" s="76">
        <v>0</v>
      </c>
      <c r="AN11" s="76">
        <v>0</v>
      </c>
      <c r="AO11" s="76">
        <v>19</v>
      </c>
      <c r="AP11" s="202" t="s">
        <v>146</v>
      </c>
      <c r="AQ11" s="202">
        <v>0.5</v>
      </c>
      <c r="AR11" s="202">
        <v>1.29</v>
      </c>
      <c r="AS11" s="202">
        <v>0.30299999999999999</v>
      </c>
      <c r="AT11" s="202">
        <v>0.36099999999999999</v>
      </c>
      <c r="AU11" s="202">
        <v>0.66400000000000003</v>
      </c>
      <c r="AV11" s="202">
        <v>8.5</v>
      </c>
      <c r="AW11" s="202">
        <v>1.83</v>
      </c>
      <c r="AX11" s="202">
        <v>9.0500000000000007</v>
      </c>
      <c r="AY11" s="202">
        <v>4.6500000000000004</v>
      </c>
      <c r="AZ11" s="202">
        <v>15.14</v>
      </c>
    </row>
    <row r="12" spans="1:52" x14ac:dyDescent="0.2">
      <c r="A12" s="76">
        <v>16</v>
      </c>
      <c r="B12" s="41" t="s">
        <v>406</v>
      </c>
      <c r="C12" s="76" t="s">
        <v>145</v>
      </c>
      <c r="D12" s="76">
        <v>6</v>
      </c>
      <c r="E12" s="76">
        <v>8</v>
      </c>
      <c r="F12" s="76">
        <v>5.42</v>
      </c>
      <c r="G12" s="76">
        <v>23</v>
      </c>
      <c r="H12" s="76">
        <v>23</v>
      </c>
      <c r="I12" s="76">
        <v>0</v>
      </c>
      <c r="J12" s="76">
        <v>0</v>
      </c>
      <c r="K12" s="76">
        <v>0</v>
      </c>
      <c r="L12" s="76">
        <v>0</v>
      </c>
      <c r="M12" s="258">
        <f>INDEX('C-P-RollAdj'!$P$4:$P$900,MATCH((V12),'C-P-RollAdj'!$O$4:$O$900,FALSE),0)</f>
        <v>118</v>
      </c>
      <c r="N12" s="76">
        <v>126</v>
      </c>
      <c r="O12" s="76">
        <v>74</v>
      </c>
      <c r="P12" s="76">
        <v>71</v>
      </c>
      <c r="Q12" s="76">
        <v>16</v>
      </c>
      <c r="R12" s="76">
        <v>61</v>
      </c>
      <c r="S12" s="76">
        <v>2</v>
      </c>
      <c r="T12" s="76">
        <v>85</v>
      </c>
      <c r="U12" s="76">
        <v>526</v>
      </c>
      <c r="V12" s="76">
        <v>118</v>
      </c>
      <c r="W12" s="76">
        <v>0.27600000000000002</v>
      </c>
      <c r="X12" s="76">
        <v>1.58</v>
      </c>
      <c r="Y12" s="76"/>
      <c r="Z12" s="76">
        <v>16</v>
      </c>
      <c r="AA12" t="s">
        <v>406</v>
      </c>
      <c r="AB12" s="76" t="s">
        <v>145</v>
      </c>
      <c r="AC12" s="76">
        <v>1</v>
      </c>
      <c r="AD12" s="76">
        <v>2</v>
      </c>
      <c r="AE12" s="76">
        <v>0</v>
      </c>
      <c r="AF12" s="76">
        <v>0</v>
      </c>
      <c r="AG12" s="76">
        <v>13</v>
      </c>
      <c r="AH12" s="76">
        <v>121</v>
      </c>
      <c r="AI12" s="76">
        <v>131</v>
      </c>
      <c r="AJ12" s="76">
        <v>6</v>
      </c>
      <c r="AK12" s="76">
        <v>0</v>
      </c>
      <c r="AL12" s="76">
        <v>5</v>
      </c>
      <c r="AM12" s="76">
        <v>6</v>
      </c>
      <c r="AN12" s="76">
        <v>2</v>
      </c>
      <c r="AO12" s="76">
        <v>2107</v>
      </c>
      <c r="AP12" s="202" t="s">
        <v>145</v>
      </c>
      <c r="AQ12" s="202">
        <v>0.75</v>
      </c>
      <c r="AR12" s="202">
        <v>0.6</v>
      </c>
      <c r="AS12" s="202">
        <v>0.25700000000000001</v>
      </c>
      <c r="AT12" s="202">
        <v>0.28299999999999997</v>
      </c>
      <c r="AU12" s="202">
        <v>0.54</v>
      </c>
      <c r="AV12" s="202">
        <v>11.3</v>
      </c>
      <c r="AW12" s="202">
        <v>1.93</v>
      </c>
      <c r="AX12" s="202">
        <v>6.47</v>
      </c>
      <c r="AY12" s="202">
        <v>5.86</v>
      </c>
      <c r="AZ12" s="202">
        <v>16.260000000000002</v>
      </c>
    </row>
    <row r="13" spans="1:52" x14ac:dyDescent="0.2">
      <c r="A13" s="76">
        <v>8</v>
      </c>
      <c r="B13" s="41" t="s">
        <v>495</v>
      </c>
      <c r="C13" s="76" t="s">
        <v>145</v>
      </c>
      <c r="D13" s="76">
        <v>9</v>
      </c>
      <c r="E13" s="76">
        <v>12</v>
      </c>
      <c r="F13" s="76">
        <v>3.61</v>
      </c>
      <c r="G13" s="76">
        <v>30</v>
      </c>
      <c r="H13" s="76">
        <v>30</v>
      </c>
      <c r="I13" s="76">
        <v>0</v>
      </c>
      <c r="J13" s="76">
        <v>0</v>
      </c>
      <c r="K13" s="76">
        <v>0</v>
      </c>
      <c r="L13" s="76">
        <v>0</v>
      </c>
      <c r="M13" s="258">
        <f>INDEX('C-P-RollAdj'!$P$4:$P$900,MATCH((V13),'C-P-RollAdj'!$O$4:$O$900,FALSE),0)</f>
        <v>179.67000000000002</v>
      </c>
      <c r="N13" s="76">
        <v>183</v>
      </c>
      <c r="O13" s="76">
        <v>76</v>
      </c>
      <c r="P13" s="76">
        <v>72</v>
      </c>
      <c r="Q13" s="76">
        <v>28</v>
      </c>
      <c r="R13" s="76">
        <v>47</v>
      </c>
      <c r="S13" s="76">
        <v>1</v>
      </c>
      <c r="T13" s="76">
        <v>174</v>
      </c>
      <c r="U13" s="76">
        <v>757</v>
      </c>
      <c r="V13" s="76">
        <v>179.2</v>
      </c>
      <c r="W13" s="76">
        <v>0.26200000000000001</v>
      </c>
      <c r="X13" s="76">
        <v>1.28</v>
      </c>
      <c r="Y13" s="76"/>
      <c r="Z13" s="76">
        <v>8</v>
      </c>
      <c r="AA13" t="s">
        <v>495</v>
      </c>
      <c r="AB13" s="76" t="s">
        <v>145</v>
      </c>
      <c r="AC13" s="76">
        <v>5</v>
      </c>
      <c r="AD13" s="76">
        <v>1</v>
      </c>
      <c r="AE13" s="76">
        <v>0</v>
      </c>
      <c r="AF13" s="76">
        <v>0</v>
      </c>
      <c r="AG13" s="76">
        <v>19</v>
      </c>
      <c r="AH13" s="76">
        <v>177</v>
      </c>
      <c r="AI13" s="76">
        <v>171</v>
      </c>
      <c r="AJ13" s="76">
        <v>8</v>
      </c>
      <c r="AK13" s="76">
        <v>0</v>
      </c>
      <c r="AL13" s="76">
        <v>3</v>
      </c>
      <c r="AM13" s="76">
        <v>2</v>
      </c>
      <c r="AN13" s="76">
        <v>0</v>
      </c>
      <c r="AO13" s="76">
        <v>3113</v>
      </c>
      <c r="AP13" s="202" t="s">
        <v>145</v>
      </c>
      <c r="AQ13" s="202">
        <v>1</v>
      </c>
      <c r="AR13" s="202">
        <v>1.26</v>
      </c>
      <c r="AS13" s="202">
        <v>0.23300000000000001</v>
      </c>
      <c r="AT13" s="202">
        <v>0.30599999999999999</v>
      </c>
      <c r="AU13" s="202">
        <v>0.53800000000000003</v>
      </c>
      <c r="AV13" s="202">
        <v>11.4</v>
      </c>
      <c r="AW13" s="202">
        <v>1.8</v>
      </c>
      <c r="AX13" s="202">
        <v>6</v>
      </c>
      <c r="AY13" s="202">
        <v>6.33</v>
      </c>
      <c r="AZ13" s="202">
        <v>15.53</v>
      </c>
    </row>
    <row r="14" spans="1:52" x14ac:dyDescent="0.2">
      <c r="A14" s="76">
        <v>6</v>
      </c>
      <c r="B14" s="41" t="s">
        <v>1168</v>
      </c>
      <c r="C14" s="76" t="s">
        <v>145</v>
      </c>
      <c r="D14" s="76">
        <v>8</v>
      </c>
      <c r="E14" s="76">
        <v>2</v>
      </c>
      <c r="F14" s="76">
        <v>3.13</v>
      </c>
      <c r="G14" s="76">
        <v>66</v>
      </c>
      <c r="H14" s="76">
        <v>0</v>
      </c>
      <c r="I14" s="76">
        <v>0</v>
      </c>
      <c r="J14" s="76">
        <v>0</v>
      </c>
      <c r="K14" s="76">
        <v>0</v>
      </c>
      <c r="L14" s="76">
        <v>1</v>
      </c>
      <c r="M14" s="258">
        <f>INDEX('C-P-RollAdj'!$P$4:$P$900,MATCH((V14),'C-P-RollAdj'!$O$4:$O$900,FALSE),0)</f>
        <v>74.67</v>
      </c>
      <c r="N14" s="76">
        <v>59</v>
      </c>
      <c r="O14" s="76">
        <v>28</v>
      </c>
      <c r="P14" s="76">
        <v>26</v>
      </c>
      <c r="Q14" s="76">
        <v>6</v>
      </c>
      <c r="R14" s="76">
        <v>36</v>
      </c>
      <c r="S14" s="76">
        <v>2</v>
      </c>
      <c r="T14" s="76">
        <v>96</v>
      </c>
      <c r="U14" s="76">
        <v>313</v>
      </c>
      <c r="V14" s="76">
        <v>74.2</v>
      </c>
      <c r="W14" s="76">
        <v>0.22</v>
      </c>
      <c r="X14" s="76">
        <v>1.27</v>
      </c>
      <c r="Y14" s="76"/>
      <c r="Z14" s="76">
        <v>6</v>
      </c>
      <c r="AA14" t="s">
        <v>1168</v>
      </c>
      <c r="AB14" s="76" t="s">
        <v>145</v>
      </c>
      <c r="AC14" s="76">
        <v>6</v>
      </c>
      <c r="AD14" s="76">
        <v>2</v>
      </c>
      <c r="AE14" s="76">
        <v>8</v>
      </c>
      <c r="AF14" s="76">
        <v>13</v>
      </c>
      <c r="AG14" s="76">
        <v>6</v>
      </c>
      <c r="AH14" s="76">
        <v>51</v>
      </c>
      <c r="AI14" s="76">
        <v>65</v>
      </c>
      <c r="AJ14" s="76">
        <v>3</v>
      </c>
      <c r="AK14" s="76">
        <v>0</v>
      </c>
      <c r="AL14" s="76">
        <v>7</v>
      </c>
      <c r="AM14" s="76">
        <v>4</v>
      </c>
      <c r="AN14" s="76">
        <v>0</v>
      </c>
      <c r="AO14" s="76">
        <v>1306</v>
      </c>
      <c r="AP14" s="202" t="s">
        <v>145</v>
      </c>
      <c r="AQ14" s="202">
        <v>1</v>
      </c>
      <c r="AR14" s="202">
        <v>1.06</v>
      </c>
      <c r="AS14" s="202">
        <v>0.33300000000000002</v>
      </c>
      <c r="AT14" s="202">
        <v>0.38400000000000001</v>
      </c>
      <c r="AU14" s="202">
        <v>0.71699999999999997</v>
      </c>
      <c r="AV14" s="202">
        <v>6.67</v>
      </c>
      <c r="AW14" s="202">
        <v>5.16</v>
      </c>
      <c r="AX14" s="202">
        <v>7.58</v>
      </c>
      <c r="AY14" s="202">
        <v>1.29</v>
      </c>
      <c r="AZ14" s="202">
        <v>16.62</v>
      </c>
    </row>
    <row r="15" spans="1:52" x14ac:dyDescent="0.2">
      <c r="A15" s="76">
        <v>2</v>
      </c>
      <c r="B15" s="41" t="s">
        <v>1298</v>
      </c>
      <c r="C15" s="76" t="s">
        <v>145</v>
      </c>
      <c r="D15" s="76">
        <v>0</v>
      </c>
      <c r="E15" s="76">
        <v>0</v>
      </c>
      <c r="F15" s="76">
        <v>0.49</v>
      </c>
      <c r="G15" s="76">
        <v>22</v>
      </c>
      <c r="H15" s="76">
        <v>0</v>
      </c>
      <c r="I15" s="76">
        <v>0</v>
      </c>
      <c r="J15" s="76">
        <v>0</v>
      </c>
      <c r="K15" s="76">
        <v>0</v>
      </c>
      <c r="L15" s="76">
        <v>0</v>
      </c>
      <c r="M15" s="258">
        <f>INDEX('C-P-RollAdj'!$P$4:$P$900,MATCH((V15),'C-P-RollAdj'!$O$4:$O$900,FALSE),0)</f>
        <v>18.329999999999998</v>
      </c>
      <c r="N15" s="76">
        <v>12</v>
      </c>
      <c r="O15" s="76">
        <v>1</v>
      </c>
      <c r="P15" s="76">
        <v>1</v>
      </c>
      <c r="Q15" s="76">
        <v>1</v>
      </c>
      <c r="R15" s="76">
        <v>6</v>
      </c>
      <c r="S15" s="76">
        <v>1</v>
      </c>
      <c r="T15" s="76">
        <v>12</v>
      </c>
      <c r="U15" s="76">
        <v>71</v>
      </c>
      <c r="V15" s="76">
        <v>18.100000000000001</v>
      </c>
      <c r="W15" s="76">
        <v>0.19400000000000001</v>
      </c>
      <c r="X15" s="76">
        <v>0.98</v>
      </c>
      <c r="Y15" s="76"/>
      <c r="Z15" s="76">
        <v>2</v>
      </c>
      <c r="AA15" t="s">
        <v>1298</v>
      </c>
      <c r="AB15" s="76" t="s">
        <v>145</v>
      </c>
      <c r="AC15" s="76">
        <v>0</v>
      </c>
      <c r="AD15" s="76">
        <v>1</v>
      </c>
      <c r="AE15" s="76">
        <v>3</v>
      </c>
      <c r="AF15" s="76">
        <v>4</v>
      </c>
      <c r="AG15" s="76">
        <v>2</v>
      </c>
      <c r="AH15" s="76">
        <v>28</v>
      </c>
      <c r="AI15" s="76">
        <v>13</v>
      </c>
      <c r="AJ15" s="76">
        <v>0</v>
      </c>
      <c r="AK15" s="76">
        <v>0</v>
      </c>
      <c r="AL15" s="76">
        <v>0</v>
      </c>
      <c r="AM15" s="76">
        <v>1</v>
      </c>
      <c r="AN15" s="76">
        <v>0</v>
      </c>
      <c r="AO15" s="76">
        <v>271</v>
      </c>
      <c r="AP15" s="202" t="s">
        <v>145</v>
      </c>
      <c r="AQ15" s="202">
        <v>0.8</v>
      </c>
      <c r="AR15" s="202">
        <v>7.31</v>
      </c>
      <c r="AS15" s="202">
        <v>0.26100000000000001</v>
      </c>
      <c r="AT15" s="202">
        <v>0.28599999999999998</v>
      </c>
      <c r="AU15" s="202">
        <v>0.54700000000000004</v>
      </c>
      <c r="AV15" s="202">
        <v>10.83</v>
      </c>
      <c r="AW15" s="202">
        <v>1.92</v>
      </c>
      <c r="AX15" s="202">
        <v>6.99</v>
      </c>
      <c r="AY15" s="202">
        <v>5.64</v>
      </c>
      <c r="AZ15" s="202">
        <v>13.77</v>
      </c>
    </row>
    <row r="16" spans="1:52" x14ac:dyDescent="0.2">
      <c r="A16" s="76">
        <v>5</v>
      </c>
      <c r="B16" s="41" t="s">
        <v>486</v>
      </c>
      <c r="C16" s="76" t="s">
        <v>145</v>
      </c>
      <c r="D16" s="76">
        <v>0</v>
      </c>
      <c r="E16" s="76">
        <v>0</v>
      </c>
      <c r="F16" s="76">
        <v>2.19</v>
      </c>
      <c r="G16" s="76">
        <v>12</v>
      </c>
      <c r="H16" s="76">
        <v>0</v>
      </c>
      <c r="I16" s="76">
        <v>0</v>
      </c>
      <c r="J16" s="76">
        <v>0</v>
      </c>
      <c r="K16" s="76">
        <v>0</v>
      </c>
      <c r="L16" s="76">
        <v>0</v>
      </c>
      <c r="M16" s="258">
        <f>INDEX('C-P-RollAdj'!$P$4:$P$900,MATCH((V16),'C-P-RollAdj'!$O$4:$O$900,FALSE),0)</f>
        <v>12.33</v>
      </c>
      <c r="N16" s="76">
        <v>14</v>
      </c>
      <c r="O16" s="76">
        <v>3</v>
      </c>
      <c r="P16" s="76">
        <v>3</v>
      </c>
      <c r="Q16" s="76">
        <v>0</v>
      </c>
      <c r="R16" s="76">
        <v>3</v>
      </c>
      <c r="S16" s="76">
        <v>0</v>
      </c>
      <c r="T16" s="76">
        <v>6</v>
      </c>
      <c r="U16" s="76">
        <v>49</v>
      </c>
      <c r="V16" s="76">
        <v>12.1</v>
      </c>
      <c r="W16" s="76">
        <v>0.30399999999999999</v>
      </c>
      <c r="X16" s="76">
        <v>1.38</v>
      </c>
      <c r="Y16" s="76"/>
      <c r="Z16" s="76">
        <v>5</v>
      </c>
      <c r="AA16" t="s">
        <v>486</v>
      </c>
      <c r="AB16" s="76" t="s">
        <v>145</v>
      </c>
      <c r="AC16" s="76">
        <v>0</v>
      </c>
      <c r="AD16" s="76">
        <v>0</v>
      </c>
      <c r="AE16" s="76">
        <v>3</v>
      </c>
      <c r="AF16" s="76">
        <v>1</v>
      </c>
      <c r="AG16" s="76">
        <v>5</v>
      </c>
      <c r="AH16" s="76">
        <v>15</v>
      </c>
      <c r="AI16" s="76">
        <v>11</v>
      </c>
      <c r="AJ16" s="76">
        <v>0</v>
      </c>
      <c r="AK16" s="76">
        <v>0</v>
      </c>
      <c r="AL16" s="76">
        <v>1</v>
      </c>
      <c r="AM16" s="76">
        <v>0</v>
      </c>
      <c r="AN16" s="76">
        <v>0</v>
      </c>
      <c r="AO16" s="76">
        <v>178</v>
      </c>
      <c r="AP16" s="202" t="s">
        <v>145</v>
      </c>
      <c r="AQ16" s="202" t="s">
        <v>243</v>
      </c>
      <c r="AR16" s="202">
        <v>0.88</v>
      </c>
      <c r="AS16" s="202">
        <v>0.34699999999999998</v>
      </c>
      <c r="AT16" s="202">
        <v>0.36099999999999999</v>
      </c>
      <c r="AU16" s="202">
        <v>0.70799999999999996</v>
      </c>
      <c r="AV16" s="202">
        <v>9.77</v>
      </c>
      <c r="AW16" s="202">
        <v>5.17</v>
      </c>
      <c r="AX16" s="202">
        <v>9.19</v>
      </c>
      <c r="AY16" s="202">
        <v>1.89</v>
      </c>
      <c r="AZ16" s="202">
        <v>19.02</v>
      </c>
    </row>
    <row r="17" spans="1:52" x14ac:dyDescent="0.2">
      <c r="A17" s="76">
        <v>17</v>
      </c>
      <c r="B17" s="41" t="s">
        <v>526</v>
      </c>
      <c r="C17" s="76" t="s">
        <v>145</v>
      </c>
      <c r="D17" s="76">
        <v>8</v>
      </c>
      <c r="E17" s="76">
        <v>12</v>
      </c>
      <c r="F17" s="76">
        <v>5.44</v>
      </c>
      <c r="G17" s="76">
        <v>29</v>
      </c>
      <c r="H17" s="76">
        <v>25</v>
      </c>
      <c r="I17" s="76">
        <v>1</v>
      </c>
      <c r="J17" s="76">
        <v>0</v>
      </c>
      <c r="K17" s="76">
        <v>1</v>
      </c>
      <c r="L17" s="76">
        <v>1</v>
      </c>
      <c r="M17" s="258">
        <f>INDEX('C-P-RollAdj'!$P$4:$P$900,MATCH((V17),'C-P-RollAdj'!$O$4:$O$900,FALSE),0)</f>
        <v>142.32999999999998</v>
      </c>
      <c r="N17" s="76">
        <v>150</v>
      </c>
      <c r="O17" s="76">
        <v>93</v>
      </c>
      <c r="P17" s="76">
        <v>86</v>
      </c>
      <c r="Q17" s="76">
        <v>16</v>
      </c>
      <c r="R17" s="76">
        <v>72</v>
      </c>
      <c r="S17" s="76">
        <v>1</v>
      </c>
      <c r="T17" s="76">
        <v>125</v>
      </c>
      <c r="U17" s="76">
        <v>638</v>
      </c>
      <c r="V17" s="76">
        <v>142.1</v>
      </c>
      <c r="W17" s="76">
        <v>0.26800000000000002</v>
      </c>
      <c r="X17" s="76">
        <v>1.56</v>
      </c>
      <c r="Y17" s="76"/>
      <c r="Z17" s="76">
        <v>17</v>
      </c>
      <c r="AA17" t="s">
        <v>526</v>
      </c>
      <c r="AB17" s="76" t="s">
        <v>145</v>
      </c>
      <c r="AC17" s="76">
        <v>3</v>
      </c>
      <c r="AD17" s="76">
        <v>1</v>
      </c>
      <c r="AE17" s="76">
        <v>2</v>
      </c>
      <c r="AF17" s="76">
        <v>0</v>
      </c>
      <c r="AG17" s="76">
        <v>12</v>
      </c>
      <c r="AH17" s="76">
        <v>162</v>
      </c>
      <c r="AI17" s="76">
        <v>125</v>
      </c>
      <c r="AJ17" s="76">
        <v>5</v>
      </c>
      <c r="AK17" s="76">
        <v>1</v>
      </c>
      <c r="AL17" s="76">
        <v>26</v>
      </c>
      <c r="AM17" s="76">
        <v>4</v>
      </c>
      <c r="AN17" s="76">
        <v>0</v>
      </c>
      <c r="AO17" s="76">
        <v>2492</v>
      </c>
      <c r="AP17" s="202" t="s">
        <v>145</v>
      </c>
      <c r="AQ17" s="202">
        <v>0.66700000000000004</v>
      </c>
      <c r="AR17" s="202">
        <v>1.57</v>
      </c>
      <c r="AS17" s="202">
        <v>0.35199999999999998</v>
      </c>
      <c r="AT17" s="202">
        <v>0.44600000000000001</v>
      </c>
      <c r="AU17" s="202">
        <v>0.79800000000000004</v>
      </c>
      <c r="AV17" s="202">
        <v>8.27</v>
      </c>
      <c r="AW17" s="202">
        <v>3.7</v>
      </c>
      <c r="AX17" s="202">
        <v>9.58</v>
      </c>
      <c r="AY17" s="202">
        <v>2.2400000000000002</v>
      </c>
      <c r="AZ17" s="202">
        <v>16.98</v>
      </c>
    </row>
    <row r="18" spans="1:52" x14ac:dyDescent="0.2">
      <c r="A18" s="76">
        <v>24</v>
      </c>
      <c r="B18" t="s">
        <v>488</v>
      </c>
      <c r="C18" s="76" t="s">
        <v>145</v>
      </c>
      <c r="D18" s="76">
        <v>0</v>
      </c>
      <c r="E18" s="76">
        <v>0</v>
      </c>
      <c r="F18" s="76">
        <v>12</v>
      </c>
      <c r="G18" s="76">
        <v>7</v>
      </c>
      <c r="H18" s="76">
        <v>0</v>
      </c>
      <c r="I18" s="76">
        <v>0</v>
      </c>
      <c r="J18" s="76">
        <v>0</v>
      </c>
      <c r="K18" s="76">
        <v>0</v>
      </c>
      <c r="L18" s="76">
        <v>0</v>
      </c>
      <c r="M18" s="258">
        <f>INDEX('C-P-RollAdj'!$P$4:$P$900,MATCH((V18),'C-P-RollAdj'!$O$4:$O$900,FALSE),0)</f>
        <v>6</v>
      </c>
      <c r="N18" s="76">
        <v>11</v>
      </c>
      <c r="O18" s="76">
        <v>8</v>
      </c>
      <c r="P18" s="76">
        <v>8</v>
      </c>
      <c r="Q18" s="76">
        <v>3</v>
      </c>
      <c r="R18" s="76">
        <v>7</v>
      </c>
      <c r="S18" s="76">
        <v>0</v>
      </c>
      <c r="T18" s="76">
        <v>1</v>
      </c>
      <c r="U18" s="76">
        <v>35</v>
      </c>
      <c r="V18" s="76">
        <v>6</v>
      </c>
      <c r="W18" s="76">
        <v>0.40699999999999997</v>
      </c>
      <c r="X18" s="76">
        <v>3</v>
      </c>
      <c r="Y18" s="76"/>
      <c r="Z18" s="76">
        <v>24</v>
      </c>
      <c r="AA18" t="s">
        <v>488</v>
      </c>
      <c r="AB18" s="76" t="s">
        <v>145</v>
      </c>
      <c r="AC18" s="76">
        <v>0</v>
      </c>
      <c r="AD18" s="76">
        <v>0</v>
      </c>
      <c r="AE18" s="76">
        <v>2</v>
      </c>
      <c r="AF18" s="76">
        <v>1</v>
      </c>
      <c r="AG18" s="76">
        <v>1</v>
      </c>
      <c r="AH18" s="76">
        <v>7</v>
      </c>
      <c r="AI18" s="76">
        <v>9</v>
      </c>
      <c r="AJ18" s="76">
        <v>0</v>
      </c>
      <c r="AK18" s="76">
        <v>0</v>
      </c>
      <c r="AL18" s="76">
        <v>0</v>
      </c>
      <c r="AM18" s="76">
        <v>0</v>
      </c>
      <c r="AN18" s="76">
        <v>0</v>
      </c>
      <c r="AO18" s="76">
        <v>148</v>
      </c>
      <c r="AP18" s="202" t="s">
        <v>146</v>
      </c>
      <c r="AQ18" s="202">
        <v>0</v>
      </c>
      <c r="AR18" s="202">
        <v>0.28999999999999998</v>
      </c>
      <c r="AS18" s="202">
        <v>0.38800000000000001</v>
      </c>
      <c r="AT18" s="202">
        <v>0.61399999999999999</v>
      </c>
      <c r="AU18" s="202">
        <v>1.0009999999999999</v>
      </c>
      <c r="AV18" s="202">
        <v>6.97</v>
      </c>
      <c r="AW18" s="202">
        <v>3.48</v>
      </c>
      <c r="AX18" s="202">
        <v>13.06</v>
      </c>
      <c r="AY18" s="202">
        <v>2</v>
      </c>
      <c r="AZ18" s="202">
        <v>17.71</v>
      </c>
    </row>
    <row r="19" spans="1:52" x14ac:dyDescent="0.2">
      <c r="A19" s="76">
        <v>22</v>
      </c>
      <c r="B19" t="s">
        <v>491</v>
      </c>
      <c r="C19" s="76" t="s">
        <v>145</v>
      </c>
      <c r="D19" s="76">
        <v>2</v>
      </c>
      <c r="E19" s="76">
        <v>2</v>
      </c>
      <c r="F19" s="76">
        <v>6.93</v>
      </c>
      <c r="G19" s="76">
        <v>16</v>
      </c>
      <c r="H19" s="76">
        <v>0</v>
      </c>
      <c r="I19" s="76">
        <v>0</v>
      </c>
      <c r="J19" s="76">
        <v>0</v>
      </c>
      <c r="K19" s="76">
        <v>0</v>
      </c>
      <c r="L19" s="76">
        <v>3</v>
      </c>
      <c r="M19" s="258">
        <f>INDEX('C-P-RollAdj'!$P$4:$P$900,MATCH((V19),'C-P-RollAdj'!$O$4:$O$900,FALSE),0)</f>
        <v>24.67</v>
      </c>
      <c r="N19" s="76">
        <v>33</v>
      </c>
      <c r="O19" s="76">
        <v>19</v>
      </c>
      <c r="P19" s="76">
        <v>19</v>
      </c>
      <c r="Q19" s="76">
        <v>3</v>
      </c>
      <c r="R19" s="76">
        <v>10</v>
      </c>
      <c r="S19" s="76">
        <v>2</v>
      </c>
      <c r="T19" s="76">
        <v>7</v>
      </c>
      <c r="U19" s="76">
        <v>112</v>
      </c>
      <c r="V19" s="76">
        <v>24.2</v>
      </c>
      <c r="W19" s="76">
        <v>0.34</v>
      </c>
      <c r="X19" s="76">
        <v>1.74</v>
      </c>
      <c r="Y19" s="76"/>
      <c r="Z19" s="76">
        <v>22</v>
      </c>
      <c r="AA19" t="s">
        <v>491</v>
      </c>
      <c r="AB19" s="76" t="s">
        <v>145</v>
      </c>
      <c r="AC19" s="76">
        <v>2</v>
      </c>
      <c r="AD19" s="76">
        <v>2</v>
      </c>
      <c r="AE19" s="76">
        <v>2</v>
      </c>
      <c r="AF19" s="76">
        <v>1</v>
      </c>
      <c r="AG19" s="76">
        <v>6</v>
      </c>
      <c r="AH19" s="76">
        <v>40</v>
      </c>
      <c r="AI19" s="76">
        <v>20</v>
      </c>
      <c r="AJ19" s="76">
        <v>1</v>
      </c>
      <c r="AK19" s="76">
        <v>0</v>
      </c>
      <c r="AL19" s="76">
        <v>0</v>
      </c>
      <c r="AM19" s="76">
        <v>1</v>
      </c>
      <c r="AN19" s="76">
        <v>0</v>
      </c>
      <c r="AO19" s="76">
        <v>381</v>
      </c>
      <c r="AP19" s="202" t="s">
        <v>145</v>
      </c>
      <c r="AQ19" s="202" t="s">
        <v>243</v>
      </c>
      <c r="AR19" s="202">
        <v>0.67</v>
      </c>
      <c r="AS19" s="202">
        <v>0.28599999999999998</v>
      </c>
      <c r="AT19" s="202">
        <v>0.5</v>
      </c>
      <c r="AU19" s="202">
        <v>0.78600000000000003</v>
      </c>
      <c r="AV19" s="202">
        <v>0</v>
      </c>
      <c r="AW19" s="202">
        <v>0</v>
      </c>
      <c r="AX19" s="202">
        <v>10.8</v>
      </c>
      <c r="AY19" s="202" t="s">
        <v>243</v>
      </c>
      <c r="AZ19" s="202">
        <v>12</v>
      </c>
    </row>
    <row r="20" spans="1:52" x14ac:dyDescent="0.2">
      <c r="A20" s="76">
        <v>21</v>
      </c>
      <c r="B20" s="41" t="s">
        <v>323</v>
      </c>
      <c r="C20" s="76" t="s">
        <v>145</v>
      </c>
      <c r="D20" s="76">
        <v>2</v>
      </c>
      <c r="E20" s="76">
        <v>5</v>
      </c>
      <c r="F20" s="76">
        <v>6.17</v>
      </c>
      <c r="G20" s="76">
        <v>11</v>
      </c>
      <c r="H20" s="76">
        <v>11</v>
      </c>
      <c r="I20" s="76">
        <v>0</v>
      </c>
      <c r="J20" s="76">
        <v>0</v>
      </c>
      <c r="K20" s="76">
        <v>0</v>
      </c>
      <c r="L20" s="76">
        <v>0</v>
      </c>
      <c r="M20" s="258">
        <f>INDEX('C-P-RollAdj'!$P$4:$P$900,MATCH((V20),'C-P-RollAdj'!$O$4:$O$900,FALSE),0)</f>
        <v>54</v>
      </c>
      <c r="N20" s="76">
        <v>70</v>
      </c>
      <c r="O20" s="76">
        <v>38</v>
      </c>
      <c r="P20" s="76">
        <v>37</v>
      </c>
      <c r="Q20" s="76">
        <v>7</v>
      </c>
      <c r="R20" s="76">
        <v>15</v>
      </c>
      <c r="S20" s="76">
        <v>0</v>
      </c>
      <c r="T20" s="76">
        <v>55</v>
      </c>
      <c r="U20" s="76">
        <v>242</v>
      </c>
      <c r="V20" s="76">
        <v>54</v>
      </c>
      <c r="W20" s="76">
        <v>0.315</v>
      </c>
      <c r="X20" s="76">
        <v>1.57</v>
      </c>
      <c r="Y20" s="76"/>
      <c r="Z20" s="76">
        <v>21</v>
      </c>
      <c r="AA20" t="s">
        <v>323</v>
      </c>
      <c r="AB20" s="76" t="s">
        <v>145</v>
      </c>
      <c r="AC20" s="76">
        <v>3</v>
      </c>
      <c r="AD20" s="76">
        <v>0</v>
      </c>
      <c r="AE20" s="76">
        <v>0</v>
      </c>
      <c r="AF20" s="76">
        <v>0</v>
      </c>
      <c r="AG20" s="76">
        <v>4</v>
      </c>
      <c r="AH20" s="76">
        <v>63</v>
      </c>
      <c r="AI20" s="76">
        <v>36</v>
      </c>
      <c r="AJ20" s="76">
        <v>3</v>
      </c>
      <c r="AK20" s="76">
        <v>0</v>
      </c>
      <c r="AL20" s="76">
        <v>2</v>
      </c>
      <c r="AM20" s="76">
        <v>2</v>
      </c>
      <c r="AN20" s="76">
        <v>1</v>
      </c>
      <c r="AO20" s="76">
        <v>958</v>
      </c>
      <c r="AP20" s="202" t="s">
        <v>145</v>
      </c>
      <c r="AQ20" s="202">
        <v>0.375</v>
      </c>
      <c r="AR20" s="202">
        <v>0.81</v>
      </c>
      <c r="AS20" s="202">
        <v>0.36799999999999999</v>
      </c>
      <c r="AT20" s="202">
        <v>0.52</v>
      </c>
      <c r="AU20" s="202">
        <v>0.88700000000000001</v>
      </c>
      <c r="AV20" s="202">
        <v>5.24</v>
      </c>
      <c r="AW20" s="202">
        <v>3.63</v>
      </c>
      <c r="AX20" s="202">
        <v>10.48</v>
      </c>
      <c r="AY20" s="202">
        <v>1.44</v>
      </c>
      <c r="AZ20" s="202">
        <v>17.57</v>
      </c>
    </row>
    <row r="21" spans="1:52" x14ac:dyDescent="0.2">
      <c r="A21" s="76">
        <v>25</v>
      </c>
      <c r="B21" t="s">
        <v>1303</v>
      </c>
      <c r="C21" s="76" t="s">
        <v>145</v>
      </c>
      <c r="D21" s="76">
        <v>0</v>
      </c>
      <c r="E21" s="76">
        <v>0</v>
      </c>
      <c r="F21" s="76">
        <v>13.5</v>
      </c>
      <c r="G21" s="76">
        <v>1</v>
      </c>
      <c r="H21" s="76">
        <v>0</v>
      </c>
      <c r="I21" s="76">
        <v>0</v>
      </c>
      <c r="J21" s="76">
        <v>0</v>
      </c>
      <c r="K21" s="76">
        <v>0</v>
      </c>
      <c r="L21" s="76">
        <v>0</v>
      </c>
      <c r="M21" s="258">
        <f>INDEX('C-P-RollAdj'!$P$4:$P$900,MATCH((V21),'C-P-RollAdj'!$O$4:$O$900,FALSE),0)</f>
        <v>2</v>
      </c>
      <c r="N21" s="76">
        <v>4</v>
      </c>
      <c r="O21" s="76">
        <v>3</v>
      </c>
      <c r="P21" s="76">
        <v>3</v>
      </c>
      <c r="Q21" s="76">
        <v>0</v>
      </c>
      <c r="R21" s="76">
        <v>0</v>
      </c>
      <c r="S21" s="76">
        <v>0</v>
      </c>
      <c r="T21" s="76">
        <v>4</v>
      </c>
      <c r="U21" s="76">
        <v>11</v>
      </c>
      <c r="V21" s="76">
        <v>2</v>
      </c>
      <c r="W21" s="76">
        <v>0.36399999999999999</v>
      </c>
      <c r="X21" s="76">
        <v>2</v>
      </c>
      <c r="Y21" s="76"/>
      <c r="Z21" s="76">
        <v>25</v>
      </c>
      <c r="AA21" t="s">
        <v>1303</v>
      </c>
      <c r="AB21" s="76" t="s">
        <v>145</v>
      </c>
      <c r="AC21" s="76">
        <v>0</v>
      </c>
      <c r="AD21" s="76">
        <v>0</v>
      </c>
      <c r="AE21" s="76">
        <v>0</v>
      </c>
      <c r="AF21" s="76">
        <v>0</v>
      </c>
      <c r="AG21" s="76">
        <v>0</v>
      </c>
      <c r="AH21" s="76">
        <v>2</v>
      </c>
      <c r="AI21" s="76">
        <v>1</v>
      </c>
      <c r="AJ21" s="76">
        <v>0</v>
      </c>
      <c r="AK21" s="76">
        <v>0</v>
      </c>
      <c r="AL21" s="76">
        <v>0</v>
      </c>
      <c r="AM21" s="76">
        <v>0</v>
      </c>
      <c r="AN21" s="76">
        <v>0</v>
      </c>
      <c r="AO21" s="76">
        <v>50</v>
      </c>
      <c r="AP21" s="202" t="s">
        <v>146</v>
      </c>
      <c r="AQ21" s="202">
        <v>0</v>
      </c>
      <c r="AR21" s="202">
        <v>0.63</v>
      </c>
      <c r="AS21" s="202">
        <v>0.33900000000000002</v>
      </c>
      <c r="AT21" s="202">
        <v>0.48599999999999999</v>
      </c>
      <c r="AU21" s="202">
        <v>0.82499999999999996</v>
      </c>
      <c r="AV21" s="202">
        <v>6.37</v>
      </c>
      <c r="AW21" s="202">
        <v>3.18</v>
      </c>
      <c r="AX21" s="202">
        <v>9.5500000000000007</v>
      </c>
      <c r="AY21" s="202">
        <v>2</v>
      </c>
      <c r="AZ21" s="202">
        <v>15.83</v>
      </c>
    </row>
    <row r="22" spans="1:52" x14ac:dyDescent="0.2">
      <c r="A22" s="76">
        <v>11</v>
      </c>
      <c r="B22" s="41" t="s">
        <v>485</v>
      </c>
      <c r="C22" s="76" t="s">
        <v>145</v>
      </c>
      <c r="D22" s="76">
        <v>3</v>
      </c>
      <c r="E22" s="76">
        <v>1</v>
      </c>
      <c r="F22" s="76">
        <v>3.77</v>
      </c>
      <c r="G22" s="76">
        <v>34</v>
      </c>
      <c r="H22" s="76">
        <v>0</v>
      </c>
      <c r="I22" s="76">
        <v>0</v>
      </c>
      <c r="J22" s="76">
        <v>0</v>
      </c>
      <c r="K22" s="76">
        <v>3</v>
      </c>
      <c r="L22" s="76">
        <v>5</v>
      </c>
      <c r="M22" s="258">
        <f>INDEX('C-P-RollAdj'!$P$4:$P$900,MATCH((V22),'C-P-RollAdj'!$O$4:$O$900,FALSE),0)</f>
        <v>31</v>
      </c>
      <c r="N22" s="76">
        <v>25</v>
      </c>
      <c r="O22" s="76">
        <v>13</v>
      </c>
      <c r="P22" s="76">
        <v>13</v>
      </c>
      <c r="Q22" s="76">
        <v>6</v>
      </c>
      <c r="R22" s="76">
        <v>13</v>
      </c>
      <c r="S22" s="76">
        <v>2</v>
      </c>
      <c r="T22" s="76">
        <v>38</v>
      </c>
      <c r="U22" s="76">
        <v>131</v>
      </c>
      <c r="V22" s="76">
        <v>31</v>
      </c>
      <c r="W22" s="76">
        <v>0.214</v>
      </c>
      <c r="X22" s="76">
        <v>1.23</v>
      </c>
      <c r="Y22" s="76"/>
      <c r="Z22" s="76">
        <v>11</v>
      </c>
      <c r="AA22" t="s">
        <v>485</v>
      </c>
      <c r="AB22" s="76" t="s">
        <v>145</v>
      </c>
      <c r="AC22" s="76">
        <v>1</v>
      </c>
      <c r="AD22" s="76">
        <v>2</v>
      </c>
      <c r="AE22" s="76">
        <v>6</v>
      </c>
      <c r="AF22" s="76">
        <v>10</v>
      </c>
      <c r="AG22" s="76">
        <v>1</v>
      </c>
      <c r="AH22" s="76">
        <v>23</v>
      </c>
      <c r="AI22" s="76">
        <v>31</v>
      </c>
      <c r="AJ22" s="76">
        <v>0</v>
      </c>
      <c r="AK22" s="76">
        <v>0</v>
      </c>
      <c r="AL22" s="76">
        <v>1</v>
      </c>
      <c r="AM22" s="76">
        <v>0</v>
      </c>
      <c r="AN22" s="76">
        <v>0</v>
      </c>
      <c r="AO22" s="76">
        <v>537</v>
      </c>
      <c r="AP22" s="202" t="s">
        <v>145</v>
      </c>
      <c r="AQ22" s="202">
        <v>0.54500000000000004</v>
      </c>
      <c r="AR22" s="202">
        <v>1.37</v>
      </c>
      <c r="AS22" s="202">
        <v>0.33</v>
      </c>
      <c r="AT22" s="202">
        <v>0.39700000000000002</v>
      </c>
      <c r="AU22" s="202">
        <v>0.72799999999999998</v>
      </c>
      <c r="AV22" s="202">
        <v>8.2200000000000006</v>
      </c>
      <c r="AW22" s="202">
        <v>3.33</v>
      </c>
      <c r="AX22" s="202">
        <v>8.9</v>
      </c>
      <c r="AY22" s="202">
        <v>2.4700000000000002</v>
      </c>
      <c r="AZ22" s="202">
        <v>16.63</v>
      </c>
    </row>
    <row r="23" spans="1:52" x14ac:dyDescent="0.2">
      <c r="A23" s="76">
        <v>23</v>
      </c>
      <c r="B23" t="s">
        <v>1301</v>
      </c>
      <c r="C23" s="76" t="s">
        <v>145</v>
      </c>
      <c r="D23" s="76">
        <v>0</v>
      </c>
      <c r="E23" s="76">
        <v>0</v>
      </c>
      <c r="F23" s="76">
        <v>9.9499999999999993</v>
      </c>
      <c r="G23" s="76">
        <v>7</v>
      </c>
      <c r="H23" s="76">
        <v>0</v>
      </c>
      <c r="I23" s="76">
        <v>0</v>
      </c>
      <c r="J23" s="76">
        <v>0</v>
      </c>
      <c r="K23" s="76">
        <v>0</v>
      </c>
      <c r="L23" s="76">
        <v>0</v>
      </c>
      <c r="M23" s="258">
        <f>INDEX('C-P-RollAdj'!$P$4:$P$900,MATCH((V23),'C-P-RollAdj'!$O$4:$O$900,FALSE),0)</f>
        <v>6.33</v>
      </c>
      <c r="N23" s="76">
        <v>9</v>
      </c>
      <c r="O23" s="76">
        <v>7</v>
      </c>
      <c r="P23" s="76">
        <v>7</v>
      </c>
      <c r="Q23" s="76">
        <v>1</v>
      </c>
      <c r="R23" s="76">
        <v>3</v>
      </c>
      <c r="S23" s="76">
        <v>0</v>
      </c>
      <c r="T23" s="76">
        <v>4</v>
      </c>
      <c r="U23" s="76">
        <v>29</v>
      </c>
      <c r="V23" s="76">
        <v>6.1</v>
      </c>
      <c r="W23" s="76">
        <v>0.34599999999999997</v>
      </c>
      <c r="X23" s="76">
        <v>1.89</v>
      </c>
      <c r="Y23" s="76"/>
      <c r="Z23" s="76">
        <v>23</v>
      </c>
      <c r="AA23" t="s">
        <v>1301</v>
      </c>
      <c r="AB23" s="76" t="s">
        <v>145</v>
      </c>
      <c r="AC23" s="76">
        <v>0</v>
      </c>
      <c r="AD23" s="76">
        <v>0</v>
      </c>
      <c r="AE23" s="76">
        <v>1</v>
      </c>
      <c r="AF23" s="76">
        <v>1</v>
      </c>
      <c r="AG23" s="76">
        <v>1</v>
      </c>
      <c r="AH23" s="76">
        <v>9</v>
      </c>
      <c r="AI23" s="76">
        <v>4</v>
      </c>
      <c r="AJ23" s="76">
        <v>0</v>
      </c>
      <c r="AK23" s="76">
        <v>0</v>
      </c>
      <c r="AL23" s="76">
        <v>0</v>
      </c>
      <c r="AM23" s="76">
        <v>0</v>
      </c>
      <c r="AN23" s="76">
        <v>0</v>
      </c>
      <c r="AO23" s="76">
        <v>123</v>
      </c>
      <c r="AP23" s="102" t="s">
        <v>157</v>
      </c>
      <c r="AQ23" s="102" t="s">
        <v>1081</v>
      </c>
      <c r="AR23" s="102" t="s">
        <v>1068</v>
      </c>
      <c r="AS23" s="102" t="s">
        <v>1059</v>
      </c>
      <c r="AT23" s="102" t="s">
        <v>1060</v>
      </c>
      <c r="AU23" s="102" t="s">
        <v>1061</v>
      </c>
      <c r="AV23" s="102" t="s">
        <v>1092</v>
      </c>
      <c r="AW23" s="102" t="s">
        <v>1093</v>
      </c>
      <c r="AX23" s="102" t="s">
        <v>1094</v>
      </c>
      <c r="AY23" s="102" t="s">
        <v>1095</v>
      </c>
      <c r="AZ23" s="102" t="s">
        <v>1096</v>
      </c>
    </row>
    <row r="24" spans="1:52" x14ac:dyDescent="0.2">
      <c r="A24" s="76">
        <v>9</v>
      </c>
      <c r="B24" t="s">
        <v>325</v>
      </c>
      <c r="C24" s="76" t="s">
        <v>145</v>
      </c>
      <c r="D24" s="76">
        <v>1</v>
      </c>
      <c r="E24" s="76">
        <v>0</v>
      </c>
      <c r="F24" s="76">
        <v>3.72</v>
      </c>
      <c r="G24" s="76">
        <v>9</v>
      </c>
      <c r="H24" s="76">
        <v>0</v>
      </c>
      <c r="I24" s="76">
        <v>0</v>
      </c>
      <c r="J24" s="76">
        <v>0</v>
      </c>
      <c r="K24" s="76">
        <v>0</v>
      </c>
      <c r="L24" s="76">
        <v>0</v>
      </c>
      <c r="M24" s="258">
        <f>INDEX('C-P-RollAdj'!$P$4:$P$900,MATCH((V24),'C-P-RollAdj'!$O$4:$O$900,FALSE),0)</f>
        <v>9.67</v>
      </c>
      <c r="N24" s="76">
        <v>8</v>
      </c>
      <c r="O24" s="76">
        <v>4</v>
      </c>
      <c r="P24" s="76">
        <v>4</v>
      </c>
      <c r="Q24" s="76">
        <v>2</v>
      </c>
      <c r="R24" s="76">
        <v>7</v>
      </c>
      <c r="S24" s="76">
        <v>0</v>
      </c>
      <c r="T24" s="76">
        <v>11</v>
      </c>
      <c r="U24" s="76">
        <v>44</v>
      </c>
      <c r="V24" s="76">
        <v>9.1999999999999993</v>
      </c>
      <c r="W24" s="76">
        <v>0.216</v>
      </c>
      <c r="X24" s="76">
        <v>1.55</v>
      </c>
      <c r="Y24" s="76"/>
      <c r="Z24" s="76">
        <v>9</v>
      </c>
      <c r="AA24" t="s">
        <v>325</v>
      </c>
      <c r="AB24" s="76" t="s">
        <v>145</v>
      </c>
      <c r="AC24" s="76">
        <v>0</v>
      </c>
      <c r="AD24" s="76">
        <v>0</v>
      </c>
      <c r="AE24" s="76">
        <v>6</v>
      </c>
      <c r="AF24" s="76">
        <v>0</v>
      </c>
      <c r="AG24" s="76">
        <v>0</v>
      </c>
      <c r="AH24" s="76">
        <v>8</v>
      </c>
      <c r="AI24" s="76">
        <v>10</v>
      </c>
      <c r="AJ24" s="76">
        <v>1</v>
      </c>
      <c r="AK24" s="76">
        <v>0</v>
      </c>
      <c r="AL24" s="76">
        <v>1</v>
      </c>
      <c r="AM24" s="76">
        <v>0</v>
      </c>
      <c r="AN24" s="76">
        <v>0</v>
      </c>
      <c r="AO24" s="76">
        <v>172</v>
      </c>
      <c r="AP24" s="202" t="s">
        <v>145</v>
      </c>
      <c r="AQ24" s="202">
        <v>0.42899999999999999</v>
      </c>
      <c r="AR24" s="202">
        <v>0.87</v>
      </c>
      <c r="AS24" s="202">
        <v>0.33900000000000002</v>
      </c>
      <c r="AT24" s="202">
        <v>0.45600000000000002</v>
      </c>
      <c r="AU24" s="202">
        <v>0.79500000000000004</v>
      </c>
      <c r="AV24" s="202">
        <v>6.78</v>
      </c>
      <c r="AW24" s="202">
        <v>3.17</v>
      </c>
      <c r="AX24" s="202">
        <v>9.39</v>
      </c>
      <c r="AY24" s="202">
        <v>2.14</v>
      </c>
      <c r="AZ24" s="202">
        <v>16.86</v>
      </c>
    </row>
    <row r="25" spans="1:52" x14ac:dyDescent="0.2">
      <c r="A25" s="76">
        <v>10</v>
      </c>
      <c r="B25" s="41" t="s">
        <v>489</v>
      </c>
      <c r="C25" s="76" t="s">
        <v>145</v>
      </c>
      <c r="D25" s="76">
        <v>16</v>
      </c>
      <c r="E25" s="76">
        <v>6</v>
      </c>
      <c r="F25" s="76">
        <v>3.77</v>
      </c>
      <c r="G25" s="76">
        <v>30</v>
      </c>
      <c r="H25" s="76">
        <v>30</v>
      </c>
      <c r="I25" s="76">
        <v>0</v>
      </c>
      <c r="J25" s="76">
        <v>0</v>
      </c>
      <c r="K25" s="76">
        <v>0</v>
      </c>
      <c r="L25" s="76">
        <v>0</v>
      </c>
      <c r="M25" s="258">
        <f>INDEX('C-P-RollAdj'!$P$4:$P$900,MATCH((V25),'C-P-RollAdj'!$O$4:$O$900,FALSE),0)</f>
        <v>172</v>
      </c>
      <c r="N25" s="76">
        <v>155</v>
      </c>
      <c r="O25" s="76">
        <v>73</v>
      </c>
      <c r="P25" s="76">
        <v>72</v>
      </c>
      <c r="Q25" s="76">
        <v>19</v>
      </c>
      <c r="R25" s="76">
        <v>66</v>
      </c>
      <c r="S25" s="76">
        <v>1</v>
      </c>
      <c r="T25" s="76">
        <v>140</v>
      </c>
      <c r="U25" s="76">
        <v>715</v>
      </c>
      <c r="V25" s="76">
        <v>172</v>
      </c>
      <c r="W25" s="76">
        <v>0.24399999999999999</v>
      </c>
      <c r="X25" s="76">
        <v>1.28</v>
      </c>
      <c r="Y25" s="76"/>
      <c r="Z25" s="76">
        <v>10</v>
      </c>
      <c r="AA25" t="s">
        <v>489</v>
      </c>
      <c r="AB25" s="76" t="s">
        <v>145</v>
      </c>
      <c r="AC25" s="76">
        <v>7</v>
      </c>
      <c r="AD25" s="76">
        <v>1</v>
      </c>
      <c r="AE25" s="76">
        <v>0</v>
      </c>
      <c r="AF25" s="76">
        <v>0</v>
      </c>
      <c r="AG25" s="76">
        <v>20</v>
      </c>
      <c r="AH25" s="76">
        <v>168</v>
      </c>
      <c r="AI25" s="76">
        <v>179</v>
      </c>
      <c r="AJ25" s="76">
        <v>9</v>
      </c>
      <c r="AK25" s="76">
        <v>0</v>
      </c>
      <c r="AL25" s="76">
        <v>0</v>
      </c>
      <c r="AM25" s="76">
        <v>4</v>
      </c>
      <c r="AN25" s="76">
        <v>0</v>
      </c>
      <c r="AO25" s="76">
        <v>2936</v>
      </c>
      <c r="AP25" s="202" t="s">
        <v>145</v>
      </c>
      <c r="AQ25" s="202">
        <v>0.5</v>
      </c>
      <c r="AR25" s="202">
        <v>1.07</v>
      </c>
      <c r="AS25" s="202">
        <v>0.29599999999999999</v>
      </c>
      <c r="AT25" s="202">
        <v>0.35399999999999998</v>
      </c>
      <c r="AU25" s="202">
        <v>0.65</v>
      </c>
      <c r="AV25" s="202">
        <v>6.45</v>
      </c>
      <c r="AW25" s="202">
        <v>2.2200000000000002</v>
      </c>
      <c r="AX25" s="202">
        <v>8.26</v>
      </c>
      <c r="AY25" s="202">
        <v>2.91</v>
      </c>
      <c r="AZ25" s="202">
        <v>13.86</v>
      </c>
    </row>
    <row r="26" spans="1:52" x14ac:dyDescent="0.2">
      <c r="A26" s="76">
        <v>19</v>
      </c>
      <c r="B26" t="s">
        <v>1300</v>
      </c>
      <c r="C26" s="76" t="s">
        <v>145</v>
      </c>
      <c r="D26" s="76">
        <v>1</v>
      </c>
      <c r="E26" s="76">
        <v>0</v>
      </c>
      <c r="F26" s="76">
        <v>5.79</v>
      </c>
      <c r="G26" s="76">
        <v>5</v>
      </c>
      <c r="H26" s="76">
        <v>0</v>
      </c>
      <c r="I26" s="76">
        <v>0</v>
      </c>
      <c r="J26" s="76">
        <v>0</v>
      </c>
      <c r="K26" s="76">
        <v>0</v>
      </c>
      <c r="L26" s="76">
        <v>0</v>
      </c>
      <c r="M26" s="258">
        <f>INDEX('C-P-RollAdj'!$P$4:$P$900,MATCH((V26),'C-P-RollAdj'!$O$4:$O$900,FALSE),0)</f>
        <v>4.67</v>
      </c>
      <c r="N26" s="76">
        <v>5</v>
      </c>
      <c r="O26" s="76">
        <v>4</v>
      </c>
      <c r="P26" s="76">
        <v>3</v>
      </c>
      <c r="Q26" s="76">
        <v>1</v>
      </c>
      <c r="R26" s="76">
        <v>3</v>
      </c>
      <c r="S26" s="76">
        <v>0</v>
      </c>
      <c r="T26" s="76">
        <v>5</v>
      </c>
      <c r="U26" s="76">
        <v>22</v>
      </c>
      <c r="V26" s="76">
        <v>4.2</v>
      </c>
      <c r="W26" s="76">
        <v>0.26300000000000001</v>
      </c>
      <c r="X26" s="76">
        <v>1.71</v>
      </c>
      <c r="Y26" s="76"/>
      <c r="Z26" s="76">
        <v>19</v>
      </c>
      <c r="AA26" t="s">
        <v>1300</v>
      </c>
      <c r="AB26" s="76" t="s">
        <v>145</v>
      </c>
      <c r="AC26" s="76">
        <v>0</v>
      </c>
      <c r="AD26" s="76">
        <v>0</v>
      </c>
      <c r="AE26" s="76">
        <v>2</v>
      </c>
      <c r="AF26" s="76">
        <v>0</v>
      </c>
      <c r="AG26" s="76">
        <v>0</v>
      </c>
      <c r="AH26" s="76">
        <v>4</v>
      </c>
      <c r="AI26" s="76">
        <v>5</v>
      </c>
      <c r="AJ26" s="76">
        <v>0</v>
      </c>
      <c r="AK26" s="76">
        <v>0</v>
      </c>
      <c r="AL26" s="76">
        <v>0</v>
      </c>
      <c r="AM26" s="76">
        <v>1</v>
      </c>
      <c r="AN26" s="76">
        <v>0</v>
      </c>
      <c r="AO26" s="76">
        <v>105</v>
      </c>
      <c r="AP26" s="202" t="s">
        <v>145</v>
      </c>
      <c r="AQ26" s="202">
        <v>0.5</v>
      </c>
      <c r="AR26" s="202">
        <v>0.95</v>
      </c>
      <c r="AS26" s="202">
        <v>0.33200000000000002</v>
      </c>
      <c r="AT26" s="202">
        <v>0.43</v>
      </c>
      <c r="AU26" s="202">
        <v>0.76300000000000001</v>
      </c>
      <c r="AV26" s="202">
        <v>6.24</v>
      </c>
      <c r="AW26" s="202">
        <v>3.33</v>
      </c>
      <c r="AX26" s="202">
        <v>9.16</v>
      </c>
      <c r="AY26" s="202">
        <v>1.88</v>
      </c>
      <c r="AZ26" s="202">
        <v>17.010000000000002</v>
      </c>
    </row>
    <row r="27" spans="1:52" x14ac:dyDescent="0.2">
      <c r="A27" s="76">
        <v>15</v>
      </c>
      <c r="B27" s="41" t="s">
        <v>1170</v>
      </c>
      <c r="C27" s="76" t="s">
        <v>145</v>
      </c>
      <c r="D27" s="76">
        <v>4</v>
      </c>
      <c r="E27" s="76">
        <v>6</v>
      </c>
      <c r="F27" s="76">
        <v>5.27</v>
      </c>
      <c r="G27" s="76">
        <v>24</v>
      </c>
      <c r="H27" s="76">
        <v>13</v>
      </c>
      <c r="I27" s="76">
        <v>0</v>
      </c>
      <c r="J27" s="76">
        <v>0</v>
      </c>
      <c r="K27" s="76">
        <v>0</v>
      </c>
      <c r="L27" s="76">
        <v>0</v>
      </c>
      <c r="M27" s="258">
        <f>INDEX('C-P-RollAdj'!$P$4:$P$900,MATCH((V27),'C-P-RollAdj'!$O$4:$O$900,FALSE),0)</f>
        <v>94</v>
      </c>
      <c r="N27" s="76">
        <v>110</v>
      </c>
      <c r="O27" s="76">
        <v>57</v>
      </c>
      <c r="P27" s="76">
        <v>55</v>
      </c>
      <c r="Q27" s="76">
        <v>15</v>
      </c>
      <c r="R27" s="76">
        <v>24</v>
      </c>
      <c r="S27" s="76">
        <v>1</v>
      </c>
      <c r="T27" s="76">
        <v>55</v>
      </c>
      <c r="U27" s="76">
        <v>414</v>
      </c>
      <c r="V27" s="76">
        <v>94</v>
      </c>
      <c r="W27" s="76">
        <v>0.28799999999999998</v>
      </c>
      <c r="X27" s="76">
        <v>1.43</v>
      </c>
      <c r="Y27" s="76"/>
      <c r="Z27" s="76">
        <v>15</v>
      </c>
      <c r="AA27" t="s">
        <v>1170</v>
      </c>
      <c r="AB27" s="76" t="s">
        <v>145</v>
      </c>
      <c r="AC27" s="76">
        <v>4</v>
      </c>
      <c r="AD27" s="76">
        <v>1</v>
      </c>
      <c r="AE27" s="76">
        <v>5</v>
      </c>
      <c r="AF27" s="76">
        <v>0</v>
      </c>
      <c r="AG27" s="76">
        <v>8</v>
      </c>
      <c r="AH27" s="76">
        <v>118</v>
      </c>
      <c r="AI27" s="76">
        <v>103</v>
      </c>
      <c r="AJ27" s="76">
        <v>2</v>
      </c>
      <c r="AK27" s="76">
        <v>0</v>
      </c>
      <c r="AL27" s="76">
        <v>6</v>
      </c>
      <c r="AM27" s="76">
        <v>2</v>
      </c>
      <c r="AN27" s="76">
        <v>0</v>
      </c>
      <c r="AO27" s="76">
        <v>1470</v>
      </c>
      <c r="AP27" s="202" t="s">
        <v>145</v>
      </c>
      <c r="AQ27" s="202">
        <v>0.182</v>
      </c>
      <c r="AR27" s="202">
        <v>1.07</v>
      </c>
      <c r="AS27" s="202">
        <v>0.371</v>
      </c>
      <c r="AT27" s="202">
        <v>0.55900000000000005</v>
      </c>
      <c r="AU27" s="202">
        <v>0.93</v>
      </c>
      <c r="AV27" s="202">
        <v>6.78</v>
      </c>
      <c r="AW27" s="202">
        <v>3.39</v>
      </c>
      <c r="AX27" s="202">
        <v>11.4</v>
      </c>
      <c r="AY27" s="202">
        <v>2</v>
      </c>
      <c r="AZ27" s="202">
        <v>17.940000000000001</v>
      </c>
    </row>
    <row r="28" spans="1:52" x14ac:dyDescent="0.2">
      <c r="A28" s="76">
        <v>7</v>
      </c>
      <c r="B28" s="41" t="s">
        <v>581</v>
      </c>
      <c r="C28" s="76" t="s">
        <v>145</v>
      </c>
      <c r="D28" s="76">
        <v>2</v>
      </c>
      <c r="E28" s="76">
        <v>2</v>
      </c>
      <c r="F28" s="76">
        <v>3.53</v>
      </c>
      <c r="G28" s="76">
        <v>35</v>
      </c>
      <c r="H28" s="76">
        <v>4</v>
      </c>
      <c r="I28" s="76">
        <v>0</v>
      </c>
      <c r="J28" s="76">
        <v>0</v>
      </c>
      <c r="K28" s="76">
        <v>1</v>
      </c>
      <c r="L28" s="76">
        <v>1</v>
      </c>
      <c r="M28" s="258">
        <f>INDEX('C-P-RollAdj'!$P$4:$P$900,MATCH((V28),'C-P-RollAdj'!$O$4:$O$900,FALSE),0)</f>
        <v>86.67</v>
      </c>
      <c r="N28" s="76">
        <v>84</v>
      </c>
      <c r="O28" s="76">
        <v>37</v>
      </c>
      <c r="P28" s="76">
        <v>34</v>
      </c>
      <c r="Q28" s="76">
        <v>11</v>
      </c>
      <c r="R28" s="76">
        <v>35</v>
      </c>
      <c r="S28" s="76">
        <v>0</v>
      </c>
      <c r="T28" s="76">
        <v>56</v>
      </c>
      <c r="U28" s="76">
        <v>365</v>
      </c>
      <c r="V28" s="76">
        <v>86.2</v>
      </c>
      <c r="W28" s="76">
        <v>0.26100000000000001</v>
      </c>
      <c r="X28" s="76">
        <v>1.37</v>
      </c>
      <c r="Y28" s="76"/>
      <c r="Z28" s="76">
        <v>7</v>
      </c>
      <c r="AA28" t="s">
        <v>581</v>
      </c>
      <c r="AB28" s="76" t="s">
        <v>145</v>
      </c>
      <c r="AC28" s="76">
        <v>3</v>
      </c>
      <c r="AD28" s="76">
        <v>0</v>
      </c>
      <c r="AE28" s="76">
        <v>13</v>
      </c>
      <c r="AF28" s="76">
        <v>0</v>
      </c>
      <c r="AG28" s="76">
        <v>12</v>
      </c>
      <c r="AH28" s="76">
        <v>101</v>
      </c>
      <c r="AI28" s="76">
        <v>84</v>
      </c>
      <c r="AJ28" s="76">
        <v>3</v>
      </c>
      <c r="AK28" s="76">
        <v>0</v>
      </c>
      <c r="AL28" s="76">
        <v>2</v>
      </c>
      <c r="AM28" s="76">
        <v>1</v>
      </c>
      <c r="AN28" s="76">
        <v>0</v>
      </c>
      <c r="AO28" s="76">
        <v>1300</v>
      </c>
      <c r="AP28" s="202" t="s">
        <v>145</v>
      </c>
      <c r="AQ28" s="202">
        <v>0.36399999999999999</v>
      </c>
      <c r="AR28" s="202">
        <v>1.05</v>
      </c>
      <c r="AS28" s="202">
        <v>0.29899999999999999</v>
      </c>
      <c r="AT28" s="202">
        <v>0.44</v>
      </c>
      <c r="AU28" s="202">
        <v>0.73899999999999999</v>
      </c>
      <c r="AV28" s="202">
        <v>8.25</v>
      </c>
      <c r="AW28" s="202">
        <v>2.3199999999999998</v>
      </c>
      <c r="AX28" s="202">
        <v>8.73</v>
      </c>
      <c r="AY28" s="202">
        <v>3.55</v>
      </c>
      <c r="AZ28" s="202">
        <v>16.7</v>
      </c>
    </row>
    <row r="29" spans="1:52" x14ac:dyDescent="0.2">
      <c r="A29" s="76">
        <v>19</v>
      </c>
      <c r="B29" s="41" t="s">
        <v>1171</v>
      </c>
      <c r="C29" s="76" t="s">
        <v>145</v>
      </c>
      <c r="D29" s="76">
        <v>3</v>
      </c>
      <c r="E29" s="76">
        <v>4</v>
      </c>
      <c r="F29" s="76">
        <v>5.79</v>
      </c>
      <c r="G29" s="76">
        <v>18</v>
      </c>
      <c r="H29" s="76">
        <v>12</v>
      </c>
      <c r="I29" s="76">
        <v>0</v>
      </c>
      <c r="J29" s="76">
        <v>0</v>
      </c>
      <c r="K29" s="76">
        <v>0</v>
      </c>
      <c r="L29" s="76">
        <v>0</v>
      </c>
      <c r="M29" s="258">
        <f>INDEX('C-P-RollAdj'!$P$4:$P$900,MATCH((V29),'C-P-RollAdj'!$O$4:$O$900,FALSE),0)</f>
        <v>74.67</v>
      </c>
      <c r="N29" s="76">
        <v>81</v>
      </c>
      <c r="O29" s="76">
        <v>53</v>
      </c>
      <c r="P29" s="76">
        <v>48</v>
      </c>
      <c r="Q29" s="76">
        <v>12</v>
      </c>
      <c r="R29" s="76">
        <v>26</v>
      </c>
      <c r="S29" s="76">
        <v>0</v>
      </c>
      <c r="T29" s="76">
        <v>50</v>
      </c>
      <c r="U29" s="76">
        <v>328</v>
      </c>
      <c r="V29" s="76">
        <v>74.2</v>
      </c>
      <c r="W29" s="76">
        <v>0.28199999999999997</v>
      </c>
      <c r="X29" s="76">
        <v>1.43</v>
      </c>
      <c r="Y29" s="76"/>
      <c r="Z29" s="76">
        <v>19</v>
      </c>
      <c r="AA29" t="s">
        <v>1171</v>
      </c>
      <c r="AB29" s="76" t="s">
        <v>145</v>
      </c>
      <c r="AC29" s="76">
        <v>9</v>
      </c>
      <c r="AD29" s="76">
        <v>0</v>
      </c>
      <c r="AE29" s="76">
        <v>5</v>
      </c>
      <c r="AF29" s="76">
        <v>0</v>
      </c>
      <c r="AG29" s="76">
        <v>10</v>
      </c>
      <c r="AH29" s="76">
        <v>79</v>
      </c>
      <c r="AI29" s="76">
        <v>83</v>
      </c>
      <c r="AJ29" s="76">
        <v>2</v>
      </c>
      <c r="AK29" s="76">
        <v>0</v>
      </c>
      <c r="AL29" s="76">
        <v>0</v>
      </c>
      <c r="AM29" s="76">
        <v>1</v>
      </c>
      <c r="AN29" s="76">
        <v>0</v>
      </c>
      <c r="AO29" s="76">
        <v>1296</v>
      </c>
      <c r="AP29" s="202" t="s">
        <v>145</v>
      </c>
      <c r="AQ29" s="202">
        <v>0.5</v>
      </c>
      <c r="AR29" s="202">
        <v>1.5</v>
      </c>
      <c r="AS29" s="202">
        <v>0.34200000000000003</v>
      </c>
      <c r="AT29" s="202">
        <v>0.41499999999999998</v>
      </c>
      <c r="AU29" s="202">
        <v>0.75700000000000001</v>
      </c>
      <c r="AV29" s="202">
        <v>3.25</v>
      </c>
      <c r="AW29" s="202">
        <v>2.75</v>
      </c>
      <c r="AX29" s="202">
        <v>9.75</v>
      </c>
      <c r="AY29" s="202">
        <v>1.18</v>
      </c>
      <c r="AZ29" s="202">
        <v>14.44</v>
      </c>
    </row>
    <row r="30" spans="1:52" x14ac:dyDescent="0.2">
      <c r="A30" s="225" t="s">
        <v>105</v>
      </c>
      <c r="B30" s="225" t="s">
        <v>106</v>
      </c>
      <c r="C30" s="225" t="s">
        <v>157</v>
      </c>
      <c r="D30" s="225" t="s">
        <v>85</v>
      </c>
      <c r="E30" s="225" t="s">
        <v>86</v>
      </c>
      <c r="F30" s="225" t="s">
        <v>107</v>
      </c>
      <c r="G30" s="225" t="s">
        <v>108</v>
      </c>
      <c r="H30" s="225" t="s">
        <v>88</v>
      </c>
      <c r="I30" s="225" t="s">
        <v>89</v>
      </c>
      <c r="J30" s="225" t="s">
        <v>1073</v>
      </c>
      <c r="K30" s="225" t="s">
        <v>90</v>
      </c>
      <c r="L30" s="225" t="s">
        <v>158</v>
      </c>
      <c r="M30" s="225" t="s">
        <v>91</v>
      </c>
      <c r="N30" s="225" t="s">
        <v>92</v>
      </c>
      <c r="O30" s="225" t="s">
        <v>93</v>
      </c>
      <c r="P30" s="225" t="s">
        <v>94</v>
      </c>
      <c r="Q30" s="225" t="s">
        <v>95</v>
      </c>
      <c r="R30" s="225" t="s">
        <v>96</v>
      </c>
      <c r="S30" s="225" t="s">
        <v>98</v>
      </c>
      <c r="T30" s="225" t="s">
        <v>97</v>
      </c>
      <c r="U30" s="225" t="s">
        <v>109</v>
      </c>
      <c r="V30" s="225" t="s">
        <v>91</v>
      </c>
      <c r="W30" s="225" t="s">
        <v>1071</v>
      </c>
      <c r="X30" s="225" t="s">
        <v>1072</v>
      </c>
      <c r="Y30" s="225"/>
      <c r="Z30" s="225" t="s">
        <v>105</v>
      </c>
      <c r="AA30" s="225" t="s">
        <v>106</v>
      </c>
      <c r="AB30" s="225" t="s">
        <v>157</v>
      </c>
      <c r="AC30" s="225" t="s">
        <v>1074</v>
      </c>
      <c r="AD30" s="225" t="s">
        <v>98</v>
      </c>
      <c r="AE30" s="225" t="s">
        <v>1075</v>
      </c>
      <c r="AF30" s="225" t="s">
        <v>1076</v>
      </c>
      <c r="AG30" s="225" t="s">
        <v>1077</v>
      </c>
      <c r="AH30" s="225" t="s">
        <v>1066</v>
      </c>
      <c r="AI30" s="225" t="s">
        <v>1067</v>
      </c>
      <c r="AJ30" s="225" t="s">
        <v>1078</v>
      </c>
      <c r="AK30" s="225" t="s">
        <v>1079</v>
      </c>
      <c r="AL30" s="225" t="s">
        <v>1057</v>
      </c>
      <c r="AM30" s="225" t="s">
        <v>1058</v>
      </c>
      <c r="AN30" s="225" t="s">
        <v>1080</v>
      </c>
      <c r="AO30" s="225" t="s">
        <v>1069</v>
      </c>
      <c r="AP30" s="202" t="s">
        <v>146</v>
      </c>
      <c r="AQ30" s="202" t="s">
        <v>243</v>
      </c>
      <c r="AR30" s="202">
        <v>1.75</v>
      </c>
      <c r="AS30" s="202">
        <v>0.54800000000000004</v>
      </c>
      <c r="AT30" s="202">
        <v>0.92600000000000005</v>
      </c>
      <c r="AU30" s="202">
        <v>1.474</v>
      </c>
      <c r="AV30" s="202">
        <v>6.23</v>
      </c>
      <c r="AW30" s="202">
        <v>8.31</v>
      </c>
      <c r="AX30" s="202">
        <v>27</v>
      </c>
      <c r="AY30" s="202">
        <v>0.75</v>
      </c>
      <c r="AZ30" s="202">
        <v>29.54</v>
      </c>
    </row>
    <row r="31" spans="1:52" x14ac:dyDescent="0.2">
      <c r="A31" s="76">
        <v>21</v>
      </c>
      <c r="B31" s="41" t="s">
        <v>477</v>
      </c>
      <c r="C31" s="76" t="s">
        <v>146</v>
      </c>
      <c r="D31" s="76">
        <v>0</v>
      </c>
      <c r="E31" s="76">
        <v>2</v>
      </c>
      <c r="F31" s="76">
        <v>6.39</v>
      </c>
      <c r="G31" s="76">
        <v>18</v>
      </c>
      <c r="H31" s="76">
        <v>0</v>
      </c>
      <c r="I31" s="76">
        <v>0</v>
      </c>
      <c r="J31" s="76">
        <v>0</v>
      </c>
      <c r="K31" s="76">
        <v>0</v>
      </c>
      <c r="L31" s="76">
        <v>3</v>
      </c>
      <c r="M31" s="76">
        <v>12.2</v>
      </c>
      <c r="N31" s="76">
        <v>13</v>
      </c>
      <c r="O31" s="76">
        <v>9</v>
      </c>
      <c r="P31" s="76">
        <v>9</v>
      </c>
      <c r="Q31" s="76">
        <v>2</v>
      </c>
      <c r="R31" s="76">
        <v>8</v>
      </c>
      <c r="S31" s="76">
        <v>0</v>
      </c>
      <c r="T31" s="76">
        <v>12</v>
      </c>
      <c r="U31" s="76">
        <v>60</v>
      </c>
      <c r="V31" s="76">
        <v>12.2</v>
      </c>
      <c r="W31" s="76">
        <v>0.255</v>
      </c>
      <c r="X31" s="76">
        <v>1.66</v>
      </c>
      <c r="Y31" s="76"/>
      <c r="Z31" s="76">
        <v>21</v>
      </c>
      <c r="AA31" t="s">
        <v>477</v>
      </c>
      <c r="AB31" s="76" t="s">
        <v>146</v>
      </c>
      <c r="AC31" s="76">
        <v>1</v>
      </c>
      <c r="AD31" s="76">
        <v>0</v>
      </c>
      <c r="AE31" s="76">
        <v>7</v>
      </c>
      <c r="AF31" s="76">
        <v>2</v>
      </c>
      <c r="AG31" s="76">
        <v>1</v>
      </c>
      <c r="AH31" s="76">
        <v>10</v>
      </c>
      <c r="AI31" s="76">
        <v>16</v>
      </c>
      <c r="AJ31" s="76">
        <v>1</v>
      </c>
      <c r="AK31" s="76">
        <v>0</v>
      </c>
      <c r="AL31" s="76">
        <v>1</v>
      </c>
      <c r="AM31" s="76">
        <v>0</v>
      </c>
      <c r="AN31" s="76">
        <v>0</v>
      </c>
      <c r="AO31" s="76">
        <v>235</v>
      </c>
      <c r="AP31" s="202" t="s">
        <v>146</v>
      </c>
      <c r="AQ31" s="202">
        <v>0.55600000000000005</v>
      </c>
      <c r="AR31" s="202">
        <v>0.9</v>
      </c>
      <c r="AS31" s="202">
        <v>0.307</v>
      </c>
      <c r="AT31" s="202">
        <v>0.41399999999999998</v>
      </c>
      <c r="AU31" s="202">
        <v>0.72199999999999998</v>
      </c>
      <c r="AV31" s="202">
        <v>6.44</v>
      </c>
      <c r="AW31" s="202">
        <v>3.34</v>
      </c>
      <c r="AX31" s="202">
        <v>8.3000000000000007</v>
      </c>
      <c r="AY31" s="202">
        <v>1.93</v>
      </c>
      <c r="AZ31" s="202">
        <v>16.21</v>
      </c>
    </row>
    <row r="32" spans="1:52" x14ac:dyDescent="0.2">
      <c r="A32" s="76">
        <v>14</v>
      </c>
      <c r="B32" s="41" t="s">
        <v>788</v>
      </c>
      <c r="C32" s="76" t="s">
        <v>146</v>
      </c>
      <c r="D32" s="76">
        <v>4</v>
      </c>
      <c r="E32" s="76">
        <v>3</v>
      </c>
      <c r="F32" s="76">
        <v>4.05</v>
      </c>
      <c r="G32" s="76">
        <v>62</v>
      </c>
      <c r="H32" s="76">
        <v>0</v>
      </c>
      <c r="I32" s="76">
        <v>0</v>
      </c>
      <c r="J32" s="76">
        <v>0</v>
      </c>
      <c r="K32" s="76">
        <v>1</v>
      </c>
      <c r="L32" s="76">
        <v>2</v>
      </c>
      <c r="M32" s="76">
        <v>66.2</v>
      </c>
      <c r="N32" s="76">
        <v>62</v>
      </c>
      <c r="O32" s="76">
        <v>32</v>
      </c>
      <c r="P32" s="76">
        <v>30</v>
      </c>
      <c r="Q32" s="76">
        <v>6</v>
      </c>
      <c r="R32" s="76">
        <v>31</v>
      </c>
      <c r="S32" s="76">
        <v>1</v>
      </c>
      <c r="T32" s="76">
        <v>71</v>
      </c>
      <c r="U32" s="76">
        <v>287</v>
      </c>
      <c r="V32" s="76">
        <v>66.2</v>
      </c>
      <c r="W32" s="76">
        <v>0.248</v>
      </c>
      <c r="X32" s="76">
        <v>1.4</v>
      </c>
      <c r="Y32" s="76"/>
      <c r="Z32" s="76">
        <v>14</v>
      </c>
      <c r="AA32" t="s">
        <v>788</v>
      </c>
      <c r="AB32" s="76" t="s">
        <v>146</v>
      </c>
      <c r="AC32" s="76">
        <v>3</v>
      </c>
      <c r="AD32" s="76">
        <v>1</v>
      </c>
      <c r="AE32" s="76">
        <v>13</v>
      </c>
      <c r="AF32" s="76">
        <v>16</v>
      </c>
      <c r="AG32" s="76">
        <v>3</v>
      </c>
      <c r="AH32" s="76">
        <v>59</v>
      </c>
      <c r="AI32" s="76">
        <v>61</v>
      </c>
      <c r="AJ32" s="76">
        <v>4</v>
      </c>
      <c r="AK32" s="76">
        <v>0</v>
      </c>
      <c r="AL32" s="76">
        <v>7</v>
      </c>
      <c r="AM32" s="76">
        <v>5</v>
      </c>
      <c r="AN32" s="76">
        <v>0</v>
      </c>
      <c r="AO32" s="76">
        <v>1195</v>
      </c>
      <c r="AP32" s="202" t="s">
        <v>146</v>
      </c>
      <c r="AQ32" s="202">
        <v>0.375</v>
      </c>
      <c r="AR32" s="202">
        <v>1.21</v>
      </c>
      <c r="AS32" s="202">
        <v>0.33200000000000002</v>
      </c>
      <c r="AT32" s="202">
        <v>0.45500000000000002</v>
      </c>
      <c r="AU32" s="202">
        <v>0.78700000000000003</v>
      </c>
      <c r="AV32" s="202">
        <v>7.8</v>
      </c>
      <c r="AW32" s="202">
        <v>1.99</v>
      </c>
      <c r="AX32" s="202">
        <v>10.26</v>
      </c>
      <c r="AY32" s="202">
        <v>3.92</v>
      </c>
      <c r="AZ32" s="202">
        <v>15.95</v>
      </c>
    </row>
    <row r="33" spans="1:52" x14ac:dyDescent="0.2">
      <c r="A33" s="76">
        <v>18</v>
      </c>
      <c r="B33" s="41" t="s">
        <v>497</v>
      </c>
      <c r="C33" s="76" t="s">
        <v>146</v>
      </c>
      <c r="D33" s="76">
        <v>8</v>
      </c>
      <c r="E33" s="76">
        <v>10</v>
      </c>
      <c r="F33" s="76">
        <v>4.78</v>
      </c>
      <c r="G33" s="76">
        <v>37</v>
      </c>
      <c r="H33" s="76">
        <v>21</v>
      </c>
      <c r="I33" s="76">
        <v>0</v>
      </c>
      <c r="J33" s="76">
        <v>0</v>
      </c>
      <c r="K33" s="76">
        <v>0</v>
      </c>
      <c r="L33" s="76">
        <v>0</v>
      </c>
      <c r="M33" s="76">
        <v>139.1</v>
      </c>
      <c r="N33" s="76">
        <v>130</v>
      </c>
      <c r="O33" s="76">
        <v>80</v>
      </c>
      <c r="P33" s="76">
        <v>74</v>
      </c>
      <c r="Q33" s="76">
        <v>21</v>
      </c>
      <c r="R33" s="76">
        <v>55</v>
      </c>
      <c r="S33" s="76">
        <v>1</v>
      </c>
      <c r="T33" s="76">
        <v>93</v>
      </c>
      <c r="U33" s="76">
        <v>588</v>
      </c>
      <c r="V33" s="76">
        <v>139.1</v>
      </c>
      <c r="W33" s="76">
        <v>0.25</v>
      </c>
      <c r="X33" s="76">
        <v>1.33</v>
      </c>
      <c r="Y33" s="76"/>
      <c r="Z33" s="76">
        <v>18</v>
      </c>
      <c r="AA33" t="s">
        <v>497</v>
      </c>
      <c r="AB33" s="76" t="s">
        <v>146</v>
      </c>
      <c r="AC33" s="76">
        <v>5</v>
      </c>
      <c r="AD33" s="76">
        <v>1</v>
      </c>
      <c r="AE33" s="76">
        <v>7</v>
      </c>
      <c r="AF33" s="76">
        <v>2</v>
      </c>
      <c r="AG33" s="76">
        <v>17</v>
      </c>
      <c r="AH33" s="76">
        <v>140</v>
      </c>
      <c r="AI33" s="76">
        <v>165</v>
      </c>
      <c r="AJ33" s="76">
        <v>1</v>
      </c>
      <c r="AK33" s="76">
        <v>0</v>
      </c>
      <c r="AL33" s="76">
        <v>3</v>
      </c>
      <c r="AM33" s="76">
        <v>4</v>
      </c>
      <c r="AN33" s="76">
        <v>0</v>
      </c>
      <c r="AO33" s="76">
        <v>2226</v>
      </c>
      <c r="AP33" s="202" t="s">
        <v>146</v>
      </c>
      <c r="AQ33" s="202">
        <v>0.222</v>
      </c>
      <c r="AR33" s="202">
        <v>0.75</v>
      </c>
      <c r="AS33" s="202">
        <v>0.32</v>
      </c>
      <c r="AT33" s="202">
        <v>0.43099999999999999</v>
      </c>
      <c r="AU33" s="202">
        <v>0.751</v>
      </c>
      <c r="AV33" s="202">
        <v>8.59</v>
      </c>
      <c r="AW33" s="202">
        <v>1.99</v>
      </c>
      <c r="AX33" s="202">
        <v>9.9700000000000006</v>
      </c>
      <c r="AY33" s="202">
        <v>4.3099999999999996</v>
      </c>
      <c r="AZ33" s="202">
        <v>16.260000000000002</v>
      </c>
    </row>
    <row r="34" spans="1:52" x14ac:dyDescent="0.2">
      <c r="A34" s="76">
        <v>11</v>
      </c>
      <c r="B34" t="s">
        <v>1307</v>
      </c>
      <c r="C34" s="76" t="s">
        <v>146</v>
      </c>
      <c r="D34" s="76">
        <v>0</v>
      </c>
      <c r="E34" s="76">
        <v>1</v>
      </c>
      <c r="F34" s="76">
        <v>3.6</v>
      </c>
      <c r="G34" s="76">
        <v>3</v>
      </c>
      <c r="H34" s="76">
        <v>0</v>
      </c>
      <c r="I34" s="76">
        <v>0</v>
      </c>
      <c r="J34" s="76">
        <v>0</v>
      </c>
      <c r="K34" s="76">
        <v>0</v>
      </c>
      <c r="L34" s="76">
        <v>0</v>
      </c>
      <c r="M34" s="76">
        <v>5</v>
      </c>
      <c r="N34" s="76">
        <v>5</v>
      </c>
      <c r="O34" s="76">
        <v>2</v>
      </c>
      <c r="P34" s="76">
        <v>2</v>
      </c>
      <c r="Q34" s="76">
        <v>0</v>
      </c>
      <c r="R34" s="76">
        <v>6</v>
      </c>
      <c r="S34" s="76">
        <v>0</v>
      </c>
      <c r="T34" s="76">
        <v>3</v>
      </c>
      <c r="U34" s="76">
        <v>24</v>
      </c>
      <c r="V34" s="76">
        <v>5</v>
      </c>
      <c r="W34" s="76">
        <v>0.29399999999999998</v>
      </c>
      <c r="X34" s="76">
        <v>2.2000000000000002</v>
      </c>
      <c r="Y34" s="76"/>
      <c r="Z34" s="76">
        <v>11</v>
      </c>
      <c r="AA34" t="s">
        <v>1307</v>
      </c>
      <c r="AB34" s="76" t="s">
        <v>146</v>
      </c>
      <c r="AC34" s="76">
        <v>0</v>
      </c>
      <c r="AD34" s="76">
        <v>0</v>
      </c>
      <c r="AE34" s="76">
        <v>2</v>
      </c>
      <c r="AF34" s="76">
        <v>0</v>
      </c>
      <c r="AG34" s="76">
        <v>0</v>
      </c>
      <c r="AH34" s="76">
        <v>3</v>
      </c>
      <c r="AI34" s="76">
        <v>7</v>
      </c>
      <c r="AJ34" s="76">
        <v>0</v>
      </c>
      <c r="AK34" s="76">
        <v>0</v>
      </c>
      <c r="AL34" s="76">
        <v>0</v>
      </c>
      <c r="AM34" s="76">
        <v>0</v>
      </c>
      <c r="AN34" s="76">
        <v>0</v>
      </c>
      <c r="AO34" s="76">
        <v>98</v>
      </c>
      <c r="AP34" s="202" t="s">
        <v>146</v>
      </c>
      <c r="AQ34" s="202">
        <v>0.5</v>
      </c>
      <c r="AR34" s="202">
        <v>1.42</v>
      </c>
      <c r="AS34" s="202">
        <v>0.34499999999999997</v>
      </c>
      <c r="AT34" s="202">
        <v>0.49</v>
      </c>
      <c r="AU34" s="202">
        <v>0.83599999999999997</v>
      </c>
      <c r="AV34" s="202">
        <v>5.27</v>
      </c>
      <c r="AW34" s="202">
        <v>1.98</v>
      </c>
      <c r="AX34" s="202">
        <v>9.8800000000000008</v>
      </c>
      <c r="AY34" s="202">
        <v>2.67</v>
      </c>
      <c r="AZ34" s="202">
        <v>15.37</v>
      </c>
    </row>
    <row r="35" spans="1:52" x14ac:dyDescent="0.2">
      <c r="A35" s="76">
        <v>24</v>
      </c>
      <c r="B35" t="s">
        <v>820</v>
      </c>
      <c r="C35" s="76" t="s">
        <v>146</v>
      </c>
      <c r="D35" s="76">
        <v>0</v>
      </c>
      <c r="E35" s="76">
        <v>1</v>
      </c>
      <c r="F35" s="76">
        <v>12.91</v>
      </c>
      <c r="G35" s="76">
        <v>3</v>
      </c>
      <c r="H35" s="76">
        <v>1</v>
      </c>
      <c r="I35" s="76">
        <v>0</v>
      </c>
      <c r="J35" s="76">
        <v>0</v>
      </c>
      <c r="K35" s="76">
        <v>0</v>
      </c>
      <c r="L35" s="76">
        <v>0</v>
      </c>
      <c r="M35" s="76">
        <v>7.2</v>
      </c>
      <c r="N35" s="76">
        <v>15</v>
      </c>
      <c r="O35" s="76">
        <v>11</v>
      </c>
      <c r="P35" s="76">
        <v>11</v>
      </c>
      <c r="Q35" s="76">
        <v>2</v>
      </c>
      <c r="R35" s="76">
        <v>5</v>
      </c>
      <c r="S35" s="76">
        <v>1</v>
      </c>
      <c r="T35" s="76">
        <v>3</v>
      </c>
      <c r="U35" s="76">
        <v>41</v>
      </c>
      <c r="V35" s="76">
        <v>7.2</v>
      </c>
      <c r="W35" s="76">
        <v>0.41699999999999998</v>
      </c>
      <c r="X35" s="76">
        <v>2.61</v>
      </c>
      <c r="Y35" s="76"/>
      <c r="Z35" s="76">
        <v>24</v>
      </c>
      <c r="AA35" t="s">
        <v>820</v>
      </c>
      <c r="AB35" s="76" t="s">
        <v>146</v>
      </c>
      <c r="AC35" s="76">
        <v>0</v>
      </c>
      <c r="AD35" s="76">
        <v>1</v>
      </c>
      <c r="AE35" s="76">
        <v>2</v>
      </c>
      <c r="AF35" s="76">
        <v>0</v>
      </c>
      <c r="AG35" s="76">
        <v>1</v>
      </c>
      <c r="AH35" s="76">
        <v>10</v>
      </c>
      <c r="AI35" s="76">
        <v>8</v>
      </c>
      <c r="AJ35" s="76">
        <v>0</v>
      </c>
      <c r="AK35" s="76">
        <v>0</v>
      </c>
      <c r="AL35" s="76">
        <v>0</v>
      </c>
      <c r="AM35" s="76">
        <v>0</v>
      </c>
      <c r="AN35" s="76">
        <v>0</v>
      </c>
      <c r="AO35" s="76">
        <v>127</v>
      </c>
      <c r="AP35" s="202" t="s">
        <v>147</v>
      </c>
      <c r="AQ35" s="202">
        <v>0</v>
      </c>
      <c r="AR35" s="202">
        <v>1.33</v>
      </c>
      <c r="AS35" s="202">
        <v>0.46700000000000003</v>
      </c>
      <c r="AT35" s="202">
        <v>0.57699999999999996</v>
      </c>
      <c r="AU35" s="202">
        <v>1.044</v>
      </c>
      <c r="AV35" s="202">
        <v>4.5</v>
      </c>
      <c r="AW35" s="202">
        <v>6</v>
      </c>
      <c r="AX35" s="202">
        <v>15</v>
      </c>
      <c r="AY35" s="202">
        <v>0.75</v>
      </c>
      <c r="AZ35" s="202">
        <v>16.829999999999998</v>
      </c>
    </row>
    <row r="36" spans="1:52" x14ac:dyDescent="0.2">
      <c r="A36" s="76">
        <v>5</v>
      </c>
      <c r="B36" s="41" t="s">
        <v>447</v>
      </c>
      <c r="C36" s="76" t="s">
        <v>146</v>
      </c>
      <c r="D36" s="76">
        <v>4</v>
      </c>
      <c r="E36" s="76">
        <v>1</v>
      </c>
      <c r="F36" s="76">
        <v>2.65</v>
      </c>
      <c r="G36" s="76">
        <v>38</v>
      </c>
      <c r="H36" s="76">
        <v>0</v>
      </c>
      <c r="I36" s="76">
        <v>0</v>
      </c>
      <c r="J36" s="76">
        <v>0</v>
      </c>
      <c r="K36" s="76">
        <v>0</v>
      </c>
      <c r="L36" s="76">
        <v>2</v>
      </c>
      <c r="M36" s="76">
        <v>51</v>
      </c>
      <c r="N36" s="76">
        <v>51</v>
      </c>
      <c r="O36" s="76">
        <v>23</v>
      </c>
      <c r="P36" s="76">
        <v>15</v>
      </c>
      <c r="Q36" s="76">
        <v>6</v>
      </c>
      <c r="R36" s="76">
        <v>17</v>
      </c>
      <c r="S36" s="76">
        <v>1</v>
      </c>
      <c r="T36" s="76">
        <v>47</v>
      </c>
      <c r="U36" s="76">
        <v>223</v>
      </c>
      <c r="V36" s="76">
        <v>51</v>
      </c>
      <c r="W36" s="76">
        <v>0.249</v>
      </c>
      <c r="X36" s="76">
        <v>1.33</v>
      </c>
      <c r="Y36" s="76"/>
      <c r="Z36" s="76">
        <v>5</v>
      </c>
      <c r="AA36" t="s">
        <v>447</v>
      </c>
      <c r="AB36" s="76" t="s">
        <v>146</v>
      </c>
      <c r="AC36" s="76">
        <v>0</v>
      </c>
      <c r="AD36" s="76">
        <v>1</v>
      </c>
      <c r="AE36" s="76">
        <v>8</v>
      </c>
      <c r="AF36" s="76">
        <v>6</v>
      </c>
      <c r="AG36" s="76">
        <v>2</v>
      </c>
      <c r="AH36" s="76">
        <v>44</v>
      </c>
      <c r="AI36" s="76">
        <v>64</v>
      </c>
      <c r="AJ36" s="76">
        <v>0</v>
      </c>
      <c r="AK36" s="76">
        <v>0</v>
      </c>
      <c r="AL36" s="76">
        <v>6</v>
      </c>
      <c r="AM36" s="76">
        <v>1</v>
      </c>
      <c r="AN36" s="76">
        <v>0</v>
      </c>
      <c r="AO36" s="76">
        <v>862</v>
      </c>
      <c r="AP36" s="202" t="s">
        <v>146</v>
      </c>
      <c r="AQ36" s="202">
        <v>0.625</v>
      </c>
      <c r="AR36" s="202">
        <v>1.27</v>
      </c>
      <c r="AS36" s="202">
        <v>0.34100000000000003</v>
      </c>
      <c r="AT36" s="202">
        <v>0.42799999999999999</v>
      </c>
      <c r="AU36" s="202">
        <v>0.76900000000000002</v>
      </c>
      <c r="AV36" s="202">
        <v>7.37</v>
      </c>
      <c r="AW36" s="202">
        <v>3.28</v>
      </c>
      <c r="AX36" s="202">
        <v>9.7100000000000009</v>
      </c>
      <c r="AY36" s="202">
        <v>2.2400000000000002</v>
      </c>
      <c r="AZ36" s="202">
        <v>17.7</v>
      </c>
    </row>
    <row r="37" spans="1:52" x14ac:dyDescent="0.2">
      <c r="A37" s="76">
        <v>19</v>
      </c>
      <c r="B37" s="41" t="s">
        <v>463</v>
      </c>
      <c r="C37" s="76" t="s">
        <v>146</v>
      </c>
      <c r="D37" s="76">
        <v>4</v>
      </c>
      <c r="E37" s="76">
        <v>0</v>
      </c>
      <c r="F37" s="76">
        <v>5.18</v>
      </c>
      <c r="G37" s="76">
        <v>20</v>
      </c>
      <c r="H37" s="76">
        <v>6</v>
      </c>
      <c r="I37" s="76">
        <v>0</v>
      </c>
      <c r="J37" s="76">
        <v>0</v>
      </c>
      <c r="K37" s="76">
        <v>0</v>
      </c>
      <c r="L37" s="76">
        <v>1</v>
      </c>
      <c r="M37" s="76">
        <v>40</v>
      </c>
      <c r="N37" s="76">
        <v>44</v>
      </c>
      <c r="O37" s="76">
        <v>23</v>
      </c>
      <c r="P37" s="76">
        <v>23</v>
      </c>
      <c r="Q37" s="76">
        <v>5</v>
      </c>
      <c r="R37" s="76">
        <v>24</v>
      </c>
      <c r="S37" s="76">
        <v>0</v>
      </c>
      <c r="T37" s="76">
        <v>48</v>
      </c>
      <c r="U37" s="76">
        <v>188</v>
      </c>
      <c r="V37" s="76">
        <v>40</v>
      </c>
      <c r="W37" s="76">
        <v>0.27800000000000002</v>
      </c>
      <c r="X37" s="76">
        <v>1.7</v>
      </c>
      <c r="Y37" s="76"/>
      <c r="Z37" s="76">
        <v>19</v>
      </c>
      <c r="AA37" t="s">
        <v>463</v>
      </c>
      <c r="AB37" s="76" t="s">
        <v>146</v>
      </c>
      <c r="AC37" s="76">
        <v>2</v>
      </c>
      <c r="AD37" s="76">
        <v>0</v>
      </c>
      <c r="AE37" s="76">
        <v>6</v>
      </c>
      <c r="AF37" s="76">
        <v>2</v>
      </c>
      <c r="AG37" s="76">
        <v>2</v>
      </c>
      <c r="AH37" s="76">
        <v>41</v>
      </c>
      <c r="AI37" s="76">
        <v>29</v>
      </c>
      <c r="AJ37" s="76">
        <v>0</v>
      </c>
      <c r="AK37" s="76">
        <v>0</v>
      </c>
      <c r="AL37" s="76">
        <v>0</v>
      </c>
      <c r="AM37" s="76">
        <v>0</v>
      </c>
      <c r="AN37" s="76">
        <v>0</v>
      </c>
      <c r="AO37" s="76">
        <v>739</v>
      </c>
      <c r="AP37" s="202" t="s">
        <v>146</v>
      </c>
      <c r="AQ37" s="202">
        <v>0.33300000000000002</v>
      </c>
      <c r="AR37" s="202">
        <v>0.52</v>
      </c>
      <c r="AS37" s="202">
        <v>0.23300000000000001</v>
      </c>
      <c r="AT37" s="202">
        <v>0.32900000000000001</v>
      </c>
      <c r="AU37" s="202">
        <v>0.56200000000000006</v>
      </c>
      <c r="AV37" s="202">
        <v>10.49</v>
      </c>
      <c r="AW37" s="202">
        <v>2.0099999999999998</v>
      </c>
      <c r="AX37" s="202">
        <v>6.25</v>
      </c>
      <c r="AY37" s="202">
        <v>5.22</v>
      </c>
      <c r="AZ37" s="202">
        <v>15.69</v>
      </c>
    </row>
    <row r="38" spans="1:52" x14ac:dyDescent="0.2">
      <c r="A38" s="76">
        <v>9</v>
      </c>
      <c r="B38" s="41" t="s">
        <v>332</v>
      </c>
      <c r="C38" s="76" t="s">
        <v>146</v>
      </c>
      <c r="D38" s="76">
        <v>2</v>
      </c>
      <c r="E38" s="76">
        <v>6</v>
      </c>
      <c r="F38" s="76">
        <v>3.4</v>
      </c>
      <c r="G38" s="76">
        <v>57</v>
      </c>
      <c r="H38" s="76">
        <v>0</v>
      </c>
      <c r="I38" s="76">
        <v>0</v>
      </c>
      <c r="J38" s="76">
        <v>0</v>
      </c>
      <c r="K38" s="76">
        <v>31</v>
      </c>
      <c r="L38" s="76">
        <v>33</v>
      </c>
      <c r="M38" s="76">
        <v>53</v>
      </c>
      <c r="N38" s="76">
        <v>28</v>
      </c>
      <c r="O38" s="76">
        <v>22</v>
      </c>
      <c r="P38" s="76">
        <v>20</v>
      </c>
      <c r="Q38" s="76">
        <v>4</v>
      </c>
      <c r="R38" s="76">
        <v>30</v>
      </c>
      <c r="S38" s="76">
        <v>0</v>
      </c>
      <c r="T38" s="76">
        <v>83</v>
      </c>
      <c r="U38" s="76">
        <v>220</v>
      </c>
      <c r="V38" s="76">
        <v>53</v>
      </c>
      <c r="W38" s="76">
        <v>0.152</v>
      </c>
      <c r="X38" s="76">
        <v>1.0900000000000001</v>
      </c>
      <c r="Y38" s="76"/>
      <c r="Z38" s="76">
        <v>9</v>
      </c>
      <c r="AA38" t="s">
        <v>332</v>
      </c>
      <c r="AB38" s="76" t="s">
        <v>146</v>
      </c>
      <c r="AC38" s="76">
        <v>4</v>
      </c>
      <c r="AD38" s="76">
        <v>0</v>
      </c>
      <c r="AE38" s="76">
        <v>47</v>
      </c>
      <c r="AF38" s="76">
        <v>1</v>
      </c>
      <c r="AG38" s="76">
        <v>3</v>
      </c>
      <c r="AH38" s="76">
        <v>25</v>
      </c>
      <c r="AI38" s="76">
        <v>50</v>
      </c>
      <c r="AJ38" s="76">
        <v>6</v>
      </c>
      <c r="AK38" s="76">
        <v>0</v>
      </c>
      <c r="AL38" s="76">
        <v>2</v>
      </c>
      <c r="AM38" s="76">
        <v>0</v>
      </c>
      <c r="AN38" s="76">
        <v>0</v>
      </c>
      <c r="AO38" s="76">
        <v>935</v>
      </c>
      <c r="AP38" s="202" t="s">
        <v>146</v>
      </c>
      <c r="AQ38" s="202" t="s">
        <v>243</v>
      </c>
      <c r="AR38" s="202">
        <v>1</v>
      </c>
      <c r="AS38" s="202">
        <v>0.44400000000000001</v>
      </c>
      <c r="AT38" s="202">
        <v>0.875</v>
      </c>
      <c r="AU38" s="202">
        <v>1.319</v>
      </c>
      <c r="AV38" s="202">
        <v>4.5</v>
      </c>
      <c r="AW38" s="202">
        <v>4.5</v>
      </c>
      <c r="AX38" s="202">
        <v>13.5</v>
      </c>
      <c r="AY38" s="202">
        <v>1</v>
      </c>
      <c r="AZ38" s="202">
        <v>14</v>
      </c>
    </row>
    <row r="39" spans="1:52" x14ac:dyDescent="0.2">
      <c r="A39" s="76">
        <v>1</v>
      </c>
      <c r="B39" t="s">
        <v>1305</v>
      </c>
      <c r="C39" s="76" t="s">
        <v>146</v>
      </c>
      <c r="D39" s="76">
        <v>0</v>
      </c>
      <c r="E39" s="76">
        <v>0</v>
      </c>
      <c r="F39" s="76">
        <v>0</v>
      </c>
      <c r="G39" s="76">
        <v>1</v>
      </c>
      <c r="H39" s="76">
        <v>0</v>
      </c>
      <c r="I39" s="76">
        <v>0</v>
      </c>
      <c r="J39" s="76">
        <v>0</v>
      </c>
      <c r="K39" s="76">
        <v>0</v>
      </c>
      <c r="L39" s="76">
        <v>0</v>
      </c>
      <c r="M39" s="76">
        <v>1</v>
      </c>
      <c r="N39" s="76">
        <v>2</v>
      </c>
      <c r="O39" s="76">
        <v>0</v>
      </c>
      <c r="P39" s="76">
        <v>0</v>
      </c>
      <c r="Q39" s="76">
        <v>0</v>
      </c>
      <c r="R39" s="76">
        <v>0</v>
      </c>
      <c r="S39" s="76">
        <v>0</v>
      </c>
      <c r="T39" s="76">
        <v>0</v>
      </c>
      <c r="U39" s="76">
        <v>5</v>
      </c>
      <c r="V39" s="76">
        <v>1</v>
      </c>
      <c r="W39" s="76">
        <v>0.4</v>
      </c>
      <c r="X39" s="76">
        <v>2</v>
      </c>
      <c r="Y39" s="76"/>
      <c r="Z39" s="76">
        <v>1</v>
      </c>
      <c r="AA39" t="s">
        <v>1305</v>
      </c>
      <c r="AB39" s="76" t="s">
        <v>146</v>
      </c>
      <c r="AC39" s="76">
        <v>0</v>
      </c>
      <c r="AD39" s="76">
        <v>0</v>
      </c>
      <c r="AE39" s="76">
        <v>1</v>
      </c>
      <c r="AF39" s="76">
        <v>0</v>
      </c>
      <c r="AG39" s="76">
        <v>0</v>
      </c>
      <c r="AH39" s="76">
        <v>0</v>
      </c>
      <c r="AI39" s="76">
        <v>3</v>
      </c>
      <c r="AJ39" s="76">
        <v>0</v>
      </c>
      <c r="AK39" s="76">
        <v>0</v>
      </c>
      <c r="AL39" s="76">
        <v>0</v>
      </c>
      <c r="AM39" s="76">
        <v>0</v>
      </c>
      <c r="AN39" s="76">
        <v>0</v>
      </c>
      <c r="AO39" s="76">
        <v>12</v>
      </c>
      <c r="AP39" s="202" t="s">
        <v>146</v>
      </c>
      <c r="AQ39" s="202">
        <v>1</v>
      </c>
      <c r="AR39" s="202">
        <v>0.54</v>
      </c>
      <c r="AS39" s="202">
        <v>0.32100000000000001</v>
      </c>
      <c r="AT39" s="202">
        <v>0.47399999999999998</v>
      </c>
      <c r="AU39" s="202">
        <v>0.79500000000000004</v>
      </c>
      <c r="AV39" s="202">
        <v>5.33</v>
      </c>
      <c r="AW39" s="202">
        <v>3.2</v>
      </c>
      <c r="AX39" s="202">
        <v>8.8800000000000008</v>
      </c>
      <c r="AY39" s="202">
        <v>1.67</v>
      </c>
      <c r="AZ39" s="202">
        <v>15.47</v>
      </c>
    </row>
    <row r="40" spans="1:52" x14ac:dyDescent="0.2">
      <c r="A40" s="76">
        <v>12</v>
      </c>
      <c r="B40" t="s">
        <v>437</v>
      </c>
      <c r="C40" s="76" t="s">
        <v>146</v>
      </c>
      <c r="D40" s="76">
        <v>0</v>
      </c>
      <c r="E40" s="76">
        <v>1</v>
      </c>
      <c r="F40" s="76">
        <v>3.77</v>
      </c>
      <c r="G40" s="76">
        <v>34</v>
      </c>
      <c r="H40" s="76">
        <v>0</v>
      </c>
      <c r="I40" s="76">
        <v>0</v>
      </c>
      <c r="J40" s="76">
        <v>0</v>
      </c>
      <c r="K40" s="76">
        <v>0</v>
      </c>
      <c r="L40" s="76">
        <v>1</v>
      </c>
      <c r="M40" s="76">
        <v>28.2</v>
      </c>
      <c r="N40" s="76">
        <v>27</v>
      </c>
      <c r="O40" s="76">
        <v>12</v>
      </c>
      <c r="P40" s="76">
        <v>12</v>
      </c>
      <c r="Q40" s="76">
        <v>1</v>
      </c>
      <c r="R40" s="76">
        <v>14</v>
      </c>
      <c r="S40" s="76">
        <v>2</v>
      </c>
      <c r="T40" s="76">
        <v>25</v>
      </c>
      <c r="U40" s="76">
        <v>120</v>
      </c>
      <c r="V40" s="76">
        <v>28.2</v>
      </c>
      <c r="W40" s="76">
        <v>0.26</v>
      </c>
      <c r="X40" s="76">
        <v>1.43</v>
      </c>
      <c r="Y40" s="76"/>
      <c r="Z40" s="76">
        <v>12</v>
      </c>
      <c r="AA40" t="s">
        <v>437</v>
      </c>
      <c r="AB40" s="76" t="s">
        <v>146</v>
      </c>
      <c r="AC40" s="76">
        <v>1</v>
      </c>
      <c r="AD40" s="76">
        <v>2</v>
      </c>
      <c r="AE40" s="76">
        <v>12</v>
      </c>
      <c r="AF40" s="76">
        <v>2</v>
      </c>
      <c r="AG40" s="76">
        <v>3</v>
      </c>
      <c r="AH40" s="76">
        <v>32</v>
      </c>
      <c r="AI40" s="76">
        <v>21</v>
      </c>
      <c r="AJ40" s="76">
        <v>1</v>
      </c>
      <c r="AK40" s="76">
        <v>0</v>
      </c>
      <c r="AL40" s="76">
        <v>1</v>
      </c>
      <c r="AM40" s="76">
        <v>5</v>
      </c>
      <c r="AN40" s="76">
        <v>1</v>
      </c>
      <c r="AO40" s="76">
        <v>448</v>
      </c>
      <c r="AP40" s="202" t="s">
        <v>146</v>
      </c>
      <c r="AQ40" s="202">
        <v>0.75</v>
      </c>
      <c r="AR40" s="202">
        <v>0.89</v>
      </c>
      <c r="AS40" s="202">
        <v>0.32500000000000001</v>
      </c>
      <c r="AT40" s="202">
        <v>0.45100000000000001</v>
      </c>
      <c r="AU40" s="202">
        <v>0.77600000000000002</v>
      </c>
      <c r="AV40" s="202">
        <v>7.3</v>
      </c>
      <c r="AW40" s="202">
        <v>3.86</v>
      </c>
      <c r="AX40" s="202">
        <v>8.1300000000000008</v>
      </c>
      <c r="AY40" s="202">
        <v>1.89</v>
      </c>
      <c r="AZ40" s="202">
        <v>17.16</v>
      </c>
    </row>
    <row r="41" spans="1:52" x14ac:dyDescent="0.2">
      <c r="A41" s="76">
        <v>25</v>
      </c>
      <c r="B41" t="s">
        <v>1308</v>
      </c>
      <c r="C41" s="76" t="s">
        <v>146</v>
      </c>
      <c r="D41" s="76">
        <v>0</v>
      </c>
      <c r="E41" s="76">
        <v>0</v>
      </c>
      <c r="F41" s="76">
        <v>23.63</v>
      </c>
      <c r="G41" s="76">
        <v>2</v>
      </c>
      <c r="H41" s="76">
        <v>0</v>
      </c>
      <c r="I41" s="76">
        <v>0</v>
      </c>
      <c r="J41" s="76">
        <v>0</v>
      </c>
      <c r="K41" s="76">
        <v>0</v>
      </c>
      <c r="L41" s="76">
        <v>0</v>
      </c>
      <c r="M41" s="76">
        <v>2.2000000000000002</v>
      </c>
      <c r="N41" s="76">
        <v>7</v>
      </c>
      <c r="O41" s="76">
        <v>8</v>
      </c>
      <c r="P41" s="76">
        <v>7</v>
      </c>
      <c r="Q41" s="76">
        <v>2</v>
      </c>
      <c r="R41" s="76">
        <v>1</v>
      </c>
      <c r="S41" s="76">
        <v>0</v>
      </c>
      <c r="T41" s="76">
        <v>2</v>
      </c>
      <c r="U41" s="76">
        <v>18</v>
      </c>
      <c r="V41" s="76">
        <v>2.2000000000000002</v>
      </c>
      <c r="W41" s="76">
        <v>0.438</v>
      </c>
      <c r="X41" s="76">
        <v>3</v>
      </c>
      <c r="Y41" s="76"/>
      <c r="Z41" s="76">
        <v>25</v>
      </c>
      <c r="AA41" t="s">
        <v>1308</v>
      </c>
      <c r="AB41" s="76" t="s">
        <v>146</v>
      </c>
      <c r="AC41" s="76">
        <v>1</v>
      </c>
      <c r="AD41" s="76">
        <v>0</v>
      </c>
      <c r="AE41" s="76">
        <v>1</v>
      </c>
      <c r="AF41" s="76">
        <v>0</v>
      </c>
      <c r="AG41" s="76">
        <v>0</v>
      </c>
      <c r="AH41" s="76">
        <v>6</v>
      </c>
      <c r="AI41" s="76">
        <v>1</v>
      </c>
      <c r="AJ41" s="76">
        <v>0</v>
      </c>
      <c r="AK41" s="76">
        <v>0</v>
      </c>
      <c r="AL41" s="76">
        <v>0</v>
      </c>
      <c r="AM41" s="76">
        <v>0</v>
      </c>
      <c r="AN41" s="76">
        <v>0</v>
      </c>
      <c r="AO41" s="76">
        <v>48</v>
      </c>
      <c r="AP41" s="202" t="s">
        <v>147</v>
      </c>
      <c r="AQ41" s="202">
        <v>0.5</v>
      </c>
      <c r="AR41" s="202">
        <v>1.82</v>
      </c>
      <c r="AS41" s="202">
        <v>0.34799999999999998</v>
      </c>
      <c r="AT41" s="202">
        <v>0.42699999999999999</v>
      </c>
      <c r="AU41" s="202">
        <v>0.77400000000000002</v>
      </c>
      <c r="AV41" s="202">
        <v>6.63</v>
      </c>
      <c r="AW41" s="202">
        <v>3.19</v>
      </c>
      <c r="AX41" s="202">
        <v>9.82</v>
      </c>
      <c r="AY41" s="202">
        <v>2.08</v>
      </c>
      <c r="AZ41" s="202">
        <v>16.39</v>
      </c>
    </row>
    <row r="42" spans="1:52" x14ac:dyDescent="0.2">
      <c r="A42" s="76">
        <v>22</v>
      </c>
      <c r="B42" t="s">
        <v>445</v>
      </c>
      <c r="C42" s="76" t="s">
        <v>146</v>
      </c>
      <c r="D42" s="76">
        <v>2</v>
      </c>
      <c r="E42" s="76">
        <v>0</v>
      </c>
      <c r="F42" s="76">
        <v>6.75</v>
      </c>
      <c r="G42" s="76">
        <v>5</v>
      </c>
      <c r="H42" s="76">
        <v>4</v>
      </c>
      <c r="I42" s="76">
        <v>0</v>
      </c>
      <c r="J42" s="76">
        <v>0</v>
      </c>
      <c r="K42" s="76">
        <v>0</v>
      </c>
      <c r="L42" s="76">
        <v>0</v>
      </c>
      <c r="M42" s="76">
        <v>21.1</v>
      </c>
      <c r="N42" s="76">
        <v>30</v>
      </c>
      <c r="O42" s="76">
        <v>17</v>
      </c>
      <c r="P42" s="76">
        <v>16</v>
      </c>
      <c r="Q42" s="76">
        <v>3</v>
      </c>
      <c r="R42" s="76">
        <v>6</v>
      </c>
      <c r="S42" s="76">
        <v>0</v>
      </c>
      <c r="T42" s="76">
        <v>13</v>
      </c>
      <c r="U42" s="76">
        <v>98</v>
      </c>
      <c r="V42" s="76">
        <v>21.1</v>
      </c>
      <c r="W42" s="76">
        <v>0.33700000000000002</v>
      </c>
      <c r="X42" s="76">
        <v>1.69</v>
      </c>
      <c r="Y42" s="76"/>
      <c r="Z42" s="76">
        <v>22</v>
      </c>
      <c r="AA42" t="s">
        <v>445</v>
      </c>
      <c r="AB42" s="76" t="s">
        <v>146</v>
      </c>
      <c r="AC42" s="76">
        <v>2</v>
      </c>
      <c r="AD42" s="76">
        <v>0</v>
      </c>
      <c r="AE42" s="76">
        <v>1</v>
      </c>
      <c r="AF42" s="76">
        <v>0</v>
      </c>
      <c r="AG42" s="76">
        <v>1</v>
      </c>
      <c r="AH42" s="76">
        <v>22</v>
      </c>
      <c r="AI42" s="76">
        <v>25</v>
      </c>
      <c r="AJ42" s="76">
        <v>2</v>
      </c>
      <c r="AK42" s="76">
        <v>0</v>
      </c>
      <c r="AL42" s="76">
        <v>6</v>
      </c>
      <c r="AM42" s="76">
        <v>0</v>
      </c>
      <c r="AN42" s="76">
        <v>0</v>
      </c>
      <c r="AO42" s="76">
        <v>358</v>
      </c>
      <c r="AP42" s="102" t="s">
        <v>157</v>
      </c>
      <c r="AQ42" s="102" t="s">
        <v>1081</v>
      </c>
      <c r="AR42" s="102" t="s">
        <v>1068</v>
      </c>
      <c r="AS42" s="102" t="s">
        <v>1059</v>
      </c>
      <c r="AT42" s="102" t="s">
        <v>1060</v>
      </c>
      <c r="AU42" s="102" t="s">
        <v>1061</v>
      </c>
      <c r="AV42" s="102" t="s">
        <v>1092</v>
      </c>
      <c r="AW42" s="102" t="s">
        <v>1093</v>
      </c>
      <c r="AX42" s="102" t="s">
        <v>1094</v>
      </c>
      <c r="AY42" s="102" t="s">
        <v>1095</v>
      </c>
      <c r="AZ42" s="102" t="s">
        <v>1096</v>
      </c>
    </row>
    <row r="43" spans="1:52" x14ac:dyDescent="0.2">
      <c r="A43" s="76">
        <v>23</v>
      </c>
      <c r="B43" t="s">
        <v>1175</v>
      </c>
      <c r="C43" s="76" t="s">
        <v>146</v>
      </c>
      <c r="D43" s="76">
        <v>0</v>
      </c>
      <c r="E43" s="76">
        <v>2</v>
      </c>
      <c r="F43" s="76">
        <v>6.95</v>
      </c>
      <c r="G43" s="76">
        <v>5</v>
      </c>
      <c r="H43" s="76">
        <v>5</v>
      </c>
      <c r="I43" s="76">
        <v>0</v>
      </c>
      <c r="J43" s="76">
        <v>0</v>
      </c>
      <c r="K43" s="76">
        <v>0</v>
      </c>
      <c r="L43" s="76">
        <v>0</v>
      </c>
      <c r="M43" s="76">
        <v>22</v>
      </c>
      <c r="N43" s="76">
        <v>23</v>
      </c>
      <c r="O43" s="76">
        <v>17</v>
      </c>
      <c r="P43" s="76">
        <v>17</v>
      </c>
      <c r="Q43" s="76">
        <v>5</v>
      </c>
      <c r="R43" s="76">
        <v>20</v>
      </c>
      <c r="S43" s="76">
        <v>1</v>
      </c>
      <c r="T43" s="76">
        <v>21</v>
      </c>
      <c r="U43" s="76">
        <v>103</v>
      </c>
      <c r="V43" s="76">
        <v>22</v>
      </c>
      <c r="W43" s="76">
        <v>0.28399999999999997</v>
      </c>
      <c r="X43" s="76">
        <v>1.95</v>
      </c>
      <c r="Y43" s="76"/>
      <c r="Z43" s="76">
        <v>23</v>
      </c>
      <c r="AA43" t="s">
        <v>1175</v>
      </c>
      <c r="AB43" s="76" t="s">
        <v>146</v>
      </c>
      <c r="AC43" s="76">
        <v>1</v>
      </c>
      <c r="AD43" s="76">
        <v>1</v>
      </c>
      <c r="AE43" s="76">
        <v>0</v>
      </c>
      <c r="AF43" s="76">
        <v>0</v>
      </c>
      <c r="AG43" s="76">
        <v>4</v>
      </c>
      <c r="AH43" s="76">
        <v>12</v>
      </c>
      <c r="AI43" s="76">
        <v>26</v>
      </c>
      <c r="AJ43" s="76">
        <v>3</v>
      </c>
      <c r="AK43" s="76">
        <v>0</v>
      </c>
      <c r="AL43" s="76">
        <v>4</v>
      </c>
      <c r="AM43" s="76">
        <v>2</v>
      </c>
      <c r="AN43" s="76">
        <v>0</v>
      </c>
      <c r="AO43" s="76">
        <v>419</v>
      </c>
      <c r="AP43" s="202" t="s">
        <v>147</v>
      </c>
      <c r="AQ43" s="202">
        <v>1</v>
      </c>
      <c r="AR43" s="202">
        <v>1.5</v>
      </c>
      <c r="AS43" s="202">
        <v>0.27500000000000002</v>
      </c>
      <c r="AT43" s="202">
        <v>0.32400000000000001</v>
      </c>
      <c r="AU43" s="202">
        <v>0.59899999999999998</v>
      </c>
      <c r="AV43" s="202">
        <v>6.75</v>
      </c>
      <c r="AW43" s="202">
        <v>2.17</v>
      </c>
      <c r="AX43" s="202">
        <v>7.47</v>
      </c>
      <c r="AY43" s="202">
        <v>3.11</v>
      </c>
      <c r="AZ43" s="202">
        <v>15.16</v>
      </c>
    </row>
    <row r="44" spans="1:52" x14ac:dyDescent="0.2">
      <c r="A44" s="76">
        <v>16</v>
      </c>
      <c r="B44" s="41" t="s">
        <v>372</v>
      </c>
      <c r="C44" s="76" t="s">
        <v>146</v>
      </c>
      <c r="D44" s="76">
        <v>3</v>
      </c>
      <c r="E44" s="76">
        <v>5</v>
      </c>
      <c r="F44" s="76">
        <v>4.59</v>
      </c>
      <c r="G44" s="76">
        <v>14</v>
      </c>
      <c r="H44" s="76">
        <v>13</v>
      </c>
      <c r="I44" s="76">
        <v>0</v>
      </c>
      <c r="J44" s="76">
        <v>0</v>
      </c>
      <c r="K44" s="76">
        <v>0</v>
      </c>
      <c r="L44" s="76">
        <v>0</v>
      </c>
      <c r="M44" s="76">
        <v>68.2</v>
      </c>
      <c r="N44" s="76">
        <v>70</v>
      </c>
      <c r="O44" s="76">
        <v>35</v>
      </c>
      <c r="P44" s="76">
        <v>35</v>
      </c>
      <c r="Q44" s="76">
        <v>14</v>
      </c>
      <c r="R44" s="76">
        <v>24</v>
      </c>
      <c r="S44" s="76">
        <v>1</v>
      </c>
      <c r="T44" s="76">
        <v>71</v>
      </c>
      <c r="U44" s="76">
        <v>292</v>
      </c>
      <c r="V44" s="76">
        <v>68.2</v>
      </c>
      <c r="W44" s="76">
        <v>0.26200000000000001</v>
      </c>
      <c r="X44" s="76">
        <v>1.37</v>
      </c>
      <c r="Y44" s="76"/>
      <c r="Z44" s="76">
        <v>16</v>
      </c>
      <c r="AA44" t="s">
        <v>372</v>
      </c>
      <c r="AB44" s="76" t="s">
        <v>146</v>
      </c>
      <c r="AC44" s="76">
        <v>0</v>
      </c>
      <c r="AD44" s="76">
        <v>1</v>
      </c>
      <c r="AE44" s="76">
        <v>1</v>
      </c>
      <c r="AF44" s="76">
        <v>0</v>
      </c>
      <c r="AG44" s="76">
        <v>6</v>
      </c>
      <c r="AH44" s="76">
        <v>67</v>
      </c>
      <c r="AI44" s="76">
        <v>60</v>
      </c>
      <c r="AJ44" s="76">
        <v>3</v>
      </c>
      <c r="AK44" s="76">
        <v>0</v>
      </c>
      <c r="AL44" s="76">
        <v>3</v>
      </c>
      <c r="AM44" s="76">
        <v>3</v>
      </c>
      <c r="AN44" s="76">
        <v>1</v>
      </c>
      <c r="AO44" s="76">
        <v>1143</v>
      </c>
      <c r="AP44" s="202" t="s">
        <v>146</v>
      </c>
      <c r="AQ44" s="202">
        <v>0.625</v>
      </c>
      <c r="AR44" s="202">
        <v>1.05</v>
      </c>
      <c r="AS44" s="202">
        <v>0.312</v>
      </c>
      <c r="AT44" s="202">
        <v>0.38900000000000001</v>
      </c>
      <c r="AU44" s="202">
        <v>0.70099999999999996</v>
      </c>
      <c r="AV44" s="202">
        <v>7.25</v>
      </c>
      <c r="AW44" s="202">
        <v>2.74</v>
      </c>
      <c r="AX44" s="202">
        <v>8.8800000000000008</v>
      </c>
      <c r="AY44" s="202">
        <v>2.65</v>
      </c>
      <c r="AZ44" s="202">
        <v>16.510000000000002</v>
      </c>
    </row>
    <row r="45" spans="1:52" x14ac:dyDescent="0.2">
      <c r="A45" s="76">
        <v>6</v>
      </c>
      <c r="B45" s="41" t="s">
        <v>542</v>
      </c>
      <c r="C45" s="76" t="s">
        <v>146</v>
      </c>
      <c r="D45" s="76">
        <v>22</v>
      </c>
      <c r="E45" s="76">
        <v>4</v>
      </c>
      <c r="F45" s="76">
        <v>3.15</v>
      </c>
      <c r="G45" s="76">
        <v>33</v>
      </c>
      <c r="H45" s="76">
        <v>33</v>
      </c>
      <c r="I45" s="76">
        <v>3</v>
      </c>
      <c r="J45" s="76">
        <v>0</v>
      </c>
      <c r="K45" s="76">
        <v>0</v>
      </c>
      <c r="L45" s="76">
        <v>0</v>
      </c>
      <c r="M45" s="76">
        <v>223</v>
      </c>
      <c r="N45" s="76">
        <v>193</v>
      </c>
      <c r="O45" s="76">
        <v>85</v>
      </c>
      <c r="P45" s="76">
        <v>78</v>
      </c>
      <c r="Q45" s="76">
        <v>23</v>
      </c>
      <c r="R45" s="76">
        <v>32</v>
      </c>
      <c r="S45" s="76">
        <v>0</v>
      </c>
      <c r="T45" s="76">
        <v>189</v>
      </c>
      <c r="U45" s="76">
        <v>890</v>
      </c>
      <c r="V45" s="76">
        <v>223</v>
      </c>
      <c r="W45" s="76">
        <v>0.23</v>
      </c>
      <c r="X45" s="76">
        <v>1.01</v>
      </c>
      <c r="Y45" s="76"/>
      <c r="Z45" s="76">
        <v>6</v>
      </c>
      <c r="AA45" t="s">
        <v>542</v>
      </c>
      <c r="AB45" s="76" t="s">
        <v>146</v>
      </c>
      <c r="AC45" s="76">
        <v>13</v>
      </c>
      <c r="AD45" s="76">
        <v>0</v>
      </c>
      <c r="AE45" s="76">
        <v>0</v>
      </c>
      <c r="AF45" s="76">
        <v>0</v>
      </c>
      <c r="AG45" s="76">
        <v>16</v>
      </c>
      <c r="AH45" s="76">
        <v>232</v>
      </c>
      <c r="AI45" s="76">
        <v>231</v>
      </c>
      <c r="AJ45" s="76">
        <v>3</v>
      </c>
      <c r="AK45" s="76">
        <v>0</v>
      </c>
      <c r="AL45" s="76">
        <v>7</v>
      </c>
      <c r="AM45" s="76">
        <v>3</v>
      </c>
      <c r="AN45" s="76">
        <v>0</v>
      </c>
      <c r="AO45" s="76">
        <v>3410</v>
      </c>
      <c r="AP45" s="202" t="s">
        <v>146</v>
      </c>
      <c r="AQ45" s="202">
        <v>0.66700000000000004</v>
      </c>
      <c r="AR45" s="202">
        <v>1.56</v>
      </c>
      <c r="AS45" s="202">
        <v>0.34100000000000003</v>
      </c>
      <c r="AT45" s="202">
        <v>0.34300000000000003</v>
      </c>
      <c r="AU45" s="202">
        <v>0.68400000000000005</v>
      </c>
      <c r="AV45" s="202">
        <v>8.5</v>
      </c>
      <c r="AW45" s="202">
        <v>5.0999999999999996</v>
      </c>
      <c r="AX45" s="202">
        <v>7.74</v>
      </c>
      <c r="AY45" s="202">
        <v>1.67</v>
      </c>
      <c r="AZ45" s="202">
        <v>16.739999999999998</v>
      </c>
    </row>
    <row r="46" spans="1:52" x14ac:dyDescent="0.2">
      <c r="A46" s="76">
        <v>13</v>
      </c>
      <c r="B46" s="41" t="s">
        <v>628</v>
      </c>
      <c r="C46" s="76" t="s">
        <v>146</v>
      </c>
      <c r="D46" s="76">
        <v>17</v>
      </c>
      <c r="E46" s="76">
        <v>9</v>
      </c>
      <c r="F46" s="76">
        <v>3.99</v>
      </c>
      <c r="G46" s="76">
        <v>35</v>
      </c>
      <c r="H46" s="76">
        <v>35</v>
      </c>
      <c r="I46" s="76">
        <v>2</v>
      </c>
      <c r="J46" s="76">
        <v>0</v>
      </c>
      <c r="K46" s="76">
        <v>0</v>
      </c>
      <c r="L46" s="76">
        <v>0</v>
      </c>
      <c r="M46" s="76">
        <v>230</v>
      </c>
      <c r="N46" s="76">
        <v>227</v>
      </c>
      <c r="O46" s="76">
        <v>106</v>
      </c>
      <c r="P46" s="76">
        <v>102</v>
      </c>
      <c r="Q46" s="76">
        <v>30</v>
      </c>
      <c r="R46" s="76">
        <v>50</v>
      </c>
      <c r="S46" s="76">
        <v>1</v>
      </c>
      <c r="T46" s="76">
        <v>228</v>
      </c>
      <c r="U46" s="76">
        <v>951</v>
      </c>
      <c r="V46" s="76">
        <v>230</v>
      </c>
      <c r="W46" s="76">
        <v>0.25800000000000001</v>
      </c>
      <c r="X46" s="76">
        <v>1.2</v>
      </c>
      <c r="Y46" s="76"/>
      <c r="Z46" s="76">
        <v>13</v>
      </c>
      <c r="AA46" t="s">
        <v>628</v>
      </c>
      <c r="AB46" s="76" t="s">
        <v>146</v>
      </c>
      <c r="AC46" s="76">
        <v>7</v>
      </c>
      <c r="AD46" s="76">
        <v>1</v>
      </c>
      <c r="AE46" s="76">
        <v>0</v>
      </c>
      <c r="AF46" s="76">
        <v>0</v>
      </c>
      <c r="AG46" s="76">
        <v>19</v>
      </c>
      <c r="AH46" s="76">
        <v>227</v>
      </c>
      <c r="AI46" s="76">
        <v>212</v>
      </c>
      <c r="AJ46" s="76">
        <v>4</v>
      </c>
      <c r="AK46" s="76">
        <v>0</v>
      </c>
      <c r="AL46" s="76">
        <v>1</v>
      </c>
      <c r="AM46" s="76">
        <v>2</v>
      </c>
      <c r="AN46" s="76">
        <v>0</v>
      </c>
      <c r="AO46" s="76">
        <v>3595</v>
      </c>
      <c r="AP46" s="202" t="s">
        <v>146</v>
      </c>
      <c r="AQ46" s="202">
        <v>0.5</v>
      </c>
      <c r="AR46" s="202">
        <v>0.6</v>
      </c>
      <c r="AS46" s="202">
        <v>0.32700000000000001</v>
      </c>
      <c r="AT46" s="202">
        <v>0.39900000000000002</v>
      </c>
      <c r="AU46" s="202">
        <v>0.72599999999999998</v>
      </c>
      <c r="AV46" s="202">
        <v>7.14</v>
      </c>
      <c r="AW46" s="202">
        <v>3.43</v>
      </c>
      <c r="AX46" s="202">
        <v>8.86</v>
      </c>
      <c r="AY46" s="202">
        <v>2.08</v>
      </c>
      <c r="AZ46" s="202">
        <v>16.79</v>
      </c>
    </row>
    <row r="47" spans="1:52" x14ac:dyDescent="0.2">
      <c r="A47" s="76">
        <v>20</v>
      </c>
      <c r="B47" t="s">
        <v>752</v>
      </c>
      <c r="C47" s="76" t="s">
        <v>146</v>
      </c>
      <c r="D47" s="76">
        <v>0</v>
      </c>
      <c r="E47" s="76">
        <v>0</v>
      </c>
      <c r="F47" s="76">
        <v>6.23</v>
      </c>
      <c r="G47" s="76">
        <v>14</v>
      </c>
      <c r="H47" s="76">
        <v>0</v>
      </c>
      <c r="I47" s="76">
        <v>0</v>
      </c>
      <c r="J47" s="76">
        <v>0</v>
      </c>
      <c r="K47" s="76">
        <v>0</v>
      </c>
      <c r="L47" s="76">
        <v>0</v>
      </c>
      <c r="M47" s="76">
        <v>13</v>
      </c>
      <c r="N47" s="76">
        <v>16</v>
      </c>
      <c r="O47" s="76">
        <v>9</v>
      </c>
      <c r="P47" s="76">
        <v>9</v>
      </c>
      <c r="Q47" s="76">
        <v>4</v>
      </c>
      <c r="R47" s="76">
        <v>8</v>
      </c>
      <c r="S47" s="76">
        <v>1</v>
      </c>
      <c r="T47" s="76">
        <v>15</v>
      </c>
      <c r="U47" s="76">
        <v>61</v>
      </c>
      <c r="V47" s="76">
        <v>13</v>
      </c>
      <c r="W47" s="76">
        <v>0.32700000000000001</v>
      </c>
      <c r="X47" s="76">
        <v>1.85</v>
      </c>
      <c r="Y47" s="76"/>
      <c r="Z47" s="76">
        <v>20</v>
      </c>
      <c r="AA47" t="s">
        <v>752</v>
      </c>
      <c r="AB47" s="76" t="s">
        <v>146</v>
      </c>
      <c r="AC47" s="76">
        <v>2</v>
      </c>
      <c r="AD47" s="76">
        <v>1</v>
      </c>
      <c r="AE47" s="76">
        <v>7</v>
      </c>
      <c r="AF47" s="76">
        <v>0</v>
      </c>
      <c r="AG47" s="76">
        <v>3</v>
      </c>
      <c r="AH47" s="76">
        <v>10</v>
      </c>
      <c r="AI47" s="76">
        <v>10</v>
      </c>
      <c r="AJ47" s="76">
        <v>0</v>
      </c>
      <c r="AK47" s="76">
        <v>0</v>
      </c>
      <c r="AL47" s="76">
        <v>2</v>
      </c>
      <c r="AM47" s="76">
        <v>0</v>
      </c>
      <c r="AN47" s="76">
        <v>0</v>
      </c>
      <c r="AO47" s="76">
        <v>225</v>
      </c>
      <c r="AP47" s="202" t="s">
        <v>146</v>
      </c>
      <c r="AQ47" s="202">
        <v>0</v>
      </c>
      <c r="AR47" s="202">
        <v>1.56</v>
      </c>
      <c r="AS47" s="202">
        <v>0.39200000000000002</v>
      </c>
      <c r="AT47" s="202">
        <v>0.42199999999999999</v>
      </c>
      <c r="AU47" s="202">
        <v>0.81399999999999995</v>
      </c>
      <c r="AV47" s="202">
        <v>6.55</v>
      </c>
      <c r="AW47" s="202">
        <v>4.91</v>
      </c>
      <c r="AX47" s="202">
        <v>11.45</v>
      </c>
      <c r="AY47" s="202">
        <v>1.33</v>
      </c>
      <c r="AZ47" s="202">
        <v>18.09</v>
      </c>
    </row>
    <row r="48" spans="1:52" x14ac:dyDescent="0.2">
      <c r="A48" s="76">
        <v>17</v>
      </c>
      <c r="B48" s="41" t="s">
        <v>1173</v>
      </c>
      <c r="C48" s="76" t="s">
        <v>146</v>
      </c>
      <c r="D48" s="76">
        <v>3</v>
      </c>
      <c r="E48" s="76">
        <v>7</v>
      </c>
      <c r="F48" s="76">
        <v>4.71</v>
      </c>
      <c r="G48" s="76">
        <v>20</v>
      </c>
      <c r="H48" s="76">
        <v>20</v>
      </c>
      <c r="I48" s="76">
        <v>0</v>
      </c>
      <c r="J48" s="76">
        <v>0</v>
      </c>
      <c r="K48" s="76">
        <v>0</v>
      </c>
      <c r="L48" s="76">
        <v>0</v>
      </c>
      <c r="M48" s="76">
        <v>107</v>
      </c>
      <c r="N48" s="76">
        <v>99</v>
      </c>
      <c r="O48" s="76">
        <v>58</v>
      </c>
      <c r="P48" s="76">
        <v>56</v>
      </c>
      <c r="Q48" s="76">
        <v>16</v>
      </c>
      <c r="R48" s="76">
        <v>40</v>
      </c>
      <c r="S48" s="76">
        <v>1</v>
      </c>
      <c r="T48" s="76">
        <v>100</v>
      </c>
      <c r="U48" s="76">
        <v>458</v>
      </c>
      <c r="V48" s="76">
        <v>107</v>
      </c>
      <c r="W48" s="76">
        <v>0.24099999999999999</v>
      </c>
      <c r="X48" s="76">
        <v>1.3</v>
      </c>
      <c r="Y48" s="76"/>
      <c r="Z48" s="76">
        <v>17</v>
      </c>
      <c r="AA48" t="s">
        <v>1173</v>
      </c>
      <c r="AB48" s="76" t="s">
        <v>146</v>
      </c>
      <c r="AC48" s="76">
        <v>3</v>
      </c>
      <c r="AD48" s="76">
        <v>1</v>
      </c>
      <c r="AE48" s="76">
        <v>0</v>
      </c>
      <c r="AF48" s="76">
        <v>0</v>
      </c>
      <c r="AG48" s="76">
        <v>3</v>
      </c>
      <c r="AH48" s="76">
        <v>80</v>
      </c>
      <c r="AI48" s="76">
        <v>136</v>
      </c>
      <c r="AJ48" s="76">
        <v>0</v>
      </c>
      <c r="AK48" s="76">
        <v>0</v>
      </c>
      <c r="AL48" s="76">
        <v>2</v>
      </c>
      <c r="AM48" s="76">
        <v>2</v>
      </c>
      <c r="AN48" s="76">
        <v>0</v>
      </c>
      <c r="AO48" s="76">
        <v>1854</v>
      </c>
      <c r="AP48" s="202" t="s">
        <v>146</v>
      </c>
      <c r="AQ48" s="202">
        <v>0</v>
      </c>
      <c r="AR48" s="202">
        <v>1.76</v>
      </c>
      <c r="AS48" s="202">
        <v>0.31900000000000001</v>
      </c>
      <c r="AT48" s="202">
        <v>0.40899999999999997</v>
      </c>
      <c r="AU48" s="202">
        <v>0.72899999999999998</v>
      </c>
      <c r="AV48" s="202">
        <v>7.86</v>
      </c>
      <c r="AW48" s="202">
        <v>2.97</v>
      </c>
      <c r="AX48" s="202">
        <v>8.75</v>
      </c>
      <c r="AY48" s="202">
        <v>2.65</v>
      </c>
      <c r="AZ48" s="202">
        <v>16.579999999999998</v>
      </c>
    </row>
    <row r="49" spans="1:52" x14ac:dyDescent="0.2">
      <c r="A49" s="76">
        <v>7</v>
      </c>
      <c r="B49" s="41" t="s">
        <v>1174</v>
      </c>
      <c r="C49" s="76" t="s">
        <v>146</v>
      </c>
      <c r="D49" s="76">
        <v>3</v>
      </c>
      <c r="E49" s="76">
        <v>2</v>
      </c>
      <c r="F49" s="76">
        <v>3.25</v>
      </c>
      <c r="G49" s="76">
        <v>54</v>
      </c>
      <c r="H49" s="76">
        <v>0</v>
      </c>
      <c r="I49" s="76">
        <v>0</v>
      </c>
      <c r="J49" s="76">
        <v>0</v>
      </c>
      <c r="K49" s="76">
        <v>0</v>
      </c>
      <c r="L49" s="76">
        <v>0</v>
      </c>
      <c r="M49" s="76">
        <v>55.1</v>
      </c>
      <c r="N49" s="76">
        <v>47</v>
      </c>
      <c r="O49" s="76">
        <v>21</v>
      </c>
      <c r="P49" s="76">
        <v>20</v>
      </c>
      <c r="Q49" s="76">
        <v>2</v>
      </c>
      <c r="R49" s="76">
        <v>23</v>
      </c>
      <c r="S49" s="76">
        <v>0</v>
      </c>
      <c r="T49" s="76">
        <v>56</v>
      </c>
      <c r="U49" s="76">
        <v>238</v>
      </c>
      <c r="V49" s="76">
        <v>55.1</v>
      </c>
      <c r="W49" s="76">
        <v>0.22800000000000001</v>
      </c>
      <c r="X49" s="76">
        <v>1.27</v>
      </c>
      <c r="Y49" s="76"/>
      <c r="Z49" s="76">
        <v>7</v>
      </c>
      <c r="AA49" t="s">
        <v>1174</v>
      </c>
      <c r="AB49" s="76" t="s">
        <v>146</v>
      </c>
      <c r="AC49" s="76">
        <v>8</v>
      </c>
      <c r="AD49" s="76">
        <v>0</v>
      </c>
      <c r="AE49" s="76">
        <v>8</v>
      </c>
      <c r="AF49" s="76">
        <v>8</v>
      </c>
      <c r="AG49" s="76">
        <v>6</v>
      </c>
      <c r="AH49" s="76">
        <v>61</v>
      </c>
      <c r="AI49" s="76">
        <v>43</v>
      </c>
      <c r="AJ49" s="76">
        <v>7</v>
      </c>
      <c r="AK49" s="76">
        <v>0</v>
      </c>
      <c r="AL49" s="76">
        <v>0</v>
      </c>
      <c r="AM49" s="76">
        <v>1</v>
      </c>
      <c r="AN49" s="76">
        <v>0</v>
      </c>
      <c r="AO49" s="76">
        <v>966</v>
      </c>
      <c r="AP49" s="202" t="s">
        <v>146</v>
      </c>
      <c r="AQ49" s="202">
        <v>1</v>
      </c>
      <c r="AR49" s="202">
        <v>1.58</v>
      </c>
      <c r="AS49" s="202">
        <v>0.29599999999999999</v>
      </c>
      <c r="AT49" s="202">
        <v>0.47199999999999998</v>
      </c>
      <c r="AU49" s="202">
        <v>0.76800000000000002</v>
      </c>
      <c r="AV49" s="202">
        <v>7.83</v>
      </c>
      <c r="AW49" s="202">
        <v>3.13</v>
      </c>
      <c r="AX49" s="202">
        <v>8.2200000000000006</v>
      </c>
      <c r="AY49" s="202">
        <v>2.5</v>
      </c>
      <c r="AZ49" s="202">
        <v>14.61</v>
      </c>
    </row>
    <row r="50" spans="1:52" x14ac:dyDescent="0.2">
      <c r="A50" s="76">
        <v>1</v>
      </c>
      <c r="B50" t="s">
        <v>1306</v>
      </c>
      <c r="C50" s="76" t="s">
        <v>146</v>
      </c>
      <c r="D50" s="76">
        <v>1</v>
      </c>
      <c r="E50" s="76">
        <v>0</v>
      </c>
      <c r="F50" s="76">
        <v>0</v>
      </c>
      <c r="G50" s="76">
        <v>7</v>
      </c>
      <c r="H50" s="76">
        <v>0</v>
      </c>
      <c r="I50" s="76">
        <v>0</v>
      </c>
      <c r="J50" s="76">
        <v>0</v>
      </c>
      <c r="K50" s="76">
        <v>0</v>
      </c>
      <c r="L50" s="76">
        <v>0</v>
      </c>
      <c r="M50" s="76">
        <v>6</v>
      </c>
      <c r="N50" s="76">
        <v>6</v>
      </c>
      <c r="O50" s="76">
        <v>0</v>
      </c>
      <c r="P50" s="76">
        <v>0</v>
      </c>
      <c r="Q50" s="76">
        <v>0</v>
      </c>
      <c r="R50" s="76">
        <v>2</v>
      </c>
      <c r="S50" s="76">
        <v>0</v>
      </c>
      <c r="T50" s="76">
        <v>5</v>
      </c>
      <c r="U50" s="76">
        <v>25</v>
      </c>
      <c r="V50" s="76">
        <v>6</v>
      </c>
      <c r="W50" s="76">
        <v>0.27300000000000002</v>
      </c>
      <c r="X50" s="76">
        <v>1.33</v>
      </c>
      <c r="Y50" s="76"/>
      <c r="Z50" s="76">
        <v>1</v>
      </c>
      <c r="AA50" t="s">
        <v>1306</v>
      </c>
      <c r="AB50" s="76" t="s">
        <v>146</v>
      </c>
      <c r="AC50" s="76">
        <v>0</v>
      </c>
      <c r="AD50" s="76">
        <v>0</v>
      </c>
      <c r="AE50" s="76">
        <v>1</v>
      </c>
      <c r="AF50" s="76">
        <v>1</v>
      </c>
      <c r="AG50" s="76">
        <v>0</v>
      </c>
      <c r="AH50" s="76">
        <v>5</v>
      </c>
      <c r="AI50" s="76">
        <v>7</v>
      </c>
      <c r="AJ50" s="76">
        <v>1</v>
      </c>
      <c r="AK50" s="76">
        <v>0</v>
      </c>
      <c r="AL50" s="76">
        <v>0</v>
      </c>
      <c r="AM50" s="76">
        <v>0</v>
      </c>
      <c r="AN50" s="76">
        <v>0</v>
      </c>
      <c r="AO50" s="76">
        <v>98</v>
      </c>
      <c r="AP50" s="202" t="s">
        <v>146</v>
      </c>
      <c r="AQ50" s="202">
        <v>0.66700000000000004</v>
      </c>
      <c r="AR50" s="202">
        <v>1.04</v>
      </c>
      <c r="AS50" s="202">
        <v>0.19800000000000001</v>
      </c>
      <c r="AT50" s="202">
        <v>0.21199999999999999</v>
      </c>
      <c r="AU50" s="202">
        <v>0.41</v>
      </c>
      <c r="AV50" s="202">
        <v>11.17</v>
      </c>
      <c r="AW50" s="202">
        <v>1.55</v>
      </c>
      <c r="AX50" s="202">
        <v>4.34</v>
      </c>
      <c r="AY50" s="202">
        <v>7.2</v>
      </c>
      <c r="AZ50" s="202">
        <v>14.97</v>
      </c>
    </row>
    <row r="51" spans="1:52" x14ac:dyDescent="0.2">
      <c r="A51" s="76">
        <v>1</v>
      </c>
      <c r="B51" t="s">
        <v>798</v>
      </c>
      <c r="C51" s="76" t="s">
        <v>146</v>
      </c>
      <c r="D51" s="76">
        <v>0</v>
      </c>
      <c r="E51" s="76">
        <v>0</v>
      </c>
      <c r="F51" s="76">
        <v>0</v>
      </c>
      <c r="G51" s="76">
        <v>3</v>
      </c>
      <c r="H51" s="76">
        <v>0</v>
      </c>
      <c r="I51" s="76">
        <v>0</v>
      </c>
      <c r="J51" s="76">
        <v>0</v>
      </c>
      <c r="K51" s="76">
        <v>0</v>
      </c>
      <c r="L51" s="76">
        <v>0</v>
      </c>
      <c r="M51" s="76">
        <v>2.2000000000000002</v>
      </c>
      <c r="N51" s="76">
        <v>2</v>
      </c>
      <c r="O51" s="76">
        <v>1</v>
      </c>
      <c r="P51" s="76">
        <v>0</v>
      </c>
      <c r="Q51" s="76">
        <v>0</v>
      </c>
      <c r="R51" s="76">
        <v>1</v>
      </c>
      <c r="S51" s="76">
        <v>0</v>
      </c>
      <c r="T51" s="76">
        <v>2</v>
      </c>
      <c r="U51" s="76">
        <v>11</v>
      </c>
      <c r="V51" s="76">
        <v>2.2000000000000002</v>
      </c>
      <c r="W51" s="76">
        <v>0.2</v>
      </c>
      <c r="X51" s="76">
        <v>1.1299999999999999</v>
      </c>
      <c r="Y51" s="76"/>
      <c r="Z51" s="76">
        <v>1</v>
      </c>
      <c r="AA51" t="s">
        <v>798</v>
      </c>
      <c r="AB51" s="76" t="s">
        <v>146</v>
      </c>
      <c r="AC51" s="76">
        <v>0</v>
      </c>
      <c r="AD51" s="76">
        <v>0</v>
      </c>
      <c r="AE51" s="76">
        <v>0</v>
      </c>
      <c r="AF51" s="76">
        <v>0</v>
      </c>
      <c r="AG51" s="76">
        <v>1</v>
      </c>
      <c r="AH51" s="76">
        <v>4</v>
      </c>
      <c r="AI51" s="76">
        <v>2</v>
      </c>
      <c r="AJ51" s="76">
        <v>0</v>
      </c>
      <c r="AK51" s="76">
        <v>0</v>
      </c>
      <c r="AL51" s="76">
        <v>0</v>
      </c>
      <c r="AM51" s="76">
        <v>0</v>
      </c>
      <c r="AN51" s="76">
        <v>0</v>
      </c>
      <c r="AO51" s="76">
        <v>48</v>
      </c>
      <c r="AP51" s="202" t="s">
        <v>146</v>
      </c>
      <c r="AQ51" s="202" t="s">
        <v>243</v>
      </c>
      <c r="AR51" s="202">
        <v>0.5</v>
      </c>
      <c r="AS51" s="202">
        <v>0.44400000000000001</v>
      </c>
      <c r="AT51" s="202">
        <v>0</v>
      </c>
      <c r="AU51" s="202">
        <v>0.44400000000000001</v>
      </c>
      <c r="AV51" s="202">
        <v>10.8</v>
      </c>
      <c r="AW51" s="202">
        <v>16.2</v>
      </c>
      <c r="AX51" s="202">
        <v>0</v>
      </c>
      <c r="AY51" s="202">
        <v>0.67</v>
      </c>
      <c r="AZ51" s="202">
        <v>24</v>
      </c>
    </row>
    <row r="52" spans="1:52" x14ac:dyDescent="0.2">
      <c r="A52" s="76">
        <v>15</v>
      </c>
      <c r="B52" s="41" t="s">
        <v>500</v>
      </c>
      <c r="C52" s="76" t="s">
        <v>146</v>
      </c>
      <c r="D52" s="76">
        <v>3</v>
      </c>
      <c r="E52" s="76">
        <v>2</v>
      </c>
      <c r="F52" s="76">
        <v>4.17</v>
      </c>
      <c r="G52" s="76">
        <v>53</v>
      </c>
      <c r="H52" s="76">
        <v>0</v>
      </c>
      <c r="I52" s="76">
        <v>0</v>
      </c>
      <c r="J52" s="76">
        <v>0</v>
      </c>
      <c r="K52" s="76">
        <v>0</v>
      </c>
      <c r="L52" s="76">
        <v>2</v>
      </c>
      <c r="M52" s="76">
        <v>49.2</v>
      </c>
      <c r="N52" s="76">
        <v>47</v>
      </c>
      <c r="O52" s="76">
        <v>23</v>
      </c>
      <c r="P52" s="76">
        <v>23</v>
      </c>
      <c r="Q52" s="76">
        <v>9</v>
      </c>
      <c r="R52" s="76">
        <v>14</v>
      </c>
      <c r="S52" s="76">
        <v>1</v>
      </c>
      <c r="T52" s="76">
        <v>54</v>
      </c>
      <c r="U52" s="76">
        <v>208</v>
      </c>
      <c r="V52" s="76">
        <v>49.2</v>
      </c>
      <c r="W52" s="76">
        <v>0.245</v>
      </c>
      <c r="X52" s="76">
        <v>1.23</v>
      </c>
      <c r="Y52" s="76"/>
      <c r="Z52" s="76">
        <v>15</v>
      </c>
      <c r="AA52" t="s">
        <v>500</v>
      </c>
      <c r="AB52" s="76" t="s">
        <v>146</v>
      </c>
      <c r="AC52" s="76">
        <v>1</v>
      </c>
      <c r="AD52" s="76">
        <v>1</v>
      </c>
      <c r="AE52" s="76">
        <v>5</v>
      </c>
      <c r="AF52" s="76">
        <v>16</v>
      </c>
      <c r="AG52" s="76">
        <v>2</v>
      </c>
      <c r="AH52" s="76">
        <v>36</v>
      </c>
      <c r="AI52" s="76">
        <v>56</v>
      </c>
      <c r="AJ52" s="76">
        <v>4</v>
      </c>
      <c r="AK52" s="76">
        <v>0</v>
      </c>
      <c r="AL52" s="76">
        <v>5</v>
      </c>
      <c r="AM52" s="76">
        <v>1</v>
      </c>
      <c r="AN52" s="76">
        <v>0</v>
      </c>
      <c r="AO52" s="76">
        <v>838</v>
      </c>
      <c r="AP52" s="202" t="s">
        <v>146</v>
      </c>
      <c r="AQ52" s="202">
        <v>0</v>
      </c>
      <c r="AR52" s="202">
        <v>0.73</v>
      </c>
      <c r="AS52" s="202">
        <v>0.36099999999999999</v>
      </c>
      <c r="AT52" s="202">
        <v>0.442</v>
      </c>
      <c r="AU52" s="202">
        <v>0.80300000000000005</v>
      </c>
      <c r="AV52" s="202">
        <v>9</v>
      </c>
      <c r="AW52" s="202">
        <v>4.8499999999999996</v>
      </c>
      <c r="AX52" s="202">
        <v>9</v>
      </c>
      <c r="AY52" s="202">
        <v>1.86</v>
      </c>
      <c r="AZ52" s="202">
        <v>19.149999999999999</v>
      </c>
    </row>
    <row r="53" spans="1:52" x14ac:dyDescent="0.2">
      <c r="A53" s="76">
        <v>10</v>
      </c>
      <c r="B53" s="41" t="s">
        <v>496</v>
      </c>
      <c r="C53" s="76" t="s">
        <v>146</v>
      </c>
      <c r="D53" s="76">
        <v>2</v>
      </c>
      <c r="E53" s="76">
        <v>3</v>
      </c>
      <c r="F53" s="76">
        <v>3.45</v>
      </c>
      <c r="G53" s="76">
        <v>50</v>
      </c>
      <c r="H53" s="76">
        <v>0</v>
      </c>
      <c r="I53" s="76">
        <v>0</v>
      </c>
      <c r="J53" s="76">
        <v>0</v>
      </c>
      <c r="K53" s="76">
        <v>7</v>
      </c>
      <c r="L53" s="76">
        <v>9</v>
      </c>
      <c r="M53" s="76">
        <v>47</v>
      </c>
      <c r="N53" s="76">
        <v>34</v>
      </c>
      <c r="O53" s="76">
        <v>18</v>
      </c>
      <c r="P53" s="76">
        <v>18</v>
      </c>
      <c r="Q53" s="76">
        <v>8</v>
      </c>
      <c r="R53" s="76">
        <v>11</v>
      </c>
      <c r="S53" s="76">
        <v>1</v>
      </c>
      <c r="T53" s="76">
        <v>63</v>
      </c>
      <c r="U53" s="76">
        <v>184</v>
      </c>
      <c r="V53" s="76">
        <v>47</v>
      </c>
      <c r="W53" s="76">
        <v>0.2</v>
      </c>
      <c r="X53" s="76">
        <v>0.96</v>
      </c>
      <c r="Y53" s="76"/>
      <c r="Z53" s="76">
        <v>10</v>
      </c>
      <c r="AA53" t="s">
        <v>496</v>
      </c>
      <c r="AB53" s="76" t="s">
        <v>146</v>
      </c>
      <c r="AC53" s="76">
        <v>2</v>
      </c>
      <c r="AD53" s="76">
        <v>1</v>
      </c>
      <c r="AE53" s="76">
        <v>12</v>
      </c>
      <c r="AF53" s="76">
        <v>18</v>
      </c>
      <c r="AG53" s="76">
        <v>2</v>
      </c>
      <c r="AH53" s="76">
        <v>20</v>
      </c>
      <c r="AI53" s="76">
        <v>54</v>
      </c>
      <c r="AJ53" s="76">
        <v>1</v>
      </c>
      <c r="AK53" s="76">
        <v>0</v>
      </c>
      <c r="AL53" s="76">
        <v>1</v>
      </c>
      <c r="AM53" s="76">
        <v>0</v>
      </c>
      <c r="AN53" s="76">
        <v>0</v>
      </c>
      <c r="AO53" s="76">
        <v>769</v>
      </c>
      <c r="AP53" s="202" t="s">
        <v>146</v>
      </c>
      <c r="AQ53" s="202">
        <v>0.5</v>
      </c>
      <c r="AR53" s="202">
        <v>1.37</v>
      </c>
      <c r="AS53" s="202">
        <v>0.32500000000000001</v>
      </c>
      <c r="AT53" s="202">
        <v>0.41599999999999998</v>
      </c>
      <c r="AU53" s="202">
        <v>0.74</v>
      </c>
      <c r="AV53" s="202">
        <v>6.83</v>
      </c>
      <c r="AW53" s="202">
        <v>2.97</v>
      </c>
      <c r="AX53" s="202">
        <v>9.34</v>
      </c>
      <c r="AY53" s="202">
        <v>2.2999999999999998</v>
      </c>
      <c r="AZ53" s="202">
        <v>16.489999999999998</v>
      </c>
    </row>
    <row r="54" spans="1:52" x14ac:dyDescent="0.2">
      <c r="A54" s="76">
        <v>8</v>
      </c>
      <c r="B54" s="41" t="s">
        <v>508</v>
      </c>
      <c r="C54" s="76" t="s">
        <v>146</v>
      </c>
      <c r="D54" s="76">
        <v>13</v>
      </c>
      <c r="E54" s="76">
        <v>6</v>
      </c>
      <c r="F54" s="76">
        <v>3.33</v>
      </c>
      <c r="G54" s="76">
        <v>24</v>
      </c>
      <c r="H54" s="76">
        <v>24</v>
      </c>
      <c r="I54" s="76">
        <v>4</v>
      </c>
      <c r="J54" s="76">
        <v>1</v>
      </c>
      <c r="K54" s="76">
        <v>0</v>
      </c>
      <c r="L54" s="76">
        <v>0</v>
      </c>
      <c r="M54" s="76">
        <v>156.19999999999999</v>
      </c>
      <c r="N54" s="76">
        <v>138</v>
      </c>
      <c r="O54" s="76">
        <v>74</v>
      </c>
      <c r="P54" s="76">
        <v>58</v>
      </c>
      <c r="Q54" s="76">
        <v>12</v>
      </c>
      <c r="R54" s="76">
        <v>57</v>
      </c>
      <c r="S54" s="76">
        <v>1</v>
      </c>
      <c r="T54" s="76">
        <v>127</v>
      </c>
      <c r="U54" s="76">
        <v>656</v>
      </c>
      <c r="V54" s="76">
        <v>156.19999999999999</v>
      </c>
      <c r="W54" s="76">
        <v>0.23499999999999999</v>
      </c>
      <c r="X54" s="76">
        <v>1.24</v>
      </c>
      <c r="Y54" s="76"/>
      <c r="Z54" s="76">
        <v>8</v>
      </c>
      <c r="AA54" t="s">
        <v>508</v>
      </c>
      <c r="AB54" s="76" t="s">
        <v>146</v>
      </c>
      <c r="AC54" s="76">
        <v>8</v>
      </c>
      <c r="AD54" s="76">
        <v>1</v>
      </c>
      <c r="AE54" s="76">
        <v>0</v>
      </c>
      <c r="AF54" s="76">
        <v>0</v>
      </c>
      <c r="AG54" s="76">
        <v>16</v>
      </c>
      <c r="AH54" s="76">
        <v>157</v>
      </c>
      <c r="AI54" s="76">
        <v>169</v>
      </c>
      <c r="AJ54" s="76">
        <v>10</v>
      </c>
      <c r="AK54" s="76">
        <v>0</v>
      </c>
      <c r="AL54" s="76">
        <v>8</v>
      </c>
      <c r="AM54" s="76">
        <v>4</v>
      </c>
      <c r="AN54" s="76">
        <v>1</v>
      </c>
      <c r="AO54" s="76">
        <v>2496</v>
      </c>
      <c r="AP54" s="202" t="s">
        <v>146</v>
      </c>
      <c r="AQ54" s="202">
        <v>0.66700000000000004</v>
      </c>
      <c r="AR54" s="202">
        <v>1.64</v>
      </c>
      <c r="AS54" s="202">
        <v>0.38500000000000001</v>
      </c>
      <c r="AT54" s="202">
        <v>0.48499999999999999</v>
      </c>
      <c r="AU54" s="202">
        <v>0.87</v>
      </c>
      <c r="AV54" s="202">
        <v>7.43</v>
      </c>
      <c r="AW54" s="202">
        <v>4.0999999999999996</v>
      </c>
      <c r="AX54" s="202">
        <v>10.31</v>
      </c>
      <c r="AY54" s="202">
        <v>1.81</v>
      </c>
      <c r="AZ54" s="202">
        <v>17.02</v>
      </c>
    </row>
    <row r="55" spans="1:52" x14ac:dyDescent="0.2">
      <c r="A55" s="76">
        <v>4</v>
      </c>
      <c r="B55" s="41" t="s">
        <v>320</v>
      </c>
      <c r="C55" s="76" t="s">
        <v>146</v>
      </c>
      <c r="D55" s="76">
        <v>2</v>
      </c>
      <c r="E55" s="76">
        <v>4</v>
      </c>
      <c r="F55" s="76">
        <v>1.52</v>
      </c>
      <c r="G55" s="76">
        <v>33</v>
      </c>
      <c r="H55" s="76">
        <v>0</v>
      </c>
      <c r="I55" s="76">
        <v>0</v>
      </c>
      <c r="J55" s="76">
        <v>0</v>
      </c>
      <c r="K55" s="76">
        <v>4</v>
      </c>
      <c r="L55" s="76">
        <v>8</v>
      </c>
      <c r="M55" s="76">
        <v>29.2</v>
      </c>
      <c r="N55" s="76">
        <v>26</v>
      </c>
      <c r="O55" s="76">
        <v>8</v>
      </c>
      <c r="P55" s="76">
        <v>5</v>
      </c>
      <c r="Q55" s="76">
        <v>1</v>
      </c>
      <c r="R55" s="76">
        <v>11</v>
      </c>
      <c r="S55" s="76">
        <v>2</v>
      </c>
      <c r="T55" s="76">
        <v>31</v>
      </c>
      <c r="U55" s="76">
        <v>124</v>
      </c>
      <c r="V55" s="76">
        <v>29.2</v>
      </c>
      <c r="W55" s="76">
        <v>0.23400000000000001</v>
      </c>
      <c r="X55" s="76">
        <v>1.25</v>
      </c>
      <c r="Y55" s="76"/>
      <c r="Z55" s="76">
        <v>4</v>
      </c>
      <c r="AA55" t="s">
        <v>320</v>
      </c>
      <c r="AB55" s="76" t="s">
        <v>146</v>
      </c>
      <c r="AC55" s="76">
        <v>1</v>
      </c>
      <c r="AD55" s="76">
        <v>2</v>
      </c>
      <c r="AE55" s="76">
        <v>12</v>
      </c>
      <c r="AF55" s="76">
        <v>8</v>
      </c>
      <c r="AG55" s="76">
        <v>6</v>
      </c>
      <c r="AH55" s="76">
        <v>39</v>
      </c>
      <c r="AI55" s="76">
        <v>16</v>
      </c>
      <c r="AJ55" s="76">
        <v>1</v>
      </c>
      <c r="AK55" s="76">
        <v>0</v>
      </c>
      <c r="AL55" s="76">
        <v>0</v>
      </c>
      <c r="AM55" s="76">
        <v>0</v>
      </c>
      <c r="AN55" s="76">
        <v>0</v>
      </c>
      <c r="AO55" s="76">
        <v>444</v>
      </c>
      <c r="AP55" s="202" t="s">
        <v>146</v>
      </c>
      <c r="AQ55" s="202">
        <v>0</v>
      </c>
      <c r="AR55" s="202">
        <v>0.8</v>
      </c>
      <c r="AS55" s="202">
        <v>0.36799999999999999</v>
      </c>
      <c r="AT55" s="202">
        <v>0.214</v>
      </c>
      <c r="AU55" s="202">
        <v>0.58299999999999996</v>
      </c>
      <c r="AV55" s="202">
        <v>6.23</v>
      </c>
      <c r="AW55" s="202">
        <v>8.31</v>
      </c>
      <c r="AX55" s="202">
        <v>6.23</v>
      </c>
      <c r="AY55" s="202">
        <v>0.75</v>
      </c>
      <c r="AZ55" s="202">
        <v>20.079999999999998</v>
      </c>
    </row>
    <row r="56" spans="1:52" x14ac:dyDescent="0.2">
      <c r="A56" s="225" t="s">
        <v>105</v>
      </c>
      <c r="B56" s="225" t="s">
        <v>106</v>
      </c>
      <c r="C56" s="225" t="s">
        <v>157</v>
      </c>
      <c r="D56" s="225" t="s">
        <v>85</v>
      </c>
      <c r="E56" s="225" t="s">
        <v>86</v>
      </c>
      <c r="F56" s="225" t="s">
        <v>107</v>
      </c>
      <c r="G56" s="225" t="s">
        <v>108</v>
      </c>
      <c r="H56" s="225" t="s">
        <v>88</v>
      </c>
      <c r="I56" s="225" t="s">
        <v>89</v>
      </c>
      <c r="J56" s="225" t="s">
        <v>1073</v>
      </c>
      <c r="K56" s="225" t="s">
        <v>90</v>
      </c>
      <c r="L56" s="225" t="s">
        <v>158</v>
      </c>
      <c r="M56" s="225" t="s">
        <v>91</v>
      </c>
      <c r="N56" s="225" t="s">
        <v>92</v>
      </c>
      <c r="O56" s="225" t="s">
        <v>93</v>
      </c>
      <c r="P56" s="225" t="s">
        <v>94</v>
      </c>
      <c r="Q56" s="225" t="s">
        <v>95</v>
      </c>
      <c r="R56" s="225" t="s">
        <v>96</v>
      </c>
      <c r="S56" s="225" t="s">
        <v>98</v>
      </c>
      <c r="T56" s="225" t="s">
        <v>97</v>
      </c>
      <c r="U56" s="225" t="s">
        <v>109</v>
      </c>
      <c r="V56" s="225" t="s">
        <v>91</v>
      </c>
      <c r="W56" s="225" t="s">
        <v>1071</v>
      </c>
      <c r="X56" s="225" t="s">
        <v>1072</v>
      </c>
      <c r="Y56" s="225"/>
      <c r="Z56" s="225" t="s">
        <v>105</v>
      </c>
      <c r="AA56" s="225" t="s">
        <v>106</v>
      </c>
      <c r="AB56" s="225" t="s">
        <v>157</v>
      </c>
      <c r="AC56" s="225" t="s">
        <v>1074</v>
      </c>
      <c r="AD56" s="225" t="s">
        <v>98</v>
      </c>
      <c r="AE56" s="225" t="s">
        <v>1075</v>
      </c>
      <c r="AF56" s="225" t="s">
        <v>1076</v>
      </c>
      <c r="AG56" s="225" t="s">
        <v>1077</v>
      </c>
      <c r="AH56" s="225" t="s">
        <v>1066</v>
      </c>
      <c r="AI56" s="225" t="s">
        <v>1067</v>
      </c>
      <c r="AJ56" s="225" t="s">
        <v>1078</v>
      </c>
      <c r="AK56" s="225" t="s">
        <v>1079</v>
      </c>
      <c r="AL56" s="225" t="s">
        <v>1057</v>
      </c>
      <c r="AM56" s="225" t="s">
        <v>1058</v>
      </c>
      <c r="AN56" s="225" t="s">
        <v>1080</v>
      </c>
      <c r="AO56" s="225" t="s">
        <v>1069</v>
      </c>
      <c r="AP56" s="202" t="s">
        <v>147</v>
      </c>
      <c r="AQ56" s="202">
        <v>0.318</v>
      </c>
      <c r="AR56" s="202">
        <v>0.78</v>
      </c>
      <c r="AS56" s="202">
        <v>0.33400000000000002</v>
      </c>
      <c r="AT56" s="202">
        <v>0.46600000000000003</v>
      </c>
      <c r="AU56" s="202">
        <v>0.8</v>
      </c>
      <c r="AV56" s="202">
        <v>6.28</v>
      </c>
      <c r="AW56" s="202">
        <v>2.84</v>
      </c>
      <c r="AX56" s="202">
        <v>9.8800000000000008</v>
      </c>
      <c r="AY56" s="202">
        <v>2.21</v>
      </c>
      <c r="AZ56" s="202">
        <v>16.420000000000002</v>
      </c>
    </row>
    <row r="57" spans="1:52" x14ac:dyDescent="0.2">
      <c r="A57" s="76">
        <v>18</v>
      </c>
      <c r="B57" s="41" t="s">
        <v>524</v>
      </c>
      <c r="C57" s="76" t="s">
        <v>147</v>
      </c>
      <c r="D57" s="76">
        <v>2</v>
      </c>
      <c r="E57" s="76">
        <v>6</v>
      </c>
      <c r="F57" s="76">
        <v>6.31</v>
      </c>
      <c r="G57" s="76">
        <v>58</v>
      </c>
      <c r="H57" s="76">
        <v>1</v>
      </c>
      <c r="I57" s="76">
        <v>0</v>
      </c>
      <c r="J57" s="76">
        <v>0</v>
      </c>
      <c r="K57" s="76">
        <v>0</v>
      </c>
      <c r="L57" s="76">
        <v>4</v>
      </c>
      <c r="M57" s="76">
        <v>51.1</v>
      </c>
      <c r="N57" s="76">
        <v>67</v>
      </c>
      <c r="O57" s="76">
        <v>44</v>
      </c>
      <c r="P57" s="76">
        <v>36</v>
      </c>
      <c r="Q57" s="76">
        <v>10</v>
      </c>
      <c r="R57" s="76">
        <v>19</v>
      </c>
      <c r="S57" s="76">
        <v>1</v>
      </c>
      <c r="T57" s="76">
        <v>30</v>
      </c>
      <c r="U57" s="76">
        <v>237</v>
      </c>
      <c r="V57" s="76">
        <v>51.1</v>
      </c>
      <c r="W57" s="76">
        <v>0.32100000000000001</v>
      </c>
      <c r="X57" s="76">
        <v>1.68</v>
      </c>
      <c r="Y57" s="76"/>
      <c r="Z57" s="76">
        <v>18</v>
      </c>
      <c r="AA57" t="s">
        <v>524</v>
      </c>
      <c r="AB57" s="76" t="s">
        <v>147</v>
      </c>
      <c r="AC57" s="76">
        <v>3</v>
      </c>
      <c r="AD57" s="76">
        <v>1</v>
      </c>
      <c r="AE57" s="76">
        <v>11</v>
      </c>
      <c r="AF57" s="76">
        <v>13</v>
      </c>
      <c r="AG57" s="76">
        <v>4</v>
      </c>
      <c r="AH57" s="76">
        <v>63</v>
      </c>
      <c r="AI57" s="76">
        <v>54</v>
      </c>
      <c r="AJ57" s="76">
        <v>4</v>
      </c>
      <c r="AK57" s="76">
        <v>0</v>
      </c>
      <c r="AL57" s="76">
        <v>3</v>
      </c>
      <c r="AM57" s="76">
        <v>2</v>
      </c>
      <c r="AN57" s="76">
        <v>0</v>
      </c>
      <c r="AO57" s="76">
        <v>891</v>
      </c>
      <c r="AP57" s="202" t="s">
        <v>147</v>
      </c>
      <c r="AQ57" s="202">
        <v>0.54200000000000004</v>
      </c>
      <c r="AR57" s="202">
        <v>0.93</v>
      </c>
      <c r="AS57" s="202">
        <v>0.28199999999999997</v>
      </c>
      <c r="AT57" s="202">
        <v>0.36799999999999999</v>
      </c>
      <c r="AU57" s="202">
        <v>0.64900000000000002</v>
      </c>
      <c r="AV57" s="202">
        <v>11.82</v>
      </c>
      <c r="AW57" s="202">
        <v>1.81</v>
      </c>
      <c r="AX57" s="202">
        <v>7.98</v>
      </c>
      <c r="AY57" s="202">
        <v>6.52</v>
      </c>
      <c r="AZ57" s="202">
        <v>15.92</v>
      </c>
    </row>
    <row r="58" spans="1:52" x14ac:dyDescent="0.2">
      <c r="A58" s="76">
        <v>19</v>
      </c>
      <c r="B58" s="41" t="s">
        <v>1178</v>
      </c>
      <c r="C58" s="76" t="s">
        <v>147</v>
      </c>
      <c r="D58" s="76">
        <v>2</v>
      </c>
      <c r="E58" s="76">
        <v>2</v>
      </c>
      <c r="F58" s="76">
        <v>6.39</v>
      </c>
      <c r="G58" s="76">
        <v>25</v>
      </c>
      <c r="H58" s="76">
        <v>0</v>
      </c>
      <c r="I58" s="76">
        <v>0</v>
      </c>
      <c r="J58" s="76">
        <v>0</v>
      </c>
      <c r="K58" s="76">
        <v>0</v>
      </c>
      <c r="L58" s="76">
        <v>1</v>
      </c>
      <c r="M58" s="76">
        <v>25.1</v>
      </c>
      <c r="N58" s="76">
        <v>31</v>
      </c>
      <c r="O58" s="76">
        <v>18</v>
      </c>
      <c r="P58" s="76">
        <v>18</v>
      </c>
      <c r="Q58" s="76">
        <v>3</v>
      </c>
      <c r="R58" s="76">
        <v>17</v>
      </c>
      <c r="S58" s="76">
        <v>1</v>
      </c>
      <c r="T58" s="76">
        <v>20</v>
      </c>
      <c r="U58" s="76">
        <v>123</v>
      </c>
      <c r="V58" s="76">
        <v>25.1</v>
      </c>
      <c r="W58" s="76">
        <v>0.30099999999999999</v>
      </c>
      <c r="X58" s="76">
        <v>1.89</v>
      </c>
      <c r="Y58" s="76"/>
      <c r="Z58" s="76">
        <v>19</v>
      </c>
      <c r="AA58" t="s">
        <v>1178</v>
      </c>
      <c r="AB58" s="76" t="s">
        <v>147</v>
      </c>
      <c r="AC58" s="76">
        <v>2</v>
      </c>
      <c r="AD58" s="76">
        <v>1</v>
      </c>
      <c r="AE58" s="76">
        <v>4</v>
      </c>
      <c r="AF58" s="76">
        <v>5</v>
      </c>
      <c r="AG58" s="76">
        <v>2</v>
      </c>
      <c r="AH58" s="76">
        <v>27</v>
      </c>
      <c r="AI58" s="76">
        <v>26</v>
      </c>
      <c r="AJ58" s="76">
        <v>0</v>
      </c>
      <c r="AK58" s="76">
        <v>0</v>
      </c>
      <c r="AL58" s="76">
        <v>2</v>
      </c>
      <c r="AM58" s="76">
        <v>0</v>
      </c>
      <c r="AN58" s="76">
        <v>0</v>
      </c>
      <c r="AO58" s="76">
        <v>465</v>
      </c>
      <c r="AP58" s="202" t="s">
        <v>147</v>
      </c>
      <c r="AQ58" s="202">
        <v>0.45800000000000002</v>
      </c>
      <c r="AR58" s="202">
        <v>0.83</v>
      </c>
      <c r="AS58" s="202">
        <v>0.31900000000000001</v>
      </c>
      <c r="AT58" s="202">
        <v>0.44600000000000001</v>
      </c>
      <c r="AU58" s="202">
        <v>0.76500000000000001</v>
      </c>
      <c r="AV58" s="202">
        <v>6.86</v>
      </c>
      <c r="AW58" s="202">
        <v>2.06</v>
      </c>
      <c r="AX58" s="202">
        <v>9.59</v>
      </c>
      <c r="AY58" s="202">
        <v>3.33</v>
      </c>
      <c r="AZ58" s="202">
        <v>15.6</v>
      </c>
    </row>
    <row r="59" spans="1:52" x14ac:dyDescent="0.2">
      <c r="A59" s="76">
        <v>28</v>
      </c>
      <c r="B59" t="s">
        <v>791</v>
      </c>
      <c r="C59" s="76" t="s">
        <v>147</v>
      </c>
      <c r="D59" s="76">
        <v>0</v>
      </c>
      <c r="E59" s="76">
        <v>0</v>
      </c>
      <c r="F59" s="76">
        <v>11.57</v>
      </c>
      <c r="G59" s="76">
        <v>3</v>
      </c>
      <c r="H59" s="76">
        <v>0</v>
      </c>
      <c r="I59" s="76">
        <v>0</v>
      </c>
      <c r="J59" s="76">
        <v>0</v>
      </c>
      <c r="K59" s="76">
        <v>0</v>
      </c>
      <c r="L59" s="76">
        <v>0</v>
      </c>
      <c r="M59" s="76">
        <v>2.1</v>
      </c>
      <c r="N59" s="76">
        <v>2</v>
      </c>
      <c r="O59" s="76">
        <v>3</v>
      </c>
      <c r="P59" s="76">
        <v>3</v>
      </c>
      <c r="Q59" s="76">
        <v>0</v>
      </c>
      <c r="R59" s="76">
        <v>1</v>
      </c>
      <c r="S59" s="76">
        <v>0</v>
      </c>
      <c r="T59" s="76">
        <v>2</v>
      </c>
      <c r="U59" s="76">
        <v>10</v>
      </c>
      <c r="V59" s="76">
        <v>2.1</v>
      </c>
      <c r="W59" s="76">
        <v>0.25</v>
      </c>
      <c r="X59" s="76">
        <v>1.29</v>
      </c>
      <c r="Y59" s="76"/>
      <c r="Z59" s="76">
        <v>28</v>
      </c>
      <c r="AA59" t="s">
        <v>791</v>
      </c>
      <c r="AB59" s="76" t="s">
        <v>147</v>
      </c>
      <c r="AC59" s="76">
        <v>1</v>
      </c>
      <c r="AD59" s="76">
        <v>0</v>
      </c>
      <c r="AE59" s="76">
        <v>2</v>
      </c>
      <c r="AF59" s="76">
        <v>0</v>
      </c>
      <c r="AG59" s="76">
        <v>0</v>
      </c>
      <c r="AH59" s="76">
        <v>2</v>
      </c>
      <c r="AI59" s="76">
        <v>2</v>
      </c>
      <c r="AJ59" s="76">
        <v>0</v>
      </c>
      <c r="AK59" s="76">
        <v>0</v>
      </c>
      <c r="AL59" s="76">
        <v>0</v>
      </c>
      <c r="AM59" s="76">
        <v>0</v>
      </c>
      <c r="AN59" s="76">
        <v>0</v>
      </c>
      <c r="AO59" s="76">
        <v>43</v>
      </c>
      <c r="AP59" s="202" t="s">
        <v>148</v>
      </c>
      <c r="AQ59" s="202">
        <v>0.53800000000000003</v>
      </c>
      <c r="AR59" s="202">
        <v>1.52</v>
      </c>
      <c r="AS59" s="202">
        <v>0.27700000000000002</v>
      </c>
      <c r="AT59" s="202">
        <v>0.36899999999999999</v>
      </c>
      <c r="AU59" s="202">
        <v>0.64600000000000002</v>
      </c>
      <c r="AV59" s="202">
        <v>10.58</v>
      </c>
      <c r="AW59" s="202">
        <v>2.11</v>
      </c>
      <c r="AX59" s="202">
        <v>7.55</v>
      </c>
      <c r="AY59" s="202">
        <v>5.0199999999999996</v>
      </c>
      <c r="AZ59" s="202">
        <v>15.12</v>
      </c>
    </row>
    <row r="60" spans="1:52" x14ac:dyDescent="0.2">
      <c r="A60" s="76">
        <v>27</v>
      </c>
      <c r="B60" t="s">
        <v>1315</v>
      </c>
      <c r="C60" s="76" t="s">
        <v>147</v>
      </c>
      <c r="D60" s="76">
        <v>0</v>
      </c>
      <c r="E60" s="76">
        <v>0</v>
      </c>
      <c r="F60" s="76">
        <v>10.8</v>
      </c>
      <c r="G60" s="76">
        <v>3</v>
      </c>
      <c r="H60" s="76">
        <v>0</v>
      </c>
      <c r="I60" s="76">
        <v>0</v>
      </c>
      <c r="J60" s="76">
        <v>0</v>
      </c>
      <c r="K60" s="76">
        <v>0</v>
      </c>
      <c r="L60" s="76">
        <v>0</v>
      </c>
      <c r="M60" s="76">
        <v>1.2</v>
      </c>
      <c r="N60" s="76">
        <v>6</v>
      </c>
      <c r="O60" s="76">
        <v>2</v>
      </c>
      <c r="P60" s="76">
        <v>2</v>
      </c>
      <c r="Q60" s="76">
        <v>0</v>
      </c>
      <c r="R60" s="76">
        <v>3</v>
      </c>
      <c r="S60" s="76">
        <v>1</v>
      </c>
      <c r="T60" s="76">
        <v>0</v>
      </c>
      <c r="U60" s="76">
        <v>12</v>
      </c>
      <c r="V60" s="76">
        <v>1.2</v>
      </c>
      <c r="W60" s="76">
        <v>0.66700000000000004</v>
      </c>
      <c r="X60" s="76">
        <v>5.4</v>
      </c>
      <c r="Y60" s="76"/>
      <c r="Z60" s="76">
        <v>27</v>
      </c>
      <c r="AA60" t="s">
        <v>1315</v>
      </c>
      <c r="AB60" s="76" t="s">
        <v>147</v>
      </c>
      <c r="AC60" s="76">
        <v>0</v>
      </c>
      <c r="AD60" s="76">
        <v>1</v>
      </c>
      <c r="AE60" s="76">
        <v>2</v>
      </c>
      <c r="AF60" s="76">
        <v>0</v>
      </c>
      <c r="AG60" s="76">
        <v>0</v>
      </c>
      <c r="AH60" s="76">
        <v>1</v>
      </c>
      <c r="AI60" s="76">
        <v>2</v>
      </c>
      <c r="AJ60" s="76">
        <v>0</v>
      </c>
      <c r="AK60" s="76">
        <v>0</v>
      </c>
      <c r="AL60" s="76">
        <v>0</v>
      </c>
      <c r="AM60" s="76">
        <v>0</v>
      </c>
      <c r="AN60" s="76">
        <v>0</v>
      </c>
      <c r="AO60" s="76">
        <v>41</v>
      </c>
      <c r="AP60" s="202" t="s">
        <v>148</v>
      </c>
      <c r="AQ60" s="202">
        <v>0.47799999999999998</v>
      </c>
      <c r="AR60" s="202">
        <v>0.82</v>
      </c>
      <c r="AS60" s="202">
        <v>0.31900000000000001</v>
      </c>
      <c r="AT60" s="202">
        <v>0.39400000000000002</v>
      </c>
      <c r="AU60" s="202">
        <v>0.71299999999999997</v>
      </c>
      <c r="AV60" s="202">
        <v>8.69</v>
      </c>
      <c r="AW60" s="202">
        <v>4.04</v>
      </c>
      <c r="AX60" s="202">
        <v>7.77</v>
      </c>
      <c r="AY60" s="202">
        <v>2.15</v>
      </c>
      <c r="AZ60" s="202">
        <v>16.3</v>
      </c>
    </row>
    <row r="61" spans="1:52" x14ac:dyDescent="0.2">
      <c r="A61" s="76">
        <v>23</v>
      </c>
      <c r="B61" t="s">
        <v>518</v>
      </c>
      <c r="C61" s="76" t="s">
        <v>147</v>
      </c>
      <c r="D61" s="76">
        <v>0</v>
      </c>
      <c r="E61" s="76">
        <v>4</v>
      </c>
      <c r="F61" s="76">
        <v>7.25</v>
      </c>
      <c r="G61" s="76">
        <v>4</v>
      </c>
      <c r="H61" s="76">
        <v>4</v>
      </c>
      <c r="I61" s="76">
        <v>0</v>
      </c>
      <c r="J61" s="76">
        <v>0</v>
      </c>
      <c r="K61" s="76">
        <v>0</v>
      </c>
      <c r="L61" s="76">
        <v>0</v>
      </c>
      <c r="M61" s="76">
        <v>22.1</v>
      </c>
      <c r="N61" s="76">
        <v>28</v>
      </c>
      <c r="O61" s="76">
        <v>20</v>
      </c>
      <c r="P61" s="76">
        <v>18</v>
      </c>
      <c r="Q61" s="76">
        <v>5</v>
      </c>
      <c r="R61" s="76">
        <v>11</v>
      </c>
      <c r="S61" s="76">
        <v>0</v>
      </c>
      <c r="T61" s="76">
        <v>16</v>
      </c>
      <c r="U61" s="76">
        <v>100</v>
      </c>
      <c r="V61" s="76">
        <v>22.1</v>
      </c>
      <c r="W61" s="76">
        <v>0.32200000000000001</v>
      </c>
      <c r="X61" s="76">
        <v>1.75</v>
      </c>
      <c r="Y61" s="76"/>
      <c r="Z61" s="76">
        <v>23</v>
      </c>
      <c r="AA61" t="s">
        <v>518</v>
      </c>
      <c r="AB61" s="76" t="s">
        <v>147</v>
      </c>
      <c r="AC61" s="76">
        <v>0</v>
      </c>
      <c r="AD61" s="76">
        <v>0</v>
      </c>
      <c r="AE61" s="76">
        <v>0</v>
      </c>
      <c r="AF61" s="76">
        <v>0</v>
      </c>
      <c r="AG61" s="76">
        <v>4</v>
      </c>
      <c r="AH61" s="76">
        <v>15</v>
      </c>
      <c r="AI61" s="76">
        <v>30</v>
      </c>
      <c r="AJ61" s="76">
        <v>1</v>
      </c>
      <c r="AK61" s="76">
        <v>0</v>
      </c>
      <c r="AL61" s="76">
        <v>1</v>
      </c>
      <c r="AM61" s="76">
        <v>0</v>
      </c>
      <c r="AN61" s="76">
        <v>0</v>
      </c>
      <c r="AO61" s="76">
        <v>387</v>
      </c>
      <c r="AP61" s="202" t="s">
        <v>148</v>
      </c>
      <c r="AQ61" s="202">
        <v>0.28599999999999998</v>
      </c>
      <c r="AR61" s="202">
        <v>0.68</v>
      </c>
      <c r="AS61" s="202">
        <v>0.29099999999999998</v>
      </c>
      <c r="AT61" s="202">
        <v>0.30499999999999999</v>
      </c>
      <c r="AU61" s="202">
        <v>0.59599999999999997</v>
      </c>
      <c r="AV61" s="202">
        <v>12.85</v>
      </c>
      <c r="AW61" s="202">
        <v>3.25</v>
      </c>
      <c r="AX61" s="202">
        <v>7.27</v>
      </c>
      <c r="AY61" s="202">
        <v>3.96</v>
      </c>
      <c r="AZ61" s="202">
        <v>16.43</v>
      </c>
    </row>
    <row r="62" spans="1:52" x14ac:dyDescent="0.2">
      <c r="A62" s="76">
        <v>5</v>
      </c>
      <c r="B62" t="s">
        <v>354</v>
      </c>
      <c r="C62" s="76" t="s">
        <v>147</v>
      </c>
      <c r="D62" s="76">
        <v>2</v>
      </c>
      <c r="E62" s="76">
        <v>0</v>
      </c>
      <c r="F62" s="76">
        <v>2.63</v>
      </c>
      <c r="G62" s="76">
        <v>53</v>
      </c>
      <c r="H62" s="76">
        <v>0</v>
      </c>
      <c r="I62" s="76">
        <v>0</v>
      </c>
      <c r="J62" s="76">
        <v>0</v>
      </c>
      <c r="K62" s="76">
        <v>1</v>
      </c>
      <c r="L62" s="76">
        <v>4</v>
      </c>
      <c r="M62" s="76">
        <v>37.200000000000003</v>
      </c>
      <c r="N62" s="76">
        <v>31</v>
      </c>
      <c r="O62" s="76">
        <v>11</v>
      </c>
      <c r="P62" s="76">
        <v>11</v>
      </c>
      <c r="Q62" s="76">
        <v>2</v>
      </c>
      <c r="R62" s="76">
        <v>16</v>
      </c>
      <c r="S62" s="76">
        <v>3</v>
      </c>
      <c r="T62" s="76">
        <v>42</v>
      </c>
      <c r="U62" s="76">
        <v>159</v>
      </c>
      <c r="V62" s="76">
        <v>37.200000000000003</v>
      </c>
      <c r="W62" s="76">
        <v>0.22500000000000001</v>
      </c>
      <c r="X62" s="76">
        <v>1.25</v>
      </c>
      <c r="Y62" s="76"/>
      <c r="Z62" s="76">
        <v>5</v>
      </c>
      <c r="AA62" t="s">
        <v>354</v>
      </c>
      <c r="AB62" s="76" t="s">
        <v>147</v>
      </c>
      <c r="AC62" s="76">
        <v>2</v>
      </c>
      <c r="AD62" s="76">
        <v>3</v>
      </c>
      <c r="AE62" s="76">
        <v>9</v>
      </c>
      <c r="AF62" s="76">
        <v>20</v>
      </c>
      <c r="AG62" s="76">
        <v>4</v>
      </c>
      <c r="AH62" s="76">
        <v>47</v>
      </c>
      <c r="AI62" s="76">
        <v>21</v>
      </c>
      <c r="AJ62" s="76">
        <v>2</v>
      </c>
      <c r="AK62" s="76">
        <v>0</v>
      </c>
      <c r="AL62" s="76">
        <v>0</v>
      </c>
      <c r="AM62" s="76">
        <v>0</v>
      </c>
      <c r="AN62" s="76">
        <v>0</v>
      </c>
      <c r="AO62" s="76">
        <v>615</v>
      </c>
      <c r="AP62" s="202" t="s">
        <v>147</v>
      </c>
      <c r="AQ62" s="202" t="s">
        <v>243</v>
      </c>
      <c r="AR62" s="202">
        <v>2.5</v>
      </c>
      <c r="AS62" s="202">
        <v>0.44400000000000001</v>
      </c>
      <c r="AT62" s="202">
        <v>0.58799999999999997</v>
      </c>
      <c r="AU62" s="202">
        <v>1.0329999999999999</v>
      </c>
      <c r="AV62" s="202">
        <v>6.75</v>
      </c>
      <c r="AW62" s="202">
        <v>2.25</v>
      </c>
      <c r="AX62" s="202">
        <v>15.75</v>
      </c>
      <c r="AY62" s="202">
        <v>3</v>
      </c>
      <c r="AZ62" s="202">
        <v>16.5</v>
      </c>
    </row>
    <row r="63" spans="1:52" x14ac:dyDescent="0.2">
      <c r="A63" s="76">
        <v>25</v>
      </c>
      <c r="B63" t="s">
        <v>1313</v>
      </c>
      <c r="C63" s="76" t="s">
        <v>147</v>
      </c>
      <c r="D63" s="76">
        <v>0</v>
      </c>
      <c r="E63" s="76">
        <v>2</v>
      </c>
      <c r="F63" s="76">
        <v>8.49</v>
      </c>
      <c r="G63" s="76">
        <v>8</v>
      </c>
      <c r="H63" s="76">
        <v>0</v>
      </c>
      <c r="I63" s="76">
        <v>0</v>
      </c>
      <c r="J63" s="76">
        <v>0</v>
      </c>
      <c r="K63" s="76">
        <v>0</v>
      </c>
      <c r="L63" s="76">
        <v>1</v>
      </c>
      <c r="M63" s="76">
        <v>11.2</v>
      </c>
      <c r="N63" s="76">
        <v>12</v>
      </c>
      <c r="O63" s="76">
        <v>11</v>
      </c>
      <c r="P63" s="76">
        <v>11</v>
      </c>
      <c r="Q63" s="76">
        <v>2</v>
      </c>
      <c r="R63" s="76">
        <v>7</v>
      </c>
      <c r="S63" s="76">
        <v>0</v>
      </c>
      <c r="T63" s="76">
        <v>10</v>
      </c>
      <c r="U63" s="76">
        <v>53</v>
      </c>
      <c r="V63" s="76">
        <v>11.2</v>
      </c>
      <c r="W63" s="76">
        <v>0.27300000000000002</v>
      </c>
      <c r="X63" s="76">
        <v>1.63</v>
      </c>
      <c r="Y63" s="76"/>
      <c r="Z63" s="76">
        <v>25</v>
      </c>
      <c r="AA63" t="s">
        <v>1313</v>
      </c>
      <c r="AB63" s="76" t="s">
        <v>147</v>
      </c>
      <c r="AC63" s="76">
        <v>2</v>
      </c>
      <c r="AD63" s="76">
        <v>0</v>
      </c>
      <c r="AE63" s="76">
        <v>4</v>
      </c>
      <c r="AF63" s="76">
        <v>0</v>
      </c>
      <c r="AG63" s="76">
        <v>2</v>
      </c>
      <c r="AH63" s="76">
        <v>14</v>
      </c>
      <c r="AI63" s="76">
        <v>8</v>
      </c>
      <c r="AJ63" s="76">
        <v>2</v>
      </c>
      <c r="AK63" s="76">
        <v>0</v>
      </c>
      <c r="AL63" s="76">
        <v>1</v>
      </c>
      <c r="AM63" s="76">
        <v>1</v>
      </c>
      <c r="AN63" s="76">
        <v>0</v>
      </c>
      <c r="AO63" s="76">
        <v>213</v>
      </c>
      <c r="AP63" s="202" t="s">
        <v>148</v>
      </c>
      <c r="AQ63" s="202" t="s">
        <v>243</v>
      </c>
      <c r="AR63" s="202">
        <v>0.71</v>
      </c>
      <c r="AS63" s="202">
        <v>0.23300000000000001</v>
      </c>
      <c r="AT63" s="202">
        <v>0.35699999999999998</v>
      </c>
      <c r="AU63" s="202">
        <v>0.59</v>
      </c>
      <c r="AV63" s="202">
        <v>12.38</v>
      </c>
      <c r="AW63" s="202">
        <v>2.25</v>
      </c>
      <c r="AX63" s="202">
        <v>5.63</v>
      </c>
      <c r="AY63" s="202">
        <v>5.5</v>
      </c>
      <c r="AZ63" s="202">
        <v>16.38</v>
      </c>
    </row>
    <row r="64" spans="1:52" x14ac:dyDescent="0.2">
      <c r="A64" s="76">
        <v>11</v>
      </c>
      <c r="B64" s="41" t="s">
        <v>409</v>
      </c>
      <c r="C64" s="76" t="s">
        <v>147</v>
      </c>
      <c r="D64" s="76">
        <v>5</v>
      </c>
      <c r="E64" s="76">
        <v>8</v>
      </c>
      <c r="F64" s="76">
        <v>3.73</v>
      </c>
      <c r="G64" s="76">
        <v>24</v>
      </c>
      <c r="H64" s="76">
        <v>23</v>
      </c>
      <c r="I64" s="76">
        <v>0</v>
      </c>
      <c r="J64" s="76">
        <v>0</v>
      </c>
      <c r="K64" s="76">
        <v>0</v>
      </c>
      <c r="L64" s="76">
        <v>0</v>
      </c>
      <c r="M64" s="76">
        <v>135</v>
      </c>
      <c r="N64" s="76">
        <v>132</v>
      </c>
      <c r="O64" s="76">
        <v>61</v>
      </c>
      <c r="P64" s="76">
        <v>56</v>
      </c>
      <c r="Q64" s="76">
        <v>11</v>
      </c>
      <c r="R64" s="76">
        <v>35</v>
      </c>
      <c r="S64" s="76">
        <v>1</v>
      </c>
      <c r="T64" s="76">
        <v>95</v>
      </c>
      <c r="U64" s="76">
        <v>566</v>
      </c>
      <c r="V64" s="76">
        <v>135</v>
      </c>
      <c r="W64" s="76">
        <v>0.254</v>
      </c>
      <c r="X64" s="76">
        <v>1.24</v>
      </c>
      <c r="Y64" s="76"/>
      <c r="Z64" s="76">
        <v>11</v>
      </c>
      <c r="AA64" t="s">
        <v>409</v>
      </c>
      <c r="AB64" s="76" t="s">
        <v>147</v>
      </c>
      <c r="AC64" s="76">
        <v>6</v>
      </c>
      <c r="AD64" s="76">
        <v>1</v>
      </c>
      <c r="AE64" s="76">
        <v>0</v>
      </c>
      <c r="AF64" s="76">
        <v>0</v>
      </c>
      <c r="AG64" s="76">
        <v>10</v>
      </c>
      <c r="AH64" s="76">
        <v>137</v>
      </c>
      <c r="AI64" s="76">
        <v>161</v>
      </c>
      <c r="AJ64" s="76">
        <v>3</v>
      </c>
      <c r="AK64" s="76">
        <v>0</v>
      </c>
      <c r="AL64" s="76">
        <v>10</v>
      </c>
      <c r="AM64" s="76">
        <v>1</v>
      </c>
      <c r="AN64" s="76">
        <v>0</v>
      </c>
      <c r="AO64" s="76">
        <v>2100</v>
      </c>
      <c r="AP64" s="202" t="s">
        <v>147</v>
      </c>
      <c r="AQ64" s="202">
        <v>0</v>
      </c>
      <c r="AR64" s="202">
        <v>0.87</v>
      </c>
      <c r="AS64" s="202">
        <v>0.38300000000000001</v>
      </c>
      <c r="AT64" s="202">
        <v>0.53700000000000003</v>
      </c>
      <c r="AU64" s="202">
        <v>0.92</v>
      </c>
      <c r="AV64" s="202">
        <v>6.06</v>
      </c>
      <c r="AW64" s="202">
        <v>4.68</v>
      </c>
      <c r="AX64" s="202">
        <v>11.3</v>
      </c>
      <c r="AY64" s="202">
        <v>1.29</v>
      </c>
      <c r="AZ64" s="202">
        <v>18.64</v>
      </c>
    </row>
    <row r="65" spans="1:52" x14ac:dyDescent="0.2">
      <c r="A65" s="76">
        <v>2</v>
      </c>
      <c r="B65" s="41" t="s">
        <v>395</v>
      </c>
      <c r="C65" s="76" t="s">
        <v>147</v>
      </c>
      <c r="D65" s="76">
        <v>4</v>
      </c>
      <c r="E65" s="76">
        <v>3</v>
      </c>
      <c r="F65" s="76">
        <v>2.08</v>
      </c>
      <c r="G65" s="76">
        <v>64</v>
      </c>
      <c r="H65" s="76">
        <v>0</v>
      </c>
      <c r="I65" s="76">
        <v>0</v>
      </c>
      <c r="J65" s="76">
        <v>0</v>
      </c>
      <c r="K65" s="76">
        <v>1</v>
      </c>
      <c r="L65" s="76">
        <v>3</v>
      </c>
      <c r="M65" s="76">
        <v>60.2</v>
      </c>
      <c r="N65" s="76">
        <v>57</v>
      </c>
      <c r="O65" s="76">
        <v>18</v>
      </c>
      <c r="P65" s="76">
        <v>14</v>
      </c>
      <c r="Q65" s="76">
        <v>1</v>
      </c>
      <c r="R65" s="76">
        <v>28</v>
      </c>
      <c r="S65" s="76">
        <v>0</v>
      </c>
      <c r="T65" s="76">
        <v>46</v>
      </c>
      <c r="U65" s="76">
        <v>259</v>
      </c>
      <c r="V65" s="76">
        <v>60.2</v>
      </c>
      <c r="W65" s="76">
        <v>0.25900000000000001</v>
      </c>
      <c r="X65" s="76">
        <v>1.4</v>
      </c>
      <c r="Y65" s="76"/>
      <c r="Z65" s="76">
        <v>2</v>
      </c>
      <c r="AA65" t="s">
        <v>395</v>
      </c>
      <c r="AB65" s="76" t="s">
        <v>147</v>
      </c>
      <c r="AC65" s="76">
        <v>3</v>
      </c>
      <c r="AD65" s="76">
        <v>0</v>
      </c>
      <c r="AE65" s="76">
        <v>15</v>
      </c>
      <c r="AF65" s="76">
        <v>10</v>
      </c>
      <c r="AG65" s="76">
        <v>11</v>
      </c>
      <c r="AH65" s="76">
        <v>81</v>
      </c>
      <c r="AI65" s="76">
        <v>46</v>
      </c>
      <c r="AJ65" s="76">
        <v>4</v>
      </c>
      <c r="AK65" s="76">
        <v>0</v>
      </c>
      <c r="AL65" s="76">
        <v>1</v>
      </c>
      <c r="AM65" s="76">
        <v>1</v>
      </c>
      <c r="AN65" s="76">
        <v>0</v>
      </c>
      <c r="AO65" s="76">
        <v>1027</v>
      </c>
      <c r="AP65" s="202" t="s">
        <v>147</v>
      </c>
      <c r="AQ65" s="202">
        <v>0.33300000000000002</v>
      </c>
      <c r="AR65" s="202">
        <v>2.42</v>
      </c>
      <c r="AS65" s="202">
        <v>0.32500000000000001</v>
      </c>
      <c r="AT65" s="202">
        <v>0.39800000000000002</v>
      </c>
      <c r="AU65" s="202">
        <v>0.72399999999999998</v>
      </c>
      <c r="AV65" s="202">
        <v>9.7899999999999991</v>
      </c>
      <c r="AW65" s="202">
        <v>4.75</v>
      </c>
      <c r="AX65" s="202">
        <v>6.97</v>
      </c>
      <c r="AY65" s="202">
        <v>2.06</v>
      </c>
      <c r="AZ65" s="202">
        <v>17.36</v>
      </c>
    </row>
    <row r="66" spans="1:52" x14ac:dyDescent="0.2">
      <c r="A66" s="76">
        <v>22</v>
      </c>
      <c r="B66" t="s">
        <v>512</v>
      </c>
      <c r="C66" s="76" t="s">
        <v>147</v>
      </c>
      <c r="D66" s="76">
        <v>0</v>
      </c>
      <c r="E66" s="76">
        <v>2</v>
      </c>
      <c r="F66" s="76">
        <v>6.94</v>
      </c>
      <c r="G66" s="76">
        <v>2</v>
      </c>
      <c r="H66" s="76">
        <v>2</v>
      </c>
      <c r="I66" s="76">
        <v>0</v>
      </c>
      <c r="J66" s="76">
        <v>0</v>
      </c>
      <c r="K66" s="76">
        <v>0</v>
      </c>
      <c r="L66" s="76">
        <v>0</v>
      </c>
      <c r="M66" s="76">
        <v>11.2</v>
      </c>
      <c r="N66" s="76">
        <v>14</v>
      </c>
      <c r="O66" s="76">
        <v>9</v>
      </c>
      <c r="P66" s="76">
        <v>9</v>
      </c>
      <c r="Q66" s="76">
        <v>5</v>
      </c>
      <c r="R66" s="76">
        <v>6</v>
      </c>
      <c r="S66" s="76">
        <v>0</v>
      </c>
      <c r="T66" s="76">
        <v>11</v>
      </c>
      <c r="U66" s="76">
        <v>53</v>
      </c>
      <c r="V66" s="76">
        <v>11.2</v>
      </c>
      <c r="W66" s="76">
        <v>0.30399999999999999</v>
      </c>
      <c r="X66" s="76">
        <v>1.71</v>
      </c>
      <c r="Y66" s="76"/>
      <c r="Z66" s="76">
        <v>22</v>
      </c>
      <c r="AA66" t="s">
        <v>512</v>
      </c>
      <c r="AB66" s="76" t="s">
        <v>147</v>
      </c>
      <c r="AC66" s="76">
        <v>0</v>
      </c>
      <c r="AD66" s="76">
        <v>0</v>
      </c>
      <c r="AE66" s="76">
        <v>0</v>
      </c>
      <c r="AF66" s="76">
        <v>0</v>
      </c>
      <c r="AG66" s="76">
        <v>2</v>
      </c>
      <c r="AH66" s="76">
        <v>11</v>
      </c>
      <c r="AI66" s="76">
        <v>11</v>
      </c>
      <c r="AJ66" s="76">
        <v>0</v>
      </c>
      <c r="AK66" s="76">
        <v>0</v>
      </c>
      <c r="AL66" s="76">
        <v>0</v>
      </c>
      <c r="AM66" s="76">
        <v>0</v>
      </c>
      <c r="AN66" s="76">
        <v>0</v>
      </c>
      <c r="AO66" s="76">
        <v>219</v>
      </c>
      <c r="AP66" s="202" t="s">
        <v>148</v>
      </c>
      <c r="AQ66" s="202">
        <v>1</v>
      </c>
      <c r="AR66" s="202">
        <v>1.1100000000000001</v>
      </c>
      <c r="AS66" s="202">
        <v>0.34</v>
      </c>
      <c r="AT66" s="202">
        <v>0.42499999999999999</v>
      </c>
      <c r="AU66" s="202">
        <v>0.76600000000000001</v>
      </c>
      <c r="AV66" s="202">
        <v>6.21</v>
      </c>
      <c r="AW66" s="202">
        <v>3.51</v>
      </c>
      <c r="AX66" s="202">
        <v>9.99</v>
      </c>
      <c r="AY66" s="202">
        <v>1.77</v>
      </c>
      <c r="AZ66" s="202">
        <v>15.84</v>
      </c>
    </row>
    <row r="67" spans="1:52" x14ac:dyDescent="0.2">
      <c r="A67" s="76">
        <v>3</v>
      </c>
      <c r="B67" s="41" t="s">
        <v>517</v>
      </c>
      <c r="C67" s="76" t="s">
        <v>147</v>
      </c>
      <c r="D67" s="76">
        <v>5</v>
      </c>
      <c r="E67" s="76">
        <v>3</v>
      </c>
      <c r="F67" s="76">
        <v>2.29</v>
      </c>
      <c r="G67" s="76">
        <v>71</v>
      </c>
      <c r="H67" s="76">
        <v>0</v>
      </c>
      <c r="I67" s="76">
        <v>0</v>
      </c>
      <c r="J67" s="76">
        <v>0</v>
      </c>
      <c r="K67" s="76">
        <v>3</v>
      </c>
      <c r="L67" s="76">
        <v>12</v>
      </c>
      <c r="M67" s="76">
        <v>70.2</v>
      </c>
      <c r="N67" s="76">
        <v>48</v>
      </c>
      <c r="O67" s="76">
        <v>20</v>
      </c>
      <c r="P67" s="76">
        <v>18</v>
      </c>
      <c r="Q67" s="76">
        <v>7</v>
      </c>
      <c r="R67" s="76">
        <v>15</v>
      </c>
      <c r="S67" s="76">
        <v>3</v>
      </c>
      <c r="T67" s="76">
        <v>80</v>
      </c>
      <c r="U67" s="76">
        <v>274</v>
      </c>
      <c r="V67" s="76">
        <v>70.2</v>
      </c>
      <c r="W67" s="76">
        <v>0.19</v>
      </c>
      <c r="X67" s="76">
        <v>0.89</v>
      </c>
      <c r="Y67" s="76"/>
      <c r="Z67" s="76">
        <v>3</v>
      </c>
      <c r="AA67" t="s">
        <v>517</v>
      </c>
      <c r="AB67" s="76" t="s">
        <v>147</v>
      </c>
      <c r="AC67" s="76">
        <v>3</v>
      </c>
      <c r="AD67" s="76">
        <v>3</v>
      </c>
      <c r="AE67" s="76">
        <v>11</v>
      </c>
      <c r="AF67" s="76">
        <v>28</v>
      </c>
      <c r="AG67" s="76">
        <v>5</v>
      </c>
      <c r="AH67" s="76">
        <v>69</v>
      </c>
      <c r="AI67" s="76">
        <v>59</v>
      </c>
      <c r="AJ67" s="76">
        <v>7</v>
      </c>
      <c r="AK67" s="76">
        <v>0</v>
      </c>
      <c r="AL67" s="76">
        <v>2</v>
      </c>
      <c r="AM67" s="76">
        <v>2</v>
      </c>
      <c r="AN67" s="76">
        <v>1</v>
      </c>
      <c r="AO67" s="76">
        <v>1009</v>
      </c>
      <c r="AP67" s="202" t="s">
        <v>147</v>
      </c>
      <c r="AQ67" s="202" t="s">
        <v>243</v>
      </c>
      <c r="AR67" s="202" t="s">
        <v>243</v>
      </c>
      <c r="AS67" s="202">
        <v>0.4</v>
      </c>
      <c r="AT67" s="202">
        <v>0.25</v>
      </c>
      <c r="AU67" s="202">
        <v>0.65</v>
      </c>
      <c r="AV67" s="202">
        <v>9</v>
      </c>
      <c r="AW67" s="202">
        <v>0</v>
      </c>
      <c r="AX67" s="202">
        <v>9</v>
      </c>
      <c r="AY67" s="202" t="s">
        <v>243</v>
      </c>
      <c r="AZ67" s="202">
        <v>23</v>
      </c>
    </row>
    <row r="68" spans="1:52" x14ac:dyDescent="0.2">
      <c r="A68" s="76">
        <v>6</v>
      </c>
      <c r="B68" s="41" t="s">
        <v>756</v>
      </c>
      <c r="C68" s="76" t="s">
        <v>147</v>
      </c>
      <c r="D68" s="76">
        <v>0</v>
      </c>
      <c r="E68" s="76">
        <v>1</v>
      </c>
      <c r="F68" s="76">
        <v>2.63</v>
      </c>
      <c r="G68" s="76">
        <v>29</v>
      </c>
      <c r="H68" s="76">
        <v>0</v>
      </c>
      <c r="I68" s="76">
        <v>0</v>
      </c>
      <c r="J68" s="76">
        <v>0</v>
      </c>
      <c r="K68" s="76">
        <v>1</v>
      </c>
      <c r="L68" s="76">
        <v>2</v>
      </c>
      <c r="M68" s="76">
        <v>27.1</v>
      </c>
      <c r="N68" s="76">
        <v>21</v>
      </c>
      <c r="O68" s="76">
        <v>8</v>
      </c>
      <c r="P68" s="76">
        <v>8</v>
      </c>
      <c r="Q68" s="76">
        <v>2</v>
      </c>
      <c r="R68" s="76">
        <v>20</v>
      </c>
      <c r="S68" s="76">
        <v>3</v>
      </c>
      <c r="T68" s="76">
        <v>25</v>
      </c>
      <c r="U68" s="76">
        <v>119</v>
      </c>
      <c r="V68" s="76">
        <v>27.1</v>
      </c>
      <c r="W68" s="76">
        <v>0.21199999999999999</v>
      </c>
      <c r="X68" s="76">
        <v>1.5</v>
      </c>
      <c r="Y68" s="76"/>
      <c r="Z68" s="76">
        <v>6</v>
      </c>
      <c r="AA68" t="s">
        <v>756</v>
      </c>
      <c r="AB68" s="76" t="s">
        <v>147</v>
      </c>
      <c r="AC68" s="76">
        <v>0</v>
      </c>
      <c r="AD68" s="76">
        <v>3</v>
      </c>
      <c r="AE68" s="76">
        <v>12</v>
      </c>
      <c r="AF68" s="76">
        <v>5</v>
      </c>
      <c r="AG68" s="76">
        <v>4</v>
      </c>
      <c r="AH68" s="76">
        <v>31</v>
      </c>
      <c r="AI68" s="76">
        <v>22</v>
      </c>
      <c r="AJ68" s="76">
        <v>3</v>
      </c>
      <c r="AK68" s="76">
        <v>0</v>
      </c>
      <c r="AL68" s="76">
        <v>0</v>
      </c>
      <c r="AM68" s="76">
        <v>0</v>
      </c>
      <c r="AN68" s="76">
        <v>0</v>
      </c>
      <c r="AO68" s="76">
        <v>499</v>
      </c>
      <c r="AP68" s="202" t="s">
        <v>147</v>
      </c>
      <c r="AQ68" s="202">
        <v>0.4</v>
      </c>
      <c r="AR68" s="202">
        <v>2.4</v>
      </c>
      <c r="AS68" s="202">
        <v>0.32900000000000001</v>
      </c>
      <c r="AT68" s="202">
        <v>0.33500000000000002</v>
      </c>
      <c r="AU68" s="202">
        <v>0.66400000000000003</v>
      </c>
      <c r="AV68" s="202">
        <v>7.35</v>
      </c>
      <c r="AW68" s="202">
        <v>3.83</v>
      </c>
      <c r="AX68" s="202">
        <v>8.7899999999999991</v>
      </c>
      <c r="AY68" s="202">
        <v>1.92</v>
      </c>
      <c r="AZ68" s="202">
        <v>16.670000000000002</v>
      </c>
    </row>
    <row r="69" spans="1:52" x14ac:dyDescent="0.2">
      <c r="A69" s="76">
        <v>15</v>
      </c>
      <c r="B69" t="s">
        <v>360</v>
      </c>
      <c r="C69" s="76" t="s">
        <v>147</v>
      </c>
      <c r="D69" s="76">
        <v>6</v>
      </c>
      <c r="E69" s="76">
        <v>2</v>
      </c>
      <c r="F69" s="76">
        <v>4.62</v>
      </c>
      <c r="G69" s="76">
        <v>11</v>
      </c>
      <c r="H69" s="76">
        <v>11</v>
      </c>
      <c r="I69" s="76">
        <v>0</v>
      </c>
      <c r="J69" s="76">
        <v>0</v>
      </c>
      <c r="K69" s="76">
        <v>0</v>
      </c>
      <c r="L69" s="76">
        <v>0</v>
      </c>
      <c r="M69" s="76">
        <v>60.1</v>
      </c>
      <c r="N69" s="76">
        <v>63</v>
      </c>
      <c r="O69" s="76">
        <v>33</v>
      </c>
      <c r="P69" s="76">
        <v>31</v>
      </c>
      <c r="Q69" s="76">
        <v>10</v>
      </c>
      <c r="R69" s="76">
        <v>25</v>
      </c>
      <c r="S69" s="76">
        <v>1</v>
      </c>
      <c r="T69" s="76">
        <v>32</v>
      </c>
      <c r="U69" s="76">
        <v>265</v>
      </c>
      <c r="V69" s="76">
        <v>60.1</v>
      </c>
      <c r="W69" s="76">
        <v>0.27</v>
      </c>
      <c r="X69" s="76">
        <v>1.46</v>
      </c>
      <c r="Y69" s="76"/>
      <c r="Z69" s="76">
        <v>15</v>
      </c>
      <c r="AA69" t="s">
        <v>360</v>
      </c>
      <c r="AB69" s="76" t="s">
        <v>147</v>
      </c>
      <c r="AC69" s="76">
        <v>1</v>
      </c>
      <c r="AD69" s="76">
        <v>1</v>
      </c>
      <c r="AE69" s="76">
        <v>0</v>
      </c>
      <c r="AF69" s="76">
        <v>0</v>
      </c>
      <c r="AG69" s="76">
        <v>5</v>
      </c>
      <c r="AH69" s="76">
        <v>74</v>
      </c>
      <c r="AI69" s="76">
        <v>70</v>
      </c>
      <c r="AJ69" s="76">
        <v>1</v>
      </c>
      <c r="AK69" s="76">
        <v>0</v>
      </c>
      <c r="AL69" s="76">
        <v>11</v>
      </c>
      <c r="AM69" s="76">
        <v>2</v>
      </c>
      <c r="AN69" s="76">
        <v>0</v>
      </c>
      <c r="AO69" s="76">
        <v>1007</v>
      </c>
      <c r="AP69" s="202" t="s">
        <v>147</v>
      </c>
      <c r="AQ69" s="202" t="s">
        <v>243</v>
      </c>
      <c r="AR69" s="202">
        <v>2</v>
      </c>
      <c r="AS69" s="202">
        <v>0.4</v>
      </c>
      <c r="AT69" s="202">
        <v>0.5</v>
      </c>
      <c r="AU69" s="202">
        <v>0.9</v>
      </c>
      <c r="AV69" s="202">
        <v>0</v>
      </c>
      <c r="AW69" s="202">
        <v>0</v>
      </c>
      <c r="AX69" s="202">
        <v>9</v>
      </c>
      <c r="AY69" s="202" t="s">
        <v>243</v>
      </c>
      <c r="AZ69" s="202">
        <v>28</v>
      </c>
    </row>
    <row r="70" spans="1:52" x14ac:dyDescent="0.2">
      <c r="A70" s="76">
        <v>13</v>
      </c>
      <c r="B70" t="s">
        <v>1310</v>
      </c>
      <c r="C70" s="76" t="s">
        <v>147</v>
      </c>
      <c r="D70" s="76">
        <v>1</v>
      </c>
      <c r="E70" s="76">
        <v>0</v>
      </c>
      <c r="F70" s="76">
        <v>4.3499999999999996</v>
      </c>
      <c r="G70" s="76">
        <v>11</v>
      </c>
      <c r="H70" s="76">
        <v>0</v>
      </c>
      <c r="I70" s="76">
        <v>0</v>
      </c>
      <c r="J70" s="76">
        <v>0</v>
      </c>
      <c r="K70" s="76">
        <v>0</v>
      </c>
      <c r="L70" s="76">
        <v>0</v>
      </c>
      <c r="M70" s="76">
        <v>10.1</v>
      </c>
      <c r="N70" s="76">
        <v>10</v>
      </c>
      <c r="O70" s="76">
        <v>6</v>
      </c>
      <c r="P70" s="76">
        <v>5</v>
      </c>
      <c r="Q70" s="76">
        <v>0</v>
      </c>
      <c r="R70" s="76">
        <v>5</v>
      </c>
      <c r="S70" s="76">
        <v>0</v>
      </c>
      <c r="T70" s="76">
        <v>6</v>
      </c>
      <c r="U70" s="76">
        <v>47</v>
      </c>
      <c r="V70" s="76">
        <v>10.1</v>
      </c>
      <c r="W70" s="76">
        <v>0.25</v>
      </c>
      <c r="X70" s="76">
        <v>1.45</v>
      </c>
      <c r="Y70" s="76"/>
      <c r="Z70" s="76">
        <v>13</v>
      </c>
      <c r="AA70" t="s">
        <v>1310</v>
      </c>
      <c r="AB70" s="76" t="s">
        <v>147</v>
      </c>
      <c r="AC70" s="76">
        <v>2</v>
      </c>
      <c r="AD70" s="76">
        <v>0</v>
      </c>
      <c r="AE70" s="76">
        <v>3</v>
      </c>
      <c r="AF70" s="76">
        <v>0</v>
      </c>
      <c r="AG70" s="76">
        <v>1</v>
      </c>
      <c r="AH70" s="76">
        <v>6</v>
      </c>
      <c r="AI70" s="76">
        <v>18</v>
      </c>
      <c r="AJ70" s="76">
        <v>0</v>
      </c>
      <c r="AK70" s="76">
        <v>0</v>
      </c>
      <c r="AL70" s="76">
        <v>2</v>
      </c>
      <c r="AM70" s="76">
        <v>1</v>
      </c>
      <c r="AN70" s="76">
        <v>0</v>
      </c>
      <c r="AO70" s="76">
        <v>180</v>
      </c>
      <c r="AP70" s="202" t="s">
        <v>147</v>
      </c>
      <c r="AQ70" s="202">
        <v>0.5</v>
      </c>
      <c r="AR70" s="202">
        <v>0.95</v>
      </c>
      <c r="AS70" s="202">
        <v>0.33700000000000002</v>
      </c>
      <c r="AT70" s="202">
        <v>0.39800000000000002</v>
      </c>
      <c r="AU70" s="202">
        <v>0.73399999999999999</v>
      </c>
      <c r="AV70" s="202">
        <v>11.84</v>
      </c>
      <c r="AW70" s="202">
        <v>4.4400000000000004</v>
      </c>
      <c r="AX70" s="202">
        <v>7.77</v>
      </c>
      <c r="AY70" s="202">
        <v>2.67</v>
      </c>
      <c r="AZ70" s="202">
        <v>17.34</v>
      </c>
    </row>
    <row r="71" spans="1:52" x14ac:dyDescent="0.2">
      <c r="A71" s="76">
        <v>14</v>
      </c>
      <c r="B71" t="s">
        <v>513</v>
      </c>
      <c r="C71" s="76" t="s">
        <v>147</v>
      </c>
      <c r="D71" s="76">
        <v>0</v>
      </c>
      <c r="E71" s="76">
        <v>0</v>
      </c>
      <c r="F71" s="76">
        <v>4.5</v>
      </c>
      <c r="G71" s="76">
        <v>9</v>
      </c>
      <c r="H71" s="76">
        <v>0</v>
      </c>
      <c r="I71" s="76">
        <v>0</v>
      </c>
      <c r="J71" s="76">
        <v>0</v>
      </c>
      <c r="K71" s="76">
        <v>0</v>
      </c>
      <c r="L71" s="76">
        <v>0</v>
      </c>
      <c r="M71" s="76">
        <v>8</v>
      </c>
      <c r="N71" s="76">
        <v>8</v>
      </c>
      <c r="O71" s="76">
        <v>5</v>
      </c>
      <c r="P71" s="76">
        <v>4</v>
      </c>
      <c r="Q71" s="76">
        <v>1</v>
      </c>
      <c r="R71" s="76">
        <v>8</v>
      </c>
      <c r="S71" s="76">
        <v>0</v>
      </c>
      <c r="T71" s="76">
        <v>7</v>
      </c>
      <c r="U71" s="76">
        <v>39</v>
      </c>
      <c r="V71" s="76">
        <v>8</v>
      </c>
      <c r="W71" s="76">
        <v>0.26700000000000002</v>
      </c>
      <c r="X71" s="76">
        <v>2</v>
      </c>
      <c r="Y71" s="76"/>
      <c r="Z71" s="76">
        <v>14</v>
      </c>
      <c r="AA71" t="s">
        <v>513</v>
      </c>
      <c r="AB71" s="76" t="s">
        <v>147</v>
      </c>
      <c r="AC71" s="76">
        <v>0</v>
      </c>
      <c r="AD71" s="76">
        <v>0</v>
      </c>
      <c r="AE71" s="76">
        <v>1</v>
      </c>
      <c r="AF71" s="76">
        <v>1</v>
      </c>
      <c r="AG71" s="76">
        <v>2</v>
      </c>
      <c r="AH71" s="76">
        <v>12</v>
      </c>
      <c r="AI71" s="76">
        <v>4</v>
      </c>
      <c r="AJ71" s="76">
        <v>3</v>
      </c>
      <c r="AK71" s="76">
        <v>0</v>
      </c>
      <c r="AL71" s="76">
        <v>1</v>
      </c>
      <c r="AM71" s="76">
        <v>0</v>
      </c>
      <c r="AN71" s="76">
        <v>0</v>
      </c>
      <c r="AO71" s="76">
        <v>156</v>
      </c>
      <c r="AP71" s="202" t="s">
        <v>147</v>
      </c>
      <c r="AQ71" s="202">
        <v>0.47399999999999998</v>
      </c>
      <c r="AR71" s="202">
        <v>1.2</v>
      </c>
      <c r="AS71" s="202">
        <v>0.315</v>
      </c>
      <c r="AT71" s="202">
        <v>0.40799999999999997</v>
      </c>
      <c r="AU71" s="202">
        <v>0.72199999999999998</v>
      </c>
      <c r="AV71" s="202">
        <v>7.72</v>
      </c>
      <c r="AW71" s="202">
        <v>1.92</v>
      </c>
      <c r="AX71" s="202">
        <v>9.51</v>
      </c>
      <c r="AY71" s="202">
        <v>4.0199999999999996</v>
      </c>
      <c r="AZ71" s="202">
        <v>16.350000000000001</v>
      </c>
    </row>
    <row r="72" spans="1:52" x14ac:dyDescent="0.2">
      <c r="A72" s="76">
        <v>16</v>
      </c>
      <c r="B72" t="s">
        <v>1311</v>
      </c>
      <c r="C72" s="76" t="s">
        <v>147</v>
      </c>
      <c r="D72" s="76">
        <v>0</v>
      </c>
      <c r="E72" s="76">
        <v>1</v>
      </c>
      <c r="F72" s="76">
        <v>5.5</v>
      </c>
      <c r="G72" s="76">
        <v>12</v>
      </c>
      <c r="H72" s="76">
        <v>0</v>
      </c>
      <c r="I72" s="76">
        <v>0</v>
      </c>
      <c r="J72" s="76">
        <v>0</v>
      </c>
      <c r="K72" s="76">
        <v>0</v>
      </c>
      <c r="L72" s="76">
        <v>0</v>
      </c>
      <c r="M72" s="76">
        <v>18</v>
      </c>
      <c r="N72" s="76">
        <v>20</v>
      </c>
      <c r="O72" s="76">
        <v>12</v>
      </c>
      <c r="P72" s="76">
        <v>11</v>
      </c>
      <c r="Q72" s="76">
        <v>0</v>
      </c>
      <c r="R72" s="76">
        <v>12</v>
      </c>
      <c r="S72" s="76">
        <v>1</v>
      </c>
      <c r="T72" s="76">
        <v>15</v>
      </c>
      <c r="U72" s="76">
        <v>84</v>
      </c>
      <c r="V72" s="76">
        <v>18</v>
      </c>
      <c r="W72" s="76">
        <v>0.27800000000000002</v>
      </c>
      <c r="X72" s="76">
        <v>1.78</v>
      </c>
      <c r="Y72" s="76"/>
      <c r="Z72" s="76">
        <v>16</v>
      </c>
      <c r="AA72" t="s">
        <v>1311</v>
      </c>
      <c r="AB72" s="76" t="s">
        <v>147</v>
      </c>
      <c r="AC72" s="76">
        <v>0</v>
      </c>
      <c r="AD72" s="76">
        <v>1</v>
      </c>
      <c r="AE72" s="76">
        <v>7</v>
      </c>
      <c r="AF72" s="76">
        <v>0</v>
      </c>
      <c r="AG72" s="76">
        <v>3</v>
      </c>
      <c r="AH72" s="76">
        <v>25</v>
      </c>
      <c r="AI72" s="76">
        <v>12</v>
      </c>
      <c r="AJ72" s="76">
        <v>2</v>
      </c>
      <c r="AK72" s="76">
        <v>0</v>
      </c>
      <c r="AL72" s="76">
        <v>1</v>
      </c>
      <c r="AM72" s="76">
        <v>0</v>
      </c>
      <c r="AN72" s="76">
        <v>0</v>
      </c>
      <c r="AO72" s="76">
        <v>330</v>
      </c>
      <c r="AP72" s="202" t="s">
        <v>147</v>
      </c>
      <c r="AQ72" s="202">
        <v>0.54500000000000004</v>
      </c>
      <c r="AR72" s="202">
        <v>0.75</v>
      </c>
      <c r="AS72" s="202">
        <v>0.24099999999999999</v>
      </c>
      <c r="AT72" s="202">
        <v>0.33200000000000002</v>
      </c>
      <c r="AU72" s="202">
        <v>0.57299999999999995</v>
      </c>
      <c r="AV72" s="202">
        <v>12.22</v>
      </c>
      <c r="AW72" s="202">
        <v>1.85</v>
      </c>
      <c r="AX72" s="202">
        <v>6.54</v>
      </c>
      <c r="AY72" s="202">
        <v>6.62</v>
      </c>
      <c r="AZ72" s="202">
        <v>15.49</v>
      </c>
    </row>
    <row r="73" spans="1:52" x14ac:dyDescent="0.2">
      <c r="A73" s="76">
        <v>4</v>
      </c>
      <c r="B73" s="41" t="s">
        <v>353</v>
      </c>
      <c r="C73" s="76" t="s">
        <v>147</v>
      </c>
      <c r="D73" s="76">
        <v>1</v>
      </c>
      <c r="E73" s="76">
        <v>0</v>
      </c>
      <c r="F73" s="76">
        <v>2.2999999999999998</v>
      </c>
      <c r="G73" s="76">
        <v>25</v>
      </c>
      <c r="H73" s="76">
        <v>0</v>
      </c>
      <c r="I73" s="76">
        <v>0</v>
      </c>
      <c r="J73" s="76">
        <v>0</v>
      </c>
      <c r="K73" s="76">
        <v>0</v>
      </c>
      <c r="L73" s="76">
        <v>0</v>
      </c>
      <c r="M73" s="76">
        <v>27.1</v>
      </c>
      <c r="N73" s="76">
        <v>25</v>
      </c>
      <c r="O73" s="76">
        <v>7</v>
      </c>
      <c r="P73" s="76">
        <v>7</v>
      </c>
      <c r="Q73" s="76">
        <v>2</v>
      </c>
      <c r="R73" s="76">
        <v>11</v>
      </c>
      <c r="S73" s="76">
        <v>1</v>
      </c>
      <c r="T73" s="76">
        <v>30</v>
      </c>
      <c r="U73" s="76">
        <v>114</v>
      </c>
      <c r="V73" s="76">
        <v>27.1</v>
      </c>
      <c r="W73" s="76">
        <v>0.248</v>
      </c>
      <c r="X73" s="76">
        <v>1.32</v>
      </c>
      <c r="Y73" s="76"/>
      <c r="Z73" s="76">
        <v>4</v>
      </c>
      <c r="AA73" t="s">
        <v>353</v>
      </c>
      <c r="AB73" s="76" t="s">
        <v>147</v>
      </c>
      <c r="AC73" s="76">
        <v>0</v>
      </c>
      <c r="AD73" s="76">
        <v>1</v>
      </c>
      <c r="AE73" s="76">
        <v>6</v>
      </c>
      <c r="AF73" s="76">
        <v>2</v>
      </c>
      <c r="AG73" s="76">
        <v>1</v>
      </c>
      <c r="AH73" s="76">
        <v>21</v>
      </c>
      <c r="AI73" s="76">
        <v>27</v>
      </c>
      <c r="AJ73" s="76">
        <v>2</v>
      </c>
      <c r="AK73" s="76">
        <v>0</v>
      </c>
      <c r="AL73" s="76">
        <v>3</v>
      </c>
      <c r="AM73" s="76">
        <v>1</v>
      </c>
      <c r="AN73" s="76">
        <v>0</v>
      </c>
      <c r="AO73" s="76">
        <v>449</v>
      </c>
      <c r="AP73" s="202" t="s">
        <v>147</v>
      </c>
      <c r="AQ73" s="202" t="s">
        <v>243</v>
      </c>
      <c r="AR73" s="202">
        <v>0.33</v>
      </c>
      <c r="AS73" s="202">
        <v>0.42899999999999999</v>
      </c>
      <c r="AT73" s="202">
        <v>0.33300000000000002</v>
      </c>
      <c r="AU73" s="202">
        <v>0.76200000000000001</v>
      </c>
      <c r="AV73" s="202">
        <v>0</v>
      </c>
      <c r="AW73" s="202">
        <v>5.4</v>
      </c>
      <c r="AX73" s="202">
        <v>10.8</v>
      </c>
      <c r="AY73" s="202">
        <v>0</v>
      </c>
      <c r="AZ73" s="202">
        <v>21.6</v>
      </c>
    </row>
    <row r="74" spans="1:52" x14ac:dyDescent="0.2">
      <c r="A74" s="76">
        <v>8</v>
      </c>
      <c r="B74" s="41" t="s">
        <v>514</v>
      </c>
      <c r="C74" s="76" t="s">
        <v>147</v>
      </c>
      <c r="D74" s="76">
        <v>13</v>
      </c>
      <c r="E74" s="76">
        <v>12</v>
      </c>
      <c r="F74" s="76">
        <v>3.2</v>
      </c>
      <c r="G74" s="76">
        <v>32</v>
      </c>
      <c r="H74" s="76">
        <v>32</v>
      </c>
      <c r="I74" s="76">
        <v>0</v>
      </c>
      <c r="J74" s="76">
        <v>0</v>
      </c>
      <c r="K74" s="76">
        <v>0</v>
      </c>
      <c r="L74" s="76">
        <v>0</v>
      </c>
      <c r="M74" s="76">
        <v>208</v>
      </c>
      <c r="N74" s="76">
        <v>192</v>
      </c>
      <c r="O74" s="76">
        <v>76</v>
      </c>
      <c r="P74" s="76">
        <v>74</v>
      </c>
      <c r="Q74" s="76">
        <v>22</v>
      </c>
      <c r="R74" s="76">
        <v>50</v>
      </c>
      <c r="S74" s="76">
        <v>1</v>
      </c>
      <c r="T74" s="76">
        <v>181</v>
      </c>
      <c r="U74" s="76">
        <v>837</v>
      </c>
      <c r="V74" s="76">
        <v>208</v>
      </c>
      <c r="W74" s="76">
        <v>0.246</v>
      </c>
      <c r="X74" s="76">
        <v>1.1599999999999999</v>
      </c>
      <c r="Y74" s="76"/>
      <c r="Z74" s="76">
        <v>8</v>
      </c>
      <c r="AA74" t="s">
        <v>514</v>
      </c>
      <c r="AB74" s="76" t="s">
        <v>147</v>
      </c>
      <c r="AC74" s="76">
        <v>4</v>
      </c>
      <c r="AD74" s="76">
        <v>1</v>
      </c>
      <c r="AE74" s="76">
        <v>0</v>
      </c>
      <c r="AF74" s="76">
        <v>0</v>
      </c>
      <c r="AG74" s="76">
        <v>18</v>
      </c>
      <c r="AH74" s="76">
        <v>184</v>
      </c>
      <c r="AI74" s="76">
        <v>226</v>
      </c>
      <c r="AJ74" s="76">
        <v>10</v>
      </c>
      <c r="AK74" s="76">
        <v>1</v>
      </c>
      <c r="AL74" s="76">
        <v>6</v>
      </c>
      <c r="AM74" s="76">
        <v>3</v>
      </c>
      <c r="AN74" s="76">
        <v>2</v>
      </c>
      <c r="AO74" s="76">
        <v>3282</v>
      </c>
      <c r="AP74" s="202" t="s">
        <v>147</v>
      </c>
      <c r="AQ74" s="202">
        <v>0.5</v>
      </c>
      <c r="AR74" s="202">
        <v>1.45</v>
      </c>
      <c r="AS74" s="202">
        <v>0.25700000000000001</v>
      </c>
      <c r="AT74" s="202">
        <v>0.438</v>
      </c>
      <c r="AU74" s="202">
        <v>0.69499999999999995</v>
      </c>
      <c r="AV74" s="202">
        <v>12.79</v>
      </c>
      <c r="AW74" s="202">
        <v>2.84</v>
      </c>
      <c r="AX74" s="202">
        <v>5.68</v>
      </c>
      <c r="AY74" s="202">
        <v>4.5</v>
      </c>
      <c r="AZ74" s="202">
        <v>14.79</v>
      </c>
    </row>
    <row r="75" spans="1:52" x14ac:dyDescent="0.2">
      <c r="A75" s="76">
        <v>24</v>
      </c>
      <c r="B75" s="41" t="s">
        <v>789</v>
      </c>
      <c r="C75" s="76" t="s">
        <v>147</v>
      </c>
      <c r="D75" s="76">
        <v>0</v>
      </c>
      <c r="E75" s="76">
        <v>1</v>
      </c>
      <c r="F75" s="76">
        <v>8.4600000000000009</v>
      </c>
      <c r="G75" s="76">
        <v>7</v>
      </c>
      <c r="H75" s="76">
        <v>5</v>
      </c>
      <c r="I75" s="76">
        <v>0</v>
      </c>
      <c r="J75" s="76">
        <v>0</v>
      </c>
      <c r="K75" s="76">
        <v>0</v>
      </c>
      <c r="L75" s="76">
        <v>0</v>
      </c>
      <c r="M75" s="76">
        <v>27.2</v>
      </c>
      <c r="N75" s="76">
        <v>34</v>
      </c>
      <c r="O75" s="76">
        <v>26</v>
      </c>
      <c r="P75" s="76">
        <v>26</v>
      </c>
      <c r="Q75" s="76">
        <v>9</v>
      </c>
      <c r="R75" s="76">
        <v>12</v>
      </c>
      <c r="S75" s="76">
        <v>0</v>
      </c>
      <c r="T75" s="76">
        <v>16</v>
      </c>
      <c r="U75" s="76">
        <v>130</v>
      </c>
      <c r="V75" s="76">
        <v>27.2</v>
      </c>
      <c r="W75" s="76">
        <v>0.29299999999999998</v>
      </c>
      <c r="X75" s="76">
        <v>1.66</v>
      </c>
      <c r="Y75" s="76"/>
      <c r="Z75" s="76">
        <v>24</v>
      </c>
      <c r="AA75" t="s">
        <v>789</v>
      </c>
      <c r="AB75" s="76" t="s">
        <v>147</v>
      </c>
      <c r="AC75" s="76">
        <v>0</v>
      </c>
      <c r="AD75" s="76">
        <v>0</v>
      </c>
      <c r="AE75" s="76">
        <v>2</v>
      </c>
      <c r="AF75" s="76">
        <v>0</v>
      </c>
      <c r="AG75" s="76">
        <v>0</v>
      </c>
      <c r="AH75" s="76">
        <v>31</v>
      </c>
      <c r="AI75" s="76">
        <v>37</v>
      </c>
      <c r="AJ75" s="76">
        <v>1</v>
      </c>
      <c r="AK75" s="76">
        <v>0</v>
      </c>
      <c r="AL75" s="76">
        <v>0</v>
      </c>
      <c r="AM75" s="76">
        <v>0</v>
      </c>
      <c r="AN75" s="76">
        <v>0</v>
      </c>
      <c r="AO75" s="76">
        <v>524</v>
      </c>
      <c r="AP75" s="202" t="s">
        <v>148</v>
      </c>
      <c r="AQ75" s="202">
        <v>0.7</v>
      </c>
      <c r="AR75" s="202">
        <v>1.1499999999999999</v>
      </c>
      <c r="AS75" s="202">
        <v>0.28199999999999997</v>
      </c>
      <c r="AT75" s="202">
        <v>0.36499999999999999</v>
      </c>
      <c r="AU75" s="202">
        <v>0.64700000000000002</v>
      </c>
      <c r="AV75" s="202">
        <v>4.34</v>
      </c>
      <c r="AW75" s="202">
        <v>2.36</v>
      </c>
      <c r="AX75" s="202">
        <v>7.59</v>
      </c>
      <c r="AY75" s="202">
        <v>1.83</v>
      </c>
      <c r="AZ75" s="202">
        <v>14.17</v>
      </c>
    </row>
    <row r="76" spans="1:52" x14ac:dyDescent="0.2">
      <c r="A76" s="76">
        <v>10</v>
      </c>
      <c r="B76" s="41" t="s">
        <v>582</v>
      </c>
      <c r="C76" s="76" t="s">
        <v>147</v>
      </c>
      <c r="D76" s="76">
        <v>5</v>
      </c>
      <c r="E76" s="76">
        <v>3</v>
      </c>
      <c r="F76" s="76">
        <v>3.47</v>
      </c>
      <c r="G76" s="76">
        <v>62</v>
      </c>
      <c r="H76" s="76">
        <v>0</v>
      </c>
      <c r="I76" s="76">
        <v>0</v>
      </c>
      <c r="J76" s="76">
        <v>0</v>
      </c>
      <c r="K76" s="76">
        <v>37</v>
      </c>
      <c r="L76" s="76">
        <v>44</v>
      </c>
      <c r="M76" s="76">
        <v>62.1</v>
      </c>
      <c r="N76" s="76">
        <v>53</v>
      </c>
      <c r="O76" s="76">
        <v>24</v>
      </c>
      <c r="P76" s="76">
        <v>24</v>
      </c>
      <c r="Q76" s="76">
        <v>6</v>
      </c>
      <c r="R76" s="76">
        <v>32</v>
      </c>
      <c r="S76" s="76">
        <v>4</v>
      </c>
      <c r="T76" s="76">
        <v>75</v>
      </c>
      <c r="U76" s="76">
        <v>267</v>
      </c>
      <c r="V76" s="76">
        <v>62.1</v>
      </c>
      <c r="W76" s="76">
        <v>0.23100000000000001</v>
      </c>
      <c r="X76" s="76">
        <v>1.36</v>
      </c>
      <c r="Y76" s="76"/>
      <c r="Z76" s="76">
        <v>10</v>
      </c>
      <c r="AA76" t="s">
        <v>582</v>
      </c>
      <c r="AB76" s="76" t="s">
        <v>147</v>
      </c>
      <c r="AC76" s="76">
        <v>1</v>
      </c>
      <c r="AD76" s="76">
        <v>4</v>
      </c>
      <c r="AE76" s="76">
        <v>48</v>
      </c>
      <c r="AF76" s="76">
        <v>0</v>
      </c>
      <c r="AG76" s="76">
        <v>3</v>
      </c>
      <c r="AH76" s="76">
        <v>54</v>
      </c>
      <c r="AI76" s="76">
        <v>52</v>
      </c>
      <c r="AJ76" s="76">
        <v>1</v>
      </c>
      <c r="AK76" s="76">
        <v>0</v>
      </c>
      <c r="AL76" s="76">
        <v>7</v>
      </c>
      <c r="AM76" s="76">
        <v>0</v>
      </c>
      <c r="AN76" s="76">
        <v>0</v>
      </c>
      <c r="AO76" s="76">
        <v>1050</v>
      </c>
      <c r="AP76" s="202" t="s">
        <v>147</v>
      </c>
      <c r="AQ76" s="202">
        <v>0</v>
      </c>
      <c r="AR76" s="202">
        <v>0.53</v>
      </c>
      <c r="AS76" s="202">
        <v>0.34799999999999998</v>
      </c>
      <c r="AT76" s="202">
        <v>0.35099999999999998</v>
      </c>
      <c r="AU76" s="202">
        <v>0.69899999999999995</v>
      </c>
      <c r="AV76" s="202">
        <v>12</v>
      </c>
      <c r="AW76" s="202">
        <v>5.4</v>
      </c>
      <c r="AX76" s="202">
        <v>8.4</v>
      </c>
      <c r="AY76" s="202">
        <v>2.2200000000000002</v>
      </c>
      <c r="AZ76" s="202">
        <v>19.07</v>
      </c>
    </row>
    <row r="77" spans="1:52" x14ac:dyDescent="0.2">
      <c r="A77" s="76">
        <v>12</v>
      </c>
      <c r="B77" s="41" t="s">
        <v>1177</v>
      </c>
      <c r="C77" s="76" t="s">
        <v>147</v>
      </c>
      <c r="D77" s="76">
        <v>9</v>
      </c>
      <c r="E77" s="76">
        <v>10</v>
      </c>
      <c r="F77" s="76">
        <v>4.04</v>
      </c>
      <c r="G77" s="76">
        <v>28</v>
      </c>
      <c r="H77" s="76">
        <v>28</v>
      </c>
      <c r="I77" s="76">
        <v>0</v>
      </c>
      <c r="J77" s="76">
        <v>0</v>
      </c>
      <c r="K77" s="76">
        <v>0</v>
      </c>
      <c r="L77" s="76">
        <v>0</v>
      </c>
      <c r="M77" s="76">
        <v>165</v>
      </c>
      <c r="N77" s="76">
        <v>176</v>
      </c>
      <c r="O77" s="76">
        <v>82</v>
      </c>
      <c r="P77" s="76">
        <v>74</v>
      </c>
      <c r="Q77" s="76">
        <v>23</v>
      </c>
      <c r="R77" s="76">
        <v>54</v>
      </c>
      <c r="S77" s="76">
        <v>3</v>
      </c>
      <c r="T77" s="76">
        <v>168</v>
      </c>
      <c r="U77" s="76">
        <v>715</v>
      </c>
      <c r="V77" s="76">
        <v>165</v>
      </c>
      <c r="W77" s="76">
        <v>0.27300000000000002</v>
      </c>
      <c r="X77" s="76">
        <v>1.39</v>
      </c>
      <c r="Y77" s="76"/>
      <c r="Z77" s="76">
        <v>12</v>
      </c>
      <c r="AA77" t="s">
        <v>1177</v>
      </c>
      <c r="AB77" s="76" t="s">
        <v>147</v>
      </c>
      <c r="AC77" s="76">
        <v>6</v>
      </c>
      <c r="AD77" s="76">
        <v>3</v>
      </c>
      <c r="AE77" s="76">
        <v>0</v>
      </c>
      <c r="AF77" s="76">
        <v>0</v>
      </c>
      <c r="AG77" s="76">
        <v>14</v>
      </c>
      <c r="AH77" s="76">
        <v>148</v>
      </c>
      <c r="AI77" s="76">
        <v>162</v>
      </c>
      <c r="AJ77" s="76">
        <v>11</v>
      </c>
      <c r="AK77" s="76">
        <v>1</v>
      </c>
      <c r="AL77" s="76">
        <v>17</v>
      </c>
      <c r="AM77" s="76">
        <v>3</v>
      </c>
      <c r="AN77" s="76">
        <v>1</v>
      </c>
      <c r="AO77" s="76">
        <v>2795</v>
      </c>
      <c r="AP77" s="202" t="s">
        <v>147</v>
      </c>
      <c r="AQ77" s="202">
        <v>0.57099999999999995</v>
      </c>
      <c r="AR77" s="202">
        <v>3.15</v>
      </c>
      <c r="AS77" s="202">
        <v>0.34599999999999997</v>
      </c>
      <c r="AT77" s="202">
        <v>0.371</v>
      </c>
      <c r="AU77" s="202">
        <v>0.71599999999999997</v>
      </c>
      <c r="AV77" s="202">
        <v>5.71</v>
      </c>
      <c r="AW77" s="202">
        <v>3.12</v>
      </c>
      <c r="AX77" s="202">
        <v>9.69</v>
      </c>
      <c r="AY77" s="202">
        <v>1.83</v>
      </c>
      <c r="AZ77" s="202">
        <v>15.19</v>
      </c>
    </row>
    <row r="78" spans="1:52" x14ac:dyDescent="0.2">
      <c r="A78" s="76">
        <v>9</v>
      </c>
      <c r="B78" s="41" t="s">
        <v>510</v>
      </c>
      <c r="C78" s="76" t="s">
        <v>147</v>
      </c>
      <c r="D78" s="76">
        <v>17</v>
      </c>
      <c r="E78" s="76">
        <v>10</v>
      </c>
      <c r="F78" s="76">
        <v>3.34</v>
      </c>
      <c r="G78" s="76">
        <v>32</v>
      </c>
      <c r="H78" s="76">
        <v>32</v>
      </c>
      <c r="I78" s="76">
        <v>6</v>
      </c>
      <c r="J78" s="76">
        <v>1</v>
      </c>
      <c r="K78" s="76">
        <v>0</v>
      </c>
      <c r="L78" s="76">
        <v>0</v>
      </c>
      <c r="M78" s="76">
        <v>226.2</v>
      </c>
      <c r="N78" s="76">
        <v>190</v>
      </c>
      <c r="O78" s="76">
        <v>88</v>
      </c>
      <c r="P78" s="76">
        <v>84</v>
      </c>
      <c r="Q78" s="76">
        <v>27</v>
      </c>
      <c r="R78" s="76">
        <v>45</v>
      </c>
      <c r="S78" s="76">
        <v>2</v>
      </c>
      <c r="T78" s="76">
        <v>233</v>
      </c>
      <c r="U78" s="76">
        <v>907</v>
      </c>
      <c r="V78" s="76">
        <v>226.2</v>
      </c>
      <c r="W78" s="76">
        <v>0.22700000000000001</v>
      </c>
      <c r="X78" s="76">
        <v>1.04</v>
      </c>
      <c r="Y78" s="76"/>
      <c r="Z78" s="76">
        <v>9</v>
      </c>
      <c r="AA78" t="s">
        <v>510</v>
      </c>
      <c r="AB78" s="76" t="s">
        <v>147</v>
      </c>
      <c r="AC78" s="76">
        <v>17</v>
      </c>
      <c r="AD78" s="76">
        <v>2</v>
      </c>
      <c r="AE78" s="76">
        <v>0</v>
      </c>
      <c r="AF78" s="76">
        <v>0</v>
      </c>
      <c r="AG78" s="76">
        <v>16</v>
      </c>
      <c r="AH78" s="76">
        <v>196</v>
      </c>
      <c r="AI78" s="76">
        <v>228</v>
      </c>
      <c r="AJ78" s="76">
        <v>2</v>
      </c>
      <c r="AK78" s="76">
        <v>0</v>
      </c>
      <c r="AL78" s="76">
        <v>5</v>
      </c>
      <c r="AM78" s="76">
        <v>2</v>
      </c>
      <c r="AN78" s="76">
        <v>0</v>
      </c>
      <c r="AO78" s="76">
        <v>3431</v>
      </c>
      <c r="AP78" s="202" t="s">
        <v>147</v>
      </c>
      <c r="AQ78" s="202" t="s">
        <v>243</v>
      </c>
      <c r="AR78" s="202">
        <v>1</v>
      </c>
      <c r="AS78" s="202">
        <v>0</v>
      </c>
      <c r="AT78" s="202">
        <v>0</v>
      </c>
      <c r="AU78" s="202">
        <v>0</v>
      </c>
      <c r="AV78" s="202">
        <v>9</v>
      </c>
      <c r="AW78" s="202">
        <v>0</v>
      </c>
      <c r="AX78" s="202">
        <v>0</v>
      </c>
      <c r="AY78" s="202" t="s">
        <v>243</v>
      </c>
      <c r="AZ78" s="202">
        <v>12</v>
      </c>
    </row>
    <row r="79" spans="1:52" x14ac:dyDescent="0.2">
      <c r="A79" s="76">
        <v>21</v>
      </c>
      <c r="B79" s="41" t="s">
        <v>556</v>
      </c>
      <c r="C79" s="76" t="s">
        <v>147</v>
      </c>
      <c r="D79" s="76">
        <v>4</v>
      </c>
      <c r="E79" s="76">
        <v>12</v>
      </c>
      <c r="F79" s="76">
        <v>6.77</v>
      </c>
      <c r="G79" s="76">
        <v>22</v>
      </c>
      <c r="H79" s="76">
        <v>22</v>
      </c>
      <c r="I79" s="76">
        <v>1</v>
      </c>
      <c r="J79" s="76">
        <v>0</v>
      </c>
      <c r="K79" s="76">
        <v>0</v>
      </c>
      <c r="L79" s="76">
        <v>0</v>
      </c>
      <c r="M79" s="76">
        <v>114.1</v>
      </c>
      <c r="N79" s="76">
        <v>139</v>
      </c>
      <c r="O79" s="76">
        <v>89</v>
      </c>
      <c r="P79" s="76">
        <v>86</v>
      </c>
      <c r="Q79" s="76">
        <v>31</v>
      </c>
      <c r="R79" s="76">
        <v>55</v>
      </c>
      <c r="S79" s="76">
        <v>1</v>
      </c>
      <c r="T79" s="76">
        <v>78</v>
      </c>
      <c r="U79" s="76">
        <v>538</v>
      </c>
      <c r="V79" s="76">
        <v>114.1</v>
      </c>
      <c r="W79" s="76">
        <v>0.29599999999999999</v>
      </c>
      <c r="X79" s="76">
        <v>1.7</v>
      </c>
      <c r="Y79" s="76"/>
      <c r="Z79" s="76">
        <v>21</v>
      </c>
      <c r="AA79" t="s">
        <v>556</v>
      </c>
      <c r="AB79" s="76" t="s">
        <v>147</v>
      </c>
      <c r="AC79" s="76">
        <v>7</v>
      </c>
      <c r="AD79" s="76">
        <v>1</v>
      </c>
      <c r="AE79" s="76">
        <v>0</v>
      </c>
      <c r="AF79" s="76">
        <v>0</v>
      </c>
      <c r="AG79" s="76">
        <v>8</v>
      </c>
      <c r="AH79" s="76">
        <v>114</v>
      </c>
      <c r="AI79" s="76">
        <v>143</v>
      </c>
      <c r="AJ79" s="76">
        <v>7</v>
      </c>
      <c r="AK79" s="76">
        <v>0</v>
      </c>
      <c r="AL79" s="76">
        <v>10</v>
      </c>
      <c r="AM79" s="76">
        <v>1</v>
      </c>
      <c r="AN79" s="76">
        <v>0</v>
      </c>
      <c r="AO79" s="76">
        <v>2052</v>
      </c>
      <c r="AP79" s="102" t="s">
        <v>157</v>
      </c>
      <c r="AQ79" s="102" t="s">
        <v>1081</v>
      </c>
      <c r="AR79" s="102" t="s">
        <v>1068</v>
      </c>
      <c r="AS79" s="102" t="s">
        <v>1059</v>
      </c>
      <c r="AT79" s="102" t="s">
        <v>1060</v>
      </c>
      <c r="AU79" s="102" t="s">
        <v>1061</v>
      </c>
      <c r="AV79" s="102" t="s">
        <v>1092</v>
      </c>
      <c r="AW79" s="102" t="s">
        <v>1093</v>
      </c>
      <c r="AX79" s="102" t="s">
        <v>1094</v>
      </c>
      <c r="AY79" s="102" t="s">
        <v>1095</v>
      </c>
      <c r="AZ79" s="102" t="s">
        <v>1096</v>
      </c>
    </row>
    <row r="80" spans="1:52" x14ac:dyDescent="0.2">
      <c r="A80" s="76">
        <v>26</v>
      </c>
      <c r="B80" t="s">
        <v>1314</v>
      </c>
      <c r="C80" s="76" t="s">
        <v>147</v>
      </c>
      <c r="D80" s="76">
        <v>0</v>
      </c>
      <c r="E80" s="76">
        <v>0</v>
      </c>
      <c r="F80" s="76">
        <v>9</v>
      </c>
      <c r="G80" s="76">
        <v>1</v>
      </c>
      <c r="H80" s="76">
        <v>0</v>
      </c>
      <c r="I80" s="76">
        <v>0</v>
      </c>
      <c r="J80" s="76">
        <v>0</v>
      </c>
      <c r="K80" s="76">
        <v>0</v>
      </c>
      <c r="L80" s="76">
        <v>0</v>
      </c>
      <c r="M80" s="76">
        <v>1</v>
      </c>
      <c r="N80" s="76">
        <v>1</v>
      </c>
      <c r="O80" s="76">
        <v>1</v>
      </c>
      <c r="P80" s="76">
        <v>1</v>
      </c>
      <c r="Q80" s="76">
        <v>0</v>
      </c>
      <c r="R80" s="76">
        <v>0</v>
      </c>
      <c r="S80" s="76">
        <v>0</v>
      </c>
      <c r="T80" s="76">
        <v>0</v>
      </c>
      <c r="U80" s="76">
        <v>4</v>
      </c>
      <c r="V80" s="76">
        <v>1</v>
      </c>
      <c r="W80" s="76">
        <v>0.25</v>
      </c>
      <c r="X80" s="76">
        <v>1</v>
      </c>
      <c r="Y80" s="76"/>
      <c r="Z80" s="76">
        <v>26</v>
      </c>
      <c r="AA80" t="s">
        <v>1314</v>
      </c>
      <c r="AB80" s="76" t="s">
        <v>147</v>
      </c>
      <c r="AC80" s="76">
        <v>0</v>
      </c>
      <c r="AD80" s="76">
        <v>0</v>
      </c>
      <c r="AE80" s="76">
        <v>1</v>
      </c>
      <c r="AF80" s="76">
        <v>0</v>
      </c>
      <c r="AG80" s="76">
        <v>0</v>
      </c>
      <c r="AH80" s="76">
        <v>3</v>
      </c>
      <c r="AI80" s="76">
        <v>0</v>
      </c>
      <c r="AJ80" s="76">
        <v>0</v>
      </c>
      <c r="AK80" s="76">
        <v>0</v>
      </c>
      <c r="AL80" s="76">
        <v>0</v>
      </c>
      <c r="AM80" s="76">
        <v>0</v>
      </c>
      <c r="AN80" s="76">
        <v>0</v>
      </c>
      <c r="AO80" s="76">
        <v>13</v>
      </c>
      <c r="AP80" s="202" t="s">
        <v>148</v>
      </c>
      <c r="AQ80" s="202">
        <v>0.5</v>
      </c>
      <c r="AR80" s="202">
        <v>1.04</v>
      </c>
      <c r="AS80" s="202">
        <v>0.32200000000000001</v>
      </c>
      <c r="AT80" s="202">
        <v>0.57499999999999996</v>
      </c>
      <c r="AU80" s="202">
        <v>0.89700000000000002</v>
      </c>
      <c r="AV80" s="202">
        <v>5.49</v>
      </c>
      <c r="AW80" s="202">
        <v>1.83</v>
      </c>
      <c r="AX80" s="202">
        <v>10.53</v>
      </c>
      <c r="AY80" s="202">
        <v>3</v>
      </c>
      <c r="AZ80" s="202">
        <v>17.190000000000001</v>
      </c>
    </row>
    <row r="81" spans="1:52" x14ac:dyDescent="0.2">
      <c r="A81" s="76">
        <v>17</v>
      </c>
      <c r="B81" t="s">
        <v>1312</v>
      </c>
      <c r="C81" s="76" t="s">
        <v>147</v>
      </c>
      <c r="D81" s="76">
        <v>0</v>
      </c>
      <c r="E81" s="76">
        <v>0</v>
      </c>
      <c r="F81" s="76">
        <v>6.23</v>
      </c>
      <c r="G81" s="76">
        <v>5</v>
      </c>
      <c r="H81" s="76">
        <v>0</v>
      </c>
      <c r="I81" s="76">
        <v>0</v>
      </c>
      <c r="J81" s="76">
        <v>0</v>
      </c>
      <c r="K81" s="76">
        <v>0</v>
      </c>
      <c r="L81" s="76">
        <v>0</v>
      </c>
      <c r="M81" s="76">
        <v>4.0999999999999996</v>
      </c>
      <c r="N81" s="76">
        <v>7</v>
      </c>
      <c r="O81" s="76">
        <v>3</v>
      </c>
      <c r="P81" s="76">
        <v>3</v>
      </c>
      <c r="Q81" s="76">
        <v>1</v>
      </c>
      <c r="R81" s="76">
        <v>0</v>
      </c>
      <c r="S81" s="76">
        <v>0</v>
      </c>
      <c r="T81" s="76">
        <v>1</v>
      </c>
      <c r="U81" s="76">
        <v>21</v>
      </c>
      <c r="V81" s="76">
        <v>4.0999999999999996</v>
      </c>
      <c r="W81" s="76">
        <v>0.35</v>
      </c>
      <c r="X81" s="76">
        <v>1.62</v>
      </c>
      <c r="Y81" s="76"/>
      <c r="Z81" s="76">
        <v>17</v>
      </c>
      <c r="AA81" t="s">
        <v>1312</v>
      </c>
      <c r="AB81" s="76" t="s">
        <v>147</v>
      </c>
      <c r="AC81" s="76">
        <v>1</v>
      </c>
      <c r="AD81" s="76">
        <v>0</v>
      </c>
      <c r="AE81" s="76">
        <v>1</v>
      </c>
      <c r="AF81" s="76">
        <v>0</v>
      </c>
      <c r="AG81" s="76">
        <v>0</v>
      </c>
      <c r="AH81" s="76">
        <v>6</v>
      </c>
      <c r="AI81" s="76">
        <v>6</v>
      </c>
      <c r="AJ81" s="76">
        <v>0</v>
      </c>
      <c r="AK81" s="76">
        <v>0</v>
      </c>
      <c r="AL81" s="76">
        <v>1</v>
      </c>
      <c r="AM81" s="76">
        <v>0</v>
      </c>
      <c r="AN81" s="76">
        <v>0</v>
      </c>
      <c r="AO81" s="76">
        <v>76</v>
      </c>
      <c r="AP81" s="202" t="s">
        <v>147</v>
      </c>
      <c r="AQ81" s="202">
        <v>0.6</v>
      </c>
      <c r="AR81" s="202">
        <v>1.1599999999999999</v>
      </c>
      <c r="AS81" s="202">
        <v>0.34799999999999998</v>
      </c>
      <c r="AT81" s="202">
        <v>0.377</v>
      </c>
      <c r="AU81" s="202">
        <v>0.72499999999999998</v>
      </c>
      <c r="AV81" s="202">
        <v>8.98</v>
      </c>
      <c r="AW81" s="202">
        <v>4.59</v>
      </c>
      <c r="AX81" s="202">
        <v>8.4</v>
      </c>
      <c r="AY81" s="202">
        <v>1.96</v>
      </c>
      <c r="AZ81" s="202">
        <v>17.52</v>
      </c>
    </row>
    <row r="82" spans="1:52" x14ac:dyDescent="0.2">
      <c r="A82" s="76">
        <v>20</v>
      </c>
      <c r="B82" t="s">
        <v>394</v>
      </c>
      <c r="C82" s="76" t="s">
        <v>147</v>
      </c>
      <c r="D82" s="76">
        <v>1</v>
      </c>
      <c r="E82" s="76">
        <v>2</v>
      </c>
      <c r="F82" s="76">
        <v>6.57</v>
      </c>
      <c r="G82" s="76">
        <v>18</v>
      </c>
      <c r="H82" s="76">
        <v>2</v>
      </c>
      <c r="I82" s="76">
        <v>0</v>
      </c>
      <c r="J82" s="76">
        <v>0</v>
      </c>
      <c r="K82" s="76">
        <v>0</v>
      </c>
      <c r="L82" s="76">
        <v>0</v>
      </c>
      <c r="M82" s="76">
        <v>24.2</v>
      </c>
      <c r="N82" s="76">
        <v>33</v>
      </c>
      <c r="O82" s="76">
        <v>27</v>
      </c>
      <c r="P82" s="76">
        <v>18</v>
      </c>
      <c r="Q82" s="76">
        <v>5</v>
      </c>
      <c r="R82" s="76">
        <v>16</v>
      </c>
      <c r="S82" s="76">
        <v>1</v>
      </c>
      <c r="T82" s="76">
        <v>18</v>
      </c>
      <c r="U82" s="76">
        <v>122</v>
      </c>
      <c r="V82" s="76">
        <v>24.2</v>
      </c>
      <c r="W82" s="76">
        <v>0.32400000000000001</v>
      </c>
      <c r="X82" s="76">
        <v>1.99</v>
      </c>
      <c r="Y82" s="76"/>
      <c r="Z82" s="76">
        <v>20</v>
      </c>
      <c r="AA82" t="s">
        <v>394</v>
      </c>
      <c r="AB82" s="76" t="s">
        <v>147</v>
      </c>
      <c r="AC82" s="76">
        <v>2</v>
      </c>
      <c r="AD82" s="76">
        <v>1</v>
      </c>
      <c r="AE82" s="76">
        <v>8</v>
      </c>
      <c r="AF82" s="76">
        <v>2</v>
      </c>
      <c r="AG82" s="76">
        <v>3</v>
      </c>
      <c r="AH82" s="76">
        <v>34</v>
      </c>
      <c r="AI82" s="76">
        <v>19</v>
      </c>
      <c r="AJ82" s="76">
        <v>2</v>
      </c>
      <c r="AK82" s="76">
        <v>0</v>
      </c>
      <c r="AL82" s="76">
        <v>4</v>
      </c>
      <c r="AM82" s="76">
        <v>0</v>
      </c>
      <c r="AN82" s="76">
        <v>0</v>
      </c>
      <c r="AO82" s="76">
        <v>456</v>
      </c>
      <c r="AP82" s="202" t="s">
        <v>147</v>
      </c>
      <c r="AQ82" s="202">
        <v>1</v>
      </c>
      <c r="AR82" s="202">
        <v>1.21</v>
      </c>
      <c r="AS82" s="202">
        <v>0.42699999999999999</v>
      </c>
      <c r="AT82" s="202">
        <v>0.46</v>
      </c>
      <c r="AU82" s="202">
        <v>0.88700000000000001</v>
      </c>
      <c r="AV82" s="202">
        <v>6.6</v>
      </c>
      <c r="AW82" s="202">
        <v>6.6</v>
      </c>
      <c r="AX82" s="202">
        <v>12.3</v>
      </c>
      <c r="AY82" s="202">
        <v>1</v>
      </c>
      <c r="AZ82" s="202">
        <v>17.87</v>
      </c>
    </row>
    <row r="83" spans="1:52" x14ac:dyDescent="0.2">
      <c r="A83" s="76">
        <v>1</v>
      </c>
      <c r="B83" t="s">
        <v>511</v>
      </c>
      <c r="C83" s="76" t="s">
        <v>147</v>
      </c>
      <c r="D83" s="76">
        <v>0</v>
      </c>
      <c r="E83" s="76">
        <v>0</v>
      </c>
      <c r="F83" s="76">
        <v>0</v>
      </c>
      <c r="G83" s="76">
        <v>1</v>
      </c>
      <c r="H83" s="76">
        <v>0</v>
      </c>
      <c r="I83" s="76">
        <v>0</v>
      </c>
      <c r="J83" s="76">
        <v>0</v>
      </c>
      <c r="K83" s="76">
        <v>0</v>
      </c>
      <c r="L83" s="76">
        <v>0</v>
      </c>
      <c r="M83" s="76">
        <v>1</v>
      </c>
      <c r="N83" s="76">
        <v>2</v>
      </c>
      <c r="O83" s="76">
        <v>0</v>
      </c>
      <c r="P83" s="76">
        <v>0</v>
      </c>
      <c r="Q83" s="76">
        <v>0</v>
      </c>
      <c r="R83" s="76">
        <v>1</v>
      </c>
      <c r="S83" s="76">
        <v>0</v>
      </c>
      <c r="T83" s="76">
        <v>3</v>
      </c>
      <c r="U83" s="76">
        <v>6</v>
      </c>
      <c r="V83" s="76">
        <v>1</v>
      </c>
      <c r="W83" s="76">
        <v>0.4</v>
      </c>
      <c r="X83" s="76">
        <v>3</v>
      </c>
      <c r="Y83" s="76"/>
      <c r="Z83" s="76">
        <v>1</v>
      </c>
      <c r="AA83" t="s">
        <v>511</v>
      </c>
      <c r="AB83" s="76" t="s">
        <v>147</v>
      </c>
      <c r="AC83" s="76">
        <v>0</v>
      </c>
      <c r="AD83" s="76">
        <v>0</v>
      </c>
      <c r="AE83" s="76">
        <v>1</v>
      </c>
      <c r="AF83" s="76">
        <v>0</v>
      </c>
      <c r="AG83" s="76">
        <v>0</v>
      </c>
      <c r="AH83" s="76">
        <v>0</v>
      </c>
      <c r="AI83" s="76">
        <v>0</v>
      </c>
      <c r="AJ83" s="76">
        <v>0</v>
      </c>
      <c r="AK83" s="76">
        <v>0</v>
      </c>
      <c r="AL83" s="76">
        <v>0</v>
      </c>
      <c r="AM83" s="76">
        <v>0</v>
      </c>
      <c r="AN83" s="76">
        <v>0</v>
      </c>
      <c r="AO83" s="76">
        <v>27</v>
      </c>
      <c r="AP83" s="202" t="s">
        <v>147</v>
      </c>
      <c r="AQ83" s="202" t="s">
        <v>243</v>
      </c>
      <c r="AR83" s="202">
        <v>0.33</v>
      </c>
      <c r="AS83" s="202">
        <v>0.42299999999999999</v>
      </c>
      <c r="AT83" s="202">
        <v>0.54200000000000004</v>
      </c>
      <c r="AU83" s="202">
        <v>0.96499999999999997</v>
      </c>
      <c r="AV83" s="202">
        <v>5.0599999999999996</v>
      </c>
      <c r="AW83" s="202">
        <v>3.38</v>
      </c>
      <c r="AX83" s="202">
        <v>15.19</v>
      </c>
      <c r="AY83" s="202">
        <v>1.5</v>
      </c>
      <c r="AZ83" s="202">
        <v>16.88</v>
      </c>
    </row>
    <row r="84" spans="1:52" x14ac:dyDescent="0.2">
      <c r="A84" s="76">
        <v>7</v>
      </c>
      <c r="B84" s="41" t="s">
        <v>1309</v>
      </c>
      <c r="C84" s="76" t="s">
        <v>147</v>
      </c>
      <c r="D84" s="76">
        <v>1</v>
      </c>
      <c r="E84" s="76">
        <v>0</v>
      </c>
      <c r="F84" s="76">
        <v>3</v>
      </c>
      <c r="G84" s="76">
        <v>23</v>
      </c>
      <c r="H84" s="76">
        <v>0</v>
      </c>
      <c r="I84" s="76">
        <v>0</v>
      </c>
      <c r="J84" s="76">
        <v>0</v>
      </c>
      <c r="K84" s="76">
        <v>0</v>
      </c>
      <c r="L84" s="76">
        <v>0</v>
      </c>
      <c r="M84" s="76">
        <v>30</v>
      </c>
      <c r="N84" s="76">
        <v>20</v>
      </c>
      <c r="O84" s="76">
        <v>11</v>
      </c>
      <c r="P84" s="76">
        <v>10</v>
      </c>
      <c r="Q84" s="76">
        <v>0</v>
      </c>
      <c r="R84" s="76">
        <v>17</v>
      </c>
      <c r="S84" s="76">
        <v>2</v>
      </c>
      <c r="T84" s="76">
        <v>30</v>
      </c>
      <c r="U84" s="76">
        <v>134</v>
      </c>
      <c r="V84" s="76">
        <v>30</v>
      </c>
      <c r="W84" s="76">
        <v>0.183</v>
      </c>
      <c r="X84" s="76">
        <v>1.23</v>
      </c>
      <c r="Y84" s="76"/>
      <c r="Z84" s="76">
        <v>7</v>
      </c>
      <c r="AA84" t="s">
        <v>1309</v>
      </c>
      <c r="AB84" s="76" t="s">
        <v>147</v>
      </c>
      <c r="AC84" s="76">
        <v>5</v>
      </c>
      <c r="AD84" s="76">
        <v>2</v>
      </c>
      <c r="AE84" s="76">
        <v>7</v>
      </c>
      <c r="AF84" s="76">
        <v>1</v>
      </c>
      <c r="AG84" s="76">
        <v>1</v>
      </c>
      <c r="AH84" s="76">
        <v>26</v>
      </c>
      <c r="AI84" s="76">
        <v>37</v>
      </c>
      <c r="AJ84" s="76">
        <v>4</v>
      </c>
      <c r="AK84" s="76">
        <v>0</v>
      </c>
      <c r="AL84" s="76">
        <v>1</v>
      </c>
      <c r="AM84" s="76">
        <v>0</v>
      </c>
      <c r="AN84" s="76">
        <v>0</v>
      </c>
      <c r="AO84" s="76">
        <v>546</v>
      </c>
      <c r="AP84" s="202" t="s">
        <v>147</v>
      </c>
      <c r="AQ84" s="202">
        <v>0.75</v>
      </c>
      <c r="AR84" s="202">
        <v>0.31</v>
      </c>
      <c r="AS84" s="202">
        <v>0.33300000000000002</v>
      </c>
      <c r="AT84" s="202">
        <v>0.48099999999999998</v>
      </c>
      <c r="AU84" s="202">
        <v>0.81399999999999995</v>
      </c>
      <c r="AV84" s="202">
        <v>7.71</v>
      </c>
      <c r="AW84" s="202">
        <v>4.37</v>
      </c>
      <c r="AX84" s="202">
        <v>8.23</v>
      </c>
      <c r="AY84" s="202">
        <v>1.76</v>
      </c>
      <c r="AZ84" s="202">
        <v>18.2</v>
      </c>
    </row>
    <row r="85" spans="1:52" x14ac:dyDescent="0.2">
      <c r="A85" s="225" t="s">
        <v>105</v>
      </c>
      <c r="B85" s="225" t="s">
        <v>106</v>
      </c>
      <c r="C85" s="225" t="s">
        <v>157</v>
      </c>
      <c r="D85" s="225" t="s">
        <v>85</v>
      </c>
      <c r="E85" s="225" t="s">
        <v>86</v>
      </c>
      <c r="F85" s="225" t="s">
        <v>107</v>
      </c>
      <c r="G85" s="225" t="s">
        <v>108</v>
      </c>
      <c r="H85" s="225" t="s">
        <v>88</v>
      </c>
      <c r="I85" s="225" t="s">
        <v>89</v>
      </c>
      <c r="J85" s="225" t="s">
        <v>1073</v>
      </c>
      <c r="K85" s="225" t="s">
        <v>90</v>
      </c>
      <c r="L85" s="225" t="s">
        <v>158</v>
      </c>
      <c r="M85" s="225" t="s">
        <v>91</v>
      </c>
      <c r="N85" s="225" t="s">
        <v>92</v>
      </c>
      <c r="O85" s="225" t="s">
        <v>93</v>
      </c>
      <c r="P85" s="225" t="s">
        <v>94</v>
      </c>
      <c r="Q85" s="225" t="s">
        <v>95</v>
      </c>
      <c r="R85" s="225" t="s">
        <v>96</v>
      </c>
      <c r="S85" s="225" t="s">
        <v>98</v>
      </c>
      <c r="T85" s="225" t="s">
        <v>97</v>
      </c>
      <c r="U85" s="225" t="s">
        <v>109</v>
      </c>
      <c r="V85" s="225" t="s">
        <v>91</v>
      </c>
      <c r="W85" s="225" t="s">
        <v>1071</v>
      </c>
      <c r="X85" s="225" t="s">
        <v>1072</v>
      </c>
      <c r="Y85" s="225"/>
      <c r="Z85" s="225" t="s">
        <v>105</v>
      </c>
      <c r="AA85" s="225" t="s">
        <v>106</v>
      </c>
      <c r="AB85" s="225" t="s">
        <v>157</v>
      </c>
      <c r="AC85" s="225" t="s">
        <v>1074</v>
      </c>
      <c r="AD85" s="225" t="s">
        <v>98</v>
      </c>
      <c r="AE85" s="225" t="s">
        <v>1075</v>
      </c>
      <c r="AF85" s="225" t="s">
        <v>1076</v>
      </c>
      <c r="AG85" s="225" t="s">
        <v>1077</v>
      </c>
      <c r="AH85" s="225" t="s">
        <v>1066</v>
      </c>
      <c r="AI85" s="225" t="s">
        <v>1067</v>
      </c>
      <c r="AJ85" s="225" t="s">
        <v>1078</v>
      </c>
      <c r="AK85" s="225" t="s">
        <v>1079</v>
      </c>
      <c r="AL85" s="225" t="s">
        <v>1057</v>
      </c>
      <c r="AM85" s="225" t="s">
        <v>1058</v>
      </c>
      <c r="AN85" s="225" t="s">
        <v>1080</v>
      </c>
      <c r="AO85" s="225" t="s">
        <v>1069</v>
      </c>
      <c r="AP85" s="202" t="s">
        <v>148</v>
      </c>
      <c r="AQ85" s="202">
        <v>0</v>
      </c>
      <c r="AR85" s="202">
        <v>2.25</v>
      </c>
      <c r="AS85" s="202">
        <v>0.51400000000000001</v>
      </c>
      <c r="AT85" s="202">
        <v>0.85299999999999998</v>
      </c>
      <c r="AU85" s="202">
        <v>1.367</v>
      </c>
      <c r="AV85" s="202">
        <v>5.68</v>
      </c>
      <c r="AW85" s="202">
        <v>1.42</v>
      </c>
      <c r="AX85" s="202">
        <v>24.16</v>
      </c>
      <c r="AY85" s="202">
        <v>4</v>
      </c>
      <c r="AZ85" s="202">
        <v>19.420000000000002</v>
      </c>
    </row>
    <row r="86" spans="1:52" x14ac:dyDescent="0.2">
      <c r="A86" s="76">
        <v>24</v>
      </c>
      <c r="B86" t="s">
        <v>794</v>
      </c>
      <c r="C86" s="76" t="s">
        <v>148</v>
      </c>
      <c r="D86" s="76">
        <v>0</v>
      </c>
      <c r="E86" s="76">
        <v>0</v>
      </c>
      <c r="F86" s="76">
        <v>9.82</v>
      </c>
      <c r="G86" s="76">
        <v>19</v>
      </c>
      <c r="H86" s="76">
        <v>0</v>
      </c>
      <c r="I86" s="76">
        <v>0</v>
      </c>
      <c r="J86" s="76">
        <v>0</v>
      </c>
      <c r="K86" s="76">
        <v>0</v>
      </c>
      <c r="L86" s="76">
        <v>0</v>
      </c>
      <c r="M86" s="76">
        <v>18.100000000000001</v>
      </c>
      <c r="N86" s="76">
        <v>27</v>
      </c>
      <c r="O86" s="76">
        <v>22</v>
      </c>
      <c r="P86" s="76">
        <v>20</v>
      </c>
      <c r="Q86" s="76">
        <v>5</v>
      </c>
      <c r="R86" s="76">
        <v>7</v>
      </c>
      <c r="S86" s="76">
        <v>1</v>
      </c>
      <c r="T86" s="76">
        <v>17</v>
      </c>
      <c r="U86" s="76">
        <v>88</v>
      </c>
      <c r="V86" s="76">
        <v>18.100000000000001</v>
      </c>
      <c r="W86" s="76">
        <v>0.33300000000000002</v>
      </c>
      <c r="X86" s="76">
        <v>1.85</v>
      </c>
      <c r="Y86" s="76"/>
      <c r="Z86" s="76">
        <v>24</v>
      </c>
      <c r="AA86" t="s">
        <v>794</v>
      </c>
      <c r="AB86" s="76" t="s">
        <v>148</v>
      </c>
      <c r="AC86" s="76">
        <v>0</v>
      </c>
      <c r="AD86" s="76">
        <v>1</v>
      </c>
      <c r="AE86" s="76">
        <v>11</v>
      </c>
      <c r="AF86" s="76">
        <v>0</v>
      </c>
      <c r="AG86" s="76">
        <v>2</v>
      </c>
      <c r="AH86" s="76">
        <v>19</v>
      </c>
      <c r="AI86" s="76">
        <v>18</v>
      </c>
      <c r="AJ86" s="76">
        <v>0</v>
      </c>
      <c r="AK86" s="76">
        <v>0</v>
      </c>
      <c r="AL86" s="76">
        <v>1</v>
      </c>
      <c r="AM86" s="76">
        <v>0</v>
      </c>
      <c r="AN86" s="76">
        <v>0</v>
      </c>
      <c r="AO86" s="76">
        <v>317</v>
      </c>
      <c r="AP86" s="202" t="s">
        <v>149</v>
      </c>
      <c r="AQ86" s="202">
        <v>0</v>
      </c>
      <c r="AR86" s="202">
        <v>1.07</v>
      </c>
      <c r="AS86" s="202">
        <v>0.39500000000000002</v>
      </c>
      <c r="AT86" s="202">
        <v>0.59099999999999997</v>
      </c>
      <c r="AU86" s="202">
        <v>0.98599999999999999</v>
      </c>
      <c r="AV86" s="202">
        <v>5.36</v>
      </c>
      <c r="AW86" s="202">
        <v>3.79</v>
      </c>
      <c r="AX86" s="202">
        <v>11.83</v>
      </c>
      <c r="AY86" s="202">
        <v>1.41</v>
      </c>
      <c r="AZ86" s="202">
        <v>17.28</v>
      </c>
    </row>
    <row r="87" spans="1:52" x14ac:dyDescent="0.2">
      <c r="A87" s="76">
        <v>5</v>
      </c>
      <c r="B87" s="41" t="s">
        <v>522</v>
      </c>
      <c r="C87" s="76" t="s">
        <v>148</v>
      </c>
      <c r="D87" s="76">
        <v>3</v>
      </c>
      <c r="E87" s="76">
        <v>5</v>
      </c>
      <c r="F87" s="76">
        <v>2.5099999999999998</v>
      </c>
      <c r="G87" s="76">
        <v>67</v>
      </c>
      <c r="H87" s="76">
        <v>0</v>
      </c>
      <c r="I87" s="76">
        <v>0</v>
      </c>
      <c r="J87" s="76">
        <v>0</v>
      </c>
      <c r="K87" s="76">
        <v>32</v>
      </c>
      <c r="L87" s="76">
        <v>35</v>
      </c>
      <c r="M87" s="76">
        <v>68</v>
      </c>
      <c r="N87" s="76">
        <v>41</v>
      </c>
      <c r="O87" s="76">
        <v>23</v>
      </c>
      <c r="P87" s="76">
        <v>19</v>
      </c>
      <c r="Q87" s="76">
        <v>8</v>
      </c>
      <c r="R87" s="76">
        <v>27</v>
      </c>
      <c r="S87" s="76">
        <v>2</v>
      </c>
      <c r="T87" s="76">
        <v>87</v>
      </c>
      <c r="U87" s="76">
        <v>264</v>
      </c>
      <c r="V87" s="76">
        <v>68</v>
      </c>
      <c r="W87" s="76">
        <v>0.17699999999999999</v>
      </c>
      <c r="X87" s="76">
        <v>1</v>
      </c>
      <c r="Y87" s="76"/>
      <c r="Z87" s="76">
        <v>5</v>
      </c>
      <c r="AA87" t="s">
        <v>522</v>
      </c>
      <c r="AB87" s="76" t="s">
        <v>148</v>
      </c>
      <c r="AC87" s="76">
        <v>0</v>
      </c>
      <c r="AD87" s="76">
        <v>2</v>
      </c>
      <c r="AE87" s="76">
        <v>55</v>
      </c>
      <c r="AF87" s="76">
        <v>0</v>
      </c>
      <c r="AG87" s="76">
        <v>7</v>
      </c>
      <c r="AH87" s="76">
        <v>57</v>
      </c>
      <c r="AI87" s="76">
        <v>52</v>
      </c>
      <c r="AJ87" s="76">
        <v>3</v>
      </c>
      <c r="AK87" s="76">
        <v>0</v>
      </c>
      <c r="AL87" s="76">
        <v>2</v>
      </c>
      <c r="AM87" s="76">
        <v>3</v>
      </c>
      <c r="AN87" s="76">
        <v>0</v>
      </c>
      <c r="AO87" s="76">
        <v>1133</v>
      </c>
      <c r="AP87" s="202" t="s">
        <v>148</v>
      </c>
      <c r="AQ87" s="202">
        <v>0.36</v>
      </c>
      <c r="AR87" s="202">
        <v>0.99</v>
      </c>
      <c r="AS87" s="202">
        <v>0.27900000000000003</v>
      </c>
      <c r="AT87" s="202">
        <v>0.371</v>
      </c>
      <c r="AU87" s="202">
        <v>0.65</v>
      </c>
      <c r="AV87" s="202">
        <v>9.93</v>
      </c>
      <c r="AW87" s="202">
        <v>1.82</v>
      </c>
      <c r="AX87" s="202">
        <v>7.66</v>
      </c>
      <c r="AY87" s="202">
        <v>5.44</v>
      </c>
      <c r="AZ87" s="202">
        <v>14.74</v>
      </c>
    </row>
    <row r="88" spans="1:52" x14ac:dyDescent="0.2">
      <c r="A88" s="76">
        <v>21</v>
      </c>
      <c r="B88" s="41" t="s">
        <v>747</v>
      </c>
      <c r="C88" s="76" t="s">
        <v>148</v>
      </c>
      <c r="D88" s="76">
        <v>2</v>
      </c>
      <c r="E88" s="76">
        <v>5</v>
      </c>
      <c r="F88" s="76">
        <v>6.68</v>
      </c>
      <c r="G88" s="76">
        <v>19</v>
      </c>
      <c r="H88" s="76">
        <v>9</v>
      </c>
      <c r="I88" s="76">
        <v>0</v>
      </c>
      <c r="J88" s="76">
        <v>0</v>
      </c>
      <c r="K88" s="76">
        <v>0</v>
      </c>
      <c r="L88" s="76">
        <v>0</v>
      </c>
      <c r="M88" s="76">
        <v>60.2</v>
      </c>
      <c r="N88" s="76">
        <v>85</v>
      </c>
      <c r="O88" s="76">
        <v>45</v>
      </c>
      <c r="P88" s="76">
        <v>45</v>
      </c>
      <c r="Q88" s="76">
        <v>13</v>
      </c>
      <c r="R88" s="76">
        <v>13</v>
      </c>
      <c r="S88" s="76">
        <v>3</v>
      </c>
      <c r="T88" s="76">
        <v>54</v>
      </c>
      <c r="U88" s="76">
        <v>270</v>
      </c>
      <c r="V88" s="76">
        <v>60.2</v>
      </c>
      <c r="W88" s="76">
        <v>0.33300000000000002</v>
      </c>
      <c r="X88" s="76">
        <v>1.62</v>
      </c>
      <c r="Y88" s="76"/>
      <c r="Z88" s="76">
        <v>21</v>
      </c>
      <c r="AA88" t="s">
        <v>747</v>
      </c>
      <c r="AB88" s="76" t="s">
        <v>148</v>
      </c>
      <c r="AC88" s="76">
        <v>1</v>
      </c>
      <c r="AD88" s="76">
        <v>3</v>
      </c>
      <c r="AE88" s="76">
        <v>2</v>
      </c>
      <c r="AF88" s="76">
        <v>0</v>
      </c>
      <c r="AG88" s="76">
        <v>4</v>
      </c>
      <c r="AH88" s="76">
        <v>58</v>
      </c>
      <c r="AI88" s="76">
        <v>59</v>
      </c>
      <c r="AJ88" s="76">
        <v>5</v>
      </c>
      <c r="AK88" s="76">
        <v>0</v>
      </c>
      <c r="AL88" s="76">
        <v>0</v>
      </c>
      <c r="AM88" s="76">
        <v>1</v>
      </c>
      <c r="AN88" s="76">
        <v>0</v>
      </c>
      <c r="AO88" s="76">
        <v>996</v>
      </c>
      <c r="AP88" s="202" t="s">
        <v>149</v>
      </c>
      <c r="AQ88" s="202">
        <v>0.8</v>
      </c>
      <c r="AR88" s="202">
        <v>1.04</v>
      </c>
      <c r="AS88" s="202">
        <v>0.35899999999999999</v>
      </c>
      <c r="AT88" s="202">
        <v>0.372</v>
      </c>
      <c r="AU88" s="202">
        <v>0.73099999999999998</v>
      </c>
      <c r="AV88" s="202">
        <v>8.42</v>
      </c>
      <c r="AW88" s="202">
        <v>4.79</v>
      </c>
      <c r="AX88" s="202">
        <v>9.15</v>
      </c>
      <c r="AY88" s="202">
        <v>1.76</v>
      </c>
      <c r="AZ88" s="202">
        <v>17.37</v>
      </c>
    </row>
    <row r="89" spans="1:52" x14ac:dyDescent="0.2">
      <c r="A89" s="76">
        <v>6</v>
      </c>
      <c r="B89" t="s">
        <v>1179</v>
      </c>
      <c r="C89" s="76" t="s">
        <v>148</v>
      </c>
      <c r="D89" s="76">
        <v>0</v>
      </c>
      <c r="E89" s="76">
        <v>0</v>
      </c>
      <c r="F89" s="76">
        <v>2.5299999999999998</v>
      </c>
      <c r="G89" s="76">
        <v>10</v>
      </c>
      <c r="H89" s="76">
        <v>0</v>
      </c>
      <c r="I89" s="76">
        <v>0</v>
      </c>
      <c r="J89" s="76">
        <v>0</v>
      </c>
      <c r="K89" s="76">
        <v>0</v>
      </c>
      <c r="L89" s="76">
        <v>0</v>
      </c>
      <c r="M89" s="76">
        <v>10.199999999999999</v>
      </c>
      <c r="N89" s="76">
        <v>9</v>
      </c>
      <c r="O89" s="76">
        <v>3</v>
      </c>
      <c r="P89" s="76">
        <v>3</v>
      </c>
      <c r="Q89" s="76">
        <v>1</v>
      </c>
      <c r="R89" s="76">
        <v>5</v>
      </c>
      <c r="S89" s="76">
        <v>2</v>
      </c>
      <c r="T89" s="76">
        <v>7</v>
      </c>
      <c r="U89" s="76">
        <v>44</v>
      </c>
      <c r="V89" s="76">
        <v>10.199999999999999</v>
      </c>
      <c r="W89" s="76">
        <v>0.23699999999999999</v>
      </c>
      <c r="X89" s="76">
        <v>1.31</v>
      </c>
      <c r="Y89" s="76"/>
      <c r="Z89" s="76">
        <v>6</v>
      </c>
      <c r="AA89" t="s">
        <v>1179</v>
      </c>
      <c r="AB89" s="76" t="s">
        <v>148</v>
      </c>
      <c r="AC89" s="76">
        <v>0</v>
      </c>
      <c r="AD89" s="76">
        <v>2</v>
      </c>
      <c r="AE89" s="76">
        <v>2</v>
      </c>
      <c r="AF89" s="76">
        <v>0</v>
      </c>
      <c r="AG89" s="76">
        <v>1</v>
      </c>
      <c r="AH89" s="76">
        <v>13</v>
      </c>
      <c r="AI89" s="76">
        <v>10</v>
      </c>
      <c r="AJ89" s="76">
        <v>1</v>
      </c>
      <c r="AK89" s="76">
        <v>0</v>
      </c>
      <c r="AL89" s="76">
        <v>1</v>
      </c>
      <c r="AM89" s="76">
        <v>0</v>
      </c>
      <c r="AN89" s="76">
        <v>0</v>
      </c>
      <c r="AO89" s="76">
        <v>201</v>
      </c>
      <c r="AP89" s="202" t="s">
        <v>148</v>
      </c>
      <c r="AQ89" s="202" t="s">
        <v>243</v>
      </c>
      <c r="AR89" s="202" t="s">
        <v>243</v>
      </c>
      <c r="AS89" s="202">
        <v>0.5</v>
      </c>
      <c r="AT89" s="202">
        <v>0.55600000000000005</v>
      </c>
      <c r="AU89" s="202">
        <v>1.056</v>
      </c>
      <c r="AV89" s="202">
        <v>16.2</v>
      </c>
      <c r="AW89" s="202">
        <v>5.4</v>
      </c>
      <c r="AX89" s="202">
        <v>21.6</v>
      </c>
      <c r="AY89" s="202">
        <v>3</v>
      </c>
      <c r="AZ89" s="202">
        <v>23.4</v>
      </c>
    </row>
    <row r="90" spans="1:52" x14ac:dyDescent="0.2">
      <c r="A90" s="76">
        <v>15</v>
      </c>
      <c r="B90" s="41" t="s">
        <v>531</v>
      </c>
      <c r="C90" s="76" t="s">
        <v>148</v>
      </c>
      <c r="D90" s="76">
        <v>12</v>
      </c>
      <c r="E90" s="76">
        <v>8</v>
      </c>
      <c r="F90" s="76">
        <v>4.26</v>
      </c>
      <c r="G90" s="76">
        <v>35</v>
      </c>
      <c r="H90" s="76">
        <v>28</v>
      </c>
      <c r="I90" s="76">
        <v>1</v>
      </c>
      <c r="J90" s="76">
        <v>0</v>
      </c>
      <c r="K90" s="76">
        <v>0</v>
      </c>
      <c r="L90" s="76">
        <v>0</v>
      </c>
      <c r="M90" s="76">
        <v>190</v>
      </c>
      <c r="N90" s="76">
        <v>179</v>
      </c>
      <c r="O90" s="76">
        <v>96</v>
      </c>
      <c r="P90" s="76">
        <v>90</v>
      </c>
      <c r="Q90" s="76">
        <v>20</v>
      </c>
      <c r="R90" s="76">
        <v>70</v>
      </c>
      <c r="S90" s="76">
        <v>1</v>
      </c>
      <c r="T90" s="76">
        <v>168</v>
      </c>
      <c r="U90" s="76">
        <v>811</v>
      </c>
      <c r="V90" s="76">
        <v>190</v>
      </c>
      <c r="W90" s="76">
        <v>0.248</v>
      </c>
      <c r="X90" s="76">
        <v>1.31</v>
      </c>
      <c r="Y90" s="76"/>
      <c r="Z90" s="76">
        <v>15</v>
      </c>
      <c r="AA90" t="s">
        <v>531</v>
      </c>
      <c r="AB90" s="76" t="s">
        <v>148</v>
      </c>
      <c r="AC90" s="76">
        <v>9</v>
      </c>
      <c r="AD90" s="76">
        <v>1</v>
      </c>
      <c r="AE90" s="76">
        <v>3</v>
      </c>
      <c r="AF90" s="76">
        <v>0</v>
      </c>
      <c r="AG90" s="76">
        <v>12</v>
      </c>
      <c r="AH90" s="76">
        <v>217</v>
      </c>
      <c r="AI90" s="76">
        <v>168</v>
      </c>
      <c r="AJ90" s="76">
        <v>3</v>
      </c>
      <c r="AK90" s="76">
        <v>0</v>
      </c>
      <c r="AL90" s="76">
        <v>5</v>
      </c>
      <c r="AM90" s="76">
        <v>5</v>
      </c>
      <c r="AN90" s="76">
        <v>0</v>
      </c>
      <c r="AO90" s="76">
        <v>3092</v>
      </c>
      <c r="AP90" s="202" t="s">
        <v>148</v>
      </c>
      <c r="AQ90" s="202">
        <v>0.5</v>
      </c>
      <c r="AR90" s="202">
        <v>1.06</v>
      </c>
      <c r="AS90" s="202">
        <v>0.29899999999999999</v>
      </c>
      <c r="AT90" s="202">
        <v>0.39300000000000002</v>
      </c>
      <c r="AU90" s="202">
        <v>0.69299999999999995</v>
      </c>
      <c r="AV90" s="202">
        <v>7.59</v>
      </c>
      <c r="AW90" s="202">
        <v>2.67</v>
      </c>
      <c r="AX90" s="202">
        <v>8.3000000000000007</v>
      </c>
      <c r="AY90" s="202">
        <v>2.84</v>
      </c>
      <c r="AZ90" s="202">
        <v>16.309999999999999</v>
      </c>
    </row>
    <row r="91" spans="1:52" x14ac:dyDescent="0.2">
      <c r="A91" s="76">
        <v>10</v>
      </c>
      <c r="B91" s="41" t="s">
        <v>533</v>
      </c>
      <c r="C91" s="76" t="s">
        <v>148</v>
      </c>
      <c r="D91" s="76">
        <v>11</v>
      </c>
      <c r="E91" s="76">
        <v>8</v>
      </c>
      <c r="F91" s="76">
        <v>3.32</v>
      </c>
      <c r="G91" s="76">
        <v>25</v>
      </c>
      <c r="H91" s="76">
        <v>25</v>
      </c>
      <c r="I91" s="76">
        <v>1</v>
      </c>
      <c r="J91" s="76">
        <v>1</v>
      </c>
      <c r="K91" s="76">
        <v>0</v>
      </c>
      <c r="L91" s="76">
        <v>0</v>
      </c>
      <c r="M91" s="76">
        <v>146.1</v>
      </c>
      <c r="N91" s="76">
        <v>134</v>
      </c>
      <c r="O91" s="76">
        <v>64</v>
      </c>
      <c r="P91" s="76">
        <v>54</v>
      </c>
      <c r="Q91" s="76">
        <v>21</v>
      </c>
      <c r="R91" s="76">
        <v>34</v>
      </c>
      <c r="S91" s="76">
        <v>2</v>
      </c>
      <c r="T91" s="76">
        <v>150</v>
      </c>
      <c r="U91" s="76">
        <v>599</v>
      </c>
      <c r="V91" s="76">
        <v>146.1</v>
      </c>
      <c r="W91" s="76">
        <v>0.24</v>
      </c>
      <c r="X91" s="76">
        <v>1.1499999999999999</v>
      </c>
      <c r="Y91" s="76"/>
      <c r="Z91" s="76">
        <v>10</v>
      </c>
      <c r="AA91" t="s">
        <v>533</v>
      </c>
      <c r="AB91" s="76" t="s">
        <v>148</v>
      </c>
      <c r="AC91" s="76">
        <v>3</v>
      </c>
      <c r="AD91" s="76">
        <v>2</v>
      </c>
      <c r="AE91" s="76">
        <v>0</v>
      </c>
      <c r="AF91" s="76">
        <v>0</v>
      </c>
      <c r="AG91" s="76">
        <v>9</v>
      </c>
      <c r="AH91" s="76">
        <v>157</v>
      </c>
      <c r="AI91" s="76">
        <v>121</v>
      </c>
      <c r="AJ91" s="76">
        <v>4</v>
      </c>
      <c r="AK91" s="76">
        <v>1</v>
      </c>
      <c r="AL91" s="76">
        <v>4</v>
      </c>
      <c r="AM91" s="76">
        <v>4</v>
      </c>
      <c r="AN91" s="76">
        <v>1</v>
      </c>
      <c r="AO91" s="76">
        <v>2246</v>
      </c>
      <c r="AP91" s="202" t="s">
        <v>148</v>
      </c>
      <c r="AQ91" s="202">
        <v>0</v>
      </c>
      <c r="AR91" s="202">
        <v>0.8</v>
      </c>
      <c r="AS91" s="202">
        <v>0.313</v>
      </c>
      <c r="AT91" s="202">
        <v>0.73299999999999998</v>
      </c>
      <c r="AU91" s="202">
        <v>1.046</v>
      </c>
      <c r="AV91" s="202">
        <v>5.4</v>
      </c>
      <c r="AW91" s="202">
        <v>2.7</v>
      </c>
      <c r="AX91" s="202">
        <v>10.8</v>
      </c>
      <c r="AY91" s="202">
        <v>2</v>
      </c>
      <c r="AZ91" s="202">
        <v>20.7</v>
      </c>
    </row>
    <row r="92" spans="1:52" x14ac:dyDescent="0.2">
      <c r="A92" s="76">
        <v>4</v>
      </c>
      <c r="B92" t="s">
        <v>589</v>
      </c>
      <c r="C92" s="76" t="s">
        <v>148</v>
      </c>
      <c r="D92" s="76">
        <v>0</v>
      </c>
      <c r="E92" s="76">
        <v>0</v>
      </c>
      <c r="F92" s="76">
        <v>2.25</v>
      </c>
      <c r="G92" s="76">
        <v>20</v>
      </c>
      <c r="H92" s="76">
        <v>0</v>
      </c>
      <c r="I92" s="76">
        <v>0</v>
      </c>
      <c r="J92" s="76">
        <v>0</v>
      </c>
      <c r="K92" s="76">
        <v>0</v>
      </c>
      <c r="L92" s="76">
        <v>0</v>
      </c>
      <c r="M92" s="76">
        <v>20</v>
      </c>
      <c r="N92" s="76">
        <v>12</v>
      </c>
      <c r="O92" s="76">
        <v>6</v>
      </c>
      <c r="P92" s="76">
        <v>5</v>
      </c>
      <c r="Q92" s="76">
        <v>1</v>
      </c>
      <c r="R92" s="76">
        <v>11</v>
      </c>
      <c r="S92" s="76">
        <v>3</v>
      </c>
      <c r="T92" s="76">
        <v>18</v>
      </c>
      <c r="U92" s="76">
        <v>82</v>
      </c>
      <c r="V92" s="76">
        <v>20</v>
      </c>
      <c r="W92" s="76">
        <v>0.17599999999999999</v>
      </c>
      <c r="X92" s="76">
        <v>1.1499999999999999</v>
      </c>
      <c r="Y92" s="76"/>
      <c r="Z92" s="76">
        <v>4</v>
      </c>
      <c r="AA92" t="s">
        <v>589</v>
      </c>
      <c r="AB92" s="76" t="s">
        <v>148</v>
      </c>
      <c r="AC92" s="76">
        <v>1</v>
      </c>
      <c r="AD92" s="76">
        <v>3</v>
      </c>
      <c r="AE92" s="76">
        <v>5</v>
      </c>
      <c r="AF92" s="76">
        <v>0</v>
      </c>
      <c r="AG92" s="76">
        <v>0</v>
      </c>
      <c r="AH92" s="76">
        <v>24</v>
      </c>
      <c r="AI92" s="76">
        <v>16</v>
      </c>
      <c r="AJ92" s="76">
        <v>1</v>
      </c>
      <c r="AK92" s="76">
        <v>0</v>
      </c>
      <c r="AL92" s="76">
        <v>1</v>
      </c>
      <c r="AM92" s="76">
        <v>2</v>
      </c>
      <c r="AN92" s="76">
        <v>0</v>
      </c>
      <c r="AO92" s="76">
        <v>354</v>
      </c>
      <c r="AP92" s="202" t="s">
        <v>148</v>
      </c>
      <c r="AQ92" s="202">
        <v>0</v>
      </c>
      <c r="AR92" s="202">
        <v>2.88</v>
      </c>
      <c r="AS92" s="202">
        <v>0.47899999999999998</v>
      </c>
      <c r="AT92" s="202">
        <v>0.46600000000000003</v>
      </c>
      <c r="AU92" s="202">
        <v>0.94499999999999995</v>
      </c>
      <c r="AV92" s="202">
        <v>4.8499999999999996</v>
      </c>
      <c r="AW92" s="202">
        <v>8.31</v>
      </c>
      <c r="AX92" s="202">
        <v>14.54</v>
      </c>
      <c r="AY92" s="202">
        <v>0.57999999999999996</v>
      </c>
      <c r="AZ92" s="202">
        <v>21.31</v>
      </c>
    </row>
    <row r="93" spans="1:52" x14ac:dyDescent="0.2">
      <c r="A93" s="76">
        <v>19</v>
      </c>
      <c r="B93" s="41" t="s">
        <v>1318</v>
      </c>
      <c r="C93" s="76" t="s">
        <v>148</v>
      </c>
      <c r="D93" s="76">
        <v>3</v>
      </c>
      <c r="E93" s="76">
        <v>3</v>
      </c>
      <c r="F93" s="76">
        <v>5.26</v>
      </c>
      <c r="G93" s="76">
        <v>17</v>
      </c>
      <c r="H93" s="76">
        <v>10</v>
      </c>
      <c r="I93" s="76">
        <v>0</v>
      </c>
      <c r="J93" s="76">
        <v>0</v>
      </c>
      <c r="K93" s="76">
        <v>0</v>
      </c>
      <c r="L93" s="76">
        <v>0</v>
      </c>
      <c r="M93" s="76">
        <v>53</v>
      </c>
      <c r="N93" s="76">
        <v>50</v>
      </c>
      <c r="O93" s="76">
        <v>31</v>
      </c>
      <c r="P93" s="76">
        <v>31</v>
      </c>
      <c r="Q93" s="76">
        <v>8</v>
      </c>
      <c r="R93" s="76">
        <v>29</v>
      </c>
      <c r="S93" s="76">
        <v>0</v>
      </c>
      <c r="T93" s="76">
        <v>50</v>
      </c>
      <c r="U93" s="76">
        <v>233</v>
      </c>
      <c r="V93" s="76">
        <v>53</v>
      </c>
      <c r="W93" s="76">
        <v>0.246</v>
      </c>
      <c r="X93" s="76">
        <v>1.49</v>
      </c>
      <c r="Y93" s="76"/>
      <c r="Z93" s="76">
        <v>19</v>
      </c>
      <c r="AA93" t="s">
        <v>1318</v>
      </c>
      <c r="AB93" s="76" t="s">
        <v>148</v>
      </c>
      <c r="AC93" s="76">
        <v>0</v>
      </c>
      <c r="AD93" s="76">
        <v>0</v>
      </c>
      <c r="AE93" s="76">
        <v>3</v>
      </c>
      <c r="AF93" s="76">
        <v>0</v>
      </c>
      <c r="AG93" s="76">
        <v>1</v>
      </c>
      <c r="AH93" s="76">
        <v>47</v>
      </c>
      <c r="AI93" s="76">
        <v>57</v>
      </c>
      <c r="AJ93" s="76">
        <v>2</v>
      </c>
      <c r="AK93" s="76">
        <v>0</v>
      </c>
      <c r="AL93" s="76">
        <v>5</v>
      </c>
      <c r="AM93" s="76">
        <v>0</v>
      </c>
      <c r="AN93" s="76">
        <v>0</v>
      </c>
      <c r="AO93" s="76">
        <v>967</v>
      </c>
      <c r="AP93" s="202" t="s">
        <v>148</v>
      </c>
      <c r="AQ93" s="202">
        <v>1</v>
      </c>
      <c r="AR93" s="202">
        <v>2.5299999999999998</v>
      </c>
      <c r="AS93" s="202">
        <v>0.29599999999999999</v>
      </c>
      <c r="AT93" s="202">
        <v>0.38300000000000001</v>
      </c>
      <c r="AU93" s="202">
        <v>0.67900000000000005</v>
      </c>
      <c r="AV93" s="202">
        <v>5.51</v>
      </c>
      <c r="AW93" s="202">
        <v>2.13</v>
      </c>
      <c r="AX93" s="202">
        <v>8.17</v>
      </c>
      <c r="AY93" s="202">
        <v>2.58</v>
      </c>
      <c r="AZ93" s="202">
        <v>13.24</v>
      </c>
    </row>
    <row r="94" spans="1:52" x14ac:dyDescent="0.2">
      <c r="A94" s="76">
        <v>22</v>
      </c>
      <c r="B94" t="s">
        <v>1319</v>
      </c>
      <c r="C94" s="76" t="s">
        <v>148</v>
      </c>
      <c r="D94" s="76">
        <v>1</v>
      </c>
      <c r="E94" s="76">
        <v>3</v>
      </c>
      <c r="F94" s="76">
        <v>7.2</v>
      </c>
      <c r="G94" s="76">
        <v>11</v>
      </c>
      <c r="H94" s="76">
        <v>0</v>
      </c>
      <c r="I94" s="76">
        <v>0</v>
      </c>
      <c r="J94" s="76">
        <v>0</v>
      </c>
      <c r="K94" s="76">
        <v>0</v>
      </c>
      <c r="L94" s="76">
        <v>0</v>
      </c>
      <c r="M94" s="76">
        <v>10</v>
      </c>
      <c r="N94" s="76">
        <v>12</v>
      </c>
      <c r="O94" s="76">
        <v>9</v>
      </c>
      <c r="P94" s="76">
        <v>8</v>
      </c>
      <c r="Q94" s="76">
        <v>2</v>
      </c>
      <c r="R94" s="76">
        <v>7</v>
      </c>
      <c r="S94" s="76">
        <v>1</v>
      </c>
      <c r="T94" s="76">
        <v>10</v>
      </c>
      <c r="U94" s="76">
        <v>50</v>
      </c>
      <c r="V94" s="76">
        <v>10</v>
      </c>
      <c r="W94" s="76">
        <v>0.27900000000000003</v>
      </c>
      <c r="X94" s="76">
        <v>1.9</v>
      </c>
      <c r="Y94" s="76"/>
      <c r="Z94" s="76">
        <v>22</v>
      </c>
      <c r="AA94" t="s">
        <v>1319</v>
      </c>
      <c r="AB94" s="76" t="s">
        <v>148</v>
      </c>
      <c r="AC94" s="76">
        <v>0</v>
      </c>
      <c r="AD94" s="76">
        <v>1</v>
      </c>
      <c r="AE94" s="76">
        <v>5</v>
      </c>
      <c r="AF94" s="76">
        <v>0</v>
      </c>
      <c r="AG94" s="76">
        <v>0</v>
      </c>
      <c r="AH94" s="76">
        <v>8</v>
      </c>
      <c r="AI94" s="76">
        <v>13</v>
      </c>
      <c r="AJ94" s="76">
        <v>1</v>
      </c>
      <c r="AK94" s="76">
        <v>1</v>
      </c>
      <c r="AL94" s="76">
        <v>0</v>
      </c>
      <c r="AM94" s="76">
        <v>0</v>
      </c>
      <c r="AN94" s="76">
        <v>0</v>
      </c>
      <c r="AO94" s="76">
        <v>186</v>
      </c>
      <c r="AP94" s="202" t="s">
        <v>149</v>
      </c>
      <c r="AQ94" s="202">
        <v>0.2</v>
      </c>
      <c r="AR94" s="202">
        <v>0.57999999999999996</v>
      </c>
      <c r="AS94" s="202">
        <v>0.35299999999999998</v>
      </c>
      <c r="AT94" s="202">
        <v>0.56499999999999995</v>
      </c>
      <c r="AU94" s="202">
        <v>0.91800000000000004</v>
      </c>
      <c r="AV94" s="202">
        <v>6.39</v>
      </c>
      <c r="AW94" s="202">
        <v>3.38</v>
      </c>
      <c r="AX94" s="202">
        <v>9.9499999999999993</v>
      </c>
      <c r="AY94" s="202">
        <v>1.89</v>
      </c>
      <c r="AZ94" s="202">
        <v>17.21</v>
      </c>
    </row>
    <row r="95" spans="1:52" x14ac:dyDescent="0.2">
      <c r="A95" s="76">
        <v>18</v>
      </c>
      <c r="B95" s="41" t="s">
        <v>792</v>
      </c>
      <c r="C95" s="76" t="s">
        <v>148</v>
      </c>
      <c r="D95" s="76">
        <v>0</v>
      </c>
      <c r="E95" s="76">
        <v>0</v>
      </c>
      <c r="F95" s="76">
        <v>5.0599999999999996</v>
      </c>
      <c r="G95" s="76">
        <v>29</v>
      </c>
      <c r="H95" s="76">
        <v>0</v>
      </c>
      <c r="I95" s="76">
        <v>0</v>
      </c>
      <c r="J95" s="76">
        <v>0</v>
      </c>
      <c r="K95" s="76">
        <v>0</v>
      </c>
      <c r="L95" s="76">
        <v>0</v>
      </c>
      <c r="M95" s="76">
        <v>16</v>
      </c>
      <c r="N95" s="76">
        <v>16</v>
      </c>
      <c r="O95" s="76">
        <v>9</v>
      </c>
      <c r="P95" s="76">
        <v>9</v>
      </c>
      <c r="Q95" s="76">
        <v>0</v>
      </c>
      <c r="R95" s="76">
        <v>7</v>
      </c>
      <c r="S95" s="76">
        <v>2</v>
      </c>
      <c r="T95" s="76">
        <v>17</v>
      </c>
      <c r="U95" s="76">
        <v>70</v>
      </c>
      <c r="V95" s="76">
        <v>16</v>
      </c>
      <c r="W95" s="76">
        <v>0.25800000000000001</v>
      </c>
      <c r="X95" s="76">
        <v>1.44</v>
      </c>
      <c r="Y95" s="76"/>
      <c r="Z95" s="76">
        <v>18</v>
      </c>
      <c r="AA95" t="s">
        <v>792</v>
      </c>
      <c r="AB95" s="76" t="s">
        <v>148</v>
      </c>
      <c r="AC95" s="76">
        <v>0</v>
      </c>
      <c r="AD95" s="76">
        <v>2</v>
      </c>
      <c r="AE95" s="76">
        <v>4</v>
      </c>
      <c r="AF95" s="76">
        <v>3</v>
      </c>
      <c r="AG95" s="76">
        <v>1</v>
      </c>
      <c r="AH95" s="76">
        <v>20</v>
      </c>
      <c r="AI95" s="76">
        <v>10</v>
      </c>
      <c r="AJ95" s="76">
        <v>1</v>
      </c>
      <c r="AK95" s="76">
        <v>1</v>
      </c>
      <c r="AL95" s="76">
        <v>1</v>
      </c>
      <c r="AM95" s="76">
        <v>0</v>
      </c>
      <c r="AN95" s="76">
        <v>0</v>
      </c>
      <c r="AO95" s="76">
        <v>285</v>
      </c>
      <c r="AP95" s="202" t="s">
        <v>148</v>
      </c>
      <c r="AQ95" s="202">
        <v>0.77800000000000002</v>
      </c>
      <c r="AR95" s="202">
        <v>0.8</v>
      </c>
      <c r="AS95" s="202">
        <v>0.22700000000000001</v>
      </c>
      <c r="AT95" s="202">
        <v>0.41499999999999998</v>
      </c>
      <c r="AU95" s="202">
        <v>0.64200000000000002</v>
      </c>
      <c r="AV95" s="202">
        <v>7.81</v>
      </c>
      <c r="AW95" s="202">
        <v>1.1000000000000001</v>
      </c>
      <c r="AX95" s="202">
        <v>6.44</v>
      </c>
      <c r="AY95" s="202">
        <v>7.13</v>
      </c>
      <c r="AZ95" s="202">
        <v>14.45</v>
      </c>
    </row>
    <row r="96" spans="1:52" x14ac:dyDescent="0.2">
      <c r="A96" s="76">
        <v>20</v>
      </c>
      <c r="B96" t="s">
        <v>480</v>
      </c>
      <c r="C96" s="76" t="s">
        <v>148</v>
      </c>
      <c r="D96" s="76">
        <v>0</v>
      </c>
      <c r="E96" s="76">
        <v>0</v>
      </c>
      <c r="F96" s="76">
        <v>5.79</v>
      </c>
      <c r="G96" s="76">
        <v>7</v>
      </c>
      <c r="H96" s="76">
        <v>0</v>
      </c>
      <c r="I96" s="76">
        <v>0</v>
      </c>
      <c r="J96" s="76">
        <v>0</v>
      </c>
      <c r="K96" s="76">
        <v>0</v>
      </c>
      <c r="L96" s="76">
        <v>1</v>
      </c>
      <c r="M96" s="76">
        <v>4.2</v>
      </c>
      <c r="N96" s="76">
        <v>3</v>
      </c>
      <c r="O96" s="76">
        <v>3</v>
      </c>
      <c r="P96" s="76">
        <v>3</v>
      </c>
      <c r="Q96" s="76">
        <v>1</v>
      </c>
      <c r="R96" s="76">
        <v>4</v>
      </c>
      <c r="S96" s="76">
        <v>0</v>
      </c>
      <c r="T96" s="76">
        <v>3</v>
      </c>
      <c r="U96" s="76">
        <v>21</v>
      </c>
      <c r="V96" s="76">
        <v>4.2</v>
      </c>
      <c r="W96" s="76">
        <v>0.188</v>
      </c>
      <c r="X96" s="76">
        <v>1.5</v>
      </c>
      <c r="Y96" s="76"/>
      <c r="Z96" s="76">
        <v>20</v>
      </c>
      <c r="AA96" t="s">
        <v>480</v>
      </c>
      <c r="AB96" s="76" t="s">
        <v>148</v>
      </c>
      <c r="AC96" s="76">
        <v>0</v>
      </c>
      <c r="AD96" s="76">
        <v>0</v>
      </c>
      <c r="AE96" s="76">
        <v>0</v>
      </c>
      <c r="AF96" s="76">
        <v>0</v>
      </c>
      <c r="AG96" s="76">
        <v>1</v>
      </c>
      <c r="AH96" s="76">
        <v>7</v>
      </c>
      <c r="AI96" s="76">
        <v>4</v>
      </c>
      <c r="AJ96" s="76">
        <v>0</v>
      </c>
      <c r="AK96" s="76">
        <v>0</v>
      </c>
      <c r="AL96" s="76">
        <v>0</v>
      </c>
      <c r="AM96" s="76">
        <v>0</v>
      </c>
      <c r="AN96" s="76">
        <v>0</v>
      </c>
      <c r="AO96" s="76">
        <v>91</v>
      </c>
      <c r="AP96" s="102" t="s">
        <v>157</v>
      </c>
      <c r="AQ96" s="102" t="s">
        <v>1081</v>
      </c>
      <c r="AR96" s="102" t="s">
        <v>1068</v>
      </c>
      <c r="AS96" s="102" t="s">
        <v>1059</v>
      </c>
      <c r="AT96" s="102" t="s">
        <v>1060</v>
      </c>
      <c r="AU96" s="102" t="s">
        <v>1061</v>
      </c>
      <c r="AV96" s="102" t="s">
        <v>1092</v>
      </c>
      <c r="AW96" s="102" t="s">
        <v>1093</v>
      </c>
      <c r="AX96" s="102" t="s">
        <v>1094</v>
      </c>
      <c r="AY96" s="102" t="s">
        <v>1095</v>
      </c>
      <c r="AZ96" s="102" t="s">
        <v>1096</v>
      </c>
    </row>
    <row r="97" spans="1:52" x14ac:dyDescent="0.2">
      <c r="A97" s="76">
        <v>17</v>
      </c>
      <c r="B97" t="s">
        <v>1317</v>
      </c>
      <c r="C97" s="76" t="s">
        <v>148</v>
      </c>
      <c r="D97" s="76">
        <v>0</v>
      </c>
      <c r="E97" s="76">
        <v>0</v>
      </c>
      <c r="F97" s="76">
        <v>4.82</v>
      </c>
      <c r="G97" s="76">
        <v>8</v>
      </c>
      <c r="H97" s="76">
        <v>0</v>
      </c>
      <c r="I97" s="76">
        <v>0</v>
      </c>
      <c r="J97" s="76">
        <v>0</v>
      </c>
      <c r="K97" s="76">
        <v>0</v>
      </c>
      <c r="L97" s="76">
        <v>0</v>
      </c>
      <c r="M97" s="76">
        <v>9.1</v>
      </c>
      <c r="N97" s="76">
        <v>12</v>
      </c>
      <c r="O97" s="76">
        <v>6</v>
      </c>
      <c r="P97" s="76">
        <v>5</v>
      </c>
      <c r="Q97" s="76">
        <v>0</v>
      </c>
      <c r="R97" s="76">
        <v>5</v>
      </c>
      <c r="S97" s="76">
        <v>1</v>
      </c>
      <c r="T97" s="76">
        <v>12</v>
      </c>
      <c r="U97" s="76">
        <v>46</v>
      </c>
      <c r="V97" s="76">
        <v>9.1</v>
      </c>
      <c r="W97" s="76">
        <v>0.308</v>
      </c>
      <c r="X97" s="76">
        <v>1.82</v>
      </c>
      <c r="Y97" s="76"/>
      <c r="Z97" s="76">
        <v>17</v>
      </c>
      <c r="AA97" t="s">
        <v>1317</v>
      </c>
      <c r="AB97" s="76" t="s">
        <v>148</v>
      </c>
      <c r="AC97" s="76">
        <v>2</v>
      </c>
      <c r="AD97" s="76">
        <v>1</v>
      </c>
      <c r="AE97" s="76">
        <v>0</v>
      </c>
      <c r="AF97" s="76">
        <v>0</v>
      </c>
      <c r="AG97" s="76">
        <v>1</v>
      </c>
      <c r="AH97" s="76">
        <v>11</v>
      </c>
      <c r="AI97" s="76">
        <v>4</v>
      </c>
      <c r="AJ97" s="76">
        <v>1</v>
      </c>
      <c r="AK97" s="76">
        <v>0</v>
      </c>
      <c r="AL97" s="76">
        <v>2</v>
      </c>
      <c r="AM97" s="76">
        <v>1</v>
      </c>
      <c r="AN97" s="76">
        <v>0</v>
      </c>
      <c r="AO97" s="76">
        <v>180</v>
      </c>
      <c r="AP97" s="202" t="s">
        <v>148</v>
      </c>
      <c r="AQ97" s="202" t="s">
        <v>243</v>
      </c>
      <c r="AR97" s="202">
        <v>1.36</v>
      </c>
      <c r="AS97" s="202">
        <v>0.36099999999999999</v>
      </c>
      <c r="AT97" s="202">
        <v>0.439</v>
      </c>
      <c r="AU97" s="202">
        <v>0.79900000000000004</v>
      </c>
      <c r="AV97" s="202">
        <v>8.7799999999999994</v>
      </c>
      <c r="AW97" s="202">
        <v>2.7</v>
      </c>
      <c r="AX97" s="202">
        <v>12.15</v>
      </c>
      <c r="AY97" s="202">
        <v>3.25</v>
      </c>
      <c r="AZ97" s="202">
        <v>14.85</v>
      </c>
    </row>
    <row r="98" spans="1:52" x14ac:dyDescent="0.2">
      <c r="A98" s="76">
        <v>26</v>
      </c>
      <c r="B98" t="s">
        <v>1322</v>
      </c>
      <c r="C98" s="76" t="s">
        <v>148</v>
      </c>
      <c r="D98" s="76">
        <v>0</v>
      </c>
      <c r="E98" s="76">
        <v>0</v>
      </c>
      <c r="F98" s="76">
        <v>12</v>
      </c>
      <c r="G98" s="76">
        <v>2</v>
      </c>
      <c r="H98" s="76">
        <v>0</v>
      </c>
      <c r="I98" s="76">
        <v>0</v>
      </c>
      <c r="J98" s="76">
        <v>0</v>
      </c>
      <c r="K98" s="76">
        <v>0</v>
      </c>
      <c r="L98" s="76">
        <v>0</v>
      </c>
      <c r="M98" s="76">
        <v>3</v>
      </c>
      <c r="N98" s="76">
        <v>4</v>
      </c>
      <c r="O98" s="76">
        <v>4</v>
      </c>
      <c r="P98" s="76">
        <v>4</v>
      </c>
      <c r="Q98" s="76">
        <v>1</v>
      </c>
      <c r="R98" s="76">
        <v>0</v>
      </c>
      <c r="S98" s="76">
        <v>0</v>
      </c>
      <c r="T98" s="76">
        <v>0</v>
      </c>
      <c r="U98" s="76">
        <v>13</v>
      </c>
      <c r="V98" s="76">
        <v>3</v>
      </c>
      <c r="W98" s="76">
        <v>0.308</v>
      </c>
      <c r="X98" s="76">
        <v>1.33</v>
      </c>
      <c r="Y98" s="76"/>
      <c r="Z98" s="76">
        <v>26</v>
      </c>
      <c r="AA98" t="s">
        <v>1322</v>
      </c>
      <c r="AB98" s="76" t="s">
        <v>148</v>
      </c>
      <c r="AC98" s="76">
        <v>0</v>
      </c>
      <c r="AD98" s="76">
        <v>0</v>
      </c>
      <c r="AE98" s="76">
        <v>2</v>
      </c>
      <c r="AF98" s="76">
        <v>0</v>
      </c>
      <c r="AG98" s="76">
        <v>0</v>
      </c>
      <c r="AH98" s="76">
        <v>2</v>
      </c>
      <c r="AI98" s="76">
        <v>7</v>
      </c>
      <c r="AJ98" s="76">
        <v>0</v>
      </c>
      <c r="AK98" s="76">
        <v>0</v>
      </c>
      <c r="AL98" s="76">
        <v>0</v>
      </c>
      <c r="AM98" s="76">
        <v>0</v>
      </c>
      <c r="AN98" s="76">
        <v>0</v>
      </c>
      <c r="AO98" s="76">
        <v>43</v>
      </c>
      <c r="AP98" s="202" t="s">
        <v>149</v>
      </c>
      <c r="AQ98" s="202" t="s">
        <v>243</v>
      </c>
      <c r="AR98" s="202">
        <v>0.75</v>
      </c>
      <c r="AS98" s="202">
        <v>0.32</v>
      </c>
      <c r="AT98" s="202">
        <v>0.51100000000000001</v>
      </c>
      <c r="AU98" s="202">
        <v>0.83099999999999996</v>
      </c>
      <c r="AV98" s="202">
        <v>4.76</v>
      </c>
      <c r="AW98" s="202">
        <v>3.18</v>
      </c>
      <c r="AX98" s="202">
        <v>9.5299999999999994</v>
      </c>
      <c r="AY98" s="202">
        <v>1.5</v>
      </c>
      <c r="AZ98" s="202">
        <v>16.239999999999998</v>
      </c>
    </row>
    <row r="99" spans="1:52" x14ac:dyDescent="0.2">
      <c r="A99" s="76">
        <v>27</v>
      </c>
      <c r="B99" t="s">
        <v>405</v>
      </c>
      <c r="C99" s="76" t="s">
        <v>148</v>
      </c>
      <c r="D99" s="76">
        <v>1</v>
      </c>
      <c r="E99" s="76">
        <v>0</v>
      </c>
      <c r="F99" s="76">
        <v>21</v>
      </c>
      <c r="G99" s="76">
        <v>7</v>
      </c>
      <c r="H99" s="76">
        <v>0</v>
      </c>
      <c r="I99" s="76">
        <v>0</v>
      </c>
      <c r="J99" s="76">
        <v>0</v>
      </c>
      <c r="K99" s="76">
        <v>0</v>
      </c>
      <c r="L99" s="76">
        <v>0</v>
      </c>
      <c r="M99" s="76">
        <v>3</v>
      </c>
      <c r="N99" s="76">
        <v>4</v>
      </c>
      <c r="O99" s="76">
        <v>7</v>
      </c>
      <c r="P99" s="76">
        <v>7</v>
      </c>
      <c r="Q99" s="76">
        <v>1</v>
      </c>
      <c r="R99" s="76">
        <v>5</v>
      </c>
      <c r="S99" s="76">
        <v>1</v>
      </c>
      <c r="T99" s="76">
        <v>4</v>
      </c>
      <c r="U99" s="76">
        <v>18</v>
      </c>
      <c r="V99" s="76">
        <v>3</v>
      </c>
      <c r="W99" s="76">
        <v>0.308</v>
      </c>
      <c r="X99" s="76">
        <v>3</v>
      </c>
      <c r="Y99" s="76"/>
      <c r="Z99" s="76">
        <v>27</v>
      </c>
      <c r="AA99" t="s">
        <v>405</v>
      </c>
      <c r="AB99" s="76" t="s">
        <v>148</v>
      </c>
      <c r="AC99" s="76">
        <v>0</v>
      </c>
      <c r="AD99" s="76">
        <v>1</v>
      </c>
      <c r="AE99" s="76">
        <v>1</v>
      </c>
      <c r="AF99" s="76">
        <v>1</v>
      </c>
      <c r="AG99" s="76">
        <v>0</v>
      </c>
      <c r="AH99" s="76">
        <v>3</v>
      </c>
      <c r="AI99" s="76">
        <v>2</v>
      </c>
      <c r="AJ99" s="76">
        <v>0</v>
      </c>
      <c r="AK99" s="76">
        <v>0</v>
      </c>
      <c r="AL99" s="76">
        <v>0</v>
      </c>
      <c r="AM99" s="76">
        <v>0</v>
      </c>
      <c r="AN99" s="76">
        <v>0</v>
      </c>
      <c r="AO99" s="76">
        <v>72</v>
      </c>
      <c r="AP99" s="202" t="s">
        <v>149</v>
      </c>
      <c r="AQ99" s="202">
        <v>0.5</v>
      </c>
      <c r="AR99" s="202">
        <v>0.97</v>
      </c>
      <c r="AS99" s="202">
        <v>0.39100000000000001</v>
      </c>
      <c r="AT99" s="202">
        <v>0.48699999999999999</v>
      </c>
      <c r="AU99" s="202">
        <v>0.878</v>
      </c>
      <c r="AV99" s="202">
        <v>8.24</v>
      </c>
      <c r="AW99" s="202">
        <v>5.26</v>
      </c>
      <c r="AX99" s="202">
        <v>10.3</v>
      </c>
      <c r="AY99" s="202">
        <v>1.57</v>
      </c>
      <c r="AZ99" s="202">
        <v>17.14</v>
      </c>
    </row>
    <row r="100" spans="1:52" x14ac:dyDescent="0.2">
      <c r="A100" s="76">
        <v>11</v>
      </c>
      <c r="B100" t="s">
        <v>793</v>
      </c>
      <c r="C100" s="76" t="s">
        <v>148</v>
      </c>
      <c r="D100" s="76">
        <v>0</v>
      </c>
      <c r="E100" s="76">
        <v>0</v>
      </c>
      <c r="F100" s="76">
        <v>3.38</v>
      </c>
      <c r="G100" s="76">
        <v>4</v>
      </c>
      <c r="H100" s="76">
        <v>0</v>
      </c>
      <c r="I100" s="76">
        <v>0</v>
      </c>
      <c r="J100" s="76">
        <v>0</v>
      </c>
      <c r="K100" s="76">
        <v>0</v>
      </c>
      <c r="L100" s="76">
        <v>0</v>
      </c>
      <c r="M100" s="76">
        <v>2.2000000000000002</v>
      </c>
      <c r="N100" s="76">
        <v>6</v>
      </c>
      <c r="O100" s="76">
        <v>1</v>
      </c>
      <c r="P100" s="76">
        <v>1</v>
      </c>
      <c r="Q100" s="76">
        <v>0</v>
      </c>
      <c r="R100" s="76">
        <v>0</v>
      </c>
      <c r="S100" s="76">
        <v>0</v>
      </c>
      <c r="T100" s="76">
        <v>2</v>
      </c>
      <c r="U100" s="76">
        <v>14</v>
      </c>
      <c r="V100" s="76">
        <v>2.2000000000000002</v>
      </c>
      <c r="W100" s="76">
        <v>0.5</v>
      </c>
      <c r="X100" s="76">
        <v>2.25</v>
      </c>
      <c r="Y100" s="76"/>
      <c r="Z100" s="76">
        <v>11</v>
      </c>
      <c r="AA100" t="s">
        <v>793</v>
      </c>
      <c r="AB100" s="76" t="s">
        <v>148</v>
      </c>
      <c r="AC100" s="76">
        <v>1</v>
      </c>
      <c r="AD100" s="76">
        <v>0</v>
      </c>
      <c r="AE100" s="76">
        <v>0</v>
      </c>
      <c r="AF100" s="76">
        <v>0</v>
      </c>
      <c r="AG100" s="76">
        <v>0</v>
      </c>
      <c r="AH100" s="76">
        <v>2</v>
      </c>
      <c r="AI100" s="76">
        <v>3</v>
      </c>
      <c r="AJ100" s="76">
        <v>0</v>
      </c>
      <c r="AK100" s="76">
        <v>0</v>
      </c>
      <c r="AL100" s="76">
        <v>0</v>
      </c>
      <c r="AM100" s="76">
        <v>1</v>
      </c>
      <c r="AN100" s="76">
        <v>1</v>
      </c>
      <c r="AO100" s="76">
        <v>53</v>
      </c>
      <c r="AP100" s="202" t="s">
        <v>148</v>
      </c>
      <c r="AQ100" s="202" t="s">
        <v>243</v>
      </c>
      <c r="AR100" s="202">
        <v>0</v>
      </c>
      <c r="AS100" s="202">
        <v>0.66700000000000004</v>
      </c>
      <c r="AT100" s="202">
        <v>1.25</v>
      </c>
      <c r="AU100" s="202">
        <v>1.917</v>
      </c>
      <c r="AV100" s="202">
        <v>0</v>
      </c>
      <c r="AW100" s="202">
        <v>27</v>
      </c>
      <c r="AX100" s="202">
        <v>54</v>
      </c>
      <c r="AY100" s="202">
        <v>0</v>
      </c>
      <c r="AZ100" s="202">
        <v>57</v>
      </c>
    </row>
    <row r="101" spans="1:52" x14ac:dyDescent="0.2">
      <c r="A101" s="76">
        <v>13</v>
      </c>
      <c r="B101" t="s">
        <v>486</v>
      </c>
      <c r="C101" s="76" t="s">
        <v>148</v>
      </c>
      <c r="D101" s="76">
        <v>2</v>
      </c>
      <c r="E101" s="76">
        <v>2</v>
      </c>
      <c r="F101" s="76">
        <v>3.74</v>
      </c>
      <c r="G101" s="76">
        <v>21</v>
      </c>
      <c r="H101" s="76">
        <v>0</v>
      </c>
      <c r="I101" s="76">
        <v>0</v>
      </c>
      <c r="J101" s="76">
        <v>0</v>
      </c>
      <c r="K101" s="76">
        <v>0</v>
      </c>
      <c r="L101" s="76">
        <v>1</v>
      </c>
      <c r="M101" s="76">
        <v>21.2</v>
      </c>
      <c r="N101" s="76">
        <v>21</v>
      </c>
      <c r="O101" s="76">
        <v>10</v>
      </c>
      <c r="P101" s="76">
        <v>9</v>
      </c>
      <c r="Q101" s="76">
        <v>1</v>
      </c>
      <c r="R101" s="76">
        <v>5</v>
      </c>
      <c r="S101" s="76">
        <v>1</v>
      </c>
      <c r="T101" s="76">
        <v>17</v>
      </c>
      <c r="U101" s="76">
        <v>90</v>
      </c>
      <c r="V101" s="76">
        <v>21.2</v>
      </c>
      <c r="W101" s="76">
        <v>0.25600000000000001</v>
      </c>
      <c r="X101" s="76">
        <v>1.2</v>
      </c>
      <c r="Y101" s="76"/>
      <c r="Z101" s="76">
        <v>13</v>
      </c>
      <c r="AA101" t="s">
        <v>486</v>
      </c>
      <c r="AB101" s="76" t="s">
        <v>148</v>
      </c>
      <c r="AC101" s="76">
        <v>2</v>
      </c>
      <c r="AD101" s="76">
        <v>1</v>
      </c>
      <c r="AE101" s="76">
        <v>5</v>
      </c>
      <c r="AF101" s="76">
        <v>0</v>
      </c>
      <c r="AG101" s="76">
        <v>3</v>
      </c>
      <c r="AH101" s="76">
        <v>28</v>
      </c>
      <c r="AI101" s="76">
        <v>17</v>
      </c>
      <c r="AJ101" s="76">
        <v>0</v>
      </c>
      <c r="AK101" s="76">
        <v>0</v>
      </c>
      <c r="AL101" s="76">
        <v>3</v>
      </c>
      <c r="AM101" s="76">
        <v>0</v>
      </c>
      <c r="AN101" s="76">
        <v>0</v>
      </c>
      <c r="AO101" s="76">
        <v>305</v>
      </c>
      <c r="AP101" s="202" t="s">
        <v>148</v>
      </c>
      <c r="AQ101" s="202">
        <v>0.4</v>
      </c>
      <c r="AR101" s="202">
        <v>5</v>
      </c>
      <c r="AS101" s="202">
        <v>0.36599999999999999</v>
      </c>
      <c r="AT101" s="202">
        <v>0.35399999999999998</v>
      </c>
      <c r="AU101" s="202">
        <v>0.71899999999999997</v>
      </c>
      <c r="AV101" s="202">
        <v>10.62</v>
      </c>
      <c r="AW101" s="202">
        <v>4.43</v>
      </c>
      <c r="AX101" s="202">
        <v>10.18</v>
      </c>
      <c r="AY101" s="202">
        <v>2.4</v>
      </c>
      <c r="AZ101" s="202">
        <v>17.07</v>
      </c>
    </row>
    <row r="102" spans="1:52" x14ac:dyDescent="0.2">
      <c r="A102" s="76">
        <v>8</v>
      </c>
      <c r="B102" s="41" t="s">
        <v>529</v>
      </c>
      <c r="C102" s="76" t="s">
        <v>148</v>
      </c>
      <c r="D102" s="76">
        <v>18</v>
      </c>
      <c r="E102" s="76">
        <v>9</v>
      </c>
      <c r="F102" s="76">
        <v>3.14</v>
      </c>
      <c r="G102" s="76">
        <v>32</v>
      </c>
      <c r="H102" s="76">
        <v>32</v>
      </c>
      <c r="I102" s="76">
        <v>3</v>
      </c>
      <c r="J102" s="76">
        <v>2</v>
      </c>
      <c r="K102" s="76">
        <v>0</v>
      </c>
      <c r="L102" s="76">
        <v>0</v>
      </c>
      <c r="M102" s="76">
        <v>215</v>
      </c>
      <c r="N102" s="76">
        <v>170</v>
      </c>
      <c r="O102" s="76">
        <v>82</v>
      </c>
      <c r="P102" s="76">
        <v>75</v>
      </c>
      <c r="Q102" s="76">
        <v>22</v>
      </c>
      <c r="R102" s="76">
        <v>57</v>
      </c>
      <c r="S102" s="76">
        <v>1</v>
      </c>
      <c r="T102" s="76">
        <v>227</v>
      </c>
      <c r="U102" s="76">
        <v>860</v>
      </c>
      <c r="V102" s="76">
        <v>215</v>
      </c>
      <c r="W102" s="76">
        <v>0.216</v>
      </c>
      <c r="X102" s="76">
        <v>1.06</v>
      </c>
      <c r="Y102" s="76"/>
      <c r="Z102" s="76">
        <v>8</v>
      </c>
      <c r="AA102" t="s">
        <v>529</v>
      </c>
      <c r="AB102" s="76" t="s">
        <v>148</v>
      </c>
      <c r="AC102" s="76">
        <v>7</v>
      </c>
      <c r="AD102" s="76">
        <v>1</v>
      </c>
      <c r="AE102" s="76">
        <v>0</v>
      </c>
      <c r="AF102" s="76">
        <v>0</v>
      </c>
      <c r="AG102" s="76">
        <v>17</v>
      </c>
      <c r="AH102" s="76">
        <v>213</v>
      </c>
      <c r="AI102" s="76">
        <v>186</v>
      </c>
      <c r="AJ102" s="76">
        <v>5</v>
      </c>
      <c r="AK102" s="76">
        <v>1</v>
      </c>
      <c r="AL102" s="76">
        <v>4</v>
      </c>
      <c r="AM102" s="76">
        <v>7</v>
      </c>
      <c r="AN102" s="76">
        <v>1</v>
      </c>
      <c r="AO102" s="76">
        <v>3189</v>
      </c>
      <c r="AP102" s="202" t="s">
        <v>148</v>
      </c>
      <c r="AQ102" s="202">
        <v>0.6</v>
      </c>
      <c r="AR102" s="202">
        <v>0.74</v>
      </c>
      <c r="AS102" s="202">
        <v>0.31</v>
      </c>
      <c r="AT102" s="202">
        <v>0.51500000000000001</v>
      </c>
      <c r="AU102" s="202">
        <v>0.82499999999999996</v>
      </c>
      <c r="AV102" s="202">
        <v>7.71</v>
      </c>
      <c r="AW102" s="202">
        <v>2.83</v>
      </c>
      <c r="AX102" s="202">
        <v>8.23</v>
      </c>
      <c r="AY102" s="202">
        <v>2.73</v>
      </c>
      <c r="AZ102" s="202">
        <v>16.09</v>
      </c>
    </row>
    <row r="103" spans="1:52" x14ac:dyDescent="0.2">
      <c r="A103" s="76">
        <v>7</v>
      </c>
      <c r="B103" s="41" t="s">
        <v>373</v>
      </c>
      <c r="C103" s="76" t="s">
        <v>148</v>
      </c>
      <c r="D103" s="76">
        <v>2</v>
      </c>
      <c r="E103" s="76">
        <v>1</v>
      </c>
      <c r="F103" s="76">
        <v>3.12</v>
      </c>
      <c r="G103" s="76">
        <v>53</v>
      </c>
      <c r="H103" s="76">
        <v>0</v>
      </c>
      <c r="I103" s="76">
        <v>0</v>
      </c>
      <c r="J103" s="76">
        <v>0</v>
      </c>
      <c r="K103" s="76">
        <v>0</v>
      </c>
      <c r="L103" s="76">
        <v>1</v>
      </c>
      <c r="M103" s="76">
        <v>43.1</v>
      </c>
      <c r="N103" s="76">
        <v>40</v>
      </c>
      <c r="O103" s="76">
        <v>20</v>
      </c>
      <c r="P103" s="76">
        <v>15</v>
      </c>
      <c r="Q103" s="76">
        <v>7</v>
      </c>
      <c r="R103" s="76">
        <v>22</v>
      </c>
      <c r="S103" s="76">
        <v>2</v>
      </c>
      <c r="T103" s="76">
        <v>36</v>
      </c>
      <c r="U103" s="76">
        <v>189</v>
      </c>
      <c r="V103" s="76">
        <v>43.1</v>
      </c>
      <c r="W103" s="76">
        <v>0.24099999999999999</v>
      </c>
      <c r="X103" s="76">
        <v>1.43</v>
      </c>
      <c r="Y103" s="76"/>
      <c r="Z103" s="76">
        <v>7</v>
      </c>
      <c r="AA103" t="s">
        <v>373</v>
      </c>
      <c r="AB103" s="76" t="s">
        <v>148</v>
      </c>
      <c r="AC103" s="76">
        <v>0</v>
      </c>
      <c r="AD103" s="76">
        <v>2</v>
      </c>
      <c r="AE103" s="76">
        <v>8</v>
      </c>
      <c r="AF103" s="76">
        <v>6</v>
      </c>
      <c r="AG103" s="76">
        <v>5</v>
      </c>
      <c r="AH103" s="76">
        <v>55</v>
      </c>
      <c r="AI103" s="76">
        <v>36</v>
      </c>
      <c r="AJ103" s="76">
        <v>0</v>
      </c>
      <c r="AK103" s="76">
        <v>0</v>
      </c>
      <c r="AL103" s="76">
        <v>0</v>
      </c>
      <c r="AM103" s="76">
        <v>1</v>
      </c>
      <c r="AN103" s="76">
        <v>0</v>
      </c>
      <c r="AO103" s="76">
        <v>744</v>
      </c>
      <c r="AP103" s="202" t="s">
        <v>148</v>
      </c>
      <c r="AQ103" s="202">
        <v>1</v>
      </c>
      <c r="AR103" s="202">
        <v>1.29</v>
      </c>
      <c r="AS103" s="202">
        <v>0.215</v>
      </c>
      <c r="AT103" s="202">
        <v>0.22500000000000001</v>
      </c>
      <c r="AU103" s="202">
        <v>0.44</v>
      </c>
      <c r="AV103" s="202">
        <v>7.55</v>
      </c>
      <c r="AW103" s="202">
        <v>2.29</v>
      </c>
      <c r="AX103" s="202">
        <v>4.58</v>
      </c>
      <c r="AY103" s="202">
        <v>3.3</v>
      </c>
      <c r="AZ103" s="202">
        <v>13.98</v>
      </c>
    </row>
    <row r="104" spans="1:52" x14ac:dyDescent="0.2">
      <c r="A104" s="76">
        <v>12</v>
      </c>
      <c r="B104" s="41" t="s">
        <v>528</v>
      </c>
      <c r="C104" s="76" t="s">
        <v>148</v>
      </c>
      <c r="D104" s="76">
        <v>3</v>
      </c>
      <c r="E104" s="76">
        <v>2</v>
      </c>
      <c r="F104" s="76">
        <v>3.44</v>
      </c>
      <c r="G104" s="76">
        <v>53</v>
      </c>
      <c r="H104" s="76">
        <v>2</v>
      </c>
      <c r="I104" s="76">
        <v>0</v>
      </c>
      <c r="J104" s="76">
        <v>0</v>
      </c>
      <c r="K104" s="76">
        <v>0</v>
      </c>
      <c r="L104" s="76">
        <v>1</v>
      </c>
      <c r="M104" s="76">
        <v>52.1</v>
      </c>
      <c r="N104" s="76">
        <v>53</v>
      </c>
      <c r="O104" s="76">
        <v>21</v>
      </c>
      <c r="P104" s="76">
        <v>20</v>
      </c>
      <c r="Q104" s="76">
        <v>6</v>
      </c>
      <c r="R104" s="76">
        <v>23</v>
      </c>
      <c r="S104" s="76">
        <v>2</v>
      </c>
      <c r="T104" s="76">
        <v>54</v>
      </c>
      <c r="U104" s="76">
        <v>233</v>
      </c>
      <c r="V104" s="76">
        <v>52.1</v>
      </c>
      <c r="W104" s="76">
        <v>0.25600000000000001</v>
      </c>
      <c r="X104" s="76">
        <v>1.45</v>
      </c>
      <c r="Y104" s="76"/>
      <c r="Z104" s="76">
        <v>12</v>
      </c>
      <c r="AA104" t="s">
        <v>528</v>
      </c>
      <c r="AB104" s="76" t="s">
        <v>148</v>
      </c>
      <c r="AC104" s="76">
        <v>2</v>
      </c>
      <c r="AD104" s="76">
        <v>2</v>
      </c>
      <c r="AE104" s="76">
        <v>11</v>
      </c>
      <c r="AF104" s="76">
        <v>7</v>
      </c>
      <c r="AG104" s="76">
        <v>1</v>
      </c>
      <c r="AH104" s="76">
        <v>37</v>
      </c>
      <c r="AI104" s="76">
        <v>64</v>
      </c>
      <c r="AJ104" s="76">
        <v>3</v>
      </c>
      <c r="AK104" s="76">
        <v>0</v>
      </c>
      <c r="AL104" s="76">
        <v>8</v>
      </c>
      <c r="AM104" s="76">
        <v>0</v>
      </c>
      <c r="AN104" s="76">
        <v>0</v>
      </c>
      <c r="AO104" s="76">
        <v>932</v>
      </c>
      <c r="AP104" s="202" t="s">
        <v>148</v>
      </c>
      <c r="AQ104" s="202" t="s">
        <v>243</v>
      </c>
      <c r="AR104" s="202">
        <v>0</v>
      </c>
      <c r="AS104" s="202">
        <v>0.5</v>
      </c>
      <c r="AT104" s="202">
        <v>0.33300000000000002</v>
      </c>
      <c r="AU104" s="202">
        <v>0.83299999999999996</v>
      </c>
      <c r="AV104" s="202">
        <v>0</v>
      </c>
      <c r="AW104" s="202">
        <v>13.5</v>
      </c>
      <c r="AX104" s="202">
        <v>13.5</v>
      </c>
      <c r="AY104" s="202">
        <v>0</v>
      </c>
      <c r="AZ104" s="202">
        <v>37.5</v>
      </c>
    </row>
    <row r="105" spans="1:52" x14ac:dyDescent="0.2">
      <c r="A105" s="76">
        <v>3</v>
      </c>
      <c r="B105" t="s">
        <v>1316</v>
      </c>
      <c r="C105" s="76" t="s">
        <v>148</v>
      </c>
      <c r="D105" s="76">
        <v>1</v>
      </c>
      <c r="E105" s="76">
        <v>0</v>
      </c>
      <c r="F105" s="76">
        <v>1.64</v>
      </c>
      <c r="G105" s="76">
        <v>4</v>
      </c>
      <c r="H105" s="76">
        <v>1</v>
      </c>
      <c r="I105" s="76">
        <v>0</v>
      </c>
      <c r="J105" s="76">
        <v>0</v>
      </c>
      <c r="K105" s="76">
        <v>0</v>
      </c>
      <c r="L105" s="76">
        <v>0</v>
      </c>
      <c r="M105" s="76">
        <v>11</v>
      </c>
      <c r="N105" s="76">
        <v>6</v>
      </c>
      <c r="O105" s="76">
        <v>2</v>
      </c>
      <c r="P105" s="76">
        <v>2</v>
      </c>
      <c r="Q105" s="76">
        <v>0</v>
      </c>
      <c r="R105" s="76">
        <v>0</v>
      </c>
      <c r="S105" s="76">
        <v>0</v>
      </c>
      <c r="T105" s="76">
        <v>6</v>
      </c>
      <c r="U105" s="76">
        <v>37</v>
      </c>
      <c r="V105" s="76">
        <v>11</v>
      </c>
      <c r="W105" s="76">
        <v>0.16700000000000001</v>
      </c>
      <c r="X105" s="76">
        <v>0.55000000000000004</v>
      </c>
      <c r="Y105" s="76"/>
      <c r="Z105" s="76">
        <v>3</v>
      </c>
      <c r="AA105" t="s">
        <v>1316</v>
      </c>
      <c r="AB105" s="76" t="s">
        <v>148</v>
      </c>
      <c r="AC105" s="76">
        <v>0</v>
      </c>
      <c r="AD105" s="76">
        <v>0</v>
      </c>
      <c r="AE105" s="76">
        <v>1</v>
      </c>
      <c r="AF105" s="76">
        <v>0</v>
      </c>
      <c r="AG105" s="76">
        <v>3</v>
      </c>
      <c r="AH105" s="76">
        <v>15</v>
      </c>
      <c r="AI105" s="76">
        <v>10</v>
      </c>
      <c r="AJ105" s="76">
        <v>0</v>
      </c>
      <c r="AK105" s="76">
        <v>0</v>
      </c>
      <c r="AL105" s="76">
        <v>0</v>
      </c>
      <c r="AM105" s="76">
        <v>0</v>
      </c>
      <c r="AN105" s="76">
        <v>0</v>
      </c>
      <c r="AO105" s="76">
        <v>127</v>
      </c>
      <c r="AP105" s="202" t="s">
        <v>148</v>
      </c>
      <c r="AQ105" s="202">
        <v>0</v>
      </c>
      <c r="AR105" s="202">
        <v>0.69</v>
      </c>
      <c r="AS105" s="202">
        <v>0.34100000000000003</v>
      </c>
      <c r="AT105" s="202">
        <v>0.4</v>
      </c>
      <c r="AU105" s="202">
        <v>0.74099999999999999</v>
      </c>
      <c r="AV105" s="202">
        <v>9.2200000000000006</v>
      </c>
      <c r="AW105" s="202">
        <v>3.95</v>
      </c>
      <c r="AX105" s="202">
        <v>9.8800000000000008</v>
      </c>
      <c r="AY105" s="202">
        <v>2.33</v>
      </c>
      <c r="AZ105" s="202">
        <v>16.760000000000002</v>
      </c>
    </row>
    <row r="106" spans="1:52" x14ac:dyDescent="0.2">
      <c r="A106" s="76">
        <v>2</v>
      </c>
      <c r="B106" s="41" t="s">
        <v>499</v>
      </c>
      <c r="C106" s="76" t="s">
        <v>148</v>
      </c>
      <c r="D106" s="76">
        <v>4</v>
      </c>
      <c r="E106" s="76">
        <v>0</v>
      </c>
      <c r="F106" s="76">
        <v>1.55</v>
      </c>
      <c r="G106" s="76">
        <v>26</v>
      </c>
      <c r="H106" s="76">
        <v>0</v>
      </c>
      <c r="I106" s="76">
        <v>0</v>
      </c>
      <c r="J106" s="76">
        <v>0</v>
      </c>
      <c r="K106" s="76">
        <v>3</v>
      </c>
      <c r="L106" s="76">
        <v>3</v>
      </c>
      <c r="M106" s="76">
        <v>29</v>
      </c>
      <c r="N106" s="76">
        <v>14</v>
      </c>
      <c r="O106" s="76">
        <v>5</v>
      </c>
      <c r="P106" s="76">
        <v>5</v>
      </c>
      <c r="Q106" s="76">
        <v>3</v>
      </c>
      <c r="R106" s="76">
        <v>2</v>
      </c>
      <c r="S106" s="76">
        <v>0</v>
      </c>
      <c r="T106" s="76">
        <v>46</v>
      </c>
      <c r="U106" s="76">
        <v>103</v>
      </c>
      <c r="V106" s="76">
        <v>29</v>
      </c>
      <c r="W106" s="76">
        <v>0.13900000000000001</v>
      </c>
      <c r="X106" s="76">
        <v>0.55000000000000004</v>
      </c>
      <c r="Y106" s="76"/>
      <c r="Z106" s="76">
        <v>2</v>
      </c>
      <c r="AA106" t="s">
        <v>499</v>
      </c>
      <c r="AB106" s="76" t="s">
        <v>148</v>
      </c>
      <c r="AC106" s="76">
        <v>0</v>
      </c>
      <c r="AD106" s="76">
        <v>0</v>
      </c>
      <c r="AE106" s="76">
        <v>7</v>
      </c>
      <c r="AF106" s="76">
        <v>9</v>
      </c>
      <c r="AG106" s="76">
        <v>0</v>
      </c>
      <c r="AH106" s="76">
        <v>26</v>
      </c>
      <c r="AI106" s="76">
        <v>15</v>
      </c>
      <c r="AJ106" s="76">
        <v>1</v>
      </c>
      <c r="AK106" s="76">
        <v>0</v>
      </c>
      <c r="AL106" s="76">
        <v>1</v>
      </c>
      <c r="AM106" s="76">
        <v>0</v>
      </c>
      <c r="AN106" s="76">
        <v>0</v>
      </c>
      <c r="AO106" s="76">
        <v>411</v>
      </c>
      <c r="AP106" s="202" t="s">
        <v>148</v>
      </c>
      <c r="AQ106" s="202" t="s">
        <v>243</v>
      </c>
      <c r="AR106" s="202">
        <v>1.29</v>
      </c>
      <c r="AS106" s="202">
        <v>0.29099999999999998</v>
      </c>
      <c r="AT106" s="202">
        <v>0.26</v>
      </c>
      <c r="AU106" s="202">
        <v>0.55100000000000005</v>
      </c>
      <c r="AV106" s="202">
        <v>4.7300000000000004</v>
      </c>
      <c r="AW106" s="202">
        <v>2.7</v>
      </c>
      <c r="AX106" s="202">
        <v>7.43</v>
      </c>
      <c r="AY106" s="202">
        <v>1.75</v>
      </c>
      <c r="AZ106" s="202">
        <v>16.350000000000001</v>
      </c>
    </row>
    <row r="107" spans="1:52" x14ac:dyDescent="0.2">
      <c r="A107" s="76">
        <v>25</v>
      </c>
      <c r="B107" t="s">
        <v>1321</v>
      </c>
      <c r="C107" s="76" t="s">
        <v>148</v>
      </c>
      <c r="D107" s="76">
        <v>0</v>
      </c>
      <c r="E107" s="76">
        <v>0</v>
      </c>
      <c r="F107" s="76">
        <v>11.57</v>
      </c>
      <c r="G107" s="76">
        <v>2</v>
      </c>
      <c r="H107" s="76">
        <v>0</v>
      </c>
      <c r="I107" s="76">
        <v>0</v>
      </c>
      <c r="J107" s="76">
        <v>0</v>
      </c>
      <c r="K107" s="76">
        <v>0</v>
      </c>
      <c r="L107" s="76">
        <v>0</v>
      </c>
      <c r="M107" s="76">
        <v>4.2</v>
      </c>
      <c r="N107" s="76">
        <v>9</v>
      </c>
      <c r="O107" s="76">
        <v>6</v>
      </c>
      <c r="P107" s="76">
        <v>6</v>
      </c>
      <c r="Q107" s="76">
        <v>2</v>
      </c>
      <c r="R107" s="76">
        <v>5</v>
      </c>
      <c r="S107" s="76">
        <v>0</v>
      </c>
      <c r="T107" s="76">
        <v>5</v>
      </c>
      <c r="U107" s="76">
        <v>27</v>
      </c>
      <c r="V107" s="76">
        <v>4.2</v>
      </c>
      <c r="W107" s="76">
        <v>0.40899999999999997</v>
      </c>
      <c r="X107" s="76">
        <v>3</v>
      </c>
      <c r="Y107" s="76"/>
      <c r="Z107" s="76">
        <v>25</v>
      </c>
      <c r="AA107" t="s">
        <v>1321</v>
      </c>
      <c r="AB107" s="76" t="s">
        <v>148</v>
      </c>
      <c r="AC107" s="76">
        <v>0</v>
      </c>
      <c r="AD107" s="76">
        <v>0</v>
      </c>
      <c r="AE107" s="76">
        <v>0</v>
      </c>
      <c r="AF107" s="76">
        <v>0</v>
      </c>
      <c r="AG107" s="76">
        <v>1</v>
      </c>
      <c r="AH107" s="76">
        <v>4</v>
      </c>
      <c r="AI107" s="76">
        <v>4</v>
      </c>
      <c r="AJ107" s="76">
        <v>0</v>
      </c>
      <c r="AK107" s="76">
        <v>0</v>
      </c>
      <c r="AL107" s="76">
        <v>0</v>
      </c>
      <c r="AM107" s="76">
        <v>0</v>
      </c>
      <c r="AN107" s="76">
        <v>0</v>
      </c>
      <c r="AO107" s="76">
        <v>120</v>
      </c>
      <c r="AP107" s="202" t="s">
        <v>149</v>
      </c>
      <c r="AQ107" s="202">
        <v>0.5</v>
      </c>
      <c r="AR107" s="202">
        <v>0.72</v>
      </c>
      <c r="AS107" s="202">
        <v>0.35799999999999998</v>
      </c>
      <c r="AT107" s="202">
        <v>0.495</v>
      </c>
      <c r="AU107" s="202">
        <v>0.85399999999999998</v>
      </c>
      <c r="AV107" s="202">
        <v>7.31</v>
      </c>
      <c r="AW107" s="202">
        <v>2.86</v>
      </c>
      <c r="AX107" s="202">
        <v>10.48</v>
      </c>
      <c r="AY107" s="202">
        <v>2.56</v>
      </c>
      <c r="AZ107" s="202">
        <v>16.52</v>
      </c>
    </row>
    <row r="108" spans="1:52" x14ac:dyDescent="0.2">
      <c r="A108" s="76">
        <v>1</v>
      </c>
      <c r="B108" s="41" t="s">
        <v>594</v>
      </c>
      <c r="C108" s="76" t="s">
        <v>148</v>
      </c>
      <c r="D108" s="76">
        <v>5</v>
      </c>
      <c r="E108" s="76">
        <v>1</v>
      </c>
      <c r="F108" s="76">
        <v>1.53</v>
      </c>
      <c r="G108" s="76">
        <v>62</v>
      </c>
      <c r="H108" s="76">
        <v>0</v>
      </c>
      <c r="I108" s="76">
        <v>0</v>
      </c>
      <c r="J108" s="76">
        <v>0</v>
      </c>
      <c r="K108" s="76">
        <v>1</v>
      </c>
      <c r="L108" s="76">
        <v>2</v>
      </c>
      <c r="M108" s="76">
        <v>70.2</v>
      </c>
      <c r="N108" s="76">
        <v>54</v>
      </c>
      <c r="O108" s="76">
        <v>14</v>
      </c>
      <c r="P108" s="76">
        <v>12</v>
      </c>
      <c r="Q108" s="76">
        <v>2</v>
      </c>
      <c r="R108" s="76">
        <v>10</v>
      </c>
      <c r="S108" s="76">
        <v>1</v>
      </c>
      <c r="T108" s="76">
        <v>57</v>
      </c>
      <c r="U108" s="76">
        <v>269</v>
      </c>
      <c r="V108" s="76">
        <v>70.2</v>
      </c>
      <c r="W108" s="76">
        <v>0.21099999999999999</v>
      </c>
      <c r="X108" s="76">
        <v>0.91</v>
      </c>
      <c r="Y108" s="76"/>
      <c r="Z108" s="76">
        <v>1</v>
      </c>
      <c r="AA108" t="s">
        <v>594</v>
      </c>
      <c r="AB108" s="76" t="s">
        <v>148</v>
      </c>
      <c r="AC108" s="76">
        <v>0</v>
      </c>
      <c r="AD108" s="76">
        <v>1</v>
      </c>
      <c r="AE108" s="76">
        <v>20</v>
      </c>
      <c r="AF108" s="76">
        <v>3</v>
      </c>
      <c r="AG108" s="76">
        <v>11</v>
      </c>
      <c r="AH108" s="76">
        <v>104</v>
      </c>
      <c r="AI108" s="76">
        <v>44</v>
      </c>
      <c r="AJ108" s="76">
        <v>2</v>
      </c>
      <c r="AK108" s="76">
        <v>0</v>
      </c>
      <c r="AL108" s="76">
        <v>1</v>
      </c>
      <c r="AM108" s="76">
        <v>0</v>
      </c>
      <c r="AN108" s="76">
        <v>0</v>
      </c>
      <c r="AO108" s="76">
        <v>1001</v>
      </c>
      <c r="AP108" s="202" t="s">
        <v>148</v>
      </c>
      <c r="AQ108" s="202" t="s">
        <v>243</v>
      </c>
      <c r="AR108" s="202">
        <v>1.83</v>
      </c>
      <c r="AS108" s="202">
        <v>0.33800000000000002</v>
      </c>
      <c r="AT108" s="202">
        <v>0.35899999999999999</v>
      </c>
      <c r="AU108" s="202">
        <v>0.69699999999999995</v>
      </c>
      <c r="AV108" s="202">
        <v>7.64</v>
      </c>
      <c r="AW108" s="202">
        <v>3.57</v>
      </c>
      <c r="AX108" s="202">
        <v>8.66</v>
      </c>
      <c r="AY108" s="202">
        <v>2.14</v>
      </c>
      <c r="AZ108" s="202">
        <v>15.91</v>
      </c>
    </row>
    <row r="109" spans="1:52" x14ac:dyDescent="0.2">
      <c r="A109" s="76">
        <v>23</v>
      </c>
      <c r="B109" t="s">
        <v>1320</v>
      </c>
      <c r="C109" s="76" t="s">
        <v>148</v>
      </c>
      <c r="D109" s="76">
        <v>0</v>
      </c>
      <c r="E109" s="76">
        <v>0</v>
      </c>
      <c r="F109" s="76">
        <v>7.36</v>
      </c>
      <c r="G109" s="76">
        <v>2</v>
      </c>
      <c r="H109" s="76">
        <v>0</v>
      </c>
      <c r="I109" s="76">
        <v>0</v>
      </c>
      <c r="J109" s="76">
        <v>0</v>
      </c>
      <c r="K109" s="76">
        <v>0</v>
      </c>
      <c r="L109" s="76">
        <v>0</v>
      </c>
      <c r="M109" s="76">
        <v>3.2</v>
      </c>
      <c r="N109" s="76">
        <v>5</v>
      </c>
      <c r="O109" s="76">
        <v>3</v>
      </c>
      <c r="P109" s="76">
        <v>3</v>
      </c>
      <c r="Q109" s="76">
        <v>1</v>
      </c>
      <c r="R109" s="76">
        <v>2</v>
      </c>
      <c r="S109" s="76">
        <v>0</v>
      </c>
      <c r="T109" s="76">
        <v>3</v>
      </c>
      <c r="U109" s="76">
        <v>18</v>
      </c>
      <c r="V109" s="76">
        <v>3.2</v>
      </c>
      <c r="W109" s="76">
        <v>0.313</v>
      </c>
      <c r="X109" s="76">
        <v>1.91</v>
      </c>
      <c r="Y109" s="76"/>
      <c r="Z109" s="76">
        <v>23</v>
      </c>
      <c r="AA109" t="s">
        <v>1320</v>
      </c>
      <c r="AB109" s="76" t="s">
        <v>148</v>
      </c>
      <c r="AC109" s="76">
        <v>0</v>
      </c>
      <c r="AD109" s="76">
        <v>0</v>
      </c>
      <c r="AE109" s="76">
        <v>1</v>
      </c>
      <c r="AF109" s="76">
        <v>0</v>
      </c>
      <c r="AG109" s="76">
        <v>0</v>
      </c>
      <c r="AH109" s="76">
        <v>2</v>
      </c>
      <c r="AI109" s="76">
        <v>6</v>
      </c>
      <c r="AJ109" s="76">
        <v>1</v>
      </c>
      <c r="AK109" s="76">
        <v>0</v>
      </c>
      <c r="AL109" s="76">
        <v>0</v>
      </c>
      <c r="AM109" s="76">
        <v>0</v>
      </c>
      <c r="AN109" s="76">
        <v>0</v>
      </c>
      <c r="AO109" s="76">
        <v>79</v>
      </c>
      <c r="AP109" s="202" t="s">
        <v>149</v>
      </c>
      <c r="AQ109" s="202">
        <v>0</v>
      </c>
      <c r="AR109" s="202">
        <v>1.0900000000000001</v>
      </c>
      <c r="AS109" s="202">
        <v>0.38</v>
      </c>
      <c r="AT109" s="202">
        <v>0.60599999999999998</v>
      </c>
      <c r="AU109" s="202">
        <v>0.98599999999999999</v>
      </c>
      <c r="AV109" s="202">
        <v>6.14</v>
      </c>
      <c r="AW109" s="202">
        <v>2.0499999999999998</v>
      </c>
      <c r="AX109" s="202">
        <v>13.09</v>
      </c>
      <c r="AY109" s="202">
        <v>3</v>
      </c>
      <c r="AZ109" s="202">
        <v>18.5</v>
      </c>
    </row>
    <row r="110" spans="1:52" x14ac:dyDescent="0.2">
      <c r="A110" s="76">
        <v>14</v>
      </c>
      <c r="B110" s="41" t="s">
        <v>523</v>
      </c>
      <c r="C110" s="76" t="s">
        <v>148</v>
      </c>
      <c r="D110" s="76">
        <v>11</v>
      </c>
      <c r="E110" s="76">
        <v>6</v>
      </c>
      <c r="F110" s="76">
        <v>3.87</v>
      </c>
      <c r="G110" s="76">
        <v>25</v>
      </c>
      <c r="H110" s="76">
        <v>25</v>
      </c>
      <c r="I110" s="76">
        <v>0</v>
      </c>
      <c r="J110" s="76">
        <v>0</v>
      </c>
      <c r="K110" s="76">
        <v>0</v>
      </c>
      <c r="L110" s="76">
        <v>0</v>
      </c>
      <c r="M110" s="76">
        <v>137.1</v>
      </c>
      <c r="N110" s="76">
        <v>121</v>
      </c>
      <c r="O110" s="76">
        <v>61</v>
      </c>
      <c r="P110" s="76">
        <v>59</v>
      </c>
      <c r="Q110" s="76">
        <v>16</v>
      </c>
      <c r="R110" s="76">
        <v>63</v>
      </c>
      <c r="S110" s="76">
        <v>3</v>
      </c>
      <c r="T110" s="76">
        <v>161</v>
      </c>
      <c r="U110" s="76">
        <v>584</v>
      </c>
      <c r="V110" s="76">
        <v>137.1</v>
      </c>
      <c r="W110" s="76">
        <v>0.23499999999999999</v>
      </c>
      <c r="X110" s="76">
        <v>1.34</v>
      </c>
      <c r="Y110" s="76"/>
      <c r="Z110" s="76">
        <v>14</v>
      </c>
      <c r="AA110" t="s">
        <v>523</v>
      </c>
      <c r="AB110" s="76" t="s">
        <v>148</v>
      </c>
      <c r="AC110" s="76">
        <v>2</v>
      </c>
      <c r="AD110" s="76">
        <v>3</v>
      </c>
      <c r="AE110" s="76">
        <v>0</v>
      </c>
      <c r="AF110" s="76">
        <v>0</v>
      </c>
      <c r="AG110" s="76">
        <v>9</v>
      </c>
      <c r="AH110" s="76">
        <v>122</v>
      </c>
      <c r="AI110" s="76">
        <v>115</v>
      </c>
      <c r="AJ110" s="76">
        <v>9</v>
      </c>
      <c r="AK110" s="76">
        <v>3</v>
      </c>
      <c r="AL110" s="76">
        <v>4</v>
      </c>
      <c r="AM110" s="76">
        <v>5</v>
      </c>
      <c r="AN110" s="76">
        <v>1</v>
      </c>
      <c r="AO110" s="76">
        <v>2403</v>
      </c>
      <c r="AP110" s="202" t="s">
        <v>148</v>
      </c>
      <c r="AQ110" s="202">
        <v>0.58299999999999996</v>
      </c>
      <c r="AR110" s="202">
        <v>0.97</v>
      </c>
      <c r="AS110" s="202">
        <v>0.28599999999999998</v>
      </c>
      <c r="AT110" s="202">
        <v>0.38700000000000001</v>
      </c>
      <c r="AU110" s="202">
        <v>0.67300000000000004</v>
      </c>
      <c r="AV110" s="202">
        <v>9.49</v>
      </c>
      <c r="AW110" s="202">
        <v>2.58</v>
      </c>
      <c r="AX110" s="202">
        <v>7.59</v>
      </c>
      <c r="AY110" s="202">
        <v>3.68</v>
      </c>
      <c r="AZ110" s="202">
        <v>16.48</v>
      </c>
    </row>
    <row r="111" spans="1:52" x14ac:dyDescent="0.2">
      <c r="A111" s="76">
        <v>9</v>
      </c>
      <c r="B111" s="41" t="s">
        <v>525</v>
      </c>
      <c r="C111" s="76" t="s">
        <v>148</v>
      </c>
      <c r="D111" s="76">
        <v>2</v>
      </c>
      <c r="E111" s="76">
        <v>5</v>
      </c>
      <c r="F111" s="76">
        <v>3.24</v>
      </c>
      <c r="G111" s="76">
        <v>75</v>
      </c>
      <c r="H111" s="76">
        <v>0</v>
      </c>
      <c r="I111" s="76">
        <v>0</v>
      </c>
      <c r="J111" s="76">
        <v>0</v>
      </c>
      <c r="K111" s="76">
        <v>1</v>
      </c>
      <c r="L111" s="76">
        <v>4</v>
      </c>
      <c r="M111" s="76">
        <v>66.2</v>
      </c>
      <c r="N111" s="76">
        <v>56</v>
      </c>
      <c r="O111" s="76">
        <v>26</v>
      </c>
      <c r="P111" s="76">
        <v>24</v>
      </c>
      <c r="Q111" s="76">
        <v>8</v>
      </c>
      <c r="R111" s="76">
        <v>28</v>
      </c>
      <c r="S111" s="76">
        <v>3</v>
      </c>
      <c r="T111" s="76">
        <v>69</v>
      </c>
      <c r="U111" s="76">
        <v>275</v>
      </c>
      <c r="V111" s="76">
        <v>66.2</v>
      </c>
      <c r="W111" s="76">
        <v>0.23</v>
      </c>
      <c r="X111" s="76">
        <v>1.26</v>
      </c>
      <c r="Y111" s="76"/>
      <c r="Z111" s="76">
        <v>9</v>
      </c>
      <c r="AA111" t="s">
        <v>525</v>
      </c>
      <c r="AB111" s="76" t="s">
        <v>148</v>
      </c>
      <c r="AC111" s="76">
        <v>1</v>
      </c>
      <c r="AD111" s="76">
        <v>3</v>
      </c>
      <c r="AE111" s="76">
        <v>9</v>
      </c>
      <c r="AF111" s="76">
        <v>25</v>
      </c>
      <c r="AG111" s="76">
        <v>8</v>
      </c>
      <c r="AH111" s="76">
        <v>78</v>
      </c>
      <c r="AI111" s="76">
        <v>43</v>
      </c>
      <c r="AJ111" s="76">
        <v>2</v>
      </c>
      <c r="AK111" s="76">
        <v>0</v>
      </c>
      <c r="AL111" s="76">
        <v>5</v>
      </c>
      <c r="AM111" s="76">
        <v>1</v>
      </c>
      <c r="AN111" s="76">
        <v>1</v>
      </c>
      <c r="AO111" s="76">
        <v>1158</v>
      </c>
      <c r="AP111" s="202" t="s">
        <v>148</v>
      </c>
      <c r="AQ111" s="202">
        <v>0.5</v>
      </c>
      <c r="AR111" s="202">
        <v>0.92</v>
      </c>
      <c r="AS111" s="202">
        <v>0.32200000000000001</v>
      </c>
      <c r="AT111" s="202">
        <v>0.38</v>
      </c>
      <c r="AU111" s="202">
        <v>0.70199999999999996</v>
      </c>
      <c r="AV111" s="202">
        <v>10.96</v>
      </c>
      <c r="AW111" s="202">
        <v>3</v>
      </c>
      <c r="AX111" s="202">
        <v>9.1300000000000008</v>
      </c>
      <c r="AY111" s="202">
        <v>3.65</v>
      </c>
      <c r="AZ111" s="202">
        <v>17.71</v>
      </c>
    </row>
    <row r="112" spans="1:52" x14ac:dyDescent="0.2">
      <c r="A112" s="76">
        <v>16</v>
      </c>
      <c r="B112" s="41" t="s">
        <v>520</v>
      </c>
      <c r="C112" s="76" t="s">
        <v>148</v>
      </c>
      <c r="D112" s="76">
        <v>13</v>
      </c>
      <c r="E112" s="76">
        <v>9</v>
      </c>
      <c r="F112" s="76">
        <v>4.4000000000000004</v>
      </c>
      <c r="G112" s="76">
        <v>30</v>
      </c>
      <c r="H112" s="76">
        <v>29</v>
      </c>
      <c r="I112" s="76">
        <v>0</v>
      </c>
      <c r="J112" s="76">
        <v>0</v>
      </c>
      <c r="K112" s="76">
        <v>0</v>
      </c>
      <c r="L112" s="76">
        <v>0</v>
      </c>
      <c r="M112" s="76">
        <v>174</v>
      </c>
      <c r="N112" s="76">
        <v>187</v>
      </c>
      <c r="O112" s="76">
        <v>97</v>
      </c>
      <c r="P112" s="76">
        <v>85</v>
      </c>
      <c r="Q112" s="76">
        <v>36</v>
      </c>
      <c r="R112" s="76">
        <v>20</v>
      </c>
      <c r="S112" s="76">
        <v>2</v>
      </c>
      <c r="T112" s="76">
        <v>118</v>
      </c>
      <c r="U112" s="76">
        <v>725</v>
      </c>
      <c r="V112" s="76">
        <v>174</v>
      </c>
      <c r="W112" s="76">
        <v>0.26900000000000002</v>
      </c>
      <c r="X112" s="76">
        <v>1.19</v>
      </c>
      <c r="Y112" s="76"/>
      <c r="Z112" s="76">
        <v>16</v>
      </c>
      <c r="AA112" t="s">
        <v>520</v>
      </c>
      <c r="AB112" s="76" t="s">
        <v>148</v>
      </c>
      <c r="AC112" s="76">
        <v>3</v>
      </c>
      <c r="AD112" s="76">
        <v>2</v>
      </c>
      <c r="AE112" s="76">
        <v>1</v>
      </c>
      <c r="AF112" s="76">
        <v>0</v>
      </c>
      <c r="AG112" s="76">
        <v>6</v>
      </c>
      <c r="AH112" s="76">
        <v>219</v>
      </c>
      <c r="AI112" s="76">
        <v>178</v>
      </c>
      <c r="AJ112" s="76">
        <v>4</v>
      </c>
      <c r="AK112" s="76">
        <v>0</v>
      </c>
      <c r="AL112" s="76">
        <v>3</v>
      </c>
      <c r="AM112" s="76">
        <v>1</v>
      </c>
      <c r="AN112" s="76">
        <v>0</v>
      </c>
      <c r="AO112" s="76">
        <v>2612</v>
      </c>
      <c r="AP112" s="202" t="s">
        <v>148</v>
      </c>
      <c r="AQ112" s="202" t="s">
        <v>243</v>
      </c>
      <c r="AR112" s="202">
        <v>2.33</v>
      </c>
      <c r="AS112" s="202">
        <v>0.23100000000000001</v>
      </c>
      <c r="AT112" s="202">
        <v>0.23100000000000001</v>
      </c>
      <c r="AU112" s="202">
        <v>0.46200000000000002</v>
      </c>
      <c r="AV112" s="202">
        <v>0</v>
      </c>
      <c r="AW112" s="202">
        <v>0</v>
      </c>
      <c r="AX112" s="202">
        <v>8.1</v>
      </c>
      <c r="AY112" s="202" t="s">
        <v>243</v>
      </c>
      <c r="AZ112" s="202">
        <v>13.2</v>
      </c>
    </row>
    <row r="113" spans="1:52" x14ac:dyDescent="0.2">
      <c r="A113" s="225" t="s">
        <v>105</v>
      </c>
      <c r="B113" s="225" t="s">
        <v>106</v>
      </c>
      <c r="C113" s="225" t="s">
        <v>157</v>
      </c>
      <c r="D113" s="225" t="s">
        <v>85</v>
      </c>
      <c r="E113" s="225" t="s">
        <v>86</v>
      </c>
      <c r="F113" s="225" t="s">
        <v>107</v>
      </c>
      <c r="G113" s="225" t="s">
        <v>108</v>
      </c>
      <c r="H113" s="225" t="s">
        <v>88</v>
      </c>
      <c r="I113" s="225" t="s">
        <v>89</v>
      </c>
      <c r="J113" s="225" t="s">
        <v>1073</v>
      </c>
      <c r="K113" s="225" t="s">
        <v>90</v>
      </c>
      <c r="L113" s="225" t="s">
        <v>158</v>
      </c>
      <c r="M113" s="225" t="s">
        <v>91</v>
      </c>
      <c r="N113" s="225" t="s">
        <v>92</v>
      </c>
      <c r="O113" s="225" t="s">
        <v>93</v>
      </c>
      <c r="P113" s="225" t="s">
        <v>94</v>
      </c>
      <c r="Q113" s="225" t="s">
        <v>95</v>
      </c>
      <c r="R113" s="225" t="s">
        <v>96</v>
      </c>
      <c r="S113" s="225" t="s">
        <v>98</v>
      </c>
      <c r="T113" s="225" t="s">
        <v>97</v>
      </c>
      <c r="U113" s="225" t="s">
        <v>109</v>
      </c>
      <c r="V113" s="225" t="s">
        <v>91</v>
      </c>
      <c r="W113" s="225" t="s">
        <v>1071</v>
      </c>
      <c r="X113" s="225" t="s">
        <v>1072</v>
      </c>
      <c r="Y113" s="225"/>
      <c r="Z113" s="225" t="s">
        <v>105</v>
      </c>
      <c r="AA113" s="225" t="s">
        <v>106</v>
      </c>
      <c r="AB113" s="225" t="s">
        <v>157</v>
      </c>
      <c r="AC113" s="225" t="s">
        <v>1074</v>
      </c>
      <c r="AD113" s="225" t="s">
        <v>98</v>
      </c>
      <c r="AE113" s="225" t="s">
        <v>1075</v>
      </c>
      <c r="AF113" s="225" t="s">
        <v>1076</v>
      </c>
      <c r="AG113" s="225" t="s">
        <v>1077</v>
      </c>
      <c r="AH113" s="225" t="s">
        <v>1066</v>
      </c>
      <c r="AI113" s="225" t="s">
        <v>1067</v>
      </c>
      <c r="AJ113" s="225" t="s">
        <v>1078</v>
      </c>
      <c r="AK113" s="225" t="s">
        <v>1079</v>
      </c>
      <c r="AL113" s="225" t="s">
        <v>1057</v>
      </c>
      <c r="AM113" s="225" t="s">
        <v>1058</v>
      </c>
      <c r="AN113" s="225" t="s">
        <v>1080</v>
      </c>
      <c r="AO113" s="225" t="s">
        <v>1069</v>
      </c>
      <c r="AP113" s="202" t="s">
        <v>149</v>
      </c>
      <c r="AQ113" s="202">
        <v>0.33300000000000002</v>
      </c>
      <c r="AR113" s="202">
        <v>1.05</v>
      </c>
      <c r="AS113" s="202">
        <v>0.36699999999999999</v>
      </c>
      <c r="AT113" s="202">
        <v>0.53</v>
      </c>
      <c r="AU113" s="202">
        <v>0.89700000000000002</v>
      </c>
      <c r="AV113" s="202">
        <v>5.38</v>
      </c>
      <c r="AW113" s="202">
        <v>2.9</v>
      </c>
      <c r="AX113" s="202">
        <v>11.08</v>
      </c>
      <c r="AY113" s="202">
        <v>1.85</v>
      </c>
      <c r="AZ113" s="202">
        <v>15.97</v>
      </c>
    </row>
    <row r="114" spans="1:52" x14ac:dyDescent="0.2">
      <c r="A114" s="76">
        <v>13</v>
      </c>
      <c r="B114" s="41" t="s">
        <v>1182</v>
      </c>
      <c r="C114" s="76" t="s">
        <v>149</v>
      </c>
      <c r="D114" s="76">
        <v>6</v>
      </c>
      <c r="E114" s="76">
        <v>5</v>
      </c>
      <c r="F114" s="76">
        <v>4.53</v>
      </c>
      <c r="G114" s="76">
        <v>20</v>
      </c>
      <c r="H114" s="76">
        <v>18</v>
      </c>
      <c r="I114" s="76">
        <v>0</v>
      </c>
      <c r="J114" s="76">
        <v>0</v>
      </c>
      <c r="K114" s="76">
        <v>0</v>
      </c>
      <c r="L114" s="76">
        <v>0</v>
      </c>
      <c r="M114" s="76">
        <v>97.1</v>
      </c>
      <c r="N114" s="76">
        <v>97</v>
      </c>
      <c r="O114" s="76">
        <v>51</v>
      </c>
      <c r="P114" s="76">
        <v>49</v>
      </c>
      <c r="Q114" s="76">
        <v>17</v>
      </c>
      <c r="R114" s="76">
        <v>29</v>
      </c>
      <c r="S114" s="76">
        <v>0</v>
      </c>
      <c r="T114" s="76">
        <v>82</v>
      </c>
      <c r="U114" s="76">
        <v>412</v>
      </c>
      <c r="V114" s="76">
        <v>97.1</v>
      </c>
      <c r="W114" s="76">
        <v>0.25800000000000001</v>
      </c>
      <c r="X114" s="76">
        <v>1.29</v>
      </c>
      <c r="Y114" s="76"/>
      <c r="Z114" s="76">
        <v>13</v>
      </c>
      <c r="AA114" t="s">
        <v>1182</v>
      </c>
      <c r="AB114" s="76" t="s">
        <v>149</v>
      </c>
      <c r="AC114" s="76">
        <v>4</v>
      </c>
      <c r="AD114" s="76">
        <v>0</v>
      </c>
      <c r="AE114" s="76">
        <v>1</v>
      </c>
      <c r="AF114" s="76">
        <v>0</v>
      </c>
      <c r="AG114" s="76">
        <v>8</v>
      </c>
      <c r="AH114" s="76">
        <v>82</v>
      </c>
      <c r="AI114" s="76">
        <v>118</v>
      </c>
      <c r="AJ114" s="76">
        <v>1</v>
      </c>
      <c r="AK114" s="76">
        <v>0</v>
      </c>
      <c r="AL114" s="76">
        <v>2</v>
      </c>
      <c r="AM114" s="76">
        <v>3</v>
      </c>
      <c r="AN114" s="76">
        <v>1</v>
      </c>
      <c r="AO114" s="76">
        <v>1683</v>
      </c>
      <c r="AP114" s="202" t="s">
        <v>149</v>
      </c>
      <c r="AQ114" s="202">
        <v>0.75</v>
      </c>
      <c r="AR114" s="202">
        <v>1.05</v>
      </c>
      <c r="AS114" s="202">
        <v>0.27400000000000002</v>
      </c>
      <c r="AT114" s="202">
        <v>0.39100000000000001</v>
      </c>
      <c r="AU114" s="202">
        <v>0.66500000000000004</v>
      </c>
      <c r="AV114" s="202">
        <v>7.9</v>
      </c>
      <c r="AW114" s="202">
        <v>2.41</v>
      </c>
      <c r="AX114" s="202">
        <v>7.02</v>
      </c>
      <c r="AY114" s="202">
        <v>3.27</v>
      </c>
      <c r="AZ114" s="202">
        <v>16.899999999999999</v>
      </c>
    </row>
    <row r="115" spans="1:52" x14ac:dyDescent="0.2">
      <c r="A115" s="76">
        <v>14</v>
      </c>
      <c r="B115" t="s">
        <v>802</v>
      </c>
      <c r="C115" s="76" t="s">
        <v>149</v>
      </c>
      <c r="D115" s="76">
        <v>0</v>
      </c>
      <c r="E115" s="76">
        <v>1</v>
      </c>
      <c r="F115" s="76">
        <v>4.5999999999999996</v>
      </c>
      <c r="G115" s="76">
        <v>14</v>
      </c>
      <c r="H115" s="76">
        <v>1</v>
      </c>
      <c r="I115" s="76">
        <v>0</v>
      </c>
      <c r="J115" s="76">
        <v>0</v>
      </c>
      <c r="K115" s="76">
        <v>0</v>
      </c>
      <c r="L115" s="76">
        <v>0</v>
      </c>
      <c r="M115" s="76">
        <v>29.1</v>
      </c>
      <c r="N115" s="76">
        <v>25</v>
      </c>
      <c r="O115" s="76">
        <v>15</v>
      </c>
      <c r="P115" s="76">
        <v>15</v>
      </c>
      <c r="Q115" s="76">
        <v>4</v>
      </c>
      <c r="R115" s="76">
        <v>20</v>
      </c>
      <c r="S115" s="76">
        <v>1</v>
      </c>
      <c r="T115" s="76">
        <v>27</v>
      </c>
      <c r="U115" s="76">
        <v>131</v>
      </c>
      <c r="V115" s="76">
        <v>29.1</v>
      </c>
      <c r="W115" s="76">
        <v>0.23100000000000001</v>
      </c>
      <c r="X115" s="76">
        <v>1.53</v>
      </c>
      <c r="Y115" s="76"/>
      <c r="Z115" s="76">
        <v>14</v>
      </c>
      <c r="AA115" t="s">
        <v>802</v>
      </c>
      <c r="AB115" s="76" t="s">
        <v>149</v>
      </c>
      <c r="AC115" s="76">
        <v>1</v>
      </c>
      <c r="AD115" s="76">
        <v>1</v>
      </c>
      <c r="AE115" s="76">
        <v>7</v>
      </c>
      <c r="AF115" s="76">
        <v>0</v>
      </c>
      <c r="AG115" s="76">
        <v>3</v>
      </c>
      <c r="AH115" s="76">
        <v>33</v>
      </c>
      <c r="AI115" s="76">
        <v>25</v>
      </c>
      <c r="AJ115" s="76">
        <v>2</v>
      </c>
      <c r="AK115" s="76">
        <v>0</v>
      </c>
      <c r="AL115" s="76">
        <v>2</v>
      </c>
      <c r="AM115" s="76">
        <v>0</v>
      </c>
      <c r="AN115" s="76">
        <v>0</v>
      </c>
      <c r="AO115" s="76">
        <v>505</v>
      </c>
      <c r="AP115" s="202" t="s">
        <v>149</v>
      </c>
      <c r="AQ115" s="202">
        <v>0</v>
      </c>
      <c r="AR115" s="202">
        <v>0.75</v>
      </c>
      <c r="AS115" s="202">
        <v>0.35899999999999999</v>
      </c>
      <c r="AT115" s="202">
        <v>0.54300000000000004</v>
      </c>
      <c r="AU115" s="202">
        <v>0.90200000000000002</v>
      </c>
      <c r="AV115" s="202">
        <v>4</v>
      </c>
      <c r="AW115" s="202">
        <v>4</v>
      </c>
      <c r="AX115" s="202">
        <v>10</v>
      </c>
      <c r="AY115" s="202">
        <v>1</v>
      </c>
      <c r="AZ115" s="202">
        <v>17.440000000000001</v>
      </c>
    </row>
    <row r="116" spans="1:52" x14ac:dyDescent="0.2">
      <c r="A116" s="76">
        <v>6</v>
      </c>
      <c r="B116" s="41" t="s">
        <v>1324</v>
      </c>
      <c r="C116" s="76" t="s">
        <v>149</v>
      </c>
      <c r="D116" s="76">
        <v>11</v>
      </c>
      <c r="E116" s="76">
        <v>7</v>
      </c>
      <c r="F116" s="76">
        <v>3.06</v>
      </c>
      <c r="G116" s="76">
        <v>26</v>
      </c>
      <c r="H116" s="76">
        <v>26</v>
      </c>
      <c r="I116" s="76">
        <v>1</v>
      </c>
      <c r="J116" s="76">
        <v>1</v>
      </c>
      <c r="K116" s="76">
        <v>0</v>
      </c>
      <c r="L116" s="76">
        <v>0</v>
      </c>
      <c r="M116" s="76">
        <v>159</v>
      </c>
      <c r="N116" s="76">
        <v>136</v>
      </c>
      <c r="O116" s="76">
        <v>57</v>
      </c>
      <c r="P116" s="76">
        <v>54</v>
      </c>
      <c r="Q116" s="76">
        <v>16</v>
      </c>
      <c r="R116" s="76">
        <v>42</v>
      </c>
      <c r="S116" s="76">
        <v>1</v>
      </c>
      <c r="T116" s="76">
        <v>132</v>
      </c>
      <c r="U116" s="76">
        <v>647</v>
      </c>
      <c r="V116" s="76">
        <v>159</v>
      </c>
      <c r="W116" s="76">
        <v>0.23100000000000001</v>
      </c>
      <c r="X116" s="76">
        <v>1.1200000000000001</v>
      </c>
      <c r="Y116" s="76"/>
      <c r="Z116" s="76">
        <v>6</v>
      </c>
      <c r="AA116" t="s">
        <v>1324</v>
      </c>
      <c r="AB116" s="76" t="s">
        <v>149</v>
      </c>
      <c r="AC116" s="76">
        <v>9</v>
      </c>
      <c r="AD116" s="76">
        <v>1</v>
      </c>
      <c r="AE116" s="76">
        <v>0</v>
      </c>
      <c r="AF116" s="76">
        <v>0</v>
      </c>
      <c r="AG116" s="76">
        <v>17</v>
      </c>
      <c r="AH116" s="76">
        <v>179</v>
      </c>
      <c r="AI116" s="76">
        <v>149</v>
      </c>
      <c r="AJ116" s="76">
        <v>1</v>
      </c>
      <c r="AK116" s="76">
        <v>1</v>
      </c>
      <c r="AL116" s="76">
        <v>4</v>
      </c>
      <c r="AM116" s="76">
        <v>2</v>
      </c>
      <c r="AN116" s="76">
        <v>0</v>
      </c>
      <c r="AO116" s="76">
        <v>2473</v>
      </c>
      <c r="AP116" s="202" t="s">
        <v>149</v>
      </c>
      <c r="AQ116" s="202">
        <v>0.5</v>
      </c>
      <c r="AR116" s="202">
        <v>1</v>
      </c>
      <c r="AS116" s="202">
        <v>0.35399999999999998</v>
      </c>
      <c r="AT116" s="202">
        <v>0.38600000000000001</v>
      </c>
      <c r="AU116" s="202">
        <v>0.74</v>
      </c>
      <c r="AV116" s="202">
        <v>5.82</v>
      </c>
      <c r="AW116" s="202">
        <v>3.32</v>
      </c>
      <c r="AX116" s="202">
        <v>9.14</v>
      </c>
      <c r="AY116" s="202">
        <v>1.75</v>
      </c>
      <c r="AZ116" s="202">
        <v>17.72</v>
      </c>
    </row>
    <row r="117" spans="1:52" x14ac:dyDescent="0.2">
      <c r="A117" s="76">
        <v>17</v>
      </c>
      <c r="B117" s="41" t="s">
        <v>816</v>
      </c>
      <c r="C117" s="76" t="s">
        <v>149</v>
      </c>
      <c r="D117" s="76">
        <v>5</v>
      </c>
      <c r="E117" s="76">
        <v>4</v>
      </c>
      <c r="F117" s="76">
        <v>5.82</v>
      </c>
      <c r="G117" s="76">
        <v>50</v>
      </c>
      <c r="H117" s="76">
        <v>3</v>
      </c>
      <c r="I117" s="76">
        <v>0</v>
      </c>
      <c r="J117" s="76">
        <v>0</v>
      </c>
      <c r="K117" s="76">
        <v>2</v>
      </c>
      <c r="L117" s="76">
        <v>3</v>
      </c>
      <c r="M117" s="76">
        <v>60.1</v>
      </c>
      <c r="N117" s="76">
        <v>58</v>
      </c>
      <c r="O117" s="76">
        <v>39</v>
      </c>
      <c r="P117" s="76">
        <v>39</v>
      </c>
      <c r="Q117" s="76">
        <v>3</v>
      </c>
      <c r="R117" s="76">
        <v>22</v>
      </c>
      <c r="S117" s="76">
        <v>1</v>
      </c>
      <c r="T117" s="76">
        <v>59</v>
      </c>
      <c r="U117" s="76">
        <v>256</v>
      </c>
      <c r="V117" s="76">
        <v>60.1</v>
      </c>
      <c r="W117" s="76">
        <v>0.25700000000000001</v>
      </c>
      <c r="X117" s="76">
        <v>1.33</v>
      </c>
      <c r="Y117" s="76"/>
      <c r="Z117" s="76">
        <v>17</v>
      </c>
      <c r="AA117" t="s">
        <v>816</v>
      </c>
      <c r="AB117" s="76" t="s">
        <v>149</v>
      </c>
      <c r="AC117" s="76">
        <v>4</v>
      </c>
      <c r="AD117" s="76">
        <v>1</v>
      </c>
      <c r="AE117" s="76">
        <v>4</v>
      </c>
      <c r="AF117" s="76">
        <v>16</v>
      </c>
      <c r="AG117" s="76">
        <v>5</v>
      </c>
      <c r="AH117" s="76">
        <v>60</v>
      </c>
      <c r="AI117" s="76">
        <v>53</v>
      </c>
      <c r="AJ117" s="76">
        <v>0</v>
      </c>
      <c r="AK117" s="76">
        <v>0</v>
      </c>
      <c r="AL117" s="76">
        <v>4</v>
      </c>
      <c r="AM117" s="76">
        <v>3</v>
      </c>
      <c r="AN117" s="76">
        <v>0</v>
      </c>
      <c r="AO117" s="76">
        <v>983</v>
      </c>
      <c r="AP117" s="202" t="s">
        <v>149</v>
      </c>
      <c r="AQ117" s="202">
        <v>0.5</v>
      </c>
      <c r="AR117" s="202">
        <v>1.1499999999999999</v>
      </c>
      <c r="AS117" s="202">
        <v>0.27300000000000002</v>
      </c>
      <c r="AT117" s="202">
        <v>0.33600000000000002</v>
      </c>
      <c r="AU117" s="202">
        <v>0.60899999999999999</v>
      </c>
      <c r="AV117" s="202">
        <v>4.8899999999999997</v>
      </c>
      <c r="AW117" s="202">
        <v>1.41</v>
      </c>
      <c r="AX117" s="202">
        <v>7.84</v>
      </c>
      <c r="AY117" s="202">
        <v>3.45</v>
      </c>
      <c r="AZ117" s="202">
        <v>14.49</v>
      </c>
    </row>
    <row r="118" spans="1:52" x14ac:dyDescent="0.2">
      <c r="A118" s="76">
        <v>10</v>
      </c>
      <c r="B118" s="41" t="s">
        <v>795</v>
      </c>
      <c r="C118" s="76" t="s">
        <v>149</v>
      </c>
      <c r="D118" s="76">
        <v>1</v>
      </c>
      <c r="E118" s="76">
        <v>0</v>
      </c>
      <c r="F118" s="76">
        <v>3.51</v>
      </c>
      <c r="G118" s="76">
        <v>21</v>
      </c>
      <c r="H118" s="76">
        <v>0</v>
      </c>
      <c r="I118" s="76">
        <v>0</v>
      </c>
      <c r="J118" s="76">
        <v>0</v>
      </c>
      <c r="K118" s="76">
        <v>0</v>
      </c>
      <c r="L118" s="76">
        <v>0</v>
      </c>
      <c r="M118" s="76">
        <v>25.2</v>
      </c>
      <c r="N118" s="76">
        <v>25</v>
      </c>
      <c r="O118" s="76">
        <v>11</v>
      </c>
      <c r="P118" s="76">
        <v>10</v>
      </c>
      <c r="Q118" s="76">
        <v>2</v>
      </c>
      <c r="R118" s="76">
        <v>12</v>
      </c>
      <c r="S118" s="76">
        <v>1</v>
      </c>
      <c r="T118" s="76">
        <v>20</v>
      </c>
      <c r="U118" s="76">
        <v>112</v>
      </c>
      <c r="V118" s="76">
        <v>25.2</v>
      </c>
      <c r="W118" s="76">
        <v>0.253</v>
      </c>
      <c r="X118" s="76">
        <v>1.44</v>
      </c>
      <c r="Y118" s="76"/>
      <c r="Z118" s="76">
        <v>10</v>
      </c>
      <c r="AA118" t="s">
        <v>795</v>
      </c>
      <c r="AB118" s="76" t="s">
        <v>149</v>
      </c>
      <c r="AC118" s="76">
        <v>0</v>
      </c>
      <c r="AD118" s="76">
        <v>1</v>
      </c>
      <c r="AE118" s="76">
        <v>10</v>
      </c>
      <c r="AF118" s="76">
        <v>0</v>
      </c>
      <c r="AG118" s="76">
        <v>3</v>
      </c>
      <c r="AH118" s="76">
        <v>29</v>
      </c>
      <c r="AI118" s="76">
        <v>26</v>
      </c>
      <c r="AJ118" s="76">
        <v>1</v>
      </c>
      <c r="AK118" s="76">
        <v>0</v>
      </c>
      <c r="AL118" s="76">
        <v>1</v>
      </c>
      <c r="AM118" s="76">
        <v>0</v>
      </c>
      <c r="AN118" s="76">
        <v>0</v>
      </c>
      <c r="AO118" s="76">
        <v>444</v>
      </c>
      <c r="AP118" s="202" t="s">
        <v>149</v>
      </c>
      <c r="AQ118" s="202">
        <v>0.33300000000000002</v>
      </c>
      <c r="AR118" s="202">
        <v>1.1000000000000001</v>
      </c>
      <c r="AS118" s="202">
        <v>0.34499999999999997</v>
      </c>
      <c r="AT118" s="202">
        <v>0.45100000000000001</v>
      </c>
      <c r="AU118" s="202">
        <v>0.79500000000000004</v>
      </c>
      <c r="AV118" s="202">
        <v>4.79</v>
      </c>
      <c r="AW118" s="202">
        <v>3.2</v>
      </c>
      <c r="AX118" s="202">
        <v>9.59</v>
      </c>
      <c r="AY118" s="202">
        <v>1.5</v>
      </c>
      <c r="AZ118" s="202">
        <v>15.82</v>
      </c>
    </row>
    <row r="119" spans="1:52" x14ac:dyDescent="0.2">
      <c r="A119" s="76">
        <v>2</v>
      </c>
      <c r="B119" t="s">
        <v>1209</v>
      </c>
      <c r="C119" s="76" t="s">
        <v>149</v>
      </c>
      <c r="D119" s="76">
        <v>0</v>
      </c>
      <c r="E119" s="76">
        <v>0</v>
      </c>
      <c r="F119" s="76">
        <v>1.93</v>
      </c>
      <c r="G119" s="76">
        <v>3</v>
      </c>
      <c r="H119" s="76">
        <v>0</v>
      </c>
      <c r="I119" s="76">
        <v>0</v>
      </c>
      <c r="J119" s="76">
        <v>0</v>
      </c>
      <c r="K119" s="76">
        <v>0</v>
      </c>
      <c r="L119" s="76">
        <v>0</v>
      </c>
      <c r="M119" s="76">
        <v>4.2</v>
      </c>
      <c r="N119" s="76">
        <v>8</v>
      </c>
      <c r="O119" s="76">
        <v>1</v>
      </c>
      <c r="P119" s="76">
        <v>1</v>
      </c>
      <c r="Q119" s="76">
        <v>0</v>
      </c>
      <c r="R119" s="76">
        <v>2</v>
      </c>
      <c r="S119" s="76">
        <v>0</v>
      </c>
      <c r="T119" s="76">
        <v>1</v>
      </c>
      <c r="U119" s="76">
        <v>21</v>
      </c>
      <c r="V119" s="76">
        <v>4.2</v>
      </c>
      <c r="W119" s="76">
        <v>0.42099999999999999</v>
      </c>
      <c r="X119" s="76">
        <v>2.14</v>
      </c>
      <c r="Y119" s="76"/>
      <c r="Z119" s="76">
        <v>2</v>
      </c>
      <c r="AA119" t="s">
        <v>1209</v>
      </c>
      <c r="AB119" s="76" t="s">
        <v>149</v>
      </c>
      <c r="AC119" s="76">
        <v>0</v>
      </c>
      <c r="AD119" s="76">
        <v>0</v>
      </c>
      <c r="AE119" s="76">
        <v>0</v>
      </c>
      <c r="AF119" s="76">
        <v>0</v>
      </c>
      <c r="AG119" s="76">
        <v>3</v>
      </c>
      <c r="AH119" s="76">
        <v>7</v>
      </c>
      <c r="AI119" s="76">
        <v>3</v>
      </c>
      <c r="AJ119" s="76">
        <v>0</v>
      </c>
      <c r="AK119" s="76">
        <v>0</v>
      </c>
      <c r="AL119" s="76">
        <v>0</v>
      </c>
      <c r="AM119" s="76">
        <v>0</v>
      </c>
      <c r="AN119" s="76">
        <v>0</v>
      </c>
      <c r="AO119" s="76">
        <v>77</v>
      </c>
      <c r="AP119" s="202" t="s">
        <v>149</v>
      </c>
      <c r="AQ119" s="202" t="s">
        <v>243</v>
      </c>
      <c r="AR119" s="202">
        <v>0.8</v>
      </c>
      <c r="AS119" s="202">
        <v>0.51600000000000001</v>
      </c>
      <c r="AT119" s="202">
        <v>1.143</v>
      </c>
      <c r="AU119" s="202">
        <v>1.659</v>
      </c>
      <c r="AV119" s="202">
        <v>10.8</v>
      </c>
      <c r="AW119" s="202">
        <v>5.4</v>
      </c>
      <c r="AX119" s="202">
        <v>23.4</v>
      </c>
      <c r="AY119" s="202">
        <v>2</v>
      </c>
      <c r="AZ119" s="202">
        <v>23.8</v>
      </c>
    </row>
    <row r="120" spans="1:52" x14ac:dyDescent="0.2">
      <c r="A120" s="76">
        <v>21</v>
      </c>
      <c r="B120" s="41" t="s">
        <v>569</v>
      </c>
      <c r="C120" s="76" t="s">
        <v>149</v>
      </c>
      <c r="D120" s="76">
        <v>1</v>
      </c>
      <c r="E120" s="76">
        <v>3</v>
      </c>
      <c r="F120" s="76">
        <v>7.11</v>
      </c>
      <c r="G120" s="76">
        <v>54</v>
      </c>
      <c r="H120" s="76">
        <v>0</v>
      </c>
      <c r="I120" s="76">
        <v>0</v>
      </c>
      <c r="J120" s="76">
        <v>0</v>
      </c>
      <c r="K120" s="76">
        <v>0</v>
      </c>
      <c r="L120" s="76">
        <v>1</v>
      </c>
      <c r="M120" s="76">
        <v>49.1</v>
      </c>
      <c r="N120" s="76">
        <v>57</v>
      </c>
      <c r="O120" s="76">
        <v>41</v>
      </c>
      <c r="P120" s="76">
        <v>39</v>
      </c>
      <c r="Q120" s="76">
        <v>12</v>
      </c>
      <c r="R120" s="76">
        <v>21</v>
      </c>
      <c r="S120" s="76">
        <v>2</v>
      </c>
      <c r="T120" s="76">
        <v>49</v>
      </c>
      <c r="U120" s="76">
        <v>224</v>
      </c>
      <c r="V120" s="76">
        <v>49.1</v>
      </c>
      <c r="W120" s="76">
        <v>0.29099999999999998</v>
      </c>
      <c r="X120" s="76">
        <v>1.58</v>
      </c>
      <c r="Y120" s="76"/>
      <c r="Z120" s="76">
        <v>21</v>
      </c>
      <c r="AA120" t="s">
        <v>569</v>
      </c>
      <c r="AB120" s="76" t="s">
        <v>149</v>
      </c>
      <c r="AC120" s="76">
        <v>1</v>
      </c>
      <c r="AD120" s="76">
        <v>2</v>
      </c>
      <c r="AE120" s="76">
        <v>26</v>
      </c>
      <c r="AF120" s="76">
        <v>8</v>
      </c>
      <c r="AG120" s="76">
        <v>0</v>
      </c>
      <c r="AH120" s="76">
        <v>39</v>
      </c>
      <c r="AI120" s="76">
        <v>57</v>
      </c>
      <c r="AJ120" s="76">
        <v>2</v>
      </c>
      <c r="AK120" s="76">
        <v>0</v>
      </c>
      <c r="AL120" s="76">
        <v>0</v>
      </c>
      <c r="AM120" s="76">
        <v>3</v>
      </c>
      <c r="AN120" s="76">
        <v>0</v>
      </c>
      <c r="AO120" s="76">
        <v>868</v>
      </c>
      <c r="AP120" s="202" t="s">
        <v>164</v>
      </c>
      <c r="AQ120" s="202" t="s">
        <v>243</v>
      </c>
      <c r="AR120" s="202">
        <v>2.67</v>
      </c>
      <c r="AS120" s="202">
        <v>0.27800000000000002</v>
      </c>
      <c r="AT120" s="202">
        <v>0.38700000000000001</v>
      </c>
      <c r="AU120" s="202">
        <v>0.66500000000000004</v>
      </c>
      <c r="AV120" s="202">
        <v>5</v>
      </c>
      <c r="AW120" s="202">
        <v>4</v>
      </c>
      <c r="AX120" s="202">
        <v>5</v>
      </c>
      <c r="AY120" s="202">
        <v>1.25</v>
      </c>
      <c r="AZ120" s="202">
        <v>15.22</v>
      </c>
    </row>
    <row r="121" spans="1:52" x14ac:dyDescent="0.2">
      <c r="A121" s="76">
        <v>23</v>
      </c>
      <c r="B121" t="s">
        <v>1327</v>
      </c>
      <c r="C121" s="76" t="s">
        <v>149</v>
      </c>
      <c r="D121" s="76">
        <v>0</v>
      </c>
      <c r="E121" s="76">
        <v>0</v>
      </c>
      <c r="F121" s="76">
        <v>16.88</v>
      </c>
      <c r="G121" s="76">
        <v>5</v>
      </c>
      <c r="H121" s="76">
        <v>0</v>
      </c>
      <c r="I121" s="76">
        <v>0</v>
      </c>
      <c r="J121" s="76">
        <v>0</v>
      </c>
      <c r="K121" s="76">
        <v>0</v>
      </c>
      <c r="L121" s="76">
        <v>0</v>
      </c>
      <c r="M121" s="76">
        <v>2.2000000000000002</v>
      </c>
      <c r="N121" s="76">
        <v>7</v>
      </c>
      <c r="O121" s="76">
        <v>5</v>
      </c>
      <c r="P121" s="76">
        <v>5</v>
      </c>
      <c r="Q121" s="76">
        <v>1</v>
      </c>
      <c r="R121" s="76">
        <v>2</v>
      </c>
      <c r="S121" s="76">
        <v>1</v>
      </c>
      <c r="T121" s="76">
        <v>2</v>
      </c>
      <c r="U121" s="76">
        <v>16</v>
      </c>
      <c r="V121" s="76">
        <v>2.2000000000000002</v>
      </c>
      <c r="W121" s="76">
        <v>0.53800000000000003</v>
      </c>
      <c r="X121" s="76">
        <v>3.38</v>
      </c>
      <c r="Y121" s="76"/>
      <c r="Z121" s="76">
        <v>23</v>
      </c>
      <c r="AA121" t="s">
        <v>1327</v>
      </c>
      <c r="AB121" s="76" t="s">
        <v>149</v>
      </c>
      <c r="AC121" s="76">
        <v>0</v>
      </c>
      <c r="AD121" s="76">
        <v>1</v>
      </c>
      <c r="AE121" s="76">
        <v>3</v>
      </c>
      <c r="AF121" s="76">
        <v>0</v>
      </c>
      <c r="AG121" s="76">
        <v>1</v>
      </c>
      <c r="AH121" s="76">
        <v>3</v>
      </c>
      <c r="AI121" s="76">
        <v>2</v>
      </c>
      <c r="AJ121" s="76">
        <v>0</v>
      </c>
      <c r="AK121" s="76">
        <v>0</v>
      </c>
      <c r="AL121" s="76">
        <v>1</v>
      </c>
      <c r="AM121" s="76">
        <v>0</v>
      </c>
      <c r="AN121" s="76">
        <v>0</v>
      </c>
      <c r="AO121" s="76">
        <v>64</v>
      </c>
      <c r="AP121" s="202" t="s">
        <v>164</v>
      </c>
      <c r="AQ121" s="202">
        <v>0</v>
      </c>
      <c r="AR121" s="202">
        <v>1.39</v>
      </c>
      <c r="AS121" s="202">
        <v>0.379</v>
      </c>
      <c r="AT121" s="202">
        <v>0.52400000000000002</v>
      </c>
      <c r="AU121" s="202">
        <v>0.90300000000000002</v>
      </c>
      <c r="AV121" s="202">
        <v>7.29</v>
      </c>
      <c r="AW121" s="202">
        <v>3.86</v>
      </c>
      <c r="AX121" s="202">
        <v>10.29</v>
      </c>
      <c r="AY121" s="202">
        <v>1.89</v>
      </c>
      <c r="AZ121" s="202">
        <v>17.52</v>
      </c>
    </row>
    <row r="122" spans="1:52" x14ac:dyDescent="0.2">
      <c r="A122" s="76">
        <v>12</v>
      </c>
      <c r="B122" t="s">
        <v>1325</v>
      </c>
      <c r="C122" s="76" t="s">
        <v>149</v>
      </c>
      <c r="D122" s="76">
        <v>0</v>
      </c>
      <c r="E122" s="76">
        <v>0</v>
      </c>
      <c r="F122" s="76">
        <v>4.32</v>
      </c>
      <c r="G122" s="76">
        <v>4</v>
      </c>
      <c r="H122" s="76">
        <v>0</v>
      </c>
      <c r="I122" s="76">
        <v>0</v>
      </c>
      <c r="J122" s="76">
        <v>0</v>
      </c>
      <c r="K122" s="76">
        <v>0</v>
      </c>
      <c r="L122" s="76">
        <v>0</v>
      </c>
      <c r="M122" s="76">
        <v>8.1</v>
      </c>
      <c r="N122" s="76">
        <v>12</v>
      </c>
      <c r="O122" s="76">
        <v>4</v>
      </c>
      <c r="P122" s="76">
        <v>4</v>
      </c>
      <c r="Q122" s="76">
        <v>0</v>
      </c>
      <c r="R122" s="76">
        <v>5</v>
      </c>
      <c r="S122" s="76">
        <v>0</v>
      </c>
      <c r="T122" s="76">
        <v>8</v>
      </c>
      <c r="U122" s="76">
        <v>42</v>
      </c>
      <c r="V122" s="76">
        <v>8.1</v>
      </c>
      <c r="W122" s="76">
        <v>0.33300000000000002</v>
      </c>
      <c r="X122" s="76">
        <v>2.04</v>
      </c>
      <c r="Y122" s="76"/>
      <c r="Z122" s="76">
        <v>12</v>
      </c>
      <c r="AA122" t="s">
        <v>1325</v>
      </c>
      <c r="AB122" s="76" t="s">
        <v>149</v>
      </c>
      <c r="AC122" s="76">
        <v>0</v>
      </c>
      <c r="AD122" s="76">
        <v>0</v>
      </c>
      <c r="AE122" s="76">
        <v>1</v>
      </c>
      <c r="AF122" s="76">
        <v>0</v>
      </c>
      <c r="AG122" s="76">
        <v>0</v>
      </c>
      <c r="AH122" s="76">
        <v>11</v>
      </c>
      <c r="AI122" s="76">
        <v>6</v>
      </c>
      <c r="AJ122" s="76">
        <v>2</v>
      </c>
      <c r="AK122" s="76">
        <v>0</v>
      </c>
      <c r="AL122" s="76">
        <v>0</v>
      </c>
      <c r="AM122" s="76">
        <v>0</v>
      </c>
      <c r="AN122" s="76">
        <v>0</v>
      </c>
      <c r="AO122" s="76">
        <v>167</v>
      </c>
      <c r="AP122" s="202" t="s">
        <v>149</v>
      </c>
      <c r="AQ122" s="202">
        <v>0.52</v>
      </c>
      <c r="AR122" s="202">
        <v>1.04</v>
      </c>
      <c r="AS122" s="202">
        <v>0.34200000000000003</v>
      </c>
      <c r="AT122" s="202">
        <v>0.46600000000000003</v>
      </c>
      <c r="AU122" s="202">
        <v>0.80800000000000005</v>
      </c>
      <c r="AV122" s="202">
        <v>5.63</v>
      </c>
      <c r="AW122" s="202">
        <v>3.27</v>
      </c>
      <c r="AX122" s="202">
        <v>9.67</v>
      </c>
      <c r="AY122" s="202">
        <v>1.72</v>
      </c>
      <c r="AZ122" s="202">
        <v>16.36</v>
      </c>
    </row>
    <row r="123" spans="1:52" x14ac:dyDescent="0.2">
      <c r="A123" s="76">
        <v>9</v>
      </c>
      <c r="B123" s="41" t="s">
        <v>831</v>
      </c>
      <c r="C123" s="76" t="s">
        <v>149</v>
      </c>
      <c r="D123" s="76">
        <v>4</v>
      </c>
      <c r="E123" s="76">
        <v>2</v>
      </c>
      <c r="F123" s="76">
        <v>3.38</v>
      </c>
      <c r="G123" s="76">
        <v>14</v>
      </c>
      <c r="H123" s="76">
        <v>13</v>
      </c>
      <c r="I123" s="76">
        <v>0</v>
      </c>
      <c r="J123" s="76">
        <v>0</v>
      </c>
      <c r="K123" s="76">
        <v>0</v>
      </c>
      <c r="L123" s="76">
        <v>0</v>
      </c>
      <c r="M123" s="76">
        <v>69.099999999999994</v>
      </c>
      <c r="N123" s="76">
        <v>75</v>
      </c>
      <c r="O123" s="76">
        <v>30</v>
      </c>
      <c r="P123" s="76">
        <v>26</v>
      </c>
      <c r="Q123" s="76">
        <v>10</v>
      </c>
      <c r="R123" s="76">
        <v>22</v>
      </c>
      <c r="S123" s="76">
        <v>0</v>
      </c>
      <c r="T123" s="76">
        <v>71</v>
      </c>
      <c r="U123" s="76">
        <v>302</v>
      </c>
      <c r="V123" s="76">
        <v>69.099999999999994</v>
      </c>
      <c r="W123" s="76">
        <v>0.27100000000000002</v>
      </c>
      <c r="X123" s="76">
        <v>1.4</v>
      </c>
      <c r="Y123" s="76"/>
      <c r="Z123" s="76">
        <v>9</v>
      </c>
      <c r="AA123" t="s">
        <v>831</v>
      </c>
      <c r="AB123" s="76" t="s">
        <v>149</v>
      </c>
      <c r="AC123" s="76">
        <v>0</v>
      </c>
      <c r="AD123" s="76">
        <v>0</v>
      </c>
      <c r="AE123" s="76">
        <v>1</v>
      </c>
      <c r="AF123" s="76">
        <v>0</v>
      </c>
      <c r="AG123" s="76">
        <v>3</v>
      </c>
      <c r="AH123" s="76">
        <v>60</v>
      </c>
      <c r="AI123" s="76">
        <v>74</v>
      </c>
      <c r="AJ123" s="76">
        <v>1</v>
      </c>
      <c r="AK123" s="76">
        <v>0</v>
      </c>
      <c r="AL123" s="76">
        <v>1</v>
      </c>
      <c r="AM123" s="76">
        <v>1</v>
      </c>
      <c r="AN123" s="76">
        <v>0</v>
      </c>
      <c r="AO123" s="76">
        <v>1190</v>
      </c>
      <c r="AP123" s="202" t="s">
        <v>149</v>
      </c>
      <c r="AQ123" s="202">
        <v>1</v>
      </c>
      <c r="AR123" s="202">
        <v>1.1100000000000001</v>
      </c>
      <c r="AS123" s="202">
        <v>0.36599999999999999</v>
      </c>
      <c r="AT123" s="202">
        <v>0.40300000000000002</v>
      </c>
      <c r="AU123" s="202">
        <v>0.77</v>
      </c>
      <c r="AV123" s="202">
        <v>10.45</v>
      </c>
      <c r="AW123" s="202">
        <v>5.52</v>
      </c>
      <c r="AX123" s="202">
        <v>9</v>
      </c>
      <c r="AY123" s="202">
        <v>1.89</v>
      </c>
      <c r="AZ123" s="202">
        <v>18.649999999999999</v>
      </c>
    </row>
    <row r="124" spans="1:52" x14ac:dyDescent="0.2">
      <c r="A124" s="76">
        <v>19</v>
      </c>
      <c r="B124" t="s">
        <v>411</v>
      </c>
      <c r="C124" s="76" t="s">
        <v>149</v>
      </c>
      <c r="D124" s="76">
        <v>0</v>
      </c>
      <c r="E124" s="76">
        <v>0</v>
      </c>
      <c r="F124" s="76">
        <v>6.75</v>
      </c>
      <c r="G124" s="76">
        <v>6</v>
      </c>
      <c r="H124" s="76">
        <v>0</v>
      </c>
      <c r="I124" s="76">
        <v>0</v>
      </c>
      <c r="J124" s="76">
        <v>0</v>
      </c>
      <c r="K124" s="76">
        <v>0</v>
      </c>
      <c r="L124" s="76">
        <v>0</v>
      </c>
      <c r="M124" s="76">
        <v>5.0999999999999996</v>
      </c>
      <c r="N124" s="76">
        <v>7</v>
      </c>
      <c r="O124" s="76">
        <v>4</v>
      </c>
      <c r="P124" s="76">
        <v>4</v>
      </c>
      <c r="Q124" s="76">
        <v>1</v>
      </c>
      <c r="R124" s="76">
        <v>5</v>
      </c>
      <c r="S124" s="76">
        <v>1</v>
      </c>
      <c r="T124" s="76">
        <v>4</v>
      </c>
      <c r="U124" s="76">
        <v>27</v>
      </c>
      <c r="V124" s="76">
        <v>5.0999999999999996</v>
      </c>
      <c r="W124" s="76">
        <v>0.318</v>
      </c>
      <c r="X124" s="76">
        <v>2.25</v>
      </c>
      <c r="Y124" s="76"/>
      <c r="Z124" s="76">
        <v>19</v>
      </c>
      <c r="AA124" t="s">
        <v>411</v>
      </c>
      <c r="AB124" s="76" t="s">
        <v>149</v>
      </c>
      <c r="AC124" s="76">
        <v>0</v>
      </c>
      <c r="AD124" s="76">
        <v>1</v>
      </c>
      <c r="AE124" s="76">
        <v>2</v>
      </c>
      <c r="AF124" s="76">
        <v>0</v>
      </c>
      <c r="AG124" s="76">
        <v>2</v>
      </c>
      <c r="AH124" s="76">
        <v>6</v>
      </c>
      <c r="AI124" s="76">
        <v>5</v>
      </c>
      <c r="AJ124" s="76">
        <v>2</v>
      </c>
      <c r="AK124" s="76">
        <v>0</v>
      </c>
      <c r="AL124" s="76">
        <v>0</v>
      </c>
      <c r="AM124" s="76">
        <v>0</v>
      </c>
      <c r="AN124" s="76">
        <v>0</v>
      </c>
      <c r="AO124" s="76">
        <v>100</v>
      </c>
      <c r="AP124" s="202" t="s">
        <v>149</v>
      </c>
      <c r="AQ124" s="202">
        <v>0</v>
      </c>
      <c r="AR124" s="202">
        <v>1.45</v>
      </c>
      <c r="AS124" s="202">
        <v>0.38500000000000001</v>
      </c>
      <c r="AT124" s="202">
        <v>0.52100000000000002</v>
      </c>
      <c r="AU124" s="202">
        <v>0.90600000000000003</v>
      </c>
      <c r="AV124" s="202">
        <v>7.27</v>
      </c>
      <c r="AW124" s="202">
        <v>3.89</v>
      </c>
      <c r="AX124" s="202">
        <v>11.94</v>
      </c>
      <c r="AY124" s="202">
        <v>1.87</v>
      </c>
      <c r="AZ124" s="202">
        <v>18</v>
      </c>
    </row>
    <row r="125" spans="1:52" s="143" customFormat="1" x14ac:dyDescent="0.2">
      <c r="A125" s="76">
        <v>16</v>
      </c>
      <c r="B125" s="41" t="s">
        <v>578</v>
      </c>
      <c r="C125" s="76" t="s">
        <v>149</v>
      </c>
      <c r="D125" s="76">
        <v>4</v>
      </c>
      <c r="E125" s="76">
        <v>10</v>
      </c>
      <c r="F125" s="76">
        <v>5.07</v>
      </c>
      <c r="G125" s="76">
        <v>24</v>
      </c>
      <c r="H125" s="76">
        <v>22</v>
      </c>
      <c r="I125" s="76">
        <v>0</v>
      </c>
      <c r="J125" s="76">
        <v>0</v>
      </c>
      <c r="K125" s="76">
        <v>0</v>
      </c>
      <c r="L125" s="76">
        <v>0</v>
      </c>
      <c r="M125" s="76">
        <v>119</v>
      </c>
      <c r="N125" s="76">
        <v>160</v>
      </c>
      <c r="O125" s="76">
        <v>76</v>
      </c>
      <c r="P125" s="76">
        <v>67</v>
      </c>
      <c r="Q125" s="76">
        <v>15</v>
      </c>
      <c r="R125" s="76">
        <v>46</v>
      </c>
      <c r="S125" s="76">
        <v>0</v>
      </c>
      <c r="T125" s="76">
        <v>56</v>
      </c>
      <c r="U125" s="76">
        <v>541</v>
      </c>
      <c r="V125" s="76">
        <v>119</v>
      </c>
      <c r="W125" s="76">
        <v>0.33200000000000002</v>
      </c>
      <c r="X125" s="76">
        <v>1.73</v>
      </c>
      <c r="Y125" s="76"/>
      <c r="Z125" s="76">
        <v>16</v>
      </c>
      <c r="AA125" t="s">
        <v>578</v>
      </c>
      <c r="AB125" s="76" t="s">
        <v>149</v>
      </c>
      <c r="AC125" s="76">
        <v>6</v>
      </c>
      <c r="AD125" s="76">
        <v>0</v>
      </c>
      <c r="AE125" s="76">
        <v>0</v>
      </c>
      <c r="AF125" s="76">
        <v>0</v>
      </c>
      <c r="AG125" s="76">
        <v>24</v>
      </c>
      <c r="AH125" s="76">
        <v>170</v>
      </c>
      <c r="AI125" s="76">
        <v>103</v>
      </c>
      <c r="AJ125" s="76">
        <v>3</v>
      </c>
      <c r="AK125" s="76">
        <v>0</v>
      </c>
      <c r="AL125" s="76">
        <v>8</v>
      </c>
      <c r="AM125" s="76">
        <v>2</v>
      </c>
      <c r="AN125" s="76">
        <v>0</v>
      </c>
      <c r="AO125" s="76">
        <v>2054</v>
      </c>
      <c r="AP125" s="202" t="s">
        <v>149</v>
      </c>
      <c r="AQ125" s="202">
        <v>0.38500000000000001</v>
      </c>
      <c r="AR125" s="202">
        <v>0.56999999999999995</v>
      </c>
      <c r="AS125" s="202">
        <v>0.27700000000000002</v>
      </c>
      <c r="AT125" s="202">
        <v>0.35699999999999998</v>
      </c>
      <c r="AU125" s="202">
        <v>0.63400000000000001</v>
      </c>
      <c r="AV125" s="202">
        <v>7.63</v>
      </c>
      <c r="AW125" s="202">
        <v>2.16</v>
      </c>
      <c r="AX125" s="202">
        <v>7.63</v>
      </c>
      <c r="AY125" s="202">
        <v>3.53</v>
      </c>
      <c r="AZ125" s="202">
        <v>16.13</v>
      </c>
    </row>
    <row r="126" spans="1:52" x14ac:dyDescent="0.2">
      <c r="A126" s="76">
        <v>8</v>
      </c>
      <c r="B126" s="41" t="s">
        <v>400</v>
      </c>
      <c r="C126" s="76" t="s">
        <v>149</v>
      </c>
      <c r="D126" s="76">
        <v>3</v>
      </c>
      <c r="E126" s="76">
        <v>4</v>
      </c>
      <c r="F126" s="76">
        <v>3.24</v>
      </c>
      <c r="G126" s="76">
        <v>61</v>
      </c>
      <c r="H126" s="76">
        <v>0</v>
      </c>
      <c r="I126" s="76">
        <v>0</v>
      </c>
      <c r="J126" s="76">
        <v>0</v>
      </c>
      <c r="K126" s="76">
        <v>44</v>
      </c>
      <c r="L126" s="76">
        <v>49</v>
      </c>
      <c r="M126" s="76">
        <v>58.1</v>
      </c>
      <c r="N126" s="76">
        <v>45</v>
      </c>
      <c r="O126" s="76">
        <v>24</v>
      </c>
      <c r="P126" s="76">
        <v>21</v>
      </c>
      <c r="Q126" s="76">
        <v>6</v>
      </c>
      <c r="R126" s="76">
        <v>21</v>
      </c>
      <c r="S126" s="76">
        <v>1</v>
      </c>
      <c r="T126" s="76">
        <v>52</v>
      </c>
      <c r="U126" s="76">
        <v>235</v>
      </c>
      <c r="V126" s="76">
        <v>58.1</v>
      </c>
      <c r="W126" s="76">
        <v>0.214</v>
      </c>
      <c r="X126" s="76">
        <v>1.1299999999999999</v>
      </c>
      <c r="Y126" s="76"/>
      <c r="Z126" s="76">
        <v>8</v>
      </c>
      <c r="AA126" t="s">
        <v>400</v>
      </c>
      <c r="AB126" s="76" t="s">
        <v>149</v>
      </c>
      <c r="AC126" s="76">
        <v>1</v>
      </c>
      <c r="AD126" s="76">
        <v>1</v>
      </c>
      <c r="AE126" s="76">
        <v>55</v>
      </c>
      <c r="AF126" s="76">
        <v>0</v>
      </c>
      <c r="AG126" s="76">
        <v>4</v>
      </c>
      <c r="AH126" s="76">
        <v>71</v>
      </c>
      <c r="AI126" s="76">
        <v>45</v>
      </c>
      <c r="AJ126" s="76">
        <v>4</v>
      </c>
      <c r="AK126" s="76">
        <v>0</v>
      </c>
      <c r="AL126" s="76">
        <v>2</v>
      </c>
      <c r="AM126" s="76">
        <v>1</v>
      </c>
      <c r="AN126" s="76">
        <v>0</v>
      </c>
      <c r="AO126" s="76">
        <v>928</v>
      </c>
      <c r="AP126" s="202" t="s">
        <v>149</v>
      </c>
      <c r="AQ126" s="202">
        <v>0.69199999999999995</v>
      </c>
      <c r="AR126" s="202">
        <v>0.85</v>
      </c>
      <c r="AS126" s="202">
        <v>0.28100000000000003</v>
      </c>
      <c r="AT126" s="202">
        <v>0.374</v>
      </c>
      <c r="AU126" s="202">
        <v>0.65400000000000003</v>
      </c>
      <c r="AV126" s="202">
        <v>8.51</v>
      </c>
      <c r="AW126" s="202">
        <v>1.79</v>
      </c>
      <c r="AX126" s="202">
        <v>8.1999999999999993</v>
      </c>
      <c r="AY126" s="202">
        <v>4.76</v>
      </c>
      <c r="AZ126" s="202">
        <v>15.21</v>
      </c>
    </row>
    <row r="127" spans="1:52" x14ac:dyDescent="0.2">
      <c r="A127" s="76">
        <v>1</v>
      </c>
      <c r="B127" t="s">
        <v>1323</v>
      </c>
      <c r="C127" s="76" t="s">
        <v>149</v>
      </c>
      <c r="D127" s="76">
        <v>0</v>
      </c>
      <c r="E127" s="76">
        <v>0</v>
      </c>
      <c r="F127" s="76">
        <v>0</v>
      </c>
      <c r="G127" s="76">
        <v>1</v>
      </c>
      <c r="H127" s="76">
        <v>0</v>
      </c>
      <c r="I127" s="76">
        <v>0</v>
      </c>
      <c r="J127" s="76">
        <v>0</v>
      </c>
      <c r="K127" s="76">
        <v>0</v>
      </c>
      <c r="L127" s="76">
        <v>0</v>
      </c>
      <c r="M127" s="76">
        <v>0.2</v>
      </c>
      <c r="N127" s="76">
        <v>0</v>
      </c>
      <c r="O127" s="76">
        <v>0</v>
      </c>
      <c r="P127" s="76">
        <v>0</v>
      </c>
      <c r="Q127" s="76">
        <v>0</v>
      </c>
      <c r="R127" s="76">
        <v>2</v>
      </c>
      <c r="S127" s="76">
        <v>0</v>
      </c>
      <c r="T127" s="76">
        <v>0</v>
      </c>
      <c r="U127" s="76">
        <v>4</v>
      </c>
      <c r="V127" s="76">
        <v>0.2</v>
      </c>
      <c r="W127" s="76">
        <v>0</v>
      </c>
      <c r="X127" s="76">
        <v>3</v>
      </c>
      <c r="Y127" s="76"/>
      <c r="Z127" s="76">
        <v>1</v>
      </c>
      <c r="AA127" t="s">
        <v>1323</v>
      </c>
      <c r="AB127" s="76" t="s">
        <v>149</v>
      </c>
      <c r="AC127" s="76">
        <v>0</v>
      </c>
      <c r="AD127" s="76">
        <v>0</v>
      </c>
      <c r="AE127" s="76">
        <v>1</v>
      </c>
      <c r="AF127" s="76">
        <v>0</v>
      </c>
      <c r="AG127" s="76">
        <v>0</v>
      </c>
      <c r="AH127" s="76">
        <v>2</v>
      </c>
      <c r="AI127" s="76">
        <v>0</v>
      </c>
      <c r="AJ127" s="76">
        <v>0</v>
      </c>
      <c r="AK127" s="76">
        <v>0</v>
      </c>
      <c r="AL127" s="76">
        <v>0</v>
      </c>
      <c r="AM127" s="76">
        <v>0</v>
      </c>
      <c r="AN127" s="76">
        <v>0</v>
      </c>
      <c r="AO127" s="76">
        <v>17</v>
      </c>
      <c r="AP127" s="202" t="s">
        <v>149</v>
      </c>
      <c r="AQ127" s="202">
        <v>0.625</v>
      </c>
      <c r="AR127" s="202">
        <v>0.8</v>
      </c>
      <c r="AS127" s="202">
        <v>0.32100000000000001</v>
      </c>
      <c r="AT127" s="202">
        <v>0.38300000000000001</v>
      </c>
      <c r="AU127" s="202">
        <v>0.70399999999999996</v>
      </c>
      <c r="AV127" s="202">
        <v>8.07</v>
      </c>
      <c r="AW127" s="202">
        <v>3.23</v>
      </c>
      <c r="AX127" s="202">
        <v>8.9499999999999993</v>
      </c>
      <c r="AY127" s="202">
        <v>2.5</v>
      </c>
      <c r="AZ127" s="202">
        <v>15.78</v>
      </c>
    </row>
    <row r="128" spans="1:52" x14ac:dyDescent="0.2">
      <c r="A128" s="76">
        <v>4</v>
      </c>
      <c r="B128" s="41" t="s">
        <v>1181</v>
      </c>
      <c r="C128" s="76" t="s">
        <v>149</v>
      </c>
      <c r="D128" s="76">
        <v>5</v>
      </c>
      <c r="E128" s="76">
        <v>2</v>
      </c>
      <c r="F128" s="76">
        <v>2.97</v>
      </c>
      <c r="G128" s="76">
        <v>37</v>
      </c>
      <c r="H128" s="76">
        <v>0</v>
      </c>
      <c r="I128" s="76">
        <v>0</v>
      </c>
      <c r="J128" s="76">
        <v>0</v>
      </c>
      <c r="K128" s="76">
        <v>0</v>
      </c>
      <c r="L128" s="76">
        <v>2</v>
      </c>
      <c r="M128" s="76">
        <v>36.1</v>
      </c>
      <c r="N128" s="76">
        <v>23</v>
      </c>
      <c r="O128" s="76">
        <v>12</v>
      </c>
      <c r="P128" s="76">
        <v>12</v>
      </c>
      <c r="Q128" s="76">
        <v>5</v>
      </c>
      <c r="R128" s="76">
        <v>12</v>
      </c>
      <c r="S128" s="76">
        <v>1</v>
      </c>
      <c r="T128" s="76">
        <v>45</v>
      </c>
      <c r="U128" s="76">
        <v>144</v>
      </c>
      <c r="V128" s="76">
        <v>36.1</v>
      </c>
      <c r="W128" s="76">
        <v>0.18099999999999999</v>
      </c>
      <c r="X128" s="76">
        <v>0.96</v>
      </c>
      <c r="Y128" s="76"/>
      <c r="Z128" s="76">
        <v>4</v>
      </c>
      <c r="AA128" t="s">
        <v>1181</v>
      </c>
      <c r="AB128" s="76" t="s">
        <v>149</v>
      </c>
      <c r="AC128" s="76">
        <v>3</v>
      </c>
      <c r="AD128" s="76">
        <v>1</v>
      </c>
      <c r="AE128" s="76">
        <v>7</v>
      </c>
      <c r="AF128" s="76">
        <v>6</v>
      </c>
      <c r="AG128" s="76">
        <v>2</v>
      </c>
      <c r="AH128" s="76">
        <v>22</v>
      </c>
      <c r="AI128" s="76">
        <v>39</v>
      </c>
      <c r="AJ128" s="76">
        <v>1</v>
      </c>
      <c r="AK128" s="76">
        <v>1</v>
      </c>
      <c r="AL128" s="76">
        <v>3</v>
      </c>
      <c r="AM128" s="76">
        <v>2</v>
      </c>
      <c r="AN128" s="76">
        <v>0</v>
      </c>
      <c r="AO128" s="76">
        <v>565</v>
      </c>
      <c r="AP128" s="202" t="s">
        <v>149</v>
      </c>
      <c r="AQ128" s="202">
        <v>0.27300000000000002</v>
      </c>
      <c r="AR128" s="202">
        <v>1.49</v>
      </c>
      <c r="AS128" s="202">
        <v>0.36099999999999999</v>
      </c>
      <c r="AT128" s="202">
        <v>0.46899999999999997</v>
      </c>
      <c r="AU128" s="202">
        <v>0.82899999999999996</v>
      </c>
      <c r="AV128" s="202">
        <v>4.5199999999999996</v>
      </c>
      <c r="AW128" s="202">
        <v>3.25</v>
      </c>
      <c r="AX128" s="202">
        <v>11.03</v>
      </c>
      <c r="AY128" s="202">
        <v>1.39</v>
      </c>
      <c r="AZ128" s="202">
        <v>15.85</v>
      </c>
    </row>
    <row r="129" spans="1:52" x14ac:dyDescent="0.2">
      <c r="A129" s="76">
        <v>7</v>
      </c>
      <c r="B129" s="41" t="s">
        <v>796</v>
      </c>
      <c r="C129" s="76" t="s">
        <v>149</v>
      </c>
      <c r="D129" s="76">
        <v>4</v>
      </c>
      <c r="E129" s="76">
        <v>2</v>
      </c>
      <c r="F129" s="76">
        <v>3.07</v>
      </c>
      <c r="G129" s="76">
        <v>56</v>
      </c>
      <c r="H129" s="76">
        <v>0</v>
      </c>
      <c r="I129" s="76">
        <v>0</v>
      </c>
      <c r="J129" s="76">
        <v>0</v>
      </c>
      <c r="K129" s="76">
        <v>0</v>
      </c>
      <c r="L129" s="76">
        <v>1</v>
      </c>
      <c r="M129" s="76">
        <v>55.2</v>
      </c>
      <c r="N129" s="76">
        <v>48</v>
      </c>
      <c r="O129" s="76">
        <v>21</v>
      </c>
      <c r="P129" s="76">
        <v>19</v>
      </c>
      <c r="Q129" s="76">
        <v>2</v>
      </c>
      <c r="R129" s="76">
        <v>15</v>
      </c>
      <c r="S129" s="76">
        <v>5</v>
      </c>
      <c r="T129" s="76">
        <v>35</v>
      </c>
      <c r="U129" s="76">
        <v>226</v>
      </c>
      <c r="V129" s="76">
        <v>55.2</v>
      </c>
      <c r="W129" s="76">
        <v>0.23400000000000001</v>
      </c>
      <c r="X129" s="76">
        <v>1.1299999999999999</v>
      </c>
      <c r="Y129" s="76"/>
      <c r="Z129" s="76">
        <v>7</v>
      </c>
      <c r="AA129" t="s">
        <v>796</v>
      </c>
      <c r="AB129" s="76" t="s">
        <v>149</v>
      </c>
      <c r="AC129" s="76">
        <v>3</v>
      </c>
      <c r="AD129" s="76">
        <v>5</v>
      </c>
      <c r="AE129" s="76">
        <v>14</v>
      </c>
      <c r="AF129" s="76">
        <v>4</v>
      </c>
      <c r="AG129" s="76">
        <v>7</v>
      </c>
      <c r="AH129" s="76">
        <v>81</v>
      </c>
      <c r="AI129" s="76">
        <v>44</v>
      </c>
      <c r="AJ129" s="76">
        <v>1</v>
      </c>
      <c r="AK129" s="76">
        <v>0</v>
      </c>
      <c r="AL129" s="76">
        <v>4</v>
      </c>
      <c r="AM129" s="76">
        <v>2</v>
      </c>
      <c r="AN129" s="76">
        <v>1</v>
      </c>
      <c r="AO129" s="76">
        <v>837</v>
      </c>
      <c r="AP129" s="202" t="s">
        <v>149</v>
      </c>
      <c r="AQ129" s="202">
        <v>0.66700000000000004</v>
      </c>
      <c r="AR129" s="202">
        <v>0.95</v>
      </c>
      <c r="AS129" s="202">
        <v>0.25</v>
      </c>
      <c r="AT129" s="202">
        <v>0.42399999999999999</v>
      </c>
      <c r="AU129" s="202">
        <v>0.67400000000000004</v>
      </c>
      <c r="AV129" s="202">
        <v>6.63</v>
      </c>
      <c r="AW129" s="202">
        <v>1.72</v>
      </c>
      <c r="AX129" s="202">
        <v>7.36</v>
      </c>
      <c r="AY129" s="202">
        <v>3.86</v>
      </c>
      <c r="AZ129" s="202">
        <v>16.25</v>
      </c>
    </row>
    <row r="130" spans="1:52" x14ac:dyDescent="0.2">
      <c r="A130" s="76">
        <v>18</v>
      </c>
      <c r="B130" s="41" t="s">
        <v>537</v>
      </c>
      <c r="C130" s="76" t="s">
        <v>149</v>
      </c>
      <c r="D130" s="76">
        <v>7</v>
      </c>
      <c r="E130" s="76">
        <v>13</v>
      </c>
      <c r="F130" s="76">
        <v>5.87</v>
      </c>
      <c r="G130" s="76">
        <v>35</v>
      </c>
      <c r="H130" s="76">
        <v>26</v>
      </c>
      <c r="I130" s="76">
        <v>0</v>
      </c>
      <c r="J130" s="76">
        <v>0</v>
      </c>
      <c r="K130" s="76">
        <v>0</v>
      </c>
      <c r="L130" s="76">
        <v>0</v>
      </c>
      <c r="M130" s="76">
        <v>153.1</v>
      </c>
      <c r="N130" s="76">
        <v>171</v>
      </c>
      <c r="O130" s="76">
        <v>108</v>
      </c>
      <c r="P130" s="76">
        <v>100</v>
      </c>
      <c r="Q130" s="76">
        <v>30</v>
      </c>
      <c r="R130" s="76">
        <v>53</v>
      </c>
      <c r="S130" s="76">
        <v>1</v>
      </c>
      <c r="T130" s="76">
        <v>135</v>
      </c>
      <c r="U130" s="76">
        <v>668</v>
      </c>
      <c r="V130" s="76">
        <v>153.1</v>
      </c>
      <c r="W130" s="76">
        <v>0.28499999999999998</v>
      </c>
      <c r="X130" s="76">
        <v>1.46</v>
      </c>
      <c r="Y130" s="76"/>
      <c r="Z130" s="76">
        <v>18</v>
      </c>
      <c r="AA130" t="s">
        <v>537</v>
      </c>
      <c r="AB130" s="76" t="s">
        <v>149</v>
      </c>
      <c r="AC130" s="76">
        <v>5</v>
      </c>
      <c r="AD130" s="76">
        <v>1</v>
      </c>
      <c r="AE130" s="76">
        <v>3</v>
      </c>
      <c r="AF130" s="76">
        <v>0</v>
      </c>
      <c r="AG130" s="76">
        <v>13</v>
      </c>
      <c r="AH130" s="76">
        <v>137</v>
      </c>
      <c r="AI130" s="76">
        <v>167</v>
      </c>
      <c r="AJ130" s="76">
        <v>7</v>
      </c>
      <c r="AK130" s="76">
        <v>2</v>
      </c>
      <c r="AL130" s="76">
        <v>22</v>
      </c>
      <c r="AM130" s="76">
        <v>9</v>
      </c>
      <c r="AN130" s="76">
        <v>1</v>
      </c>
      <c r="AO130" s="76">
        <v>2577</v>
      </c>
      <c r="AP130" s="202" t="s">
        <v>149</v>
      </c>
      <c r="AQ130" s="202" t="s">
        <v>243</v>
      </c>
      <c r="AR130" s="202">
        <v>1</v>
      </c>
      <c r="AS130" s="202">
        <v>0.5</v>
      </c>
      <c r="AT130" s="202">
        <v>1.25</v>
      </c>
      <c r="AU130" s="202">
        <v>1.75</v>
      </c>
      <c r="AV130" s="202">
        <v>0</v>
      </c>
      <c r="AW130" s="202">
        <v>0</v>
      </c>
      <c r="AX130" s="202">
        <v>18</v>
      </c>
      <c r="AY130" s="202" t="s">
        <v>243</v>
      </c>
      <c r="AZ130" s="202">
        <v>16</v>
      </c>
    </row>
    <row r="131" spans="1:52" x14ac:dyDescent="0.2">
      <c r="A131" s="76">
        <v>22</v>
      </c>
      <c r="B131" t="s">
        <v>1326</v>
      </c>
      <c r="C131" s="76" t="s">
        <v>149</v>
      </c>
      <c r="D131" s="76">
        <v>1</v>
      </c>
      <c r="E131" s="76">
        <v>1</v>
      </c>
      <c r="F131" s="76">
        <v>7.45</v>
      </c>
      <c r="G131" s="76">
        <v>6</v>
      </c>
      <c r="H131" s="76">
        <v>0</v>
      </c>
      <c r="I131" s="76">
        <v>0</v>
      </c>
      <c r="J131" s="76">
        <v>0</v>
      </c>
      <c r="K131" s="76">
        <v>0</v>
      </c>
      <c r="L131" s="76">
        <v>0</v>
      </c>
      <c r="M131" s="76">
        <v>9.1999999999999993</v>
      </c>
      <c r="N131" s="76">
        <v>17</v>
      </c>
      <c r="O131" s="76">
        <v>8</v>
      </c>
      <c r="P131" s="76">
        <v>8</v>
      </c>
      <c r="Q131" s="76">
        <v>0</v>
      </c>
      <c r="R131" s="76">
        <v>3</v>
      </c>
      <c r="S131" s="76">
        <v>0</v>
      </c>
      <c r="T131" s="76">
        <v>10</v>
      </c>
      <c r="U131" s="76">
        <v>49</v>
      </c>
      <c r="V131" s="76">
        <v>9.1999999999999993</v>
      </c>
      <c r="W131" s="76">
        <v>0.39500000000000002</v>
      </c>
      <c r="X131" s="76">
        <v>2.0699999999999998</v>
      </c>
      <c r="Y131" s="76"/>
      <c r="Z131" s="76">
        <v>22</v>
      </c>
      <c r="AA131" t="s">
        <v>1326</v>
      </c>
      <c r="AB131" s="76" t="s">
        <v>149</v>
      </c>
      <c r="AC131" s="76">
        <v>1</v>
      </c>
      <c r="AD131" s="76">
        <v>0</v>
      </c>
      <c r="AE131" s="76">
        <v>2</v>
      </c>
      <c r="AF131" s="76">
        <v>0</v>
      </c>
      <c r="AG131" s="76">
        <v>1</v>
      </c>
      <c r="AH131" s="76">
        <v>9</v>
      </c>
      <c r="AI131" s="76">
        <v>9</v>
      </c>
      <c r="AJ131" s="76">
        <v>0</v>
      </c>
      <c r="AK131" s="76">
        <v>0</v>
      </c>
      <c r="AL131" s="76">
        <v>0</v>
      </c>
      <c r="AM131" s="76">
        <v>0</v>
      </c>
      <c r="AN131" s="76">
        <v>0</v>
      </c>
      <c r="AO131" s="76">
        <v>153</v>
      </c>
      <c r="AP131" s="202" t="s">
        <v>164</v>
      </c>
      <c r="AQ131" s="202" t="s">
        <v>243</v>
      </c>
      <c r="AR131" s="202">
        <v>0.4</v>
      </c>
      <c r="AS131" s="202">
        <v>0.318</v>
      </c>
      <c r="AT131" s="202">
        <v>0.42099999999999999</v>
      </c>
      <c r="AU131" s="202">
        <v>0.73899999999999999</v>
      </c>
      <c r="AV131" s="202">
        <v>13.5</v>
      </c>
      <c r="AW131" s="202">
        <v>5.0599999999999996</v>
      </c>
      <c r="AX131" s="202">
        <v>6.75</v>
      </c>
      <c r="AY131" s="202">
        <v>2.67</v>
      </c>
      <c r="AZ131" s="202">
        <v>17.25</v>
      </c>
    </row>
    <row r="132" spans="1:52" x14ac:dyDescent="0.2">
      <c r="A132" s="76">
        <v>20</v>
      </c>
      <c r="B132" t="s">
        <v>799</v>
      </c>
      <c r="C132" s="76" t="s">
        <v>149</v>
      </c>
      <c r="D132" s="76">
        <v>1</v>
      </c>
      <c r="E132" s="76">
        <v>0</v>
      </c>
      <c r="F132" s="76">
        <v>7.11</v>
      </c>
      <c r="G132" s="76">
        <v>19</v>
      </c>
      <c r="H132" s="76">
        <v>0</v>
      </c>
      <c r="I132" s="76">
        <v>0</v>
      </c>
      <c r="J132" s="76">
        <v>0</v>
      </c>
      <c r="K132" s="76">
        <v>0</v>
      </c>
      <c r="L132" s="76">
        <v>0</v>
      </c>
      <c r="M132" s="76">
        <v>19</v>
      </c>
      <c r="N132" s="76">
        <v>28</v>
      </c>
      <c r="O132" s="76">
        <v>15</v>
      </c>
      <c r="P132" s="76">
        <v>15</v>
      </c>
      <c r="Q132" s="76">
        <v>3</v>
      </c>
      <c r="R132" s="76">
        <v>7</v>
      </c>
      <c r="S132" s="76">
        <v>1</v>
      </c>
      <c r="T132" s="76">
        <v>10</v>
      </c>
      <c r="U132" s="76">
        <v>90</v>
      </c>
      <c r="V132" s="76">
        <v>19</v>
      </c>
      <c r="W132" s="76">
        <v>0.34599999999999997</v>
      </c>
      <c r="X132" s="76">
        <v>1.84</v>
      </c>
      <c r="Y132" s="76"/>
      <c r="Z132" s="76">
        <v>20</v>
      </c>
      <c r="AA132" t="s">
        <v>799</v>
      </c>
      <c r="AB132" s="76" t="s">
        <v>149</v>
      </c>
      <c r="AC132" s="76">
        <v>1</v>
      </c>
      <c r="AD132" s="76">
        <v>1</v>
      </c>
      <c r="AE132" s="76">
        <v>4</v>
      </c>
      <c r="AF132" s="76">
        <v>2</v>
      </c>
      <c r="AG132" s="76">
        <v>2</v>
      </c>
      <c r="AH132" s="76">
        <v>28</v>
      </c>
      <c r="AI132" s="76">
        <v>16</v>
      </c>
      <c r="AJ132" s="76">
        <v>1</v>
      </c>
      <c r="AK132" s="76">
        <v>0</v>
      </c>
      <c r="AL132" s="76">
        <v>0</v>
      </c>
      <c r="AM132" s="76">
        <v>1</v>
      </c>
      <c r="AN132" s="76">
        <v>0</v>
      </c>
      <c r="AO132" s="76">
        <v>346</v>
      </c>
      <c r="AP132" s="102" t="s">
        <v>157</v>
      </c>
      <c r="AQ132" s="102" t="s">
        <v>1081</v>
      </c>
      <c r="AR132" s="102" t="s">
        <v>1068</v>
      </c>
      <c r="AS132" s="102" t="s">
        <v>1059</v>
      </c>
      <c r="AT132" s="102" t="s">
        <v>1060</v>
      </c>
      <c r="AU132" s="102" t="s">
        <v>1061</v>
      </c>
      <c r="AV132" s="102" t="s">
        <v>1092</v>
      </c>
      <c r="AW132" s="102" t="s">
        <v>1093</v>
      </c>
      <c r="AX132" s="102" t="s">
        <v>1094</v>
      </c>
      <c r="AY132" s="102" t="s">
        <v>1095</v>
      </c>
      <c r="AZ132" s="102" t="s">
        <v>1096</v>
      </c>
    </row>
    <row r="133" spans="1:52" x14ac:dyDescent="0.2">
      <c r="A133" s="76">
        <v>5</v>
      </c>
      <c r="B133" s="41" t="s">
        <v>540</v>
      </c>
      <c r="C133" s="76" t="s">
        <v>149</v>
      </c>
      <c r="D133" s="76">
        <v>16</v>
      </c>
      <c r="E133" s="76">
        <v>9</v>
      </c>
      <c r="F133" s="76">
        <v>3.04</v>
      </c>
      <c r="G133" s="76">
        <v>34</v>
      </c>
      <c r="H133" s="76">
        <v>34</v>
      </c>
      <c r="I133" s="76">
        <v>2</v>
      </c>
      <c r="J133" s="76">
        <v>0</v>
      </c>
      <c r="K133" s="76">
        <v>0</v>
      </c>
      <c r="L133" s="76">
        <v>0</v>
      </c>
      <c r="M133" s="76">
        <v>227.2</v>
      </c>
      <c r="N133" s="76">
        <v>171</v>
      </c>
      <c r="O133" s="76">
        <v>81</v>
      </c>
      <c r="P133" s="76">
        <v>77</v>
      </c>
      <c r="Q133" s="76">
        <v>30</v>
      </c>
      <c r="R133" s="76">
        <v>57</v>
      </c>
      <c r="S133" s="76">
        <v>1</v>
      </c>
      <c r="T133" s="76">
        <v>254</v>
      </c>
      <c r="U133" s="76">
        <v>903</v>
      </c>
      <c r="V133" s="76">
        <v>227.2</v>
      </c>
      <c r="W133" s="76">
        <v>0.20699999999999999</v>
      </c>
      <c r="X133" s="76">
        <v>1</v>
      </c>
      <c r="Y133" s="76"/>
      <c r="Z133" s="76">
        <v>5</v>
      </c>
      <c r="AA133" t="s">
        <v>540</v>
      </c>
      <c r="AB133" s="76" t="s">
        <v>149</v>
      </c>
      <c r="AC133" s="76">
        <v>8</v>
      </c>
      <c r="AD133" s="76">
        <v>1</v>
      </c>
      <c r="AE133" s="76">
        <v>0</v>
      </c>
      <c r="AF133" s="76">
        <v>0</v>
      </c>
      <c r="AG133" s="76">
        <v>8</v>
      </c>
      <c r="AH133" s="76">
        <v>153</v>
      </c>
      <c r="AI133" s="76">
        <v>260</v>
      </c>
      <c r="AJ133" s="76">
        <v>6</v>
      </c>
      <c r="AK133" s="76">
        <v>0</v>
      </c>
      <c r="AL133" s="76">
        <v>5</v>
      </c>
      <c r="AM133" s="76">
        <v>6</v>
      </c>
      <c r="AN133" s="76">
        <v>3</v>
      </c>
      <c r="AO133" s="76">
        <v>3668</v>
      </c>
      <c r="AP133" s="202" t="s">
        <v>149</v>
      </c>
      <c r="AQ133" s="202" t="s">
        <v>243</v>
      </c>
      <c r="AR133" s="202" t="s">
        <v>243</v>
      </c>
      <c r="AS133" s="202">
        <v>0</v>
      </c>
      <c r="AT133" s="202">
        <v>0</v>
      </c>
      <c r="AU133" s="202">
        <v>0</v>
      </c>
      <c r="AV133" s="202">
        <v>27</v>
      </c>
      <c r="AW133" s="202">
        <v>0</v>
      </c>
      <c r="AX133" s="202">
        <v>0</v>
      </c>
      <c r="AY133" s="202" t="s">
        <v>243</v>
      </c>
      <c r="AZ133" s="202">
        <v>12</v>
      </c>
    </row>
    <row r="134" spans="1:52" x14ac:dyDescent="0.2">
      <c r="A134" s="76">
        <v>3</v>
      </c>
      <c r="B134" s="41" t="s">
        <v>507</v>
      </c>
      <c r="C134" s="76" t="s">
        <v>149</v>
      </c>
      <c r="D134" s="76">
        <v>4</v>
      </c>
      <c r="E134" s="76">
        <v>0</v>
      </c>
      <c r="F134" s="76">
        <v>2.96</v>
      </c>
      <c r="G134" s="76">
        <v>62</v>
      </c>
      <c r="H134" s="76">
        <v>0</v>
      </c>
      <c r="I134" s="76">
        <v>0</v>
      </c>
      <c r="J134" s="76">
        <v>0</v>
      </c>
      <c r="K134" s="76">
        <v>0</v>
      </c>
      <c r="L134" s="76">
        <v>4</v>
      </c>
      <c r="M134" s="76">
        <v>73</v>
      </c>
      <c r="N134" s="76">
        <v>68</v>
      </c>
      <c r="O134" s="76">
        <v>26</v>
      </c>
      <c r="P134" s="76">
        <v>24</v>
      </c>
      <c r="Q134" s="76">
        <v>5</v>
      </c>
      <c r="R134" s="76">
        <v>21</v>
      </c>
      <c r="S134" s="76">
        <v>5</v>
      </c>
      <c r="T134" s="76">
        <v>49</v>
      </c>
      <c r="U134" s="76">
        <v>297</v>
      </c>
      <c r="V134" s="76">
        <v>73</v>
      </c>
      <c r="W134" s="76">
        <v>0.252</v>
      </c>
      <c r="X134" s="76">
        <v>1.22</v>
      </c>
      <c r="Y134" s="76"/>
      <c r="Z134" s="76">
        <v>3</v>
      </c>
      <c r="AA134" t="s">
        <v>507</v>
      </c>
      <c r="AB134" s="76" t="s">
        <v>149</v>
      </c>
      <c r="AC134" s="76">
        <v>1</v>
      </c>
      <c r="AD134" s="76">
        <v>5</v>
      </c>
      <c r="AE134" s="76">
        <v>6</v>
      </c>
      <c r="AF134" s="76">
        <v>14</v>
      </c>
      <c r="AG134" s="76">
        <v>8</v>
      </c>
      <c r="AH134" s="76">
        <v>73</v>
      </c>
      <c r="AI134" s="76">
        <v>85</v>
      </c>
      <c r="AJ134" s="76">
        <v>2</v>
      </c>
      <c r="AK134" s="76">
        <v>0</v>
      </c>
      <c r="AL134" s="76">
        <v>1</v>
      </c>
      <c r="AM134" s="76">
        <v>0</v>
      </c>
      <c r="AN134" s="76">
        <v>1</v>
      </c>
      <c r="AO134" s="76">
        <v>1130</v>
      </c>
      <c r="AP134" s="202" t="s">
        <v>149</v>
      </c>
      <c r="AQ134" s="202">
        <v>0.4</v>
      </c>
      <c r="AR134" s="202">
        <v>1.1200000000000001</v>
      </c>
      <c r="AS134" s="202">
        <v>0.39400000000000002</v>
      </c>
      <c r="AT134" s="202">
        <v>0.45400000000000001</v>
      </c>
      <c r="AU134" s="202">
        <v>0.84699999999999998</v>
      </c>
      <c r="AV134" s="202">
        <v>8.36</v>
      </c>
      <c r="AW134" s="202">
        <v>5.46</v>
      </c>
      <c r="AX134" s="202">
        <v>9.9600000000000009</v>
      </c>
      <c r="AY134" s="202">
        <v>1.53</v>
      </c>
      <c r="AZ134" s="202">
        <v>19.18</v>
      </c>
    </row>
    <row r="135" spans="1:52" x14ac:dyDescent="0.2">
      <c r="A135" s="76">
        <v>11</v>
      </c>
      <c r="B135" s="41" t="s">
        <v>426</v>
      </c>
      <c r="C135" s="76" t="s">
        <v>149</v>
      </c>
      <c r="D135" s="76">
        <v>4</v>
      </c>
      <c r="E135" s="76">
        <v>5</v>
      </c>
      <c r="F135" s="76">
        <v>4.1399999999999997</v>
      </c>
      <c r="G135" s="76">
        <v>66</v>
      </c>
      <c r="H135" s="76">
        <v>0</v>
      </c>
      <c r="I135" s="76">
        <v>0</v>
      </c>
      <c r="J135" s="76">
        <v>0</v>
      </c>
      <c r="K135" s="76">
        <v>1</v>
      </c>
      <c r="L135" s="76">
        <v>6</v>
      </c>
      <c r="M135" s="76">
        <v>58.2</v>
      </c>
      <c r="N135" s="76">
        <v>61</v>
      </c>
      <c r="O135" s="76">
        <v>29</v>
      </c>
      <c r="P135" s="76">
        <v>27</v>
      </c>
      <c r="Q135" s="76">
        <v>6</v>
      </c>
      <c r="R135" s="76">
        <v>17</v>
      </c>
      <c r="S135" s="76">
        <v>2</v>
      </c>
      <c r="T135" s="76">
        <v>65</v>
      </c>
      <c r="U135" s="76">
        <v>251</v>
      </c>
      <c r="V135" s="76">
        <v>58.2</v>
      </c>
      <c r="W135" s="76">
        <v>0.26300000000000001</v>
      </c>
      <c r="X135" s="76">
        <v>1.33</v>
      </c>
      <c r="Y135" s="76"/>
      <c r="Z135" s="76">
        <v>11</v>
      </c>
      <c r="AA135" t="s">
        <v>426</v>
      </c>
      <c r="AB135" s="76" t="s">
        <v>149</v>
      </c>
      <c r="AC135" s="76">
        <v>1</v>
      </c>
      <c r="AD135" s="76">
        <v>2</v>
      </c>
      <c r="AE135" s="76">
        <v>10</v>
      </c>
      <c r="AF135" s="76">
        <v>25</v>
      </c>
      <c r="AG135" s="76">
        <v>7</v>
      </c>
      <c r="AH135" s="76">
        <v>66</v>
      </c>
      <c r="AI135" s="76">
        <v>41</v>
      </c>
      <c r="AJ135" s="76">
        <v>4</v>
      </c>
      <c r="AK135" s="76">
        <v>0</v>
      </c>
      <c r="AL135" s="76">
        <v>5</v>
      </c>
      <c r="AM135" s="76">
        <v>1</v>
      </c>
      <c r="AN135" s="76">
        <v>1</v>
      </c>
      <c r="AO135" s="76">
        <v>996</v>
      </c>
      <c r="AP135" s="202" t="s">
        <v>149</v>
      </c>
      <c r="AQ135" s="202">
        <v>0.5</v>
      </c>
      <c r="AR135" s="202">
        <v>0.88</v>
      </c>
      <c r="AS135" s="202">
        <v>0.308</v>
      </c>
      <c r="AT135" s="202">
        <v>0.45900000000000002</v>
      </c>
      <c r="AU135" s="202">
        <v>0.76800000000000002</v>
      </c>
      <c r="AV135" s="202">
        <v>7.91</v>
      </c>
      <c r="AW135" s="202">
        <v>2.81</v>
      </c>
      <c r="AX135" s="202">
        <v>8.7100000000000009</v>
      </c>
      <c r="AY135" s="202">
        <v>2.82</v>
      </c>
      <c r="AZ135" s="202">
        <v>16.13</v>
      </c>
    </row>
    <row r="136" spans="1:52" x14ac:dyDescent="0.2">
      <c r="A136" s="76">
        <v>15</v>
      </c>
      <c r="B136" s="41" t="s">
        <v>476</v>
      </c>
      <c r="C136" s="76" t="s">
        <v>149</v>
      </c>
      <c r="D136" s="76">
        <v>9</v>
      </c>
      <c r="E136" s="76">
        <v>7</v>
      </c>
      <c r="F136" s="76">
        <v>4.87</v>
      </c>
      <c r="G136" s="76">
        <v>19</v>
      </c>
      <c r="H136" s="76">
        <v>18</v>
      </c>
      <c r="I136" s="76">
        <v>0</v>
      </c>
      <c r="J136" s="76">
        <v>0</v>
      </c>
      <c r="K136" s="76">
        <v>0</v>
      </c>
      <c r="L136" s="76">
        <v>0</v>
      </c>
      <c r="M136" s="76">
        <v>105.1</v>
      </c>
      <c r="N136" s="76">
        <v>118</v>
      </c>
      <c r="O136" s="76">
        <v>63</v>
      </c>
      <c r="P136" s="76">
        <v>57</v>
      </c>
      <c r="Q136" s="76">
        <v>14</v>
      </c>
      <c r="R136" s="76">
        <v>26</v>
      </c>
      <c r="S136" s="76">
        <v>0</v>
      </c>
      <c r="T136" s="76">
        <v>66</v>
      </c>
      <c r="U136" s="76">
        <v>450</v>
      </c>
      <c r="V136" s="76">
        <v>105.1</v>
      </c>
      <c r="W136" s="76">
        <v>0.28399999999999997</v>
      </c>
      <c r="X136" s="76">
        <v>1.37</v>
      </c>
      <c r="Y136" s="76"/>
      <c r="Z136" s="76">
        <v>15</v>
      </c>
      <c r="AA136" t="s">
        <v>476</v>
      </c>
      <c r="AB136" s="76" t="s">
        <v>149</v>
      </c>
      <c r="AC136" s="76">
        <v>2</v>
      </c>
      <c r="AD136" s="76">
        <v>0</v>
      </c>
      <c r="AE136" s="76">
        <v>1</v>
      </c>
      <c r="AF136" s="76">
        <v>0</v>
      </c>
      <c r="AG136" s="76">
        <v>8</v>
      </c>
      <c r="AH136" s="76">
        <v>115</v>
      </c>
      <c r="AI136" s="76">
        <v>123</v>
      </c>
      <c r="AJ136" s="76">
        <v>3</v>
      </c>
      <c r="AK136" s="76">
        <v>0</v>
      </c>
      <c r="AL136" s="76">
        <v>6</v>
      </c>
      <c r="AM136" s="76">
        <v>3</v>
      </c>
      <c r="AN136" s="76">
        <v>1</v>
      </c>
      <c r="AO136" s="76">
        <v>1707</v>
      </c>
      <c r="AP136" s="202" t="s">
        <v>149</v>
      </c>
      <c r="AQ136" s="202">
        <v>1</v>
      </c>
      <c r="AR136" s="202">
        <v>5</v>
      </c>
      <c r="AS136" s="202">
        <v>0.314</v>
      </c>
      <c r="AT136" s="202">
        <v>0.24399999999999999</v>
      </c>
      <c r="AU136" s="202">
        <v>0.55900000000000005</v>
      </c>
      <c r="AV136" s="202">
        <v>4.4400000000000004</v>
      </c>
      <c r="AW136" s="202">
        <v>4.78</v>
      </c>
      <c r="AX136" s="202">
        <v>6.15</v>
      </c>
      <c r="AY136" s="202">
        <v>0.93</v>
      </c>
      <c r="AZ136" s="202">
        <v>15.49</v>
      </c>
    </row>
    <row r="137" spans="1:52" x14ac:dyDescent="0.2">
      <c r="A137" s="225" t="s">
        <v>105</v>
      </c>
      <c r="B137" s="225" t="s">
        <v>106</v>
      </c>
      <c r="C137" s="225" t="s">
        <v>157</v>
      </c>
      <c r="D137" s="225" t="s">
        <v>85</v>
      </c>
      <c r="E137" s="225" t="s">
        <v>86</v>
      </c>
      <c r="F137" s="225" t="s">
        <v>107</v>
      </c>
      <c r="G137" s="225" t="s">
        <v>108</v>
      </c>
      <c r="H137" s="225" t="s">
        <v>88</v>
      </c>
      <c r="I137" s="225" t="s">
        <v>89</v>
      </c>
      <c r="J137" s="225" t="s">
        <v>1073</v>
      </c>
      <c r="K137" s="225" t="s">
        <v>90</v>
      </c>
      <c r="L137" s="225" t="s">
        <v>158</v>
      </c>
      <c r="M137" s="225" t="s">
        <v>91</v>
      </c>
      <c r="N137" s="225" t="s">
        <v>92</v>
      </c>
      <c r="O137" s="225" t="s">
        <v>93</v>
      </c>
      <c r="P137" s="225" t="s">
        <v>94</v>
      </c>
      <c r="Q137" s="225" t="s">
        <v>95</v>
      </c>
      <c r="R137" s="225" t="s">
        <v>96</v>
      </c>
      <c r="S137" s="225" t="s">
        <v>98</v>
      </c>
      <c r="T137" s="225" t="s">
        <v>97</v>
      </c>
      <c r="U137" s="225" t="s">
        <v>109</v>
      </c>
      <c r="V137" s="225" t="s">
        <v>91</v>
      </c>
      <c r="W137" s="225" t="s">
        <v>1071</v>
      </c>
      <c r="X137" s="225" t="s">
        <v>1072</v>
      </c>
      <c r="Y137" s="225"/>
      <c r="Z137" s="225" t="s">
        <v>105</v>
      </c>
      <c r="AA137" s="225" t="s">
        <v>106</v>
      </c>
      <c r="AB137" s="225" t="s">
        <v>157</v>
      </c>
      <c r="AC137" s="225" t="s">
        <v>1074</v>
      </c>
      <c r="AD137" s="225" t="s">
        <v>98</v>
      </c>
      <c r="AE137" s="225" t="s">
        <v>1075</v>
      </c>
      <c r="AF137" s="225" t="s">
        <v>1076</v>
      </c>
      <c r="AG137" s="225" t="s">
        <v>1077</v>
      </c>
      <c r="AH137" s="225" t="s">
        <v>1066</v>
      </c>
      <c r="AI137" s="225" t="s">
        <v>1067</v>
      </c>
      <c r="AJ137" s="225" t="s">
        <v>1078</v>
      </c>
      <c r="AK137" s="225" t="s">
        <v>1079</v>
      </c>
      <c r="AL137" s="225" t="s">
        <v>1057</v>
      </c>
      <c r="AM137" s="225" t="s">
        <v>1058</v>
      </c>
      <c r="AN137" s="225" t="s">
        <v>1080</v>
      </c>
      <c r="AO137" s="225" t="s">
        <v>1069</v>
      </c>
      <c r="AP137" s="202" t="s">
        <v>164</v>
      </c>
      <c r="AQ137" s="202">
        <v>0.5</v>
      </c>
      <c r="AR137" s="202">
        <v>1.32</v>
      </c>
      <c r="AS137" s="202">
        <v>0.316</v>
      </c>
      <c r="AT137" s="202">
        <v>0.42299999999999999</v>
      </c>
      <c r="AU137" s="202">
        <v>0.73899999999999999</v>
      </c>
      <c r="AV137" s="202">
        <v>5.07</v>
      </c>
      <c r="AW137" s="202">
        <v>2.2400000000000002</v>
      </c>
      <c r="AX137" s="202">
        <v>9.5500000000000007</v>
      </c>
      <c r="AY137" s="202">
        <v>2.2599999999999998</v>
      </c>
      <c r="AZ137" s="202">
        <v>16.350000000000001</v>
      </c>
    </row>
    <row r="138" spans="1:52" x14ac:dyDescent="0.2">
      <c r="A138" s="76">
        <v>20</v>
      </c>
      <c r="B138" t="s">
        <v>546</v>
      </c>
      <c r="C138" s="76" t="s">
        <v>164</v>
      </c>
      <c r="D138" s="76">
        <v>0</v>
      </c>
      <c r="E138" s="76">
        <v>0</v>
      </c>
      <c r="F138" s="76">
        <v>9</v>
      </c>
      <c r="G138" s="76">
        <v>9</v>
      </c>
      <c r="H138" s="76">
        <v>0</v>
      </c>
      <c r="I138" s="76">
        <v>0</v>
      </c>
      <c r="J138" s="76">
        <v>0</v>
      </c>
      <c r="K138" s="76">
        <v>0</v>
      </c>
      <c r="L138" s="76">
        <v>0</v>
      </c>
      <c r="M138" s="76">
        <v>8</v>
      </c>
      <c r="N138" s="76">
        <v>15</v>
      </c>
      <c r="O138" s="76">
        <v>8</v>
      </c>
      <c r="P138" s="76">
        <v>8</v>
      </c>
      <c r="Q138" s="76">
        <v>0</v>
      </c>
      <c r="R138" s="76">
        <v>4</v>
      </c>
      <c r="S138" s="76">
        <v>0</v>
      </c>
      <c r="T138" s="76">
        <v>6</v>
      </c>
      <c r="U138" s="76">
        <v>42</v>
      </c>
      <c r="V138" s="76">
        <v>8</v>
      </c>
      <c r="W138" s="76">
        <v>0.39500000000000002</v>
      </c>
      <c r="X138" s="76">
        <v>2.38</v>
      </c>
      <c r="Y138" s="76"/>
      <c r="Z138" s="76">
        <v>20</v>
      </c>
      <c r="AA138" t="s">
        <v>546</v>
      </c>
      <c r="AB138" s="76" t="s">
        <v>164</v>
      </c>
      <c r="AC138" s="76">
        <v>0</v>
      </c>
      <c r="AD138" s="76">
        <v>0</v>
      </c>
      <c r="AE138" s="76">
        <v>1</v>
      </c>
      <c r="AF138" s="76">
        <v>0</v>
      </c>
      <c r="AG138" s="76">
        <v>1</v>
      </c>
      <c r="AH138" s="76">
        <v>9</v>
      </c>
      <c r="AI138" s="76">
        <v>8</v>
      </c>
      <c r="AJ138" s="76">
        <v>0</v>
      </c>
      <c r="AK138" s="76">
        <v>0</v>
      </c>
      <c r="AL138" s="76">
        <v>1</v>
      </c>
      <c r="AM138" s="76">
        <v>0</v>
      </c>
      <c r="AN138" s="76">
        <v>0</v>
      </c>
      <c r="AO138" s="76">
        <v>147</v>
      </c>
      <c r="AP138" s="202" t="s">
        <v>164</v>
      </c>
      <c r="AQ138" s="202">
        <v>0</v>
      </c>
      <c r="AR138" s="202">
        <v>0.32</v>
      </c>
      <c r="AS138" s="202">
        <v>0.38</v>
      </c>
      <c r="AT138" s="202">
        <v>0.58599999999999997</v>
      </c>
      <c r="AU138" s="202">
        <v>0.96499999999999997</v>
      </c>
      <c r="AV138" s="202">
        <v>8.82</v>
      </c>
      <c r="AW138" s="202">
        <v>3.86</v>
      </c>
      <c r="AX138" s="202">
        <v>12.67</v>
      </c>
      <c r="AY138" s="202">
        <v>2.29</v>
      </c>
      <c r="AZ138" s="202">
        <v>19.04</v>
      </c>
    </row>
    <row r="139" spans="1:52" x14ac:dyDescent="0.2">
      <c r="A139" s="76">
        <v>1</v>
      </c>
      <c r="B139" s="41" t="s">
        <v>1328</v>
      </c>
      <c r="C139" s="76" t="s">
        <v>164</v>
      </c>
      <c r="D139" s="76">
        <v>4</v>
      </c>
      <c r="E139" s="76">
        <v>4</v>
      </c>
      <c r="F139" s="76">
        <v>2.16</v>
      </c>
      <c r="G139" s="76">
        <v>48</v>
      </c>
      <c r="H139" s="76">
        <v>5</v>
      </c>
      <c r="I139" s="76">
        <v>0</v>
      </c>
      <c r="J139" s="76">
        <v>0</v>
      </c>
      <c r="K139" s="76">
        <v>1</v>
      </c>
      <c r="L139" s="76">
        <v>1</v>
      </c>
      <c r="M139" s="76">
        <v>108.1</v>
      </c>
      <c r="N139" s="76">
        <v>79</v>
      </c>
      <c r="O139" s="76">
        <v>26</v>
      </c>
      <c r="P139" s="76">
        <v>26</v>
      </c>
      <c r="Q139" s="76">
        <v>4</v>
      </c>
      <c r="R139" s="76">
        <v>20</v>
      </c>
      <c r="S139" s="76">
        <v>0</v>
      </c>
      <c r="T139" s="76">
        <v>104</v>
      </c>
      <c r="U139" s="76">
        <v>408</v>
      </c>
      <c r="V139" s="76">
        <v>108.1</v>
      </c>
      <c r="W139" s="76">
        <v>0.20599999999999999</v>
      </c>
      <c r="X139" s="76">
        <v>0.91</v>
      </c>
      <c r="Y139" s="76"/>
      <c r="Z139" s="76">
        <v>1</v>
      </c>
      <c r="AA139" t="s">
        <v>1328</v>
      </c>
      <c r="AB139" s="76" t="s">
        <v>164</v>
      </c>
      <c r="AC139" s="76">
        <v>3</v>
      </c>
      <c r="AD139" s="76">
        <v>0</v>
      </c>
      <c r="AE139" s="76">
        <v>16</v>
      </c>
      <c r="AF139" s="76">
        <v>5</v>
      </c>
      <c r="AG139" s="76">
        <v>10</v>
      </c>
      <c r="AH139" s="76">
        <v>76</v>
      </c>
      <c r="AI139" s="76">
        <v>126</v>
      </c>
      <c r="AJ139" s="76">
        <v>2</v>
      </c>
      <c r="AK139" s="76">
        <v>0</v>
      </c>
      <c r="AL139" s="76">
        <v>9</v>
      </c>
      <c r="AM139" s="76">
        <v>4</v>
      </c>
      <c r="AN139" s="76">
        <v>2</v>
      </c>
      <c r="AO139" s="76">
        <v>1577</v>
      </c>
      <c r="AP139" s="202" t="s">
        <v>164</v>
      </c>
      <c r="AQ139" s="202" t="s">
        <v>243</v>
      </c>
      <c r="AR139" s="202">
        <v>0.89</v>
      </c>
      <c r="AS139" s="202">
        <v>0.36799999999999999</v>
      </c>
      <c r="AT139" s="202">
        <v>0.51500000000000001</v>
      </c>
      <c r="AU139" s="202">
        <v>0.88400000000000001</v>
      </c>
      <c r="AV139" s="202">
        <v>7.88</v>
      </c>
      <c r="AW139" s="202">
        <v>4.5</v>
      </c>
      <c r="AX139" s="202">
        <v>10.130000000000001</v>
      </c>
      <c r="AY139" s="202">
        <v>1.75</v>
      </c>
      <c r="AZ139" s="202">
        <v>21.75</v>
      </c>
    </row>
    <row r="140" spans="1:52" x14ac:dyDescent="0.2">
      <c r="A140" s="76">
        <v>3</v>
      </c>
      <c r="B140" t="s">
        <v>345</v>
      </c>
      <c r="C140" s="76" t="s">
        <v>164</v>
      </c>
      <c r="D140" s="76">
        <v>5</v>
      </c>
      <c r="E140" s="76">
        <v>3</v>
      </c>
      <c r="F140" s="76">
        <v>2.9</v>
      </c>
      <c r="G140" s="76">
        <v>26</v>
      </c>
      <c r="H140" s="76">
        <v>5</v>
      </c>
      <c r="I140" s="76">
        <v>0</v>
      </c>
      <c r="J140" s="76">
        <v>0</v>
      </c>
      <c r="K140" s="76">
        <v>0</v>
      </c>
      <c r="L140" s="76">
        <v>1</v>
      </c>
      <c r="M140" s="76">
        <v>62</v>
      </c>
      <c r="N140" s="76">
        <v>64</v>
      </c>
      <c r="O140" s="76">
        <v>27</v>
      </c>
      <c r="P140" s="76">
        <v>20</v>
      </c>
      <c r="Q140" s="76">
        <v>8</v>
      </c>
      <c r="R140" s="76">
        <v>13</v>
      </c>
      <c r="S140" s="76">
        <v>3</v>
      </c>
      <c r="T140" s="76">
        <v>42</v>
      </c>
      <c r="U140" s="76">
        <v>265</v>
      </c>
      <c r="V140" s="76">
        <v>62</v>
      </c>
      <c r="W140" s="76">
        <v>0.26400000000000001</v>
      </c>
      <c r="X140" s="76">
        <v>1.24</v>
      </c>
      <c r="Y140" s="76"/>
      <c r="Z140" s="76">
        <v>3</v>
      </c>
      <c r="AA140" t="s">
        <v>345</v>
      </c>
      <c r="AB140" s="76" t="s">
        <v>164</v>
      </c>
      <c r="AC140" s="76">
        <v>3</v>
      </c>
      <c r="AD140" s="76">
        <v>3</v>
      </c>
      <c r="AE140" s="76">
        <v>9</v>
      </c>
      <c r="AF140" s="76">
        <v>0</v>
      </c>
      <c r="AG140" s="76">
        <v>4</v>
      </c>
      <c r="AH140" s="76">
        <v>80</v>
      </c>
      <c r="AI140" s="76">
        <v>63</v>
      </c>
      <c r="AJ140" s="76">
        <v>0</v>
      </c>
      <c r="AK140" s="76">
        <v>0</v>
      </c>
      <c r="AL140" s="76">
        <v>6</v>
      </c>
      <c r="AM140" s="76">
        <v>2</v>
      </c>
      <c r="AN140" s="76">
        <v>0</v>
      </c>
      <c r="AO140" s="76">
        <v>1004</v>
      </c>
      <c r="AP140" s="202" t="s">
        <v>164</v>
      </c>
      <c r="AQ140" s="202">
        <v>0.66700000000000004</v>
      </c>
      <c r="AR140" s="202">
        <v>0.77</v>
      </c>
      <c r="AS140" s="202">
        <v>0.26600000000000001</v>
      </c>
      <c r="AT140" s="202">
        <v>0.377</v>
      </c>
      <c r="AU140" s="202">
        <v>0.64300000000000002</v>
      </c>
      <c r="AV140" s="202">
        <v>8.52</v>
      </c>
      <c r="AW140" s="202">
        <v>3.03</v>
      </c>
      <c r="AX140" s="202">
        <v>6.5</v>
      </c>
      <c r="AY140" s="202">
        <v>2.81</v>
      </c>
      <c r="AZ140" s="202">
        <v>16.54</v>
      </c>
    </row>
    <row r="141" spans="1:52" x14ac:dyDescent="0.2">
      <c r="A141" s="76">
        <v>12</v>
      </c>
      <c r="B141" s="41" t="s">
        <v>1185</v>
      </c>
      <c r="C141" s="76" t="s">
        <v>164</v>
      </c>
      <c r="D141" s="76">
        <v>8</v>
      </c>
      <c r="E141" s="76">
        <v>1</v>
      </c>
      <c r="F141" s="76">
        <v>4.43</v>
      </c>
      <c r="G141" s="76">
        <v>47</v>
      </c>
      <c r="H141" s="76">
        <v>0</v>
      </c>
      <c r="I141" s="76">
        <v>0</v>
      </c>
      <c r="J141" s="76">
        <v>0</v>
      </c>
      <c r="K141" s="76">
        <v>0</v>
      </c>
      <c r="L141" s="76">
        <v>3</v>
      </c>
      <c r="M141" s="76">
        <v>65</v>
      </c>
      <c r="N141" s="76">
        <v>55</v>
      </c>
      <c r="O141" s="76">
        <v>33</v>
      </c>
      <c r="P141" s="76">
        <v>32</v>
      </c>
      <c r="Q141" s="76">
        <v>10</v>
      </c>
      <c r="R141" s="76">
        <v>22</v>
      </c>
      <c r="S141" s="76">
        <v>0</v>
      </c>
      <c r="T141" s="76">
        <v>95</v>
      </c>
      <c r="U141" s="76">
        <v>270</v>
      </c>
      <c r="V141" s="76">
        <v>65</v>
      </c>
      <c r="W141" s="76">
        <v>0.224</v>
      </c>
      <c r="X141" s="76">
        <v>1.18</v>
      </c>
      <c r="Y141" s="76"/>
      <c r="Z141" s="76">
        <v>12</v>
      </c>
      <c r="AA141" t="s">
        <v>1185</v>
      </c>
      <c r="AB141" s="76" t="s">
        <v>164</v>
      </c>
      <c r="AC141" s="76">
        <v>0</v>
      </c>
      <c r="AD141" s="76">
        <v>0</v>
      </c>
      <c r="AE141" s="76">
        <v>17</v>
      </c>
      <c r="AF141" s="76">
        <v>5</v>
      </c>
      <c r="AG141" s="76">
        <v>1</v>
      </c>
      <c r="AH141" s="76">
        <v>42</v>
      </c>
      <c r="AI141" s="76">
        <v>56</v>
      </c>
      <c r="AJ141" s="76">
        <v>6</v>
      </c>
      <c r="AK141" s="76">
        <v>0</v>
      </c>
      <c r="AL141" s="76">
        <v>5</v>
      </c>
      <c r="AM141" s="76">
        <v>1</v>
      </c>
      <c r="AN141" s="76">
        <v>0</v>
      </c>
      <c r="AO141" s="76">
        <v>1148</v>
      </c>
      <c r="AP141" s="202" t="s">
        <v>164</v>
      </c>
      <c r="AQ141" s="202">
        <v>0.5</v>
      </c>
      <c r="AR141" s="202">
        <v>1.41</v>
      </c>
      <c r="AS141" s="202">
        <v>0.36499999999999999</v>
      </c>
      <c r="AT141" s="202">
        <v>0.44700000000000001</v>
      </c>
      <c r="AU141" s="202">
        <v>0.81100000000000005</v>
      </c>
      <c r="AV141" s="202">
        <v>6.34</v>
      </c>
      <c r="AW141" s="202">
        <v>3.99</v>
      </c>
      <c r="AX141" s="202">
        <v>10.33</v>
      </c>
      <c r="AY141" s="202">
        <v>1.59</v>
      </c>
      <c r="AZ141" s="202">
        <v>17.09</v>
      </c>
    </row>
    <row r="142" spans="1:52" x14ac:dyDescent="0.2">
      <c r="A142" s="76">
        <v>19</v>
      </c>
      <c r="B142" t="s">
        <v>550</v>
      </c>
      <c r="C142" s="76" t="s">
        <v>164</v>
      </c>
      <c r="D142" s="76">
        <v>0</v>
      </c>
      <c r="E142" s="76">
        <v>0</v>
      </c>
      <c r="F142" s="76">
        <v>6.89</v>
      </c>
      <c r="G142" s="76">
        <v>15</v>
      </c>
      <c r="H142" s="76">
        <v>0</v>
      </c>
      <c r="I142" s="76">
        <v>0</v>
      </c>
      <c r="J142" s="76">
        <v>0</v>
      </c>
      <c r="K142" s="76">
        <v>0</v>
      </c>
      <c r="L142" s="76">
        <v>0</v>
      </c>
      <c r="M142" s="76">
        <v>15.2</v>
      </c>
      <c r="N142" s="76">
        <v>23</v>
      </c>
      <c r="O142" s="76">
        <v>14</v>
      </c>
      <c r="P142" s="76">
        <v>12</v>
      </c>
      <c r="Q142" s="76">
        <v>2</v>
      </c>
      <c r="R142" s="76">
        <v>3</v>
      </c>
      <c r="S142" s="76">
        <v>0</v>
      </c>
      <c r="T142" s="76">
        <v>20</v>
      </c>
      <c r="U142" s="76">
        <v>71</v>
      </c>
      <c r="V142" s="76">
        <v>15.2</v>
      </c>
      <c r="W142" s="76">
        <v>0.34300000000000003</v>
      </c>
      <c r="X142" s="76">
        <v>1.66</v>
      </c>
      <c r="Y142" s="76"/>
      <c r="Z142" s="76">
        <v>19</v>
      </c>
      <c r="AA142" t="s">
        <v>550</v>
      </c>
      <c r="AB142" s="76" t="s">
        <v>164</v>
      </c>
      <c r="AC142" s="76">
        <v>0</v>
      </c>
      <c r="AD142" s="76">
        <v>0</v>
      </c>
      <c r="AE142" s="76">
        <v>7</v>
      </c>
      <c r="AF142" s="76">
        <v>0</v>
      </c>
      <c r="AG142" s="76">
        <v>2</v>
      </c>
      <c r="AH142" s="76">
        <v>10</v>
      </c>
      <c r="AI142" s="76">
        <v>15</v>
      </c>
      <c r="AJ142" s="76">
        <v>0</v>
      </c>
      <c r="AK142" s="76">
        <v>0</v>
      </c>
      <c r="AL142" s="76">
        <v>0</v>
      </c>
      <c r="AM142" s="76">
        <v>0</v>
      </c>
      <c r="AN142" s="76">
        <v>0</v>
      </c>
      <c r="AO142" s="76">
        <v>267</v>
      </c>
      <c r="AP142" s="202" t="s">
        <v>164</v>
      </c>
      <c r="AQ142" s="202">
        <v>0.5</v>
      </c>
      <c r="AR142" s="202">
        <v>0.64</v>
      </c>
      <c r="AS142" s="202">
        <v>0.316</v>
      </c>
      <c r="AT142" s="202">
        <v>0.40400000000000003</v>
      </c>
      <c r="AU142" s="202">
        <v>0.72</v>
      </c>
      <c r="AV142" s="202">
        <v>9.3800000000000008</v>
      </c>
      <c r="AW142" s="202">
        <v>3.4</v>
      </c>
      <c r="AX142" s="202">
        <v>8.08</v>
      </c>
      <c r="AY142" s="202">
        <v>2.76</v>
      </c>
      <c r="AZ142" s="202">
        <v>17.53</v>
      </c>
    </row>
    <row r="143" spans="1:52" x14ac:dyDescent="0.2">
      <c r="A143" s="76">
        <v>13</v>
      </c>
      <c r="B143" s="41" t="s">
        <v>410</v>
      </c>
      <c r="C143" s="76" t="s">
        <v>164</v>
      </c>
      <c r="D143" s="76">
        <v>11</v>
      </c>
      <c r="E143" s="76">
        <v>8</v>
      </c>
      <c r="F143" s="76">
        <v>4.4800000000000004</v>
      </c>
      <c r="G143" s="76">
        <v>31</v>
      </c>
      <c r="H143" s="76">
        <v>30</v>
      </c>
      <c r="I143" s="76">
        <v>0</v>
      </c>
      <c r="J143" s="76">
        <v>0</v>
      </c>
      <c r="K143" s="76">
        <v>0</v>
      </c>
      <c r="L143" s="76">
        <v>0</v>
      </c>
      <c r="M143" s="76">
        <v>168.2</v>
      </c>
      <c r="N143" s="76">
        <v>187</v>
      </c>
      <c r="O143" s="76">
        <v>89</v>
      </c>
      <c r="P143" s="76">
        <v>84</v>
      </c>
      <c r="Q143" s="76">
        <v>26</v>
      </c>
      <c r="R143" s="76">
        <v>42</v>
      </c>
      <c r="S143" s="76">
        <v>0</v>
      </c>
      <c r="T143" s="76">
        <v>134</v>
      </c>
      <c r="U143" s="76">
        <v>724</v>
      </c>
      <c r="V143" s="76">
        <v>168.2</v>
      </c>
      <c r="W143" s="76">
        <v>0.28000000000000003</v>
      </c>
      <c r="X143" s="76">
        <v>1.36</v>
      </c>
      <c r="Y143" s="76"/>
      <c r="Z143" s="76">
        <v>13</v>
      </c>
      <c r="AA143" t="s">
        <v>410</v>
      </c>
      <c r="AB143" s="76" t="s">
        <v>164</v>
      </c>
      <c r="AC143" s="76">
        <v>7</v>
      </c>
      <c r="AD143" s="76">
        <v>0</v>
      </c>
      <c r="AE143" s="76">
        <v>0</v>
      </c>
      <c r="AF143" s="76">
        <v>0</v>
      </c>
      <c r="AG143" s="76">
        <v>6</v>
      </c>
      <c r="AH143" s="76">
        <v>177</v>
      </c>
      <c r="AI143" s="76">
        <v>177</v>
      </c>
      <c r="AJ143" s="76">
        <v>17</v>
      </c>
      <c r="AK143" s="76">
        <v>0</v>
      </c>
      <c r="AL143" s="76">
        <v>5</v>
      </c>
      <c r="AM143" s="76">
        <v>7</v>
      </c>
      <c r="AN143" s="76">
        <v>1</v>
      </c>
      <c r="AO143" s="76">
        <v>2771</v>
      </c>
      <c r="AP143" s="202" t="s">
        <v>164</v>
      </c>
      <c r="AQ143" s="202">
        <v>0</v>
      </c>
      <c r="AR143" s="202">
        <v>0.56999999999999995</v>
      </c>
      <c r="AS143" s="202">
        <v>0.36399999999999999</v>
      </c>
      <c r="AT143" s="202">
        <v>0.44400000000000001</v>
      </c>
      <c r="AU143" s="202">
        <v>0.80800000000000005</v>
      </c>
      <c r="AV143" s="202">
        <v>5.4</v>
      </c>
      <c r="AW143" s="202">
        <v>3.6</v>
      </c>
      <c r="AX143" s="202">
        <v>9</v>
      </c>
      <c r="AY143" s="202">
        <v>1.5</v>
      </c>
      <c r="AZ143" s="202">
        <v>17</v>
      </c>
    </row>
    <row r="144" spans="1:52" x14ac:dyDescent="0.2">
      <c r="A144" s="76">
        <v>16</v>
      </c>
      <c r="B144" s="41" t="s">
        <v>541</v>
      </c>
      <c r="C144" s="76" t="s">
        <v>164</v>
      </c>
      <c r="D144" s="76">
        <v>12</v>
      </c>
      <c r="E144" s="76">
        <v>13</v>
      </c>
      <c r="F144" s="76">
        <v>4.6399999999999997</v>
      </c>
      <c r="G144" s="76">
        <v>32</v>
      </c>
      <c r="H144" s="76">
        <v>32</v>
      </c>
      <c r="I144" s="76">
        <v>0</v>
      </c>
      <c r="J144" s="76">
        <v>0</v>
      </c>
      <c r="K144" s="76">
        <v>0</v>
      </c>
      <c r="L144" s="76">
        <v>0</v>
      </c>
      <c r="M144" s="76">
        <v>180.1</v>
      </c>
      <c r="N144" s="76">
        <v>195</v>
      </c>
      <c r="O144" s="76">
        <v>98</v>
      </c>
      <c r="P144" s="76">
        <v>93</v>
      </c>
      <c r="Q144" s="76">
        <v>24</v>
      </c>
      <c r="R144" s="76">
        <v>62</v>
      </c>
      <c r="S144" s="76">
        <v>1</v>
      </c>
      <c r="T144" s="76">
        <v>115</v>
      </c>
      <c r="U144" s="76">
        <v>779</v>
      </c>
      <c r="V144" s="76">
        <v>180.1</v>
      </c>
      <c r="W144" s="76">
        <v>0.27600000000000002</v>
      </c>
      <c r="X144" s="76">
        <v>1.43</v>
      </c>
      <c r="Y144" s="76"/>
      <c r="Z144" s="76">
        <v>16</v>
      </c>
      <c r="AA144" t="s">
        <v>541</v>
      </c>
      <c r="AB144" s="76" t="s">
        <v>164</v>
      </c>
      <c r="AC144" s="76">
        <v>7</v>
      </c>
      <c r="AD144" s="76">
        <v>1</v>
      </c>
      <c r="AE144" s="76">
        <v>0</v>
      </c>
      <c r="AF144" s="76">
        <v>0</v>
      </c>
      <c r="AG144" s="76">
        <v>20</v>
      </c>
      <c r="AH144" s="76">
        <v>215</v>
      </c>
      <c r="AI144" s="76">
        <v>184</v>
      </c>
      <c r="AJ144" s="76">
        <v>10</v>
      </c>
      <c r="AK144" s="76">
        <v>0</v>
      </c>
      <c r="AL144" s="76">
        <v>3</v>
      </c>
      <c r="AM144" s="76">
        <v>3</v>
      </c>
      <c r="AN144" s="76">
        <v>0</v>
      </c>
      <c r="AO144" s="76">
        <v>3000</v>
      </c>
      <c r="AP144" s="202" t="s">
        <v>164</v>
      </c>
      <c r="AQ144" s="202">
        <v>0.42899999999999999</v>
      </c>
      <c r="AR144" s="202">
        <v>0.7</v>
      </c>
      <c r="AS144" s="202">
        <v>0.26600000000000001</v>
      </c>
      <c r="AT144" s="202">
        <v>0.34</v>
      </c>
      <c r="AU144" s="202">
        <v>0.60599999999999998</v>
      </c>
      <c r="AV144" s="202">
        <v>10.27</v>
      </c>
      <c r="AW144" s="202">
        <v>2.48</v>
      </c>
      <c r="AX144" s="202">
        <v>6.79</v>
      </c>
      <c r="AY144" s="202">
        <v>4.13</v>
      </c>
      <c r="AZ144" s="202">
        <v>15.7</v>
      </c>
    </row>
    <row r="145" spans="1:52" x14ac:dyDescent="0.2">
      <c r="A145" s="76">
        <v>10</v>
      </c>
      <c r="B145" s="41" t="s">
        <v>774</v>
      </c>
      <c r="C145" s="76" t="s">
        <v>164</v>
      </c>
      <c r="D145" s="76">
        <v>2</v>
      </c>
      <c r="E145" s="76">
        <v>5</v>
      </c>
      <c r="F145" s="76">
        <v>4.1100000000000003</v>
      </c>
      <c r="G145" s="76">
        <v>69</v>
      </c>
      <c r="H145" s="76">
        <v>0</v>
      </c>
      <c r="I145" s="76">
        <v>0</v>
      </c>
      <c r="J145" s="76">
        <v>0</v>
      </c>
      <c r="K145" s="76">
        <v>15</v>
      </c>
      <c r="L145" s="76">
        <v>20</v>
      </c>
      <c r="M145" s="76">
        <v>65.2</v>
      </c>
      <c r="N145" s="76">
        <v>60</v>
      </c>
      <c r="O145" s="76">
        <v>32</v>
      </c>
      <c r="P145" s="76">
        <v>30</v>
      </c>
      <c r="Q145" s="76">
        <v>8</v>
      </c>
      <c r="R145" s="76">
        <v>25</v>
      </c>
      <c r="S145" s="76">
        <v>1</v>
      </c>
      <c r="T145" s="76">
        <v>102</v>
      </c>
      <c r="U145" s="76">
        <v>286</v>
      </c>
      <c r="V145" s="76">
        <v>65.2</v>
      </c>
      <c r="W145" s="76">
        <v>0.23400000000000001</v>
      </c>
      <c r="X145" s="76">
        <v>1.29</v>
      </c>
      <c r="Y145" s="76"/>
      <c r="Z145" s="76">
        <v>10</v>
      </c>
      <c r="AA145" t="s">
        <v>774</v>
      </c>
      <c r="AB145" s="76" t="s">
        <v>164</v>
      </c>
      <c r="AC145" s="76">
        <v>2</v>
      </c>
      <c r="AD145" s="76">
        <v>1</v>
      </c>
      <c r="AE145" s="76">
        <v>24</v>
      </c>
      <c r="AF145" s="76">
        <v>18</v>
      </c>
      <c r="AG145" s="76">
        <v>0</v>
      </c>
      <c r="AH145" s="76">
        <v>50</v>
      </c>
      <c r="AI145" s="76">
        <v>47</v>
      </c>
      <c r="AJ145" s="76">
        <v>14</v>
      </c>
      <c r="AK145" s="76">
        <v>0</v>
      </c>
      <c r="AL145" s="76">
        <v>5</v>
      </c>
      <c r="AM145" s="76">
        <v>0</v>
      </c>
      <c r="AN145" s="76">
        <v>0</v>
      </c>
      <c r="AO145" s="76">
        <v>1117</v>
      </c>
      <c r="AP145" s="202" t="s">
        <v>164</v>
      </c>
      <c r="AQ145" s="202">
        <v>0.73099999999999998</v>
      </c>
      <c r="AR145" s="202">
        <v>1.1000000000000001</v>
      </c>
      <c r="AS145" s="202">
        <v>0.315</v>
      </c>
      <c r="AT145" s="202">
        <v>0.39</v>
      </c>
      <c r="AU145" s="202">
        <v>0.70499999999999996</v>
      </c>
      <c r="AV145" s="202">
        <v>7.56</v>
      </c>
      <c r="AW145" s="202">
        <v>2.34</v>
      </c>
      <c r="AX145" s="202">
        <v>9.15</v>
      </c>
      <c r="AY145" s="202">
        <v>3.23</v>
      </c>
      <c r="AZ145" s="202">
        <v>15.91</v>
      </c>
    </row>
    <row r="146" spans="1:52" x14ac:dyDescent="0.2">
      <c r="A146" s="76">
        <v>6</v>
      </c>
      <c r="B146" s="41" t="s">
        <v>440</v>
      </c>
      <c r="C146" s="76" t="s">
        <v>164</v>
      </c>
      <c r="D146" s="76">
        <v>4</v>
      </c>
      <c r="E146" s="76">
        <v>3</v>
      </c>
      <c r="F146" s="76">
        <v>3.28</v>
      </c>
      <c r="G146" s="76">
        <v>59</v>
      </c>
      <c r="H146" s="76">
        <v>0</v>
      </c>
      <c r="I146" s="76">
        <v>0</v>
      </c>
      <c r="J146" s="76">
        <v>0</v>
      </c>
      <c r="K146" s="76">
        <v>15</v>
      </c>
      <c r="L146" s="76">
        <v>21</v>
      </c>
      <c r="M146" s="76">
        <v>57.2</v>
      </c>
      <c r="N146" s="76">
        <v>38</v>
      </c>
      <c r="O146" s="76">
        <v>23</v>
      </c>
      <c r="P146" s="76">
        <v>21</v>
      </c>
      <c r="Q146" s="76">
        <v>5</v>
      </c>
      <c r="R146" s="76">
        <v>18</v>
      </c>
      <c r="S146" s="76">
        <v>2</v>
      </c>
      <c r="T146" s="76">
        <v>67</v>
      </c>
      <c r="U146" s="76">
        <v>230</v>
      </c>
      <c r="V146" s="76">
        <v>57.2</v>
      </c>
      <c r="W146" s="76">
        <v>0.183</v>
      </c>
      <c r="X146" s="76">
        <v>0.97</v>
      </c>
      <c r="Y146" s="76"/>
      <c r="Z146" s="76">
        <v>6</v>
      </c>
      <c r="AA146" t="s">
        <v>440</v>
      </c>
      <c r="AB146" s="76" t="s">
        <v>164</v>
      </c>
      <c r="AC146" s="76">
        <v>2</v>
      </c>
      <c r="AD146" s="76">
        <v>2</v>
      </c>
      <c r="AE146" s="76">
        <v>25</v>
      </c>
      <c r="AF146" s="76">
        <v>15</v>
      </c>
      <c r="AG146" s="76">
        <v>3</v>
      </c>
      <c r="AH146" s="76">
        <v>75</v>
      </c>
      <c r="AI146" s="76">
        <v>30</v>
      </c>
      <c r="AJ146" s="76">
        <v>6</v>
      </c>
      <c r="AK146" s="76">
        <v>0</v>
      </c>
      <c r="AL146" s="76">
        <v>7</v>
      </c>
      <c r="AM146" s="76">
        <v>1</v>
      </c>
      <c r="AN146" s="76">
        <v>0</v>
      </c>
      <c r="AO146" s="76">
        <v>852</v>
      </c>
      <c r="AP146" s="202" t="s">
        <v>164</v>
      </c>
      <c r="AQ146" s="202">
        <v>0.375</v>
      </c>
      <c r="AR146" s="202">
        <v>1.3</v>
      </c>
      <c r="AS146" s="202">
        <v>0.32800000000000001</v>
      </c>
      <c r="AT146" s="202">
        <v>0.44600000000000001</v>
      </c>
      <c r="AU146" s="202">
        <v>0.77400000000000002</v>
      </c>
      <c r="AV146" s="202">
        <v>4.46</v>
      </c>
      <c r="AW146" s="202">
        <v>2.76</v>
      </c>
      <c r="AX146" s="202">
        <v>9.57</v>
      </c>
      <c r="AY146" s="202">
        <v>1.62</v>
      </c>
      <c r="AZ146" s="202">
        <v>15.56</v>
      </c>
    </row>
    <row r="147" spans="1:52" x14ac:dyDescent="0.2">
      <c r="A147" s="76">
        <v>7</v>
      </c>
      <c r="B147" t="s">
        <v>1329</v>
      </c>
      <c r="C147" s="76" t="s">
        <v>164</v>
      </c>
      <c r="D147" s="76">
        <v>1</v>
      </c>
      <c r="E147" s="76">
        <v>0</v>
      </c>
      <c r="F147" s="76">
        <v>3.52</v>
      </c>
      <c r="G147" s="76">
        <v>14</v>
      </c>
      <c r="H147" s="76">
        <v>0</v>
      </c>
      <c r="I147" s="76">
        <v>0</v>
      </c>
      <c r="J147" s="76">
        <v>0</v>
      </c>
      <c r="K147" s="76">
        <v>0</v>
      </c>
      <c r="L147" s="76">
        <v>0</v>
      </c>
      <c r="M147" s="76">
        <v>15.1</v>
      </c>
      <c r="N147" s="76">
        <v>13</v>
      </c>
      <c r="O147" s="76">
        <v>6</v>
      </c>
      <c r="P147" s="76">
        <v>6</v>
      </c>
      <c r="Q147" s="76">
        <v>2</v>
      </c>
      <c r="R147" s="76">
        <v>4</v>
      </c>
      <c r="S147" s="76">
        <v>0</v>
      </c>
      <c r="T147" s="76">
        <v>16</v>
      </c>
      <c r="U147" s="76">
        <v>60</v>
      </c>
      <c r="V147" s="76">
        <v>15.1</v>
      </c>
      <c r="W147" s="76">
        <v>0.23200000000000001</v>
      </c>
      <c r="X147" s="76">
        <v>1.1100000000000001</v>
      </c>
      <c r="Y147" s="76"/>
      <c r="Z147" s="76">
        <v>7</v>
      </c>
      <c r="AA147" t="s">
        <v>1329</v>
      </c>
      <c r="AB147" s="76" t="s">
        <v>164</v>
      </c>
      <c r="AC147" s="76">
        <v>0</v>
      </c>
      <c r="AD147" s="76">
        <v>0</v>
      </c>
      <c r="AE147" s="76">
        <v>4</v>
      </c>
      <c r="AF147" s="76">
        <v>0</v>
      </c>
      <c r="AG147" s="76">
        <v>1</v>
      </c>
      <c r="AH147" s="76">
        <v>13</v>
      </c>
      <c r="AI147" s="76">
        <v>14</v>
      </c>
      <c r="AJ147" s="76">
        <v>2</v>
      </c>
      <c r="AK147" s="76">
        <v>0</v>
      </c>
      <c r="AL147" s="76">
        <v>1</v>
      </c>
      <c r="AM147" s="76">
        <v>2</v>
      </c>
      <c r="AN147" s="76">
        <v>1</v>
      </c>
      <c r="AO147" s="76">
        <v>238</v>
      </c>
      <c r="AP147" s="202" t="s">
        <v>164</v>
      </c>
      <c r="AQ147" s="202">
        <v>0.25</v>
      </c>
      <c r="AR147" s="202">
        <v>0.83</v>
      </c>
      <c r="AS147" s="202">
        <v>0.33600000000000002</v>
      </c>
      <c r="AT147" s="202">
        <v>0.45300000000000001</v>
      </c>
      <c r="AU147" s="202">
        <v>0.79</v>
      </c>
      <c r="AV147" s="202">
        <v>6.63</v>
      </c>
      <c r="AW147" s="202">
        <v>2.95</v>
      </c>
      <c r="AX147" s="202">
        <v>9.57</v>
      </c>
      <c r="AY147" s="202">
        <v>2.25</v>
      </c>
      <c r="AZ147" s="202">
        <v>16.88</v>
      </c>
    </row>
    <row r="148" spans="1:52" x14ac:dyDescent="0.2">
      <c r="A148" s="76">
        <v>2</v>
      </c>
      <c r="B148" s="41" t="s">
        <v>321</v>
      </c>
      <c r="C148" s="76" t="s">
        <v>164</v>
      </c>
      <c r="D148" s="76">
        <v>1</v>
      </c>
      <c r="E148" s="76">
        <v>2</v>
      </c>
      <c r="F148" s="76">
        <v>2.25</v>
      </c>
      <c r="G148" s="76">
        <v>66</v>
      </c>
      <c r="H148" s="76">
        <v>0</v>
      </c>
      <c r="I148" s="76">
        <v>0</v>
      </c>
      <c r="J148" s="76">
        <v>0</v>
      </c>
      <c r="K148" s="76">
        <v>12</v>
      </c>
      <c r="L148" s="76">
        <v>15</v>
      </c>
      <c r="M148" s="76">
        <v>64</v>
      </c>
      <c r="N148" s="76">
        <v>52</v>
      </c>
      <c r="O148" s="76">
        <v>17</v>
      </c>
      <c r="P148" s="76">
        <v>16</v>
      </c>
      <c r="Q148" s="76">
        <v>3</v>
      </c>
      <c r="R148" s="76">
        <v>15</v>
      </c>
      <c r="S148" s="76">
        <v>1</v>
      </c>
      <c r="T148" s="76">
        <v>69</v>
      </c>
      <c r="U148" s="76">
        <v>255</v>
      </c>
      <c r="V148" s="76">
        <v>64</v>
      </c>
      <c r="W148" s="76">
        <v>0.22</v>
      </c>
      <c r="X148" s="76">
        <v>1.05</v>
      </c>
      <c r="Y148" s="76"/>
      <c r="Z148" s="76">
        <v>2</v>
      </c>
      <c r="AA148" t="s">
        <v>321</v>
      </c>
      <c r="AB148" s="76" t="s">
        <v>164</v>
      </c>
      <c r="AC148" s="76">
        <v>1</v>
      </c>
      <c r="AD148" s="76">
        <v>1</v>
      </c>
      <c r="AE148" s="76">
        <v>19</v>
      </c>
      <c r="AF148" s="76">
        <v>28</v>
      </c>
      <c r="AG148" s="76">
        <v>6</v>
      </c>
      <c r="AH148" s="76">
        <v>72</v>
      </c>
      <c r="AI148" s="76">
        <v>46</v>
      </c>
      <c r="AJ148" s="76">
        <v>4</v>
      </c>
      <c r="AK148" s="76">
        <v>0</v>
      </c>
      <c r="AL148" s="76">
        <v>11</v>
      </c>
      <c r="AM148" s="76">
        <v>1</v>
      </c>
      <c r="AN148" s="76">
        <v>0</v>
      </c>
      <c r="AO148" s="76">
        <v>1045</v>
      </c>
      <c r="AP148" s="202" t="s">
        <v>164</v>
      </c>
      <c r="AQ148" s="202">
        <v>0.8</v>
      </c>
      <c r="AR148" s="202">
        <v>0.56999999999999995</v>
      </c>
      <c r="AS148" s="202">
        <v>0.28499999999999998</v>
      </c>
      <c r="AT148" s="202">
        <v>0.317</v>
      </c>
      <c r="AU148" s="202">
        <v>0.60199999999999998</v>
      </c>
      <c r="AV148" s="202">
        <v>11.9</v>
      </c>
      <c r="AW148" s="202">
        <v>3.38</v>
      </c>
      <c r="AX148" s="202">
        <v>6.93</v>
      </c>
      <c r="AY148" s="202">
        <v>3.53</v>
      </c>
      <c r="AZ148" s="202">
        <v>16.97</v>
      </c>
    </row>
    <row r="149" spans="1:52" x14ac:dyDescent="0.2">
      <c r="A149" s="76">
        <v>14</v>
      </c>
      <c r="B149" s="41" t="s">
        <v>1331</v>
      </c>
      <c r="C149" s="76" t="s">
        <v>164</v>
      </c>
      <c r="D149" s="76">
        <v>1</v>
      </c>
      <c r="E149" s="76">
        <v>1</v>
      </c>
      <c r="F149" s="76">
        <v>4.5</v>
      </c>
      <c r="G149" s="76">
        <v>22</v>
      </c>
      <c r="H149" s="76">
        <v>0</v>
      </c>
      <c r="I149" s="76">
        <v>0</v>
      </c>
      <c r="J149" s="76">
        <v>0</v>
      </c>
      <c r="K149" s="76">
        <v>0</v>
      </c>
      <c r="L149" s="76">
        <v>1</v>
      </c>
      <c r="M149" s="76">
        <v>22</v>
      </c>
      <c r="N149" s="76">
        <v>16</v>
      </c>
      <c r="O149" s="76">
        <v>12</v>
      </c>
      <c r="P149" s="76">
        <v>11</v>
      </c>
      <c r="Q149" s="76">
        <v>5</v>
      </c>
      <c r="R149" s="76">
        <v>9</v>
      </c>
      <c r="S149" s="76">
        <v>1</v>
      </c>
      <c r="T149" s="76">
        <v>28</v>
      </c>
      <c r="U149" s="76">
        <v>91</v>
      </c>
      <c r="V149" s="76">
        <v>22</v>
      </c>
      <c r="W149" s="76">
        <v>0.20300000000000001</v>
      </c>
      <c r="X149" s="76">
        <v>1.1399999999999999</v>
      </c>
      <c r="Y149" s="76"/>
      <c r="Z149" s="76">
        <v>14</v>
      </c>
      <c r="AA149" t="s">
        <v>1331</v>
      </c>
      <c r="AB149" s="76" t="s">
        <v>164</v>
      </c>
      <c r="AC149" s="76">
        <v>1</v>
      </c>
      <c r="AD149" s="76">
        <v>1</v>
      </c>
      <c r="AE149" s="76">
        <v>7</v>
      </c>
      <c r="AF149" s="76">
        <v>1</v>
      </c>
      <c r="AG149" s="76">
        <v>1</v>
      </c>
      <c r="AH149" s="76">
        <v>24</v>
      </c>
      <c r="AI149" s="76">
        <v>13</v>
      </c>
      <c r="AJ149" s="76">
        <v>3</v>
      </c>
      <c r="AK149" s="76">
        <v>0</v>
      </c>
      <c r="AL149" s="76">
        <v>1</v>
      </c>
      <c r="AM149" s="76">
        <v>0</v>
      </c>
      <c r="AN149" s="76">
        <v>0</v>
      </c>
      <c r="AO149" s="76">
        <v>375</v>
      </c>
      <c r="AP149" s="202" t="s">
        <v>164</v>
      </c>
      <c r="AQ149" s="202">
        <v>0</v>
      </c>
      <c r="AR149" s="202">
        <v>0.53</v>
      </c>
      <c r="AS149" s="202">
        <v>0.32700000000000001</v>
      </c>
      <c r="AT149" s="202">
        <v>0.47099999999999997</v>
      </c>
      <c r="AU149" s="202">
        <v>0.79800000000000004</v>
      </c>
      <c r="AV149" s="202">
        <v>10.5</v>
      </c>
      <c r="AW149" s="202">
        <v>3</v>
      </c>
      <c r="AX149" s="202">
        <v>10.5</v>
      </c>
      <c r="AY149" s="202">
        <v>3.5</v>
      </c>
      <c r="AZ149" s="202">
        <v>17.920000000000002</v>
      </c>
    </row>
    <row r="150" spans="1:52" x14ac:dyDescent="0.2">
      <c r="A150" s="76">
        <v>15</v>
      </c>
      <c r="B150" s="41" t="s">
        <v>551</v>
      </c>
      <c r="C150" s="76" t="s">
        <v>164</v>
      </c>
      <c r="D150" s="76">
        <v>9</v>
      </c>
      <c r="E150" s="76">
        <v>12</v>
      </c>
      <c r="F150" s="76">
        <v>4.55</v>
      </c>
      <c r="G150" s="76">
        <v>26</v>
      </c>
      <c r="H150" s="76">
        <v>26</v>
      </c>
      <c r="I150" s="76">
        <v>1</v>
      </c>
      <c r="J150" s="76">
        <v>1</v>
      </c>
      <c r="K150" s="76">
        <v>0</v>
      </c>
      <c r="L150" s="76">
        <v>0</v>
      </c>
      <c r="M150" s="76">
        <v>168</v>
      </c>
      <c r="N150" s="76">
        <v>168</v>
      </c>
      <c r="O150" s="76">
        <v>88</v>
      </c>
      <c r="P150" s="76">
        <v>85</v>
      </c>
      <c r="Q150" s="76">
        <v>20</v>
      </c>
      <c r="R150" s="76">
        <v>48</v>
      </c>
      <c r="S150" s="76">
        <v>1</v>
      </c>
      <c r="T150" s="76">
        <v>144</v>
      </c>
      <c r="U150" s="76">
        <v>701</v>
      </c>
      <c r="V150" s="76">
        <v>168</v>
      </c>
      <c r="W150" s="76">
        <v>0.25900000000000001</v>
      </c>
      <c r="X150" s="76">
        <v>1.29</v>
      </c>
      <c r="Y150" s="76"/>
      <c r="Z150" s="76">
        <v>15</v>
      </c>
      <c r="AA150" t="s">
        <v>551</v>
      </c>
      <c r="AB150" s="76" t="s">
        <v>164</v>
      </c>
      <c r="AC150" s="76">
        <v>2</v>
      </c>
      <c r="AD150" s="76">
        <v>1</v>
      </c>
      <c r="AE150" s="76">
        <v>0</v>
      </c>
      <c r="AF150" s="76">
        <v>0</v>
      </c>
      <c r="AG150" s="76">
        <v>16</v>
      </c>
      <c r="AH150" s="76">
        <v>227</v>
      </c>
      <c r="AI150" s="76">
        <v>112</v>
      </c>
      <c r="AJ150" s="76">
        <v>9</v>
      </c>
      <c r="AK150" s="76">
        <v>0</v>
      </c>
      <c r="AL150" s="76">
        <v>2</v>
      </c>
      <c r="AM150" s="76">
        <v>2</v>
      </c>
      <c r="AN150" s="76">
        <v>0</v>
      </c>
      <c r="AO150" s="76">
        <v>2670</v>
      </c>
      <c r="AP150" s="202" t="s">
        <v>164</v>
      </c>
      <c r="AQ150" s="202">
        <v>0.375</v>
      </c>
      <c r="AR150" s="202">
        <v>1.83</v>
      </c>
      <c r="AS150" s="202">
        <v>0.28399999999999997</v>
      </c>
      <c r="AT150" s="202">
        <v>0.39800000000000002</v>
      </c>
      <c r="AU150" s="202">
        <v>0.68100000000000005</v>
      </c>
      <c r="AV150" s="202">
        <v>8.39</v>
      </c>
      <c r="AW150" s="202">
        <v>1.64</v>
      </c>
      <c r="AX150" s="202">
        <v>8.39</v>
      </c>
      <c r="AY150" s="202">
        <v>5.1100000000000003</v>
      </c>
      <c r="AZ150" s="202">
        <v>14.86</v>
      </c>
    </row>
    <row r="151" spans="1:52" x14ac:dyDescent="0.2">
      <c r="A151" s="76">
        <v>20</v>
      </c>
      <c r="B151" t="s">
        <v>1333</v>
      </c>
      <c r="C151" s="76" t="s">
        <v>164</v>
      </c>
      <c r="D151" s="76">
        <v>0</v>
      </c>
      <c r="E151" s="76">
        <v>0</v>
      </c>
      <c r="F151" s="76">
        <v>9</v>
      </c>
      <c r="G151" s="76">
        <v>1</v>
      </c>
      <c r="H151" s="76">
        <v>0</v>
      </c>
      <c r="I151" s="76">
        <v>0</v>
      </c>
      <c r="J151" s="76">
        <v>0</v>
      </c>
      <c r="K151" s="76">
        <v>0</v>
      </c>
      <c r="L151" s="76">
        <v>0</v>
      </c>
      <c r="M151" s="76">
        <v>1</v>
      </c>
      <c r="N151" s="76">
        <v>3</v>
      </c>
      <c r="O151" s="76">
        <v>2</v>
      </c>
      <c r="P151" s="76">
        <v>1</v>
      </c>
      <c r="Q151" s="76">
        <v>0</v>
      </c>
      <c r="R151" s="76">
        <v>0</v>
      </c>
      <c r="S151" s="76">
        <v>0</v>
      </c>
      <c r="T151" s="76">
        <v>0</v>
      </c>
      <c r="U151" s="76">
        <v>6</v>
      </c>
      <c r="V151" s="76">
        <v>1</v>
      </c>
      <c r="W151" s="76">
        <v>0.5</v>
      </c>
      <c r="X151" s="76">
        <v>3</v>
      </c>
      <c r="Y151" s="76"/>
      <c r="Z151" s="76">
        <v>20</v>
      </c>
      <c r="AA151" t="s">
        <v>1333</v>
      </c>
      <c r="AB151" s="76" t="s">
        <v>164</v>
      </c>
      <c r="AC151" s="76">
        <v>0</v>
      </c>
      <c r="AD151" s="76">
        <v>0</v>
      </c>
      <c r="AE151" s="76">
        <v>1</v>
      </c>
      <c r="AF151" s="76">
        <v>0</v>
      </c>
      <c r="AG151" s="76">
        <v>0</v>
      </c>
      <c r="AH151" s="76">
        <v>2</v>
      </c>
      <c r="AI151" s="76">
        <v>1</v>
      </c>
      <c r="AJ151" s="76">
        <v>2</v>
      </c>
      <c r="AK151" s="76">
        <v>0</v>
      </c>
      <c r="AL151" s="76">
        <v>0</v>
      </c>
      <c r="AM151" s="76">
        <v>0</v>
      </c>
      <c r="AN151" s="76">
        <v>0</v>
      </c>
      <c r="AO151" s="76">
        <v>27</v>
      </c>
      <c r="AP151" s="102" t="s">
        <v>157</v>
      </c>
      <c r="AQ151" s="102" t="s">
        <v>1081</v>
      </c>
      <c r="AR151" s="102" t="s">
        <v>1068</v>
      </c>
      <c r="AS151" s="102" t="s">
        <v>1059</v>
      </c>
      <c r="AT151" s="102" t="s">
        <v>1060</v>
      </c>
      <c r="AU151" s="102" t="s">
        <v>1061</v>
      </c>
      <c r="AV151" s="102" t="s">
        <v>1092</v>
      </c>
      <c r="AW151" s="102" t="s">
        <v>1093</v>
      </c>
      <c r="AX151" s="102" t="s">
        <v>1094</v>
      </c>
      <c r="AY151" s="102" t="s">
        <v>1095</v>
      </c>
      <c r="AZ151" s="102" t="s">
        <v>1096</v>
      </c>
    </row>
    <row r="152" spans="1:52" x14ac:dyDescent="0.2">
      <c r="A152" s="76">
        <v>5</v>
      </c>
      <c r="B152" s="41" t="s">
        <v>1183</v>
      </c>
      <c r="C152" s="76" t="s">
        <v>164</v>
      </c>
      <c r="D152" s="76">
        <v>6</v>
      </c>
      <c r="E152" s="76">
        <v>5</v>
      </c>
      <c r="F152" s="76">
        <v>3.22</v>
      </c>
      <c r="G152" s="76">
        <v>14</v>
      </c>
      <c r="H152" s="76">
        <v>14</v>
      </c>
      <c r="I152" s="76">
        <v>0</v>
      </c>
      <c r="J152" s="76">
        <v>0</v>
      </c>
      <c r="K152" s="76">
        <v>0</v>
      </c>
      <c r="L152" s="76">
        <v>0</v>
      </c>
      <c r="M152" s="76">
        <v>81</v>
      </c>
      <c r="N152" s="76">
        <v>80</v>
      </c>
      <c r="O152" s="76">
        <v>29</v>
      </c>
      <c r="P152" s="76">
        <v>29</v>
      </c>
      <c r="Q152" s="76">
        <v>5</v>
      </c>
      <c r="R152" s="76">
        <v>45</v>
      </c>
      <c r="S152" s="76">
        <v>1</v>
      </c>
      <c r="T152" s="76">
        <v>106</v>
      </c>
      <c r="U152" s="76">
        <v>352</v>
      </c>
      <c r="V152" s="76">
        <v>81</v>
      </c>
      <c r="W152" s="76">
        <v>0.26100000000000001</v>
      </c>
      <c r="X152" s="76">
        <v>1.54</v>
      </c>
      <c r="Y152" s="76"/>
      <c r="Z152" s="76">
        <v>5</v>
      </c>
      <c r="AA152" t="s">
        <v>1183</v>
      </c>
      <c r="AB152" s="76" t="s">
        <v>164</v>
      </c>
      <c r="AC152" s="76">
        <v>0</v>
      </c>
      <c r="AD152" s="76">
        <v>1</v>
      </c>
      <c r="AE152" s="76">
        <v>0</v>
      </c>
      <c r="AF152" s="76">
        <v>0</v>
      </c>
      <c r="AG152" s="76">
        <v>10</v>
      </c>
      <c r="AH152" s="76">
        <v>85</v>
      </c>
      <c r="AI152" s="76">
        <v>36</v>
      </c>
      <c r="AJ152" s="76">
        <v>9</v>
      </c>
      <c r="AK152" s="76">
        <v>2</v>
      </c>
      <c r="AL152" s="76">
        <v>0</v>
      </c>
      <c r="AM152" s="76">
        <v>2</v>
      </c>
      <c r="AN152" s="76">
        <v>0</v>
      </c>
      <c r="AO152" s="76">
        <v>1342</v>
      </c>
      <c r="AP152" s="202" t="s">
        <v>164</v>
      </c>
      <c r="AQ152" s="202">
        <v>0.5</v>
      </c>
      <c r="AR152" s="202">
        <v>1.38</v>
      </c>
      <c r="AS152" s="202">
        <v>0.23699999999999999</v>
      </c>
      <c r="AT152" s="202">
        <v>0.28799999999999998</v>
      </c>
      <c r="AU152" s="202">
        <v>0.52500000000000002</v>
      </c>
      <c r="AV152" s="202">
        <v>8.6199999999999992</v>
      </c>
      <c r="AW152" s="202">
        <v>2.79</v>
      </c>
      <c r="AX152" s="202">
        <v>5.32</v>
      </c>
      <c r="AY152" s="202">
        <v>3.09</v>
      </c>
      <c r="AZ152" s="202">
        <v>15.87</v>
      </c>
    </row>
    <row r="153" spans="1:52" x14ac:dyDescent="0.2">
      <c r="A153" s="76">
        <v>11</v>
      </c>
      <c r="B153" s="41" t="s">
        <v>374</v>
      </c>
      <c r="C153" s="76" t="s">
        <v>164</v>
      </c>
      <c r="D153" s="76">
        <v>13</v>
      </c>
      <c r="E153" s="76">
        <v>10</v>
      </c>
      <c r="F153" s="76">
        <v>4.34</v>
      </c>
      <c r="G153" s="76">
        <v>33</v>
      </c>
      <c r="H153" s="76">
        <v>33</v>
      </c>
      <c r="I153" s="76">
        <v>1</v>
      </c>
      <c r="J153" s="76">
        <v>0</v>
      </c>
      <c r="K153" s="76">
        <v>0</v>
      </c>
      <c r="L153" s="76">
        <v>0</v>
      </c>
      <c r="M153" s="76">
        <v>184.2</v>
      </c>
      <c r="N153" s="76">
        <v>206</v>
      </c>
      <c r="O153" s="76">
        <v>92</v>
      </c>
      <c r="P153" s="76">
        <v>89</v>
      </c>
      <c r="Q153" s="76">
        <v>25</v>
      </c>
      <c r="R153" s="76">
        <v>54</v>
      </c>
      <c r="S153" s="76">
        <v>1</v>
      </c>
      <c r="T153" s="76">
        <v>177</v>
      </c>
      <c r="U153" s="76">
        <v>796</v>
      </c>
      <c r="V153" s="76">
        <v>184.2</v>
      </c>
      <c r="W153" s="76">
        <v>0.28199999999999997</v>
      </c>
      <c r="X153" s="76">
        <v>1.41</v>
      </c>
      <c r="Y153" s="76"/>
      <c r="Z153" s="76">
        <v>11</v>
      </c>
      <c r="AA153" t="s">
        <v>374</v>
      </c>
      <c r="AB153" s="76" t="s">
        <v>164</v>
      </c>
      <c r="AC153" s="76">
        <v>5</v>
      </c>
      <c r="AD153" s="76">
        <v>1</v>
      </c>
      <c r="AE153" s="76">
        <v>0</v>
      </c>
      <c r="AF153" s="76">
        <v>0</v>
      </c>
      <c r="AG153" s="76">
        <v>15</v>
      </c>
      <c r="AH153" s="76">
        <v>168</v>
      </c>
      <c r="AI153" s="76">
        <v>185</v>
      </c>
      <c r="AJ153" s="76">
        <v>9</v>
      </c>
      <c r="AK153" s="76">
        <v>0</v>
      </c>
      <c r="AL153" s="76">
        <v>4</v>
      </c>
      <c r="AM153" s="76">
        <v>3</v>
      </c>
      <c r="AN153" s="76">
        <v>0</v>
      </c>
      <c r="AO153" s="76">
        <v>3159</v>
      </c>
      <c r="AP153" s="202" t="s">
        <v>164</v>
      </c>
      <c r="AQ153" s="202">
        <v>0.33300000000000002</v>
      </c>
      <c r="AR153" s="202">
        <v>0.63</v>
      </c>
      <c r="AS153" s="202">
        <v>0.28799999999999998</v>
      </c>
      <c r="AT153" s="202">
        <v>0.42199999999999999</v>
      </c>
      <c r="AU153" s="202">
        <v>0.70899999999999996</v>
      </c>
      <c r="AV153" s="202">
        <v>8.4</v>
      </c>
      <c r="AW153" s="202">
        <v>1.98</v>
      </c>
      <c r="AX153" s="202">
        <v>8.07</v>
      </c>
      <c r="AY153" s="202">
        <v>4.25</v>
      </c>
      <c r="AZ153" s="202">
        <v>15.53</v>
      </c>
    </row>
    <row r="154" spans="1:52" x14ac:dyDescent="0.2">
      <c r="A154" s="76">
        <v>9</v>
      </c>
      <c r="B154" s="41" t="s">
        <v>1330</v>
      </c>
      <c r="C154" s="76" t="s">
        <v>164</v>
      </c>
      <c r="D154" s="76">
        <v>4</v>
      </c>
      <c r="E154" s="76">
        <v>4</v>
      </c>
      <c r="F154" s="76">
        <v>4.0599999999999996</v>
      </c>
      <c r="G154" s="76">
        <v>11</v>
      </c>
      <c r="H154" s="76">
        <v>10</v>
      </c>
      <c r="I154" s="76">
        <v>0</v>
      </c>
      <c r="J154" s="76">
        <v>0</v>
      </c>
      <c r="K154" s="76">
        <v>0</v>
      </c>
      <c r="L154" s="76">
        <v>0</v>
      </c>
      <c r="M154" s="76">
        <v>62</v>
      </c>
      <c r="N154" s="76">
        <v>59</v>
      </c>
      <c r="O154" s="76">
        <v>28</v>
      </c>
      <c r="P154" s="76">
        <v>28</v>
      </c>
      <c r="Q154" s="76">
        <v>9</v>
      </c>
      <c r="R154" s="76">
        <v>16</v>
      </c>
      <c r="S154" s="76">
        <v>0</v>
      </c>
      <c r="T154" s="76">
        <v>55</v>
      </c>
      <c r="U154" s="76">
        <v>256</v>
      </c>
      <c r="V154" s="76">
        <v>62</v>
      </c>
      <c r="W154" s="76">
        <v>0.25</v>
      </c>
      <c r="X154" s="76">
        <v>1.21</v>
      </c>
      <c r="Y154" s="76"/>
      <c r="Z154" s="76">
        <v>9</v>
      </c>
      <c r="AA154" t="s">
        <v>1330</v>
      </c>
      <c r="AB154" s="76" t="s">
        <v>164</v>
      </c>
      <c r="AC154" s="76">
        <v>3</v>
      </c>
      <c r="AD154" s="76">
        <v>0</v>
      </c>
      <c r="AE154" s="76">
        <v>1</v>
      </c>
      <c r="AF154" s="76">
        <v>0</v>
      </c>
      <c r="AG154" s="76">
        <v>4</v>
      </c>
      <c r="AH154" s="76">
        <v>66</v>
      </c>
      <c r="AI154" s="76">
        <v>57</v>
      </c>
      <c r="AJ154" s="76">
        <v>0</v>
      </c>
      <c r="AK154" s="76">
        <v>0</v>
      </c>
      <c r="AL154" s="76">
        <v>0</v>
      </c>
      <c r="AM154" s="76">
        <v>0</v>
      </c>
      <c r="AN154" s="76">
        <v>0</v>
      </c>
      <c r="AO154" s="76">
        <v>980</v>
      </c>
      <c r="AP154" s="202" t="s">
        <v>164</v>
      </c>
      <c r="AQ154" s="202">
        <v>0.46200000000000002</v>
      </c>
      <c r="AR154" s="202">
        <v>1.25</v>
      </c>
      <c r="AS154" s="202">
        <v>0.29599999999999999</v>
      </c>
      <c r="AT154" s="202">
        <v>0.36199999999999999</v>
      </c>
      <c r="AU154" s="202">
        <v>0.65900000000000003</v>
      </c>
      <c r="AV154" s="202">
        <v>9.24</v>
      </c>
      <c r="AW154" s="202">
        <v>3.08</v>
      </c>
      <c r="AX154" s="202">
        <v>7.59</v>
      </c>
      <c r="AY154" s="202">
        <v>3</v>
      </c>
      <c r="AZ154" s="202">
        <v>16.78</v>
      </c>
    </row>
    <row r="155" spans="1:52" x14ac:dyDescent="0.2">
      <c r="A155" s="76">
        <v>4</v>
      </c>
      <c r="B155" s="41" t="s">
        <v>599</v>
      </c>
      <c r="C155" s="76" t="s">
        <v>164</v>
      </c>
      <c r="D155" s="76">
        <v>2</v>
      </c>
      <c r="E155" s="76">
        <v>2</v>
      </c>
      <c r="F155" s="76">
        <v>3.06</v>
      </c>
      <c r="G155" s="76">
        <v>60</v>
      </c>
      <c r="H155" s="76">
        <v>0</v>
      </c>
      <c r="I155" s="76">
        <v>0</v>
      </c>
      <c r="J155" s="76">
        <v>0</v>
      </c>
      <c r="K155" s="76">
        <v>0</v>
      </c>
      <c r="L155" s="76">
        <v>0</v>
      </c>
      <c r="M155" s="76">
        <v>47</v>
      </c>
      <c r="N155" s="76">
        <v>33</v>
      </c>
      <c r="O155" s="76">
        <v>17</v>
      </c>
      <c r="P155" s="76">
        <v>16</v>
      </c>
      <c r="Q155" s="76">
        <v>6</v>
      </c>
      <c r="R155" s="76">
        <v>11</v>
      </c>
      <c r="S155" s="76">
        <v>7</v>
      </c>
      <c r="T155" s="76">
        <v>43</v>
      </c>
      <c r="U155" s="76">
        <v>185</v>
      </c>
      <c r="V155" s="76">
        <v>47</v>
      </c>
      <c r="W155" s="76">
        <v>0.19400000000000001</v>
      </c>
      <c r="X155" s="76">
        <v>0.94</v>
      </c>
      <c r="Y155" s="76"/>
      <c r="Z155" s="76">
        <v>4</v>
      </c>
      <c r="AA155" t="s">
        <v>599</v>
      </c>
      <c r="AB155" s="76" t="s">
        <v>164</v>
      </c>
      <c r="AC155" s="76">
        <v>0</v>
      </c>
      <c r="AD155" s="76">
        <v>7</v>
      </c>
      <c r="AE155" s="76">
        <v>9</v>
      </c>
      <c r="AF155" s="76">
        <v>18</v>
      </c>
      <c r="AG155" s="76">
        <v>2</v>
      </c>
      <c r="AH155" s="76">
        <v>41</v>
      </c>
      <c r="AI155" s="76">
        <v>57</v>
      </c>
      <c r="AJ155" s="76">
        <v>1</v>
      </c>
      <c r="AK155" s="76">
        <v>0</v>
      </c>
      <c r="AL155" s="76">
        <v>1</v>
      </c>
      <c r="AM155" s="76">
        <v>1</v>
      </c>
      <c r="AN155" s="76">
        <v>0</v>
      </c>
      <c r="AO155" s="76">
        <v>712</v>
      </c>
      <c r="AP155" s="202" t="s">
        <v>164</v>
      </c>
      <c r="AQ155" s="202">
        <v>0.7</v>
      </c>
      <c r="AR155" s="202">
        <v>2.16</v>
      </c>
      <c r="AS155" s="202">
        <v>0.253</v>
      </c>
      <c r="AT155" s="202">
        <v>0.32</v>
      </c>
      <c r="AU155" s="202">
        <v>0.57299999999999995</v>
      </c>
      <c r="AV155" s="202">
        <v>8.6999999999999993</v>
      </c>
      <c r="AW155" s="202">
        <v>1.48</v>
      </c>
      <c r="AX155" s="202">
        <v>7.08</v>
      </c>
      <c r="AY155" s="202">
        <v>5.9</v>
      </c>
      <c r="AZ155" s="202">
        <v>14.21</v>
      </c>
    </row>
    <row r="156" spans="1:52" x14ac:dyDescent="0.2">
      <c r="A156" s="76">
        <v>18</v>
      </c>
      <c r="B156" t="s">
        <v>1332</v>
      </c>
      <c r="C156" s="76" t="s">
        <v>164</v>
      </c>
      <c r="D156" s="76">
        <v>0</v>
      </c>
      <c r="E156" s="76">
        <v>1</v>
      </c>
      <c r="F156" s="76">
        <v>5.14</v>
      </c>
      <c r="G156" s="76">
        <v>3</v>
      </c>
      <c r="H156" s="76">
        <v>1</v>
      </c>
      <c r="I156" s="76">
        <v>0</v>
      </c>
      <c r="J156" s="76">
        <v>0</v>
      </c>
      <c r="K156" s="76">
        <v>0</v>
      </c>
      <c r="L156" s="76">
        <v>0</v>
      </c>
      <c r="M156" s="76">
        <v>7</v>
      </c>
      <c r="N156" s="76">
        <v>6</v>
      </c>
      <c r="O156" s="76">
        <v>4</v>
      </c>
      <c r="P156" s="76">
        <v>4</v>
      </c>
      <c r="Q156" s="76">
        <v>0</v>
      </c>
      <c r="R156" s="76">
        <v>3</v>
      </c>
      <c r="S156" s="76">
        <v>0</v>
      </c>
      <c r="T156" s="76">
        <v>2</v>
      </c>
      <c r="U156" s="76">
        <v>29</v>
      </c>
      <c r="V156" s="76">
        <v>7</v>
      </c>
      <c r="W156" s="76">
        <v>0.24</v>
      </c>
      <c r="X156" s="76">
        <v>1.29</v>
      </c>
      <c r="Y156" s="76"/>
      <c r="Z156" s="76">
        <v>18</v>
      </c>
      <c r="AA156" t="s">
        <v>1332</v>
      </c>
      <c r="AB156" s="76" t="s">
        <v>164</v>
      </c>
      <c r="AC156" s="76">
        <v>1</v>
      </c>
      <c r="AD156" s="76">
        <v>0</v>
      </c>
      <c r="AE156" s="76">
        <v>1</v>
      </c>
      <c r="AF156" s="76">
        <v>0</v>
      </c>
      <c r="AG156" s="76">
        <v>2</v>
      </c>
      <c r="AH156" s="76">
        <v>8</v>
      </c>
      <c r="AI156" s="76">
        <v>9</v>
      </c>
      <c r="AJ156" s="76">
        <v>2</v>
      </c>
      <c r="AK156" s="76">
        <v>0</v>
      </c>
      <c r="AL156" s="76">
        <v>1</v>
      </c>
      <c r="AM156" s="76">
        <v>0</v>
      </c>
      <c r="AN156" s="76">
        <v>0</v>
      </c>
      <c r="AO156" s="76">
        <v>126</v>
      </c>
      <c r="AP156" s="202" t="s">
        <v>164</v>
      </c>
      <c r="AQ156" s="202">
        <v>0.25</v>
      </c>
      <c r="AR156" s="202">
        <v>1.17</v>
      </c>
      <c r="AS156" s="202">
        <v>0.35699999999999998</v>
      </c>
      <c r="AT156" s="202">
        <v>0.36899999999999999</v>
      </c>
      <c r="AU156" s="202">
        <v>0.72599999999999998</v>
      </c>
      <c r="AV156" s="202">
        <v>10.32</v>
      </c>
      <c r="AW156" s="202">
        <v>4.76</v>
      </c>
      <c r="AX156" s="202">
        <v>9.1300000000000008</v>
      </c>
      <c r="AY156" s="202">
        <v>2.17</v>
      </c>
      <c r="AZ156" s="202">
        <v>18.13</v>
      </c>
    </row>
    <row r="157" spans="1:52" x14ac:dyDescent="0.2">
      <c r="A157" s="76">
        <v>8</v>
      </c>
      <c r="B157" t="s">
        <v>552</v>
      </c>
      <c r="C157" s="76" t="s">
        <v>164</v>
      </c>
      <c r="D157" s="76">
        <v>0</v>
      </c>
      <c r="E157" s="76">
        <v>1</v>
      </c>
      <c r="F157" s="76">
        <v>3.69</v>
      </c>
      <c r="G157" s="76">
        <v>10</v>
      </c>
      <c r="H157" s="76">
        <v>5</v>
      </c>
      <c r="I157" s="76">
        <v>0</v>
      </c>
      <c r="J157" s="76">
        <v>0</v>
      </c>
      <c r="K157" s="76">
        <v>0</v>
      </c>
      <c r="L157" s="76">
        <v>0</v>
      </c>
      <c r="M157" s="76">
        <v>31.2</v>
      </c>
      <c r="N157" s="76">
        <v>21</v>
      </c>
      <c r="O157" s="76">
        <v>15</v>
      </c>
      <c r="P157" s="76">
        <v>13</v>
      </c>
      <c r="Q157" s="76">
        <v>6</v>
      </c>
      <c r="R157" s="76">
        <v>14</v>
      </c>
      <c r="S157" s="76">
        <v>0</v>
      </c>
      <c r="T157" s="76">
        <v>28</v>
      </c>
      <c r="U157" s="76">
        <v>127</v>
      </c>
      <c r="V157" s="76">
        <v>31.2</v>
      </c>
      <c r="W157" s="76">
        <v>0.186</v>
      </c>
      <c r="X157" s="76">
        <v>1.1100000000000001</v>
      </c>
      <c r="Y157" s="76"/>
      <c r="Z157" s="76">
        <v>8</v>
      </c>
      <c r="AA157" t="s">
        <v>552</v>
      </c>
      <c r="AB157" s="76" t="s">
        <v>164</v>
      </c>
      <c r="AC157" s="76">
        <v>0</v>
      </c>
      <c r="AD157" s="76">
        <v>0</v>
      </c>
      <c r="AE157" s="76">
        <v>3</v>
      </c>
      <c r="AF157" s="76">
        <v>0</v>
      </c>
      <c r="AG157" s="76">
        <v>3</v>
      </c>
      <c r="AH157" s="76">
        <v>31</v>
      </c>
      <c r="AI157" s="76">
        <v>33</v>
      </c>
      <c r="AJ157" s="76">
        <v>2</v>
      </c>
      <c r="AK157" s="76">
        <v>0</v>
      </c>
      <c r="AL157" s="76">
        <v>2</v>
      </c>
      <c r="AM157" s="76">
        <v>1</v>
      </c>
      <c r="AN157" s="76">
        <v>0</v>
      </c>
      <c r="AO157" s="76">
        <v>492</v>
      </c>
      <c r="AP157" s="202" t="s">
        <v>164</v>
      </c>
      <c r="AQ157" s="202">
        <v>0.71399999999999997</v>
      </c>
      <c r="AR157" s="202">
        <v>2.29</v>
      </c>
      <c r="AS157" s="202">
        <v>0.26200000000000001</v>
      </c>
      <c r="AT157" s="202">
        <v>0.314</v>
      </c>
      <c r="AU157" s="202">
        <v>0.57499999999999996</v>
      </c>
      <c r="AV157" s="202">
        <v>8.3800000000000008</v>
      </c>
      <c r="AW157" s="202">
        <v>1.98</v>
      </c>
      <c r="AX157" s="202">
        <v>7.18</v>
      </c>
      <c r="AY157" s="202">
        <v>4.24</v>
      </c>
      <c r="AZ157" s="202">
        <v>15.05</v>
      </c>
    </row>
    <row r="158" spans="1:52" x14ac:dyDescent="0.2">
      <c r="A158" s="76">
        <v>23</v>
      </c>
      <c r="B158" t="s">
        <v>1335</v>
      </c>
      <c r="C158" s="76" t="s">
        <v>164</v>
      </c>
      <c r="D158" s="76">
        <v>0</v>
      </c>
      <c r="E158" s="76">
        <v>1</v>
      </c>
      <c r="F158" s="76">
        <v>15.12</v>
      </c>
      <c r="G158" s="76">
        <v>5</v>
      </c>
      <c r="H158" s="76">
        <v>1</v>
      </c>
      <c r="I158" s="76">
        <v>0</v>
      </c>
      <c r="J158" s="76">
        <v>0</v>
      </c>
      <c r="K158" s="76">
        <v>0</v>
      </c>
      <c r="L158" s="76">
        <v>0</v>
      </c>
      <c r="M158" s="76">
        <v>8.1</v>
      </c>
      <c r="N158" s="76">
        <v>15</v>
      </c>
      <c r="O158" s="76">
        <v>14</v>
      </c>
      <c r="P158" s="76">
        <v>14</v>
      </c>
      <c r="Q158" s="76">
        <v>0</v>
      </c>
      <c r="R158" s="76">
        <v>7</v>
      </c>
      <c r="S158" s="76">
        <v>0</v>
      </c>
      <c r="T158" s="76">
        <v>3</v>
      </c>
      <c r="U158" s="76">
        <v>48</v>
      </c>
      <c r="V158" s="76">
        <v>8.1</v>
      </c>
      <c r="W158" s="76">
        <v>0.38500000000000001</v>
      </c>
      <c r="X158" s="76">
        <v>2.64</v>
      </c>
      <c r="Y158" s="76"/>
      <c r="Z158" s="76">
        <v>23</v>
      </c>
      <c r="AA158" t="s">
        <v>1335</v>
      </c>
      <c r="AB158" s="76" t="s">
        <v>164</v>
      </c>
      <c r="AC158" s="76">
        <v>1</v>
      </c>
      <c r="AD158" s="76">
        <v>0</v>
      </c>
      <c r="AE158" s="76">
        <v>2</v>
      </c>
      <c r="AF158" s="76">
        <v>0</v>
      </c>
      <c r="AG158" s="76">
        <v>0</v>
      </c>
      <c r="AH158" s="76">
        <v>4</v>
      </c>
      <c r="AI158" s="76">
        <v>18</v>
      </c>
      <c r="AJ158" s="76">
        <v>0</v>
      </c>
      <c r="AK158" s="76">
        <v>0</v>
      </c>
      <c r="AL158" s="76">
        <v>1</v>
      </c>
      <c r="AM158" s="76">
        <v>0</v>
      </c>
      <c r="AN158" s="76">
        <v>0</v>
      </c>
      <c r="AO158" s="76">
        <v>193</v>
      </c>
      <c r="AP158" s="202" t="s">
        <v>150</v>
      </c>
      <c r="AQ158" s="202">
        <v>0</v>
      </c>
      <c r="AR158" s="202">
        <v>1.67</v>
      </c>
      <c r="AS158" s="202">
        <v>0.36599999999999999</v>
      </c>
      <c r="AT158" s="202">
        <v>0.57599999999999996</v>
      </c>
      <c r="AU158" s="202">
        <v>0.94199999999999995</v>
      </c>
      <c r="AV158" s="202">
        <v>10.38</v>
      </c>
      <c r="AW158" s="202">
        <v>7.27</v>
      </c>
      <c r="AX158" s="202">
        <v>7.27</v>
      </c>
      <c r="AY158" s="202">
        <v>1.43</v>
      </c>
      <c r="AZ158" s="202">
        <v>21.35</v>
      </c>
    </row>
    <row r="159" spans="1:52" x14ac:dyDescent="0.2">
      <c r="A159" s="76">
        <v>17</v>
      </c>
      <c r="B159" s="41" t="s">
        <v>328</v>
      </c>
      <c r="C159" s="76" t="s">
        <v>164</v>
      </c>
      <c r="D159" s="76">
        <v>1</v>
      </c>
      <c r="E159" s="76">
        <v>2</v>
      </c>
      <c r="F159" s="76">
        <v>4.95</v>
      </c>
      <c r="G159" s="76">
        <v>60</v>
      </c>
      <c r="H159" s="76">
        <v>0</v>
      </c>
      <c r="I159" s="76">
        <v>0</v>
      </c>
      <c r="J159" s="76">
        <v>0</v>
      </c>
      <c r="K159" s="76">
        <v>1</v>
      </c>
      <c r="L159" s="76">
        <v>2</v>
      </c>
      <c r="M159" s="76">
        <v>43.2</v>
      </c>
      <c r="N159" s="76">
        <v>52</v>
      </c>
      <c r="O159" s="76">
        <v>26</v>
      </c>
      <c r="P159" s="76">
        <v>24</v>
      </c>
      <c r="Q159" s="76">
        <v>12</v>
      </c>
      <c r="R159" s="76">
        <v>18</v>
      </c>
      <c r="S159" s="76">
        <v>0</v>
      </c>
      <c r="T159" s="76">
        <v>40</v>
      </c>
      <c r="U159" s="76">
        <v>195</v>
      </c>
      <c r="V159" s="76">
        <v>43.2</v>
      </c>
      <c r="W159" s="76">
        <v>0.29699999999999999</v>
      </c>
      <c r="X159" s="76">
        <v>1.6</v>
      </c>
      <c r="Y159" s="76"/>
      <c r="Z159" s="76">
        <v>17</v>
      </c>
      <c r="AA159" t="s">
        <v>328</v>
      </c>
      <c r="AB159" s="76" t="s">
        <v>164</v>
      </c>
      <c r="AC159" s="76">
        <v>1</v>
      </c>
      <c r="AD159" s="76">
        <v>0</v>
      </c>
      <c r="AE159" s="76">
        <v>13</v>
      </c>
      <c r="AF159" s="76">
        <v>12</v>
      </c>
      <c r="AG159" s="76">
        <v>6</v>
      </c>
      <c r="AH159" s="76">
        <v>37</v>
      </c>
      <c r="AI159" s="76">
        <v>47</v>
      </c>
      <c r="AJ159" s="76">
        <v>0</v>
      </c>
      <c r="AK159" s="76">
        <v>0</v>
      </c>
      <c r="AL159" s="76">
        <v>2</v>
      </c>
      <c r="AM159" s="76">
        <v>1</v>
      </c>
      <c r="AN159" s="76">
        <v>1</v>
      </c>
      <c r="AO159" s="76">
        <v>780</v>
      </c>
      <c r="AP159" s="202" t="s">
        <v>164</v>
      </c>
      <c r="AQ159" s="202">
        <v>0</v>
      </c>
      <c r="AR159" s="202">
        <v>0.95</v>
      </c>
      <c r="AS159" s="202">
        <v>0.32900000000000001</v>
      </c>
      <c r="AT159" s="202">
        <v>0.41799999999999998</v>
      </c>
      <c r="AU159" s="202">
        <v>0.747</v>
      </c>
      <c r="AV159" s="202">
        <v>7.56</v>
      </c>
      <c r="AW159" s="202">
        <v>4.32</v>
      </c>
      <c r="AX159" s="202">
        <v>8.64</v>
      </c>
      <c r="AY159" s="202">
        <v>1.75</v>
      </c>
      <c r="AZ159" s="202">
        <v>17.46</v>
      </c>
    </row>
    <row r="160" spans="1:52" x14ac:dyDescent="0.2">
      <c r="A160" s="76">
        <v>20</v>
      </c>
      <c r="B160" t="s">
        <v>1334</v>
      </c>
      <c r="C160" s="76" t="s">
        <v>164</v>
      </c>
      <c r="D160" s="76">
        <v>0</v>
      </c>
      <c r="E160" s="76">
        <v>0</v>
      </c>
      <c r="F160" s="76">
        <v>9</v>
      </c>
      <c r="G160" s="76">
        <v>1</v>
      </c>
      <c r="H160" s="76">
        <v>0</v>
      </c>
      <c r="I160" s="76">
        <v>0</v>
      </c>
      <c r="J160" s="76">
        <v>0</v>
      </c>
      <c r="K160" s="76">
        <v>0</v>
      </c>
      <c r="L160" s="76">
        <v>0</v>
      </c>
      <c r="M160" s="76">
        <v>1</v>
      </c>
      <c r="N160" s="76">
        <v>1</v>
      </c>
      <c r="O160" s="76">
        <v>1</v>
      </c>
      <c r="P160" s="76">
        <v>1</v>
      </c>
      <c r="Q160" s="76">
        <v>1</v>
      </c>
      <c r="R160" s="76">
        <v>0</v>
      </c>
      <c r="S160" s="76">
        <v>0</v>
      </c>
      <c r="T160" s="76">
        <v>0</v>
      </c>
      <c r="U160" s="76">
        <v>4</v>
      </c>
      <c r="V160" s="76">
        <v>1</v>
      </c>
      <c r="W160" s="76">
        <v>0.25</v>
      </c>
      <c r="X160" s="76">
        <v>1</v>
      </c>
      <c r="Y160" s="76"/>
      <c r="Z160" s="76">
        <v>20</v>
      </c>
      <c r="AA160" t="s">
        <v>1334</v>
      </c>
      <c r="AB160" s="76" t="s">
        <v>164</v>
      </c>
      <c r="AC160" s="76">
        <v>0</v>
      </c>
      <c r="AD160" s="76">
        <v>0</v>
      </c>
      <c r="AE160" s="76">
        <v>1</v>
      </c>
      <c r="AF160" s="76">
        <v>0</v>
      </c>
      <c r="AG160" s="76">
        <v>0</v>
      </c>
      <c r="AH160" s="76">
        <v>2</v>
      </c>
      <c r="AI160" s="76">
        <v>1</v>
      </c>
      <c r="AJ160" s="76">
        <v>0</v>
      </c>
      <c r="AK160" s="76">
        <v>0</v>
      </c>
      <c r="AL160" s="76">
        <v>0</v>
      </c>
      <c r="AM160" s="76">
        <v>0</v>
      </c>
      <c r="AN160" s="76">
        <v>0</v>
      </c>
      <c r="AO160" s="76">
        <v>17</v>
      </c>
      <c r="AP160" s="202" t="s">
        <v>150</v>
      </c>
      <c r="AQ160" s="202" t="s">
        <v>243</v>
      </c>
      <c r="AR160" s="202">
        <v>3.33</v>
      </c>
      <c r="AS160" s="202">
        <v>0.36</v>
      </c>
      <c r="AT160" s="202">
        <v>0.23799999999999999</v>
      </c>
      <c r="AU160" s="202">
        <v>0.59799999999999998</v>
      </c>
      <c r="AV160" s="202">
        <v>4.5</v>
      </c>
      <c r="AW160" s="202">
        <v>4.5</v>
      </c>
      <c r="AX160" s="202">
        <v>7.5</v>
      </c>
      <c r="AY160" s="202">
        <v>1</v>
      </c>
      <c r="AZ160" s="202">
        <v>14.33</v>
      </c>
    </row>
    <row r="161" spans="1:52" x14ac:dyDescent="0.2">
      <c r="A161" s="225" t="s">
        <v>105</v>
      </c>
      <c r="B161" s="225" t="s">
        <v>106</v>
      </c>
      <c r="C161" s="225" t="s">
        <v>157</v>
      </c>
      <c r="D161" s="225" t="s">
        <v>85</v>
      </c>
      <c r="E161" s="225" t="s">
        <v>86</v>
      </c>
      <c r="F161" s="225" t="s">
        <v>107</v>
      </c>
      <c r="G161" s="225" t="s">
        <v>108</v>
      </c>
      <c r="H161" s="225" t="s">
        <v>88</v>
      </c>
      <c r="I161" s="225" t="s">
        <v>89</v>
      </c>
      <c r="J161" s="225" t="s">
        <v>1073</v>
      </c>
      <c r="K161" s="225" t="s">
        <v>90</v>
      </c>
      <c r="L161" s="225" t="s">
        <v>158</v>
      </c>
      <c r="M161" s="225" t="s">
        <v>91</v>
      </c>
      <c r="N161" s="225" t="s">
        <v>92</v>
      </c>
      <c r="O161" s="225" t="s">
        <v>93</v>
      </c>
      <c r="P161" s="225" t="s">
        <v>94</v>
      </c>
      <c r="Q161" s="225" t="s">
        <v>95</v>
      </c>
      <c r="R161" s="225" t="s">
        <v>96</v>
      </c>
      <c r="S161" s="225" t="s">
        <v>98</v>
      </c>
      <c r="T161" s="225" t="s">
        <v>97</v>
      </c>
      <c r="U161" s="225" t="s">
        <v>109</v>
      </c>
      <c r="V161" s="225" t="s">
        <v>91</v>
      </c>
      <c r="W161" s="225" t="s">
        <v>1071</v>
      </c>
      <c r="X161" s="225" t="s">
        <v>1072</v>
      </c>
      <c r="Y161" s="225"/>
      <c r="Z161" s="225" t="s">
        <v>105</v>
      </c>
      <c r="AA161" s="225" t="s">
        <v>106</v>
      </c>
      <c r="AB161" s="225" t="s">
        <v>157</v>
      </c>
      <c r="AC161" s="225" t="s">
        <v>1074</v>
      </c>
      <c r="AD161" s="225" t="s">
        <v>98</v>
      </c>
      <c r="AE161" s="225" t="s">
        <v>1075</v>
      </c>
      <c r="AF161" s="225" t="s">
        <v>1076</v>
      </c>
      <c r="AG161" s="225" t="s">
        <v>1077</v>
      </c>
      <c r="AH161" s="225" t="s">
        <v>1066</v>
      </c>
      <c r="AI161" s="225" t="s">
        <v>1067</v>
      </c>
      <c r="AJ161" s="225" t="s">
        <v>1078</v>
      </c>
      <c r="AK161" s="225" t="s">
        <v>1079</v>
      </c>
      <c r="AL161" s="225" t="s">
        <v>1057</v>
      </c>
      <c r="AM161" s="225" t="s">
        <v>1058</v>
      </c>
      <c r="AN161" s="225" t="s">
        <v>1080</v>
      </c>
      <c r="AO161" s="225" t="s">
        <v>1069</v>
      </c>
      <c r="AP161" s="202" t="s">
        <v>150</v>
      </c>
      <c r="AQ161" s="202">
        <v>0.5</v>
      </c>
      <c r="AR161" s="202">
        <v>1.56</v>
      </c>
      <c r="AS161" s="202">
        <v>0.29199999999999998</v>
      </c>
      <c r="AT161" s="202">
        <v>0.46300000000000002</v>
      </c>
      <c r="AU161" s="202">
        <v>0.755</v>
      </c>
      <c r="AV161" s="202">
        <v>8.64</v>
      </c>
      <c r="AW161" s="202">
        <v>1.51</v>
      </c>
      <c r="AX161" s="202">
        <v>9.2899999999999991</v>
      </c>
      <c r="AY161" s="202">
        <v>5.71</v>
      </c>
      <c r="AZ161" s="202">
        <v>15.58</v>
      </c>
    </row>
    <row r="162" spans="1:52" x14ac:dyDescent="0.2">
      <c r="A162" s="76">
        <v>7</v>
      </c>
      <c r="B162" s="41" t="s">
        <v>1189</v>
      </c>
      <c r="C162" s="76" t="s">
        <v>150</v>
      </c>
      <c r="D162" s="76">
        <v>0</v>
      </c>
      <c r="E162" s="76">
        <v>0</v>
      </c>
      <c r="F162" s="76">
        <v>3.32</v>
      </c>
      <c r="G162" s="76">
        <v>17</v>
      </c>
      <c r="H162" s="76">
        <v>0</v>
      </c>
      <c r="I162" s="76">
        <v>0</v>
      </c>
      <c r="J162" s="76">
        <v>0</v>
      </c>
      <c r="K162" s="76">
        <v>0</v>
      </c>
      <c r="L162" s="76">
        <v>1</v>
      </c>
      <c r="M162" s="76">
        <v>19</v>
      </c>
      <c r="N162" s="76">
        <v>24</v>
      </c>
      <c r="O162" s="76">
        <v>7</v>
      </c>
      <c r="P162" s="76">
        <v>7</v>
      </c>
      <c r="Q162" s="76">
        <v>1</v>
      </c>
      <c r="R162" s="76">
        <v>7</v>
      </c>
      <c r="S162" s="76">
        <v>0</v>
      </c>
      <c r="T162" s="76">
        <v>16</v>
      </c>
      <c r="U162" s="76">
        <v>84</v>
      </c>
      <c r="V162" s="76">
        <v>19</v>
      </c>
      <c r="W162" s="76">
        <v>0.316</v>
      </c>
      <c r="X162" s="76">
        <v>1.63</v>
      </c>
      <c r="Y162" s="76"/>
      <c r="Z162" s="76">
        <v>7</v>
      </c>
      <c r="AA162" t="s">
        <v>1189</v>
      </c>
      <c r="AB162" s="76" t="s">
        <v>150</v>
      </c>
      <c r="AC162" s="76">
        <v>0</v>
      </c>
      <c r="AD162" s="76">
        <v>0</v>
      </c>
      <c r="AE162" s="76">
        <v>4</v>
      </c>
      <c r="AF162" s="76">
        <v>0</v>
      </c>
      <c r="AG162" s="76">
        <v>4</v>
      </c>
      <c r="AH162" s="76">
        <v>28</v>
      </c>
      <c r="AI162" s="76">
        <v>9</v>
      </c>
      <c r="AJ162" s="76">
        <v>0</v>
      </c>
      <c r="AK162" s="76">
        <v>0</v>
      </c>
      <c r="AL162" s="76">
        <v>0</v>
      </c>
      <c r="AM162" s="76">
        <v>0</v>
      </c>
      <c r="AN162" s="76">
        <v>0</v>
      </c>
      <c r="AO162" s="76">
        <v>324</v>
      </c>
      <c r="AP162" s="202" t="s">
        <v>150</v>
      </c>
      <c r="AQ162" s="202">
        <v>1</v>
      </c>
      <c r="AR162" s="202">
        <v>2.2000000000000002</v>
      </c>
      <c r="AS162" s="202">
        <v>0.30599999999999999</v>
      </c>
      <c r="AT162" s="202">
        <v>0.33700000000000002</v>
      </c>
      <c r="AU162" s="202">
        <v>0.64300000000000002</v>
      </c>
      <c r="AV162" s="202">
        <v>7.77</v>
      </c>
      <c r="AW162" s="202">
        <v>4.8099999999999996</v>
      </c>
      <c r="AX162" s="202">
        <v>5.92</v>
      </c>
      <c r="AY162" s="202">
        <v>1.62</v>
      </c>
      <c r="AZ162" s="202">
        <v>16.32</v>
      </c>
    </row>
    <row r="163" spans="1:52" x14ac:dyDescent="0.2">
      <c r="A163" s="76">
        <v>1</v>
      </c>
      <c r="B163" t="s">
        <v>1336</v>
      </c>
      <c r="C163" s="76" t="s">
        <v>150</v>
      </c>
      <c r="D163" s="76">
        <v>0</v>
      </c>
      <c r="E163" s="76">
        <v>0</v>
      </c>
      <c r="F163" s="76">
        <v>0</v>
      </c>
      <c r="G163" s="76">
        <v>2</v>
      </c>
      <c r="H163" s="76">
        <v>0</v>
      </c>
      <c r="I163" s="76">
        <v>0</v>
      </c>
      <c r="J163" s="76">
        <v>0</v>
      </c>
      <c r="K163" s="76">
        <v>0</v>
      </c>
      <c r="L163" s="76">
        <v>0</v>
      </c>
      <c r="M163" s="76">
        <v>1.1000000000000001</v>
      </c>
      <c r="N163" s="76">
        <v>1</v>
      </c>
      <c r="O163" s="76">
        <v>0</v>
      </c>
      <c r="P163" s="76">
        <v>0</v>
      </c>
      <c r="Q163" s="76">
        <v>0</v>
      </c>
      <c r="R163" s="76">
        <v>0</v>
      </c>
      <c r="S163" s="76">
        <v>0</v>
      </c>
      <c r="T163" s="76">
        <v>1</v>
      </c>
      <c r="U163" s="76">
        <v>5</v>
      </c>
      <c r="V163" s="76">
        <v>1.1000000000000001</v>
      </c>
      <c r="W163" s="76">
        <v>0.2</v>
      </c>
      <c r="X163" s="76">
        <v>0.75</v>
      </c>
      <c r="Y163" s="76"/>
      <c r="Z163" s="76">
        <v>1</v>
      </c>
      <c r="AA163" t="s">
        <v>1336</v>
      </c>
      <c r="AB163" s="76" t="s">
        <v>150</v>
      </c>
      <c r="AC163" s="76">
        <v>0</v>
      </c>
      <c r="AD163" s="76">
        <v>0</v>
      </c>
      <c r="AE163" s="76">
        <v>2</v>
      </c>
      <c r="AF163" s="76">
        <v>0</v>
      </c>
      <c r="AG163" s="76">
        <v>0</v>
      </c>
      <c r="AH163" s="76">
        <v>2</v>
      </c>
      <c r="AI163" s="76">
        <v>1</v>
      </c>
      <c r="AJ163" s="76">
        <v>0</v>
      </c>
      <c r="AK163" s="76">
        <v>0</v>
      </c>
      <c r="AL163" s="76">
        <v>0</v>
      </c>
      <c r="AM163" s="76">
        <v>0</v>
      </c>
      <c r="AN163" s="76">
        <v>0</v>
      </c>
      <c r="AO163" s="76">
        <v>22</v>
      </c>
      <c r="AP163" s="202" t="s">
        <v>150</v>
      </c>
      <c r="AQ163" s="202" t="s">
        <v>243</v>
      </c>
      <c r="AR163" s="202">
        <v>0.5</v>
      </c>
      <c r="AS163" s="202">
        <v>0.33300000000000002</v>
      </c>
      <c r="AT163" s="202">
        <v>0.66700000000000004</v>
      </c>
      <c r="AU163" s="202">
        <v>1</v>
      </c>
      <c r="AV163" s="202">
        <v>6.23</v>
      </c>
      <c r="AW163" s="202">
        <v>0</v>
      </c>
      <c r="AX163" s="202">
        <v>12.46</v>
      </c>
      <c r="AY163" s="202" t="s">
        <v>243</v>
      </c>
      <c r="AZ163" s="202">
        <v>13.38</v>
      </c>
    </row>
    <row r="164" spans="1:52" x14ac:dyDescent="0.2">
      <c r="A164" s="76">
        <v>3</v>
      </c>
      <c r="B164" s="41" t="s">
        <v>561</v>
      </c>
      <c r="C164" s="76" t="s">
        <v>150</v>
      </c>
      <c r="D164" s="76">
        <v>2</v>
      </c>
      <c r="E164" s="76">
        <v>1</v>
      </c>
      <c r="F164" s="76">
        <v>1.87</v>
      </c>
      <c r="G164" s="76">
        <v>45</v>
      </c>
      <c r="H164" s="76">
        <v>0</v>
      </c>
      <c r="I164" s="76">
        <v>0</v>
      </c>
      <c r="J164" s="76">
        <v>0</v>
      </c>
      <c r="K164" s="76">
        <v>27</v>
      </c>
      <c r="L164" s="76">
        <v>30</v>
      </c>
      <c r="M164" s="76">
        <v>43.1</v>
      </c>
      <c r="N164" s="76">
        <v>33</v>
      </c>
      <c r="O164" s="76">
        <v>9</v>
      </c>
      <c r="P164" s="76">
        <v>9</v>
      </c>
      <c r="Q164" s="76">
        <v>0</v>
      </c>
      <c r="R164" s="76">
        <v>16</v>
      </c>
      <c r="S164" s="76">
        <v>0</v>
      </c>
      <c r="T164" s="76">
        <v>47</v>
      </c>
      <c r="U164" s="76">
        <v>176</v>
      </c>
      <c r="V164" s="76">
        <v>43.1</v>
      </c>
      <c r="W164" s="76">
        <v>0.21</v>
      </c>
      <c r="X164" s="76">
        <v>1.1299999999999999</v>
      </c>
      <c r="Y164" s="76"/>
      <c r="Z164" s="76">
        <v>3</v>
      </c>
      <c r="AA164" t="s">
        <v>561</v>
      </c>
      <c r="AB164" s="76" t="s">
        <v>150</v>
      </c>
      <c r="AC164" s="76">
        <v>3</v>
      </c>
      <c r="AD164" s="76">
        <v>0</v>
      </c>
      <c r="AE164" s="76">
        <v>40</v>
      </c>
      <c r="AF164" s="76">
        <v>0</v>
      </c>
      <c r="AG164" s="76">
        <v>4</v>
      </c>
      <c r="AH164" s="76">
        <v>37</v>
      </c>
      <c r="AI164" s="76">
        <v>40</v>
      </c>
      <c r="AJ164" s="76">
        <v>4</v>
      </c>
      <c r="AK164" s="76">
        <v>0</v>
      </c>
      <c r="AL164" s="76">
        <v>3</v>
      </c>
      <c r="AM164" s="76">
        <v>1</v>
      </c>
      <c r="AN164" s="76">
        <v>0</v>
      </c>
      <c r="AO164" s="76">
        <v>719</v>
      </c>
      <c r="AP164" s="202" t="s">
        <v>150</v>
      </c>
      <c r="AQ164" s="202">
        <v>1</v>
      </c>
      <c r="AR164" s="202">
        <v>0.75</v>
      </c>
      <c r="AS164" s="202">
        <v>0.27300000000000002</v>
      </c>
      <c r="AT164" s="202">
        <v>0.222</v>
      </c>
      <c r="AU164" s="202">
        <v>0.495</v>
      </c>
      <c r="AV164" s="202">
        <v>3</v>
      </c>
      <c r="AW164" s="202">
        <v>6</v>
      </c>
      <c r="AX164" s="202">
        <v>3</v>
      </c>
      <c r="AY164" s="202">
        <v>0.5</v>
      </c>
      <c r="AZ164" s="202">
        <v>14</v>
      </c>
    </row>
    <row r="165" spans="1:52" x14ac:dyDescent="0.2">
      <c r="A165" s="76">
        <v>9</v>
      </c>
      <c r="B165" s="41" t="s">
        <v>555</v>
      </c>
      <c r="C165" s="76" t="s">
        <v>150</v>
      </c>
      <c r="D165" s="76">
        <v>12</v>
      </c>
      <c r="E165" s="76">
        <v>3</v>
      </c>
      <c r="F165" s="76">
        <v>3.51</v>
      </c>
      <c r="G165" s="76">
        <v>42</v>
      </c>
      <c r="H165" s="76">
        <v>26</v>
      </c>
      <c r="I165" s="76">
        <v>1</v>
      </c>
      <c r="J165" s="76">
        <v>0</v>
      </c>
      <c r="K165" s="76">
        <v>0</v>
      </c>
      <c r="L165" s="76">
        <v>0</v>
      </c>
      <c r="M165" s="76">
        <v>179.2</v>
      </c>
      <c r="N165" s="76">
        <v>163</v>
      </c>
      <c r="O165" s="76">
        <v>71</v>
      </c>
      <c r="P165" s="76">
        <v>70</v>
      </c>
      <c r="Q165" s="76">
        <v>27</v>
      </c>
      <c r="R165" s="76">
        <v>42</v>
      </c>
      <c r="S165" s="76">
        <v>0</v>
      </c>
      <c r="T165" s="76">
        <v>188</v>
      </c>
      <c r="U165" s="76">
        <v>731</v>
      </c>
      <c r="V165" s="76">
        <v>179.2</v>
      </c>
      <c r="W165" s="76">
        <v>0.24099999999999999</v>
      </c>
      <c r="X165" s="76">
        <v>1.1399999999999999</v>
      </c>
      <c r="Y165" s="76"/>
      <c r="Z165" s="76">
        <v>9</v>
      </c>
      <c r="AA165" t="s">
        <v>555</v>
      </c>
      <c r="AB165" s="76" t="s">
        <v>150</v>
      </c>
      <c r="AC165" s="76">
        <v>7</v>
      </c>
      <c r="AD165" s="76">
        <v>0</v>
      </c>
      <c r="AE165" s="76">
        <v>5</v>
      </c>
      <c r="AF165" s="76">
        <v>2</v>
      </c>
      <c r="AG165" s="76">
        <v>13</v>
      </c>
      <c r="AH165" s="76">
        <v>136</v>
      </c>
      <c r="AI165" s="76">
        <v>195</v>
      </c>
      <c r="AJ165" s="76">
        <v>4</v>
      </c>
      <c r="AK165" s="76">
        <v>0</v>
      </c>
      <c r="AL165" s="76">
        <v>1</v>
      </c>
      <c r="AM165" s="76">
        <v>3</v>
      </c>
      <c r="AN165" s="76">
        <v>4</v>
      </c>
      <c r="AO165" s="76">
        <v>2707</v>
      </c>
      <c r="AP165" s="202" t="s">
        <v>150</v>
      </c>
      <c r="AQ165" s="202">
        <v>0.5</v>
      </c>
      <c r="AR165" s="202">
        <v>0.67</v>
      </c>
      <c r="AS165" s="202">
        <v>0.36299999999999999</v>
      </c>
      <c r="AT165" s="202">
        <v>0.51500000000000001</v>
      </c>
      <c r="AU165" s="202">
        <v>0.878</v>
      </c>
      <c r="AV165" s="202">
        <v>5.0999999999999996</v>
      </c>
      <c r="AW165" s="202">
        <v>2.67</v>
      </c>
      <c r="AX165" s="202">
        <v>11.29</v>
      </c>
      <c r="AY165" s="202">
        <v>1.91</v>
      </c>
      <c r="AZ165" s="202">
        <v>16.690000000000001</v>
      </c>
    </row>
    <row r="166" spans="1:52" x14ac:dyDescent="0.2">
      <c r="A166" s="76">
        <v>5</v>
      </c>
      <c r="B166" s="41" t="s">
        <v>1338</v>
      </c>
      <c r="C166" s="76" t="s">
        <v>150</v>
      </c>
      <c r="D166" s="76">
        <v>1</v>
      </c>
      <c r="E166" s="76">
        <v>2</v>
      </c>
      <c r="F166" s="76">
        <v>2.6</v>
      </c>
      <c r="G166" s="76">
        <v>36</v>
      </c>
      <c r="H166" s="76">
        <v>1</v>
      </c>
      <c r="I166" s="76">
        <v>0</v>
      </c>
      <c r="J166" s="76">
        <v>0</v>
      </c>
      <c r="K166" s="76">
        <v>0</v>
      </c>
      <c r="L166" s="76">
        <v>0</v>
      </c>
      <c r="M166" s="76">
        <v>55.1</v>
      </c>
      <c r="N166" s="76">
        <v>38</v>
      </c>
      <c r="O166" s="76">
        <v>19</v>
      </c>
      <c r="P166" s="76">
        <v>16</v>
      </c>
      <c r="Q166" s="76">
        <v>5</v>
      </c>
      <c r="R166" s="76">
        <v>23</v>
      </c>
      <c r="S166" s="76">
        <v>0</v>
      </c>
      <c r="T166" s="76">
        <v>44</v>
      </c>
      <c r="U166" s="76">
        <v>221</v>
      </c>
      <c r="V166" s="76">
        <v>55.1</v>
      </c>
      <c r="W166" s="76">
        <v>0.19800000000000001</v>
      </c>
      <c r="X166" s="76">
        <v>1.1000000000000001</v>
      </c>
      <c r="Y166" s="76"/>
      <c r="Z166" s="76">
        <v>5</v>
      </c>
      <c r="AA166" t="s">
        <v>1338</v>
      </c>
      <c r="AB166" s="76" t="s">
        <v>150</v>
      </c>
      <c r="AC166" s="76">
        <v>1</v>
      </c>
      <c r="AD166" s="76">
        <v>0</v>
      </c>
      <c r="AE166" s="76">
        <v>11</v>
      </c>
      <c r="AF166" s="76">
        <v>3</v>
      </c>
      <c r="AG166" s="76">
        <v>11</v>
      </c>
      <c r="AH166" s="76">
        <v>71</v>
      </c>
      <c r="AI166" s="76">
        <v>44</v>
      </c>
      <c r="AJ166" s="76">
        <v>8</v>
      </c>
      <c r="AK166" s="76">
        <v>0</v>
      </c>
      <c r="AL166" s="76">
        <v>0</v>
      </c>
      <c r="AM166" s="76">
        <v>0</v>
      </c>
      <c r="AN166" s="76">
        <v>0</v>
      </c>
      <c r="AO166" s="76">
        <v>815</v>
      </c>
      <c r="AP166" s="202" t="s">
        <v>150</v>
      </c>
      <c r="AQ166" s="202">
        <v>0.88900000000000001</v>
      </c>
      <c r="AR166" s="202">
        <v>0.79</v>
      </c>
      <c r="AS166" s="202">
        <v>0.21099999999999999</v>
      </c>
      <c r="AT166" s="202">
        <v>0.24</v>
      </c>
      <c r="AU166" s="202">
        <v>0.45100000000000001</v>
      </c>
      <c r="AV166" s="202">
        <v>10.43</v>
      </c>
      <c r="AW166" s="202">
        <v>2.67</v>
      </c>
      <c r="AX166" s="202">
        <v>4.41</v>
      </c>
      <c r="AY166" s="202">
        <v>3.9</v>
      </c>
      <c r="AZ166" s="202">
        <v>15.59</v>
      </c>
    </row>
    <row r="167" spans="1:52" x14ac:dyDescent="0.2">
      <c r="A167" s="76">
        <v>15</v>
      </c>
      <c r="B167" s="41" t="s">
        <v>414</v>
      </c>
      <c r="C167" s="76" t="s">
        <v>150</v>
      </c>
      <c r="D167" s="76">
        <v>8</v>
      </c>
      <c r="E167" s="76">
        <v>9</v>
      </c>
      <c r="F167" s="76">
        <v>4.68</v>
      </c>
      <c r="G167" s="76">
        <v>33</v>
      </c>
      <c r="H167" s="76">
        <v>14</v>
      </c>
      <c r="I167" s="76">
        <v>0</v>
      </c>
      <c r="J167" s="76">
        <v>0</v>
      </c>
      <c r="K167" s="76">
        <v>0</v>
      </c>
      <c r="L167" s="76">
        <v>0</v>
      </c>
      <c r="M167" s="76">
        <v>125</v>
      </c>
      <c r="N167" s="76">
        <v>146</v>
      </c>
      <c r="O167" s="76">
        <v>67</v>
      </c>
      <c r="P167" s="76">
        <v>65</v>
      </c>
      <c r="Q167" s="76">
        <v>24</v>
      </c>
      <c r="R167" s="76">
        <v>37</v>
      </c>
      <c r="S167" s="76">
        <v>3</v>
      </c>
      <c r="T167" s="76">
        <v>89</v>
      </c>
      <c r="U167" s="76">
        <v>551</v>
      </c>
      <c r="V167" s="76">
        <v>125</v>
      </c>
      <c r="W167" s="76">
        <v>0.29099999999999998</v>
      </c>
      <c r="X167" s="76">
        <v>1.46</v>
      </c>
      <c r="Y167" s="76"/>
      <c r="Z167" s="76">
        <v>15</v>
      </c>
      <c r="AA167" t="s">
        <v>414</v>
      </c>
      <c r="AB167" s="76" t="s">
        <v>150</v>
      </c>
      <c r="AC167" s="76">
        <v>6</v>
      </c>
      <c r="AD167" s="76">
        <v>3</v>
      </c>
      <c r="AE167" s="76">
        <v>3</v>
      </c>
      <c r="AF167" s="76">
        <v>0</v>
      </c>
      <c r="AG167" s="76">
        <v>10</v>
      </c>
      <c r="AH167" s="76">
        <v>128</v>
      </c>
      <c r="AI167" s="76">
        <v>145</v>
      </c>
      <c r="AJ167" s="76">
        <v>1</v>
      </c>
      <c r="AK167" s="76">
        <v>1</v>
      </c>
      <c r="AL167" s="76">
        <v>3</v>
      </c>
      <c r="AM167" s="76">
        <v>4</v>
      </c>
      <c r="AN167" s="76">
        <v>2</v>
      </c>
      <c r="AO167" s="76">
        <v>2047</v>
      </c>
      <c r="AP167" s="202" t="s">
        <v>150</v>
      </c>
      <c r="AQ167" s="202">
        <v>0.75</v>
      </c>
      <c r="AR167" s="202">
        <v>1.19</v>
      </c>
      <c r="AS167" s="202">
        <v>0.313</v>
      </c>
      <c r="AT167" s="202">
        <v>0.39200000000000002</v>
      </c>
      <c r="AU167" s="202">
        <v>0.70499999999999996</v>
      </c>
      <c r="AV167" s="202">
        <v>6.17</v>
      </c>
      <c r="AW167" s="202">
        <v>2.78</v>
      </c>
      <c r="AX167" s="202">
        <v>8.64</v>
      </c>
      <c r="AY167" s="202">
        <v>2.2200000000000002</v>
      </c>
      <c r="AZ167" s="202">
        <v>15.89</v>
      </c>
    </row>
    <row r="168" spans="1:52" x14ac:dyDescent="0.2">
      <c r="A168" s="76">
        <v>6</v>
      </c>
      <c r="B168" s="41" t="s">
        <v>560</v>
      </c>
      <c r="C168" s="76" t="s">
        <v>150</v>
      </c>
      <c r="D168" s="76">
        <v>2</v>
      </c>
      <c r="E168" s="76">
        <v>6</v>
      </c>
      <c r="F168" s="76">
        <v>2.75</v>
      </c>
      <c r="G168" s="76">
        <v>72</v>
      </c>
      <c r="H168" s="76">
        <v>0</v>
      </c>
      <c r="I168" s="76">
        <v>0</v>
      </c>
      <c r="J168" s="76">
        <v>0</v>
      </c>
      <c r="K168" s="76">
        <v>12</v>
      </c>
      <c r="L168" s="76">
        <v>15</v>
      </c>
      <c r="M168" s="76">
        <v>72</v>
      </c>
      <c r="N168" s="76">
        <v>57</v>
      </c>
      <c r="O168" s="76">
        <v>23</v>
      </c>
      <c r="P168" s="76">
        <v>22</v>
      </c>
      <c r="Q168" s="76">
        <v>6</v>
      </c>
      <c r="R168" s="76">
        <v>12</v>
      </c>
      <c r="S168" s="76">
        <v>0</v>
      </c>
      <c r="T168" s="76">
        <v>86</v>
      </c>
      <c r="U168" s="76">
        <v>283</v>
      </c>
      <c r="V168" s="76">
        <v>72</v>
      </c>
      <c r="W168" s="76">
        <v>0.214</v>
      </c>
      <c r="X168" s="76">
        <v>0.96</v>
      </c>
      <c r="Y168" s="76"/>
      <c r="Z168" s="76">
        <v>6</v>
      </c>
      <c r="AA168" t="s">
        <v>560</v>
      </c>
      <c r="AB168" s="76" t="s">
        <v>150</v>
      </c>
      <c r="AC168" s="76">
        <v>3</v>
      </c>
      <c r="AD168" s="76">
        <v>0</v>
      </c>
      <c r="AE168" s="76">
        <v>23</v>
      </c>
      <c r="AF168" s="76">
        <v>26</v>
      </c>
      <c r="AG168" s="76">
        <v>3</v>
      </c>
      <c r="AH168" s="76">
        <v>62</v>
      </c>
      <c r="AI168" s="76">
        <v>63</v>
      </c>
      <c r="AJ168" s="76">
        <v>3</v>
      </c>
      <c r="AK168" s="76">
        <v>0</v>
      </c>
      <c r="AL168" s="76">
        <v>0</v>
      </c>
      <c r="AM168" s="76">
        <v>1</v>
      </c>
      <c r="AN168" s="76">
        <v>0</v>
      </c>
      <c r="AO168" s="76">
        <v>1091</v>
      </c>
      <c r="AP168" s="202" t="s">
        <v>150</v>
      </c>
      <c r="AQ168" s="202">
        <v>0.46700000000000003</v>
      </c>
      <c r="AR168" s="202">
        <v>0.82</v>
      </c>
      <c r="AS168" s="202">
        <v>0.34</v>
      </c>
      <c r="AT168" s="202">
        <v>0.40500000000000003</v>
      </c>
      <c r="AU168" s="202">
        <v>0.746</v>
      </c>
      <c r="AV168" s="202">
        <v>6.72</v>
      </c>
      <c r="AW168" s="202">
        <v>3.49</v>
      </c>
      <c r="AX168" s="202">
        <v>9.02</v>
      </c>
      <c r="AY168" s="202">
        <v>1.92</v>
      </c>
      <c r="AZ168" s="202">
        <v>17.27</v>
      </c>
    </row>
    <row r="169" spans="1:52" x14ac:dyDescent="0.2">
      <c r="A169" s="76">
        <v>11</v>
      </c>
      <c r="B169" s="41" t="s">
        <v>1187</v>
      </c>
      <c r="C169" s="76" t="s">
        <v>150</v>
      </c>
      <c r="D169" s="76">
        <v>2</v>
      </c>
      <c r="E169" s="76">
        <v>3</v>
      </c>
      <c r="F169" s="76">
        <v>3.86</v>
      </c>
      <c r="G169" s="76">
        <v>40</v>
      </c>
      <c r="H169" s="76">
        <v>0</v>
      </c>
      <c r="I169" s="76">
        <v>0</v>
      </c>
      <c r="J169" s="76">
        <v>0</v>
      </c>
      <c r="K169" s="76">
        <v>0</v>
      </c>
      <c r="L169" s="76">
        <v>4</v>
      </c>
      <c r="M169" s="76">
        <v>37.1</v>
      </c>
      <c r="N169" s="76">
        <v>31</v>
      </c>
      <c r="O169" s="76">
        <v>17</v>
      </c>
      <c r="P169" s="76">
        <v>16</v>
      </c>
      <c r="Q169" s="76">
        <v>6</v>
      </c>
      <c r="R169" s="76">
        <v>9</v>
      </c>
      <c r="S169" s="76">
        <v>0</v>
      </c>
      <c r="T169" s="76">
        <v>40</v>
      </c>
      <c r="U169" s="76">
        <v>151</v>
      </c>
      <c r="V169" s="76">
        <v>37.1</v>
      </c>
      <c r="W169" s="76">
        <v>0.22600000000000001</v>
      </c>
      <c r="X169" s="76">
        <v>1.07</v>
      </c>
      <c r="Y169" s="76"/>
      <c r="Z169" s="76">
        <v>11</v>
      </c>
      <c r="AA169" t="s">
        <v>1187</v>
      </c>
      <c r="AB169" s="76" t="s">
        <v>150</v>
      </c>
      <c r="AC169" s="76">
        <v>3</v>
      </c>
      <c r="AD169" s="76">
        <v>0</v>
      </c>
      <c r="AE169" s="76">
        <v>1</v>
      </c>
      <c r="AF169" s="76">
        <v>14</v>
      </c>
      <c r="AG169" s="76">
        <v>1</v>
      </c>
      <c r="AH169" s="76">
        <v>26</v>
      </c>
      <c r="AI169" s="76">
        <v>42</v>
      </c>
      <c r="AJ169" s="76">
        <v>2</v>
      </c>
      <c r="AK169" s="76">
        <v>0</v>
      </c>
      <c r="AL169" s="76">
        <v>3</v>
      </c>
      <c r="AM169" s="76">
        <v>2</v>
      </c>
      <c r="AN169" s="76">
        <v>0</v>
      </c>
      <c r="AO169" s="76">
        <v>583</v>
      </c>
      <c r="AP169" s="202" t="s">
        <v>150</v>
      </c>
      <c r="AQ169" s="202">
        <v>0.5</v>
      </c>
      <c r="AR169" s="202">
        <v>0.71</v>
      </c>
      <c r="AS169" s="202">
        <v>0.308</v>
      </c>
      <c r="AT169" s="202">
        <v>0.42899999999999999</v>
      </c>
      <c r="AU169" s="202">
        <v>0.73699999999999999</v>
      </c>
      <c r="AV169" s="202">
        <v>8.6999999999999993</v>
      </c>
      <c r="AW169" s="202">
        <v>2.84</v>
      </c>
      <c r="AX169" s="202">
        <v>8.6999999999999993</v>
      </c>
      <c r="AY169" s="202">
        <v>3.06</v>
      </c>
      <c r="AZ169" s="202">
        <v>17.190000000000001</v>
      </c>
    </row>
    <row r="170" spans="1:52" x14ac:dyDescent="0.2">
      <c r="A170" s="76">
        <v>10</v>
      </c>
      <c r="B170" s="41" t="s">
        <v>329</v>
      </c>
      <c r="C170" s="76" t="s">
        <v>150</v>
      </c>
      <c r="D170" s="76">
        <v>11</v>
      </c>
      <c r="E170" s="76">
        <v>11</v>
      </c>
      <c r="F170" s="76">
        <v>3.68</v>
      </c>
      <c r="G170" s="76">
        <v>33</v>
      </c>
      <c r="H170" s="76">
        <v>33</v>
      </c>
      <c r="I170" s="76">
        <v>0</v>
      </c>
      <c r="J170" s="76">
        <v>0</v>
      </c>
      <c r="K170" s="76">
        <v>0</v>
      </c>
      <c r="L170" s="76">
        <v>0</v>
      </c>
      <c r="M170" s="76">
        <v>195.2</v>
      </c>
      <c r="N170" s="76">
        <v>173</v>
      </c>
      <c r="O170" s="76">
        <v>81</v>
      </c>
      <c r="P170" s="76">
        <v>80</v>
      </c>
      <c r="Q170" s="76">
        <v>33</v>
      </c>
      <c r="R170" s="76">
        <v>66</v>
      </c>
      <c r="S170" s="76">
        <v>1</v>
      </c>
      <c r="T170" s="76">
        <v>184</v>
      </c>
      <c r="U170" s="76">
        <v>818</v>
      </c>
      <c r="V170" s="76">
        <v>195.2</v>
      </c>
      <c r="W170" s="76">
        <v>0.23599999999999999</v>
      </c>
      <c r="X170" s="76">
        <v>1.22</v>
      </c>
      <c r="Y170" s="76"/>
      <c r="Z170" s="76">
        <v>10</v>
      </c>
      <c r="AA170" t="s">
        <v>329</v>
      </c>
      <c r="AB170" s="76" t="s">
        <v>150</v>
      </c>
      <c r="AC170" s="76">
        <v>13</v>
      </c>
      <c r="AD170" s="76">
        <v>1</v>
      </c>
      <c r="AE170" s="76">
        <v>0</v>
      </c>
      <c r="AF170" s="76">
        <v>0</v>
      </c>
      <c r="AG170" s="76">
        <v>9</v>
      </c>
      <c r="AH170" s="76">
        <v>134</v>
      </c>
      <c r="AI170" s="76">
        <v>248</v>
      </c>
      <c r="AJ170" s="76">
        <v>4</v>
      </c>
      <c r="AK170" s="76">
        <v>0</v>
      </c>
      <c r="AL170" s="76">
        <v>6</v>
      </c>
      <c r="AM170" s="76">
        <v>10</v>
      </c>
      <c r="AN170" s="76">
        <v>1</v>
      </c>
      <c r="AO170" s="76">
        <v>3378</v>
      </c>
      <c r="AP170" s="202" t="s">
        <v>150</v>
      </c>
      <c r="AQ170" s="202">
        <v>0.57099999999999995</v>
      </c>
      <c r="AR170" s="202">
        <v>1.0900000000000001</v>
      </c>
      <c r="AS170" s="202">
        <v>0.28100000000000003</v>
      </c>
      <c r="AT170" s="202">
        <v>0.29799999999999999</v>
      </c>
      <c r="AU170" s="202">
        <v>0.57799999999999996</v>
      </c>
      <c r="AV170" s="202">
        <v>8.27</v>
      </c>
      <c r="AW170" s="202">
        <v>3.36</v>
      </c>
      <c r="AX170" s="202">
        <v>6.72</v>
      </c>
      <c r="AY170" s="202">
        <v>2.46</v>
      </c>
      <c r="AZ170" s="202">
        <v>15.63</v>
      </c>
    </row>
    <row r="171" spans="1:52" x14ac:dyDescent="0.2">
      <c r="A171" s="76">
        <v>18</v>
      </c>
      <c r="B171" t="s">
        <v>1340</v>
      </c>
      <c r="C171" s="76" t="s">
        <v>150</v>
      </c>
      <c r="D171" s="76">
        <v>1</v>
      </c>
      <c r="E171" s="76">
        <v>0</v>
      </c>
      <c r="F171" s="76">
        <v>6.48</v>
      </c>
      <c r="G171" s="76">
        <v>10</v>
      </c>
      <c r="H171" s="76">
        <v>0</v>
      </c>
      <c r="I171" s="76">
        <v>0</v>
      </c>
      <c r="J171" s="76">
        <v>0</v>
      </c>
      <c r="K171" s="76">
        <v>0</v>
      </c>
      <c r="L171" s="76">
        <v>1</v>
      </c>
      <c r="M171" s="76">
        <v>8.1</v>
      </c>
      <c r="N171" s="76">
        <v>11</v>
      </c>
      <c r="O171" s="76">
        <v>8</v>
      </c>
      <c r="P171" s="76">
        <v>6</v>
      </c>
      <c r="Q171" s="76">
        <v>1</v>
      </c>
      <c r="R171" s="76">
        <v>5</v>
      </c>
      <c r="S171" s="76">
        <v>0</v>
      </c>
      <c r="T171" s="76">
        <v>7</v>
      </c>
      <c r="U171" s="76">
        <v>41</v>
      </c>
      <c r="V171" s="76">
        <v>8.1</v>
      </c>
      <c r="W171" s="76">
        <v>0.314</v>
      </c>
      <c r="X171" s="76">
        <v>1.92</v>
      </c>
      <c r="Y171" s="76"/>
      <c r="Z171" s="76">
        <v>18</v>
      </c>
      <c r="AA171" t="s">
        <v>1340</v>
      </c>
      <c r="AB171" s="76" t="s">
        <v>150</v>
      </c>
      <c r="AC171" s="76">
        <v>0</v>
      </c>
      <c r="AD171" s="76">
        <v>0</v>
      </c>
      <c r="AE171" s="76">
        <v>1</v>
      </c>
      <c r="AF171" s="76">
        <v>0</v>
      </c>
      <c r="AG171" s="76">
        <v>0</v>
      </c>
      <c r="AH171" s="76">
        <v>12</v>
      </c>
      <c r="AI171" s="76">
        <v>6</v>
      </c>
      <c r="AJ171" s="76">
        <v>0</v>
      </c>
      <c r="AK171" s="76">
        <v>0</v>
      </c>
      <c r="AL171" s="76">
        <v>2</v>
      </c>
      <c r="AM171" s="76">
        <v>0</v>
      </c>
      <c r="AN171" s="76">
        <v>0</v>
      </c>
      <c r="AO171" s="76">
        <v>169</v>
      </c>
      <c r="AP171" s="202" t="s">
        <v>150</v>
      </c>
      <c r="AQ171" s="202">
        <v>0.71399999999999997</v>
      </c>
      <c r="AR171" s="202">
        <v>0.73</v>
      </c>
      <c r="AS171" s="202">
        <v>0.32200000000000001</v>
      </c>
      <c r="AT171" s="202">
        <v>0.41799999999999998</v>
      </c>
      <c r="AU171" s="202">
        <v>0.74</v>
      </c>
      <c r="AV171" s="202">
        <v>5.65</v>
      </c>
      <c r="AW171" s="202">
        <v>2.5099999999999998</v>
      </c>
      <c r="AX171" s="202">
        <v>9.6300000000000008</v>
      </c>
      <c r="AY171" s="202">
        <v>2.25</v>
      </c>
      <c r="AZ171" s="202">
        <v>15.98</v>
      </c>
    </row>
    <row r="172" spans="1:52" x14ac:dyDescent="0.2">
      <c r="A172" s="76">
        <v>19</v>
      </c>
      <c r="B172" t="s">
        <v>1188</v>
      </c>
      <c r="C172" s="76" t="s">
        <v>150</v>
      </c>
      <c r="D172" s="76">
        <v>1</v>
      </c>
      <c r="E172" s="76">
        <v>3</v>
      </c>
      <c r="F172" s="76">
        <v>7.77</v>
      </c>
      <c r="G172" s="76">
        <v>6</v>
      </c>
      <c r="H172" s="76">
        <v>6</v>
      </c>
      <c r="I172" s="76">
        <v>0</v>
      </c>
      <c r="J172" s="76">
        <v>0</v>
      </c>
      <c r="K172" s="76">
        <v>0</v>
      </c>
      <c r="L172" s="76">
        <v>0</v>
      </c>
      <c r="M172" s="76">
        <v>24.1</v>
      </c>
      <c r="N172" s="76">
        <v>30</v>
      </c>
      <c r="O172" s="76">
        <v>25</v>
      </c>
      <c r="P172" s="76">
        <v>21</v>
      </c>
      <c r="Q172" s="76">
        <v>2</v>
      </c>
      <c r="R172" s="76">
        <v>20</v>
      </c>
      <c r="S172" s="76">
        <v>0</v>
      </c>
      <c r="T172" s="76">
        <v>18</v>
      </c>
      <c r="U172" s="76">
        <v>119</v>
      </c>
      <c r="V172" s="76">
        <v>24.1</v>
      </c>
      <c r="W172" s="76">
        <v>0.309</v>
      </c>
      <c r="X172" s="76">
        <v>2.0499999999999998</v>
      </c>
      <c r="Y172" s="76"/>
      <c r="Z172" s="76">
        <v>19</v>
      </c>
      <c r="AA172" t="s">
        <v>1188</v>
      </c>
      <c r="AB172" s="76" t="s">
        <v>150</v>
      </c>
      <c r="AC172" s="76">
        <v>0</v>
      </c>
      <c r="AD172" s="76">
        <v>0</v>
      </c>
      <c r="AE172" s="76">
        <v>0</v>
      </c>
      <c r="AF172" s="76">
        <v>0</v>
      </c>
      <c r="AG172" s="76">
        <v>5</v>
      </c>
      <c r="AH172" s="76">
        <v>28</v>
      </c>
      <c r="AI172" s="76">
        <v>23</v>
      </c>
      <c r="AJ172" s="76">
        <v>1</v>
      </c>
      <c r="AK172" s="76">
        <v>0</v>
      </c>
      <c r="AL172" s="76">
        <v>0</v>
      </c>
      <c r="AM172" s="76">
        <v>1</v>
      </c>
      <c r="AN172" s="76">
        <v>1</v>
      </c>
      <c r="AO172" s="76">
        <v>475</v>
      </c>
      <c r="AP172" s="202" t="s">
        <v>150</v>
      </c>
      <c r="AQ172" s="202">
        <v>0.61899999999999999</v>
      </c>
      <c r="AR172" s="202">
        <v>1.72</v>
      </c>
      <c r="AS172" s="202">
        <v>0.31900000000000001</v>
      </c>
      <c r="AT172" s="202">
        <v>0.378</v>
      </c>
      <c r="AU172" s="202">
        <v>0.69799999999999995</v>
      </c>
      <c r="AV172" s="202">
        <v>8.6</v>
      </c>
      <c r="AW172" s="202">
        <v>3.2</v>
      </c>
      <c r="AX172" s="202">
        <v>8.49</v>
      </c>
      <c r="AY172" s="202">
        <v>2.69</v>
      </c>
      <c r="AZ172" s="202">
        <v>16.23</v>
      </c>
    </row>
    <row r="173" spans="1:52" x14ac:dyDescent="0.2">
      <c r="A173" s="76">
        <v>21</v>
      </c>
      <c r="B173" t="s">
        <v>1342</v>
      </c>
      <c r="C173" s="76" t="s">
        <v>150</v>
      </c>
      <c r="D173" s="76">
        <v>0</v>
      </c>
      <c r="E173" s="76">
        <v>0</v>
      </c>
      <c r="F173" s="76">
        <v>13.5</v>
      </c>
      <c r="G173" s="76">
        <v>3</v>
      </c>
      <c r="H173" s="76">
        <v>0</v>
      </c>
      <c r="I173" s="76">
        <v>0</v>
      </c>
      <c r="J173" s="76">
        <v>0</v>
      </c>
      <c r="K173" s="76">
        <v>0</v>
      </c>
      <c r="L173" s="76">
        <v>0</v>
      </c>
      <c r="M173" s="76">
        <v>3.1</v>
      </c>
      <c r="N173" s="76">
        <v>3</v>
      </c>
      <c r="O173" s="76">
        <v>5</v>
      </c>
      <c r="P173" s="76">
        <v>5</v>
      </c>
      <c r="Q173" s="76">
        <v>0</v>
      </c>
      <c r="R173" s="76">
        <v>5</v>
      </c>
      <c r="S173" s="76">
        <v>0</v>
      </c>
      <c r="T173" s="76">
        <v>4</v>
      </c>
      <c r="U173" s="76">
        <v>19</v>
      </c>
      <c r="V173" s="76">
        <v>3.1</v>
      </c>
      <c r="W173" s="76">
        <v>0.23100000000000001</v>
      </c>
      <c r="X173" s="76">
        <v>2.4</v>
      </c>
      <c r="Y173" s="76"/>
      <c r="Z173" s="76">
        <v>21</v>
      </c>
      <c r="AA173" t="s">
        <v>1342</v>
      </c>
      <c r="AB173" s="76" t="s">
        <v>150</v>
      </c>
      <c r="AC173" s="76">
        <v>1</v>
      </c>
      <c r="AD173" s="76">
        <v>0</v>
      </c>
      <c r="AE173" s="76">
        <v>2</v>
      </c>
      <c r="AF173" s="76">
        <v>0</v>
      </c>
      <c r="AG173" s="76">
        <v>0</v>
      </c>
      <c r="AH173" s="76">
        <v>3</v>
      </c>
      <c r="AI173" s="76">
        <v>3</v>
      </c>
      <c r="AJ173" s="76">
        <v>0</v>
      </c>
      <c r="AK173" s="76">
        <v>0</v>
      </c>
      <c r="AL173" s="76">
        <v>0</v>
      </c>
      <c r="AM173" s="76">
        <v>0</v>
      </c>
      <c r="AN173" s="76">
        <v>0</v>
      </c>
      <c r="AO173" s="76">
        <v>86</v>
      </c>
      <c r="AP173" s="202" t="s">
        <v>150</v>
      </c>
      <c r="AQ173" s="202">
        <v>0.64700000000000002</v>
      </c>
      <c r="AR173" s="202">
        <v>0.39</v>
      </c>
      <c r="AS173" s="202">
        <v>0.27</v>
      </c>
      <c r="AT173" s="202">
        <v>0.37</v>
      </c>
      <c r="AU173" s="202">
        <v>0.64</v>
      </c>
      <c r="AV173" s="202">
        <v>6.06</v>
      </c>
      <c r="AW173" s="202">
        <v>3.14</v>
      </c>
      <c r="AX173" s="202">
        <v>6.64</v>
      </c>
      <c r="AY173" s="202">
        <v>1.93</v>
      </c>
      <c r="AZ173" s="202">
        <v>16.100000000000001</v>
      </c>
    </row>
    <row r="174" spans="1:52" x14ac:dyDescent="0.2">
      <c r="A174" s="76">
        <v>8</v>
      </c>
      <c r="B174" s="41" t="s">
        <v>1097</v>
      </c>
      <c r="C174" s="76" t="s">
        <v>150</v>
      </c>
      <c r="D174" s="76">
        <v>2</v>
      </c>
      <c r="E174" s="76">
        <v>0</v>
      </c>
      <c r="F174" s="76">
        <v>3.43</v>
      </c>
      <c r="G174" s="76">
        <v>50</v>
      </c>
      <c r="H174" s="76">
        <v>0</v>
      </c>
      <c r="I174" s="76">
        <v>0</v>
      </c>
      <c r="J174" s="76">
        <v>0</v>
      </c>
      <c r="K174" s="76">
        <v>0</v>
      </c>
      <c r="L174" s="76">
        <v>0</v>
      </c>
      <c r="M174" s="76">
        <v>44.2</v>
      </c>
      <c r="N174" s="76">
        <v>42</v>
      </c>
      <c r="O174" s="76">
        <v>19</v>
      </c>
      <c r="P174" s="76">
        <v>17</v>
      </c>
      <c r="Q174" s="76">
        <v>4</v>
      </c>
      <c r="R174" s="76">
        <v>16</v>
      </c>
      <c r="S174" s="76">
        <v>0</v>
      </c>
      <c r="T174" s="76">
        <v>34</v>
      </c>
      <c r="U174" s="76">
        <v>191</v>
      </c>
      <c r="V174" s="76">
        <v>44.2</v>
      </c>
      <c r="W174" s="76">
        <v>0.251</v>
      </c>
      <c r="X174" s="76">
        <v>1.3</v>
      </c>
      <c r="Y174" s="76"/>
      <c r="Z174" s="76">
        <v>8</v>
      </c>
      <c r="AA174" t="s">
        <v>1097</v>
      </c>
      <c r="AB174" s="76" t="s">
        <v>150</v>
      </c>
      <c r="AC174" s="76">
        <v>2</v>
      </c>
      <c r="AD174" s="76">
        <v>0</v>
      </c>
      <c r="AE174" s="76">
        <v>11</v>
      </c>
      <c r="AF174" s="76">
        <v>7</v>
      </c>
      <c r="AG174" s="76">
        <v>7</v>
      </c>
      <c r="AH174" s="76">
        <v>67</v>
      </c>
      <c r="AI174" s="76">
        <v>30</v>
      </c>
      <c r="AJ174" s="76">
        <v>3</v>
      </c>
      <c r="AK174" s="76">
        <v>0</v>
      </c>
      <c r="AL174" s="76">
        <v>0</v>
      </c>
      <c r="AM174" s="76">
        <v>0</v>
      </c>
      <c r="AN174" s="76">
        <v>0</v>
      </c>
      <c r="AO174" s="76">
        <v>668</v>
      </c>
      <c r="AP174" s="202" t="s">
        <v>150</v>
      </c>
      <c r="AQ174" s="202">
        <v>1</v>
      </c>
      <c r="AR174" s="202">
        <v>0.96</v>
      </c>
      <c r="AS174" s="202">
        <v>0.379</v>
      </c>
      <c r="AT174" s="202">
        <v>0.39100000000000001</v>
      </c>
      <c r="AU174" s="202">
        <v>0.76900000000000002</v>
      </c>
      <c r="AV174" s="202">
        <v>6.94</v>
      </c>
      <c r="AW174" s="202">
        <v>5.79</v>
      </c>
      <c r="AX174" s="202">
        <v>9.26</v>
      </c>
      <c r="AY174" s="202">
        <v>1.2</v>
      </c>
      <c r="AZ174" s="202">
        <v>19.760000000000002</v>
      </c>
    </row>
    <row r="175" spans="1:52" x14ac:dyDescent="0.2">
      <c r="A175" s="76">
        <v>20</v>
      </c>
      <c r="B175" t="s">
        <v>1341</v>
      </c>
      <c r="C175" s="76" t="s">
        <v>150</v>
      </c>
      <c r="D175" s="76">
        <v>2</v>
      </c>
      <c r="E175" s="76">
        <v>1</v>
      </c>
      <c r="F175" s="76">
        <v>9.24</v>
      </c>
      <c r="G175" s="76">
        <v>13</v>
      </c>
      <c r="H175" s="76">
        <v>0</v>
      </c>
      <c r="I175" s="76">
        <v>0</v>
      </c>
      <c r="J175" s="76">
        <v>0</v>
      </c>
      <c r="K175" s="76">
        <v>0</v>
      </c>
      <c r="L175" s="76">
        <v>0</v>
      </c>
      <c r="M175" s="76">
        <v>12.2</v>
      </c>
      <c r="N175" s="76">
        <v>19</v>
      </c>
      <c r="O175" s="76">
        <v>13</v>
      </c>
      <c r="P175" s="76">
        <v>13</v>
      </c>
      <c r="Q175" s="76">
        <v>6</v>
      </c>
      <c r="R175" s="76">
        <v>3</v>
      </c>
      <c r="S175" s="76">
        <v>0</v>
      </c>
      <c r="T175" s="76">
        <v>13</v>
      </c>
      <c r="U175" s="76">
        <v>58</v>
      </c>
      <c r="V175" s="76">
        <v>12.2</v>
      </c>
      <c r="W175" s="76">
        <v>0.35199999999999998</v>
      </c>
      <c r="X175" s="76">
        <v>1.74</v>
      </c>
      <c r="Y175" s="76"/>
      <c r="Z175" s="76">
        <v>20</v>
      </c>
      <c r="AA175" t="s">
        <v>1341</v>
      </c>
      <c r="AB175" s="76" t="s">
        <v>150</v>
      </c>
      <c r="AC175" s="76">
        <v>0</v>
      </c>
      <c r="AD175" s="76">
        <v>0</v>
      </c>
      <c r="AE175" s="76">
        <v>6</v>
      </c>
      <c r="AF175" s="76">
        <v>1</v>
      </c>
      <c r="AG175" s="76">
        <v>0</v>
      </c>
      <c r="AH175" s="76">
        <v>6</v>
      </c>
      <c r="AI175" s="76">
        <v>17</v>
      </c>
      <c r="AJ175" s="76">
        <v>0</v>
      </c>
      <c r="AK175" s="76">
        <v>1</v>
      </c>
      <c r="AL175" s="76">
        <v>0</v>
      </c>
      <c r="AM175" s="76">
        <v>2</v>
      </c>
      <c r="AN175" s="76">
        <v>0</v>
      </c>
      <c r="AO175" s="76">
        <v>249</v>
      </c>
      <c r="AP175" s="202" t="s">
        <v>150</v>
      </c>
      <c r="AQ175" s="202">
        <v>0.59099999999999997</v>
      </c>
      <c r="AR175" s="202">
        <v>1.03</v>
      </c>
      <c r="AS175" s="202">
        <v>0.32</v>
      </c>
      <c r="AT175" s="202">
        <v>0.372</v>
      </c>
      <c r="AU175" s="202">
        <v>0.69199999999999995</v>
      </c>
      <c r="AV175" s="202">
        <v>6.96</v>
      </c>
      <c r="AW175" s="202">
        <v>3.23</v>
      </c>
      <c r="AX175" s="202">
        <v>8.5399999999999991</v>
      </c>
      <c r="AY175" s="202">
        <v>2.15</v>
      </c>
      <c r="AZ175" s="202">
        <v>16.46</v>
      </c>
    </row>
    <row r="176" spans="1:52" x14ac:dyDescent="0.2">
      <c r="A176" s="76">
        <v>12</v>
      </c>
      <c r="B176" s="41" t="s">
        <v>644</v>
      </c>
      <c r="C176" s="76" t="s">
        <v>150</v>
      </c>
      <c r="D176" s="76">
        <v>5</v>
      </c>
      <c r="E176" s="76">
        <v>8</v>
      </c>
      <c r="F176" s="76">
        <v>4.05</v>
      </c>
      <c r="G176" s="76">
        <v>70</v>
      </c>
      <c r="H176" s="76">
        <v>0</v>
      </c>
      <c r="I176" s="76">
        <v>0</v>
      </c>
      <c r="J176" s="76">
        <v>0</v>
      </c>
      <c r="K176" s="76">
        <v>1</v>
      </c>
      <c r="L176" s="76">
        <v>8</v>
      </c>
      <c r="M176" s="76">
        <v>66.2</v>
      </c>
      <c r="N176" s="76">
        <v>70</v>
      </c>
      <c r="O176" s="76">
        <v>31</v>
      </c>
      <c r="P176" s="76">
        <v>30</v>
      </c>
      <c r="Q176" s="76">
        <v>10</v>
      </c>
      <c r="R176" s="76">
        <v>27</v>
      </c>
      <c r="S176" s="76">
        <v>0</v>
      </c>
      <c r="T176" s="76">
        <v>68</v>
      </c>
      <c r="U176" s="76">
        <v>293</v>
      </c>
      <c r="V176" s="76">
        <v>66.2</v>
      </c>
      <c r="W176" s="76">
        <v>0.27100000000000002</v>
      </c>
      <c r="X176" s="76">
        <v>1.46</v>
      </c>
      <c r="Y176" s="76"/>
      <c r="Z176" s="76">
        <v>12</v>
      </c>
      <c r="AA176" t="s">
        <v>644</v>
      </c>
      <c r="AB176" s="76" t="s">
        <v>150</v>
      </c>
      <c r="AC176" s="76">
        <v>2</v>
      </c>
      <c r="AD176" s="76">
        <v>0</v>
      </c>
      <c r="AE176" s="76">
        <v>18</v>
      </c>
      <c r="AF176" s="76">
        <v>20</v>
      </c>
      <c r="AG176" s="76">
        <v>2</v>
      </c>
      <c r="AH176" s="76">
        <v>73</v>
      </c>
      <c r="AI176" s="76">
        <v>53</v>
      </c>
      <c r="AJ176" s="76">
        <v>2</v>
      </c>
      <c r="AK176" s="76">
        <v>3</v>
      </c>
      <c r="AL176" s="76">
        <v>2</v>
      </c>
      <c r="AM176" s="76">
        <v>2</v>
      </c>
      <c r="AN176" s="76">
        <v>0</v>
      </c>
      <c r="AO176" s="76">
        <v>1193</v>
      </c>
      <c r="AP176" s="202" t="s">
        <v>150</v>
      </c>
      <c r="AQ176" s="202">
        <v>0.6</v>
      </c>
      <c r="AR176" s="202">
        <v>1.39</v>
      </c>
      <c r="AS176" s="202">
        <v>0.34200000000000003</v>
      </c>
      <c r="AT176" s="202">
        <v>0.35</v>
      </c>
      <c r="AU176" s="202">
        <v>0.69199999999999995</v>
      </c>
      <c r="AV176" s="202">
        <v>9.8699999999999992</v>
      </c>
      <c r="AW176" s="202">
        <v>5.24</v>
      </c>
      <c r="AX176" s="202">
        <v>7.86</v>
      </c>
      <c r="AY176" s="202">
        <v>1.88</v>
      </c>
      <c r="AZ176" s="202">
        <v>16.05</v>
      </c>
    </row>
    <row r="177" spans="1:52" x14ac:dyDescent="0.2">
      <c r="A177" s="76">
        <v>2</v>
      </c>
      <c r="B177" s="41" t="s">
        <v>1337</v>
      </c>
      <c r="C177" s="76" t="s">
        <v>150</v>
      </c>
      <c r="D177" s="76">
        <v>2</v>
      </c>
      <c r="E177" s="76">
        <v>2</v>
      </c>
      <c r="F177" s="76">
        <v>1.23</v>
      </c>
      <c r="G177" s="76">
        <v>21</v>
      </c>
      <c r="H177" s="76">
        <v>0</v>
      </c>
      <c r="I177" s="76">
        <v>0</v>
      </c>
      <c r="J177" s="76">
        <v>0</v>
      </c>
      <c r="K177" s="76">
        <v>0</v>
      </c>
      <c r="L177" s="76">
        <v>0</v>
      </c>
      <c r="M177" s="76">
        <v>22</v>
      </c>
      <c r="N177" s="76">
        <v>13</v>
      </c>
      <c r="O177" s="76">
        <v>4</v>
      </c>
      <c r="P177" s="76">
        <v>3</v>
      </c>
      <c r="Q177" s="76">
        <v>0</v>
      </c>
      <c r="R177" s="76">
        <v>11</v>
      </c>
      <c r="S177" s="76">
        <v>1</v>
      </c>
      <c r="T177" s="76">
        <v>30</v>
      </c>
      <c r="U177" s="76">
        <v>88</v>
      </c>
      <c r="V177" s="76">
        <v>22</v>
      </c>
      <c r="W177" s="76">
        <v>0.17299999999999999</v>
      </c>
      <c r="X177" s="76">
        <v>1.0900000000000001</v>
      </c>
      <c r="Y177" s="76"/>
      <c r="Z177" s="76">
        <v>2</v>
      </c>
      <c r="AA177" t="s">
        <v>1337</v>
      </c>
      <c r="AB177" s="76" t="s">
        <v>150</v>
      </c>
      <c r="AC177" s="76">
        <v>1</v>
      </c>
      <c r="AD177" s="76">
        <v>1</v>
      </c>
      <c r="AE177" s="76">
        <v>1</v>
      </c>
      <c r="AF177" s="76">
        <v>6</v>
      </c>
      <c r="AG177" s="76">
        <v>3</v>
      </c>
      <c r="AH177" s="76">
        <v>17</v>
      </c>
      <c r="AI177" s="76">
        <v>16</v>
      </c>
      <c r="AJ177" s="76">
        <v>1</v>
      </c>
      <c r="AK177" s="76">
        <v>0</v>
      </c>
      <c r="AL177" s="76">
        <v>0</v>
      </c>
      <c r="AM177" s="76">
        <v>1</v>
      </c>
      <c r="AN177" s="76">
        <v>0</v>
      </c>
      <c r="AO177" s="76">
        <v>433</v>
      </c>
      <c r="AP177" s="202" t="s">
        <v>150</v>
      </c>
      <c r="AQ177" s="202" t="s">
        <v>243</v>
      </c>
      <c r="AR177" s="202">
        <v>1.25</v>
      </c>
      <c r="AS177" s="202">
        <v>0.37</v>
      </c>
      <c r="AT177" s="202">
        <v>0.47799999999999998</v>
      </c>
      <c r="AU177" s="202">
        <v>0.84899999999999998</v>
      </c>
      <c r="AV177" s="202">
        <v>12.71</v>
      </c>
      <c r="AW177" s="202">
        <v>6.35</v>
      </c>
      <c r="AX177" s="202">
        <v>9.5299999999999994</v>
      </c>
      <c r="AY177" s="202">
        <v>2</v>
      </c>
      <c r="AZ177" s="202">
        <v>22.94</v>
      </c>
    </row>
    <row r="178" spans="1:52" x14ac:dyDescent="0.2">
      <c r="A178" s="76">
        <v>4</v>
      </c>
      <c r="B178" t="s">
        <v>565</v>
      </c>
      <c r="C178" s="76" t="s">
        <v>150</v>
      </c>
      <c r="D178" s="76">
        <v>0</v>
      </c>
      <c r="E178" s="76">
        <v>0</v>
      </c>
      <c r="F178" s="76">
        <v>2.25</v>
      </c>
      <c r="G178" s="76">
        <v>3</v>
      </c>
      <c r="H178" s="76">
        <v>3</v>
      </c>
      <c r="I178" s="76">
        <v>0</v>
      </c>
      <c r="J178" s="76">
        <v>0</v>
      </c>
      <c r="K178" s="76">
        <v>0</v>
      </c>
      <c r="L178" s="76">
        <v>0</v>
      </c>
      <c r="M178" s="76">
        <v>12</v>
      </c>
      <c r="N178" s="76">
        <v>8</v>
      </c>
      <c r="O178" s="76">
        <v>3</v>
      </c>
      <c r="P178" s="76">
        <v>3</v>
      </c>
      <c r="Q178" s="76">
        <v>1</v>
      </c>
      <c r="R178" s="76">
        <v>3</v>
      </c>
      <c r="S178" s="76">
        <v>0</v>
      </c>
      <c r="T178" s="76">
        <v>11</v>
      </c>
      <c r="U178" s="76">
        <v>47</v>
      </c>
      <c r="V178" s="76">
        <v>12</v>
      </c>
      <c r="W178" s="76">
        <v>0.182</v>
      </c>
      <c r="X178" s="76">
        <v>0.92</v>
      </c>
      <c r="Y178" s="76"/>
      <c r="Z178" s="76">
        <v>4</v>
      </c>
      <c r="AA178" t="s">
        <v>565</v>
      </c>
      <c r="AB178" s="76" t="s">
        <v>150</v>
      </c>
      <c r="AC178" s="76">
        <v>0</v>
      </c>
      <c r="AD178" s="76">
        <v>0</v>
      </c>
      <c r="AE178" s="76">
        <v>0</v>
      </c>
      <c r="AF178" s="76">
        <v>0</v>
      </c>
      <c r="AG178" s="76">
        <v>0</v>
      </c>
      <c r="AH178" s="76">
        <v>9</v>
      </c>
      <c r="AI178" s="76">
        <v>16</v>
      </c>
      <c r="AJ178" s="76">
        <v>0</v>
      </c>
      <c r="AK178" s="76">
        <v>0</v>
      </c>
      <c r="AL178" s="76">
        <v>1</v>
      </c>
      <c r="AM178" s="76">
        <v>1</v>
      </c>
      <c r="AN178" s="76">
        <v>1</v>
      </c>
      <c r="AO178" s="76">
        <v>209</v>
      </c>
      <c r="AP178" s="202" t="s">
        <v>150</v>
      </c>
      <c r="AQ178" s="202">
        <v>0.36399999999999999</v>
      </c>
      <c r="AR178" s="202">
        <v>1.02</v>
      </c>
      <c r="AS178" s="202">
        <v>0.34399999999999997</v>
      </c>
      <c r="AT178" s="202">
        <v>0.47399999999999998</v>
      </c>
      <c r="AU178" s="202">
        <v>0.81799999999999995</v>
      </c>
      <c r="AV178" s="202">
        <v>6.2</v>
      </c>
      <c r="AW178" s="202">
        <v>1.88</v>
      </c>
      <c r="AX178" s="202">
        <v>11.18</v>
      </c>
      <c r="AY178" s="202">
        <v>3.29</v>
      </c>
      <c r="AZ178" s="202">
        <v>16.48</v>
      </c>
    </row>
    <row r="179" spans="1:52" x14ac:dyDescent="0.2">
      <c r="A179" s="76">
        <v>14</v>
      </c>
      <c r="B179" s="41" t="s">
        <v>559</v>
      </c>
      <c r="C179" s="76" t="s">
        <v>150</v>
      </c>
      <c r="D179" s="76">
        <v>11</v>
      </c>
      <c r="E179" s="76">
        <v>12</v>
      </c>
      <c r="F179" s="76">
        <v>4.45</v>
      </c>
      <c r="G179" s="76">
        <v>32</v>
      </c>
      <c r="H179" s="76">
        <v>32</v>
      </c>
      <c r="I179" s="76">
        <v>2</v>
      </c>
      <c r="J179" s="76">
        <v>0</v>
      </c>
      <c r="K179" s="76">
        <v>0</v>
      </c>
      <c r="L179" s="76">
        <v>0</v>
      </c>
      <c r="M179" s="76">
        <v>186</v>
      </c>
      <c r="N179" s="76">
        <v>190</v>
      </c>
      <c r="O179" s="76">
        <v>96</v>
      </c>
      <c r="P179" s="76">
        <v>92</v>
      </c>
      <c r="Q179" s="76">
        <v>23</v>
      </c>
      <c r="R179" s="76">
        <v>78</v>
      </c>
      <c r="S179" s="76">
        <v>1</v>
      </c>
      <c r="T179" s="76">
        <v>144</v>
      </c>
      <c r="U179" s="76">
        <v>816</v>
      </c>
      <c r="V179" s="76">
        <v>186</v>
      </c>
      <c r="W179" s="76">
        <v>0.26300000000000001</v>
      </c>
      <c r="X179" s="76">
        <v>1.44</v>
      </c>
      <c r="Y179" s="76"/>
      <c r="Z179" s="76">
        <v>14</v>
      </c>
      <c r="AA179" t="s">
        <v>559</v>
      </c>
      <c r="AB179" s="76" t="s">
        <v>150</v>
      </c>
      <c r="AC179" s="76">
        <v>8</v>
      </c>
      <c r="AD179" s="76">
        <v>1</v>
      </c>
      <c r="AE179" s="76">
        <v>0</v>
      </c>
      <c r="AF179" s="76">
        <v>0</v>
      </c>
      <c r="AG179" s="76">
        <v>21</v>
      </c>
      <c r="AH179" s="76">
        <v>227</v>
      </c>
      <c r="AI179" s="76">
        <v>169</v>
      </c>
      <c r="AJ179" s="76">
        <v>13</v>
      </c>
      <c r="AK179" s="76">
        <v>1</v>
      </c>
      <c r="AL179" s="76">
        <v>4</v>
      </c>
      <c r="AM179" s="76">
        <v>4</v>
      </c>
      <c r="AN179" s="76">
        <v>2</v>
      </c>
      <c r="AO179" s="76">
        <v>3048</v>
      </c>
      <c r="AP179" s="202" t="s">
        <v>150</v>
      </c>
      <c r="AQ179" s="202" t="s">
        <v>243</v>
      </c>
      <c r="AR179" s="202">
        <v>0.4</v>
      </c>
      <c r="AS179" s="202">
        <v>0.33300000000000002</v>
      </c>
      <c r="AT179" s="202">
        <v>0.5</v>
      </c>
      <c r="AU179" s="202">
        <v>0.83299999999999996</v>
      </c>
      <c r="AV179" s="202">
        <v>3</v>
      </c>
      <c r="AW179" s="202">
        <v>6</v>
      </c>
      <c r="AX179" s="202">
        <v>6</v>
      </c>
      <c r="AY179" s="202">
        <v>0.5</v>
      </c>
      <c r="AZ179" s="202">
        <v>14.67</v>
      </c>
    </row>
    <row r="180" spans="1:52" x14ac:dyDescent="0.2">
      <c r="A180" s="76">
        <v>16</v>
      </c>
      <c r="B180" s="41" t="s">
        <v>381</v>
      </c>
      <c r="C180" s="76" t="s">
        <v>150</v>
      </c>
      <c r="D180" s="76">
        <v>10</v>
      </c>
      <c r="E180" s="76">
        <v>11</v>
      </c>
      <c r="F180" s="76">
        <v>5.37</v>
      </c>
      <c r="G180" s="76">
        <v>34</v>
      </c>
      <c r="H180" s="76">
        <v>34</v>
      </c>
      <c r="I180" s="76">
        <v>0</v>
      </c>
      <c r="J180" s="76">
        <v>0</v>
      </c>
      <c r="K180" s="76">
        <v>0</v>
      </c>
      <c r="L180" s="76">
        <v>0</v>
      </c>
      <c r="M180" s="76">
        <v>189.1</v>
      </c>
      <c r="N180" s="76">
        <v>217</v>
      </c>
      <c r="O180" s="76">
        <v>124</v>
      </c>
      <c r="P180" s="76">
        <v>113</v>
      </c>
      <c r="Q180" s="76">
        <v>23</v>
      </c>
      <c r="R180" s="76">
        <v>76</v>
      </c>
      <c r="S180" s="76">
        <v>1</v>
      </c>
      <c r="T180" s="76">
        <v>139</v>
      </c>
      <c r="U180" s="76">
        <v>853</v>
      </c>
      <c r="V180" s="76">
        <v>189.1</v>
      </c>
      <c r="W180" s="76">
        <v>0.28599999999999998</v>
      </c>
      <c r="X180" s="76">
        <v>1.55</v>
      </c>
      <c r="Y180" s="76"/>
      <c r="Z180" s="76">
        <v>16</v>
      </c>
      <c r="AA180" t="s">
        <v>381</v>
      </c>
      <c r="AB180" s="76" t="s">
        <v>150</v>
      </c>
      <c r="AC180" s="76">
        <v>7</v>
      </c>
      <c r="AD180" s="76">
        <v>1</v>
      </c>
      <c r="AE180" s="76">
        <v>0</v>
      </c>
      <c r="AF180" s="76">
        <v>0</v>
      </c>
      <c r="AG180" s="76">
        <v>16</v>
      </c>
      <c r="AH180" s="76">
        <v>248</v>
      </c>
      <c r="AI180" s="76">
        <v>166</v>
      </c>
      <c r="AJ180" s="76">
        <v>5</v>
      </c>
      <c r="AK180" s="76">
        <v>1</v>
      </c>
      <c r="AL180" s="76">
        <v>16</v>
      </c>
      <c r="AM180" s="76">
        <v>6</v>
      </c>
      <c r="AN180" s="76">
        <v>0</v>
      </c>
      <c r="AO180" s="76">
        <v>3232</v>
      </c>
      <c r="AP180" s="202" t="s">
        <v>150</v>
      </c>
      <c r="AQ180" s="202">
        <v>0.66700000000000004</v>
      </c>
      <c r="AR180" s="202">
        <v>1.56</v>
      </c>
      <c r="AS180" s="202">
        <v>0.29699999999999999</v>
      </c>
      <c r="AT180" s="202">
        <v>0.39</v>
      </c>
      <c r="AU180" s="202">
        <v>0.68700000000000006</v>
      </c>
      <c r="AV180" s="202">
        <v>5.92</v>
      </c>
      <c r="AW180" s="202">
        <v>2.02</v>
      </c>
      <c r="AX180" s="202">
        <v>8.3699999999999992</v>
      </c>
      <c r="AY180" s="202">
        <v>2.93</v>
      </c>
      <c r="AZ180" s="202">
        <v>15.22</v>
      </c>
    </row>
    <row r="181" spans="1:52" x14ac:dyDescent="0.2">
      <c r="A181" s="76">
        <v>13</v>
      </c>
      <c r="B181" s="41" t="s">
        <v>1339</v>
      </c>
      <c r="C181" s="76" t="s">
        <v>150</v>
      </c>
      <c r="D181" s="76">
        <v>6</v>
      </c>
      <c r="E181" s="76">
        <v>0</v>
      </c>
      <c r="F181" s="76">
        <v>4.22</v>
      </c>
      <c r="G181" s="76">
        <v>38</v>
      </c>
      <c r="H181" s="76">
        <v>0</v>
      </c>
      <c r="I181" s="76">
        <v>0</v>
      </c>
      <c r="J181" s="76">
        <v>0</v>
      </c>
      <c r="K181" s="76">
        <v>0</v>
      </c>
      <c r="L181" s="76">
        <v>0</v>
      </c>
      <c r="M181" s="76">
        <v>53.1</v>
      </c>
      <c r="N181" s="76">
        <v>60</v>
      </c>
      <c r="O181" s="76">
        <v>27</v>
      </c>
      <c r="P181" s="76">
        <v>25</v>
      </c>
      <c r="Q181" s="76">
        <v>6</v>
      </c>
      <c r="R181" s="76">
        <v>18</v>
      </c>
      <c r="S181" s="76">
        <v>0</v>
      </c>
      <c r="T181" s="76">
        <v>30</v>
      </c>
      <c r="U181" s="76">
        <v>231</v>
      </c>
      <c r="V181" s="76">
        <v>53.1</v>
      </c>
      <c r="W181" s="76">
        <v>0.28599999999999998</v>
      </c>
      <c r="X181" s="76">
        <v>1.46</v>
      </c>
      <c r="Y181" s="76"/>
      <c r="Z181" s="76">
        <v>13</v>
      </c>
      <c r="AA181" t="s">
        <v>1339</v>
      </c>
      <c r="AB181" s="76" t="s">
        <v>150</v>
      </c>
      <c r="AC181" s="76">
        <v>2</v>
      </c>
      <c r="AD181" s="76">
        <v>0</v>
      </c>
      <c r="AE181" s="76">
        <v>24</v>
      </c>
      <c r="AF181" s="76">
        <v>0</v>
      </c>
      <c r="AG181" s="76">
        <v>5</v>
      </c>
      <c r="AH181" s="76">
        <v>70</v>
      </c>
      <c r="AI181" s="76">
        <v>51</v>
      </c>
      <c r="AJ181" s="76">
        <v>1</v>
      </c>
      <c r="AK181" s="76">
        <v>0</v>
      </c>
      <c r="AL181" s="76">
        <v>2</v>
      </c>
      <c r="AM181" s="76">
        <v>2</v>
      </c>
      <c r="AN181" s="76">
        <v>0</v>
      </c>
      <c r="AO181" s="76">
        <v>835</v>
      </c>
      <c r="AP181" s="202" t="s">
        <v>150</v>
      </c>
      <c r="AQ181" s="202">
        <v>0.33300000000000002</v>
      </c>
      <c r="AR181" s="202">
        <v>1.4</v>
      </c>
      <c r="AS181" s="202">
        <v>0.254</v>
      </c>
      <c r="AT181" s="202">
        <v>0.31900000000000001</v>
      </c>
      <c r="AU181" s="202">
        <v>0.57299999999999995</v>
      </c>
      <c r="AV181" s="202">
        <v>8.24</v>
      </c>
      <c r="AW181" s="202">
        <v>1.99</v>
      </c>
      <c r="AX181" s="202">
        <v>6.68</v>
      </c>
      <c r="AY181" s="202">
        <v>4.1399999999999997</v>
      </c>
      <c r="AZ181" s="202">
        <v>14.18</v>
      </c>
    </row>
    <row r="182" spans="1:52" x14ac:dyDescent="0.2">
      <c r="A182" s="76">
        <v>17</v>
      </c>
      <c r="B182" s="41" t="s">
        <v>819</v>
      </c>
      <c r="C182" s="76" t="s">
        <v>150</v>
      </c>
      <c r="D182" s="76">
        <v>3</v>
      </c>
      <c r="E182" s="76">
        <v>9</v>
      </c>
      <c r="F182" s="76">
        <v>6.19</v>
      </c>
      <c r="G182" s="76">
        <v>34</v>
      </c>
      <c r="H182" s="76">
        <v>13</v>
      </c>
      <c r="I182" s="76">
        <v>0</v>
      </c>
      <c r="J182" s="76">
        <v>0</v>
      </c>
      <c r="K182" s="76">
        <v>1</v>
      </c>
      <c r="L182" s="76">
        <v>1</v>
      </c>
      <c r="M182" s="76">
        <v>88.2</v>
      </c>
      <c r="N182" s="76">
        <v>104</v>
      </c>
      <c r="O182" s="76">
        <v>63</v>
      </c>
      <c r="P182" s="76">
        <v>61</v>
      </c>
      <c r="Q182" s="76">
        <v>28</v>
      </c>
      <c r="R182" s="76">
        <v>43</v>
      </c>
      <c r="S182" s="76">
        <v>1</v>
      </c>
      <c r="T182" s="76">
        <v>94</v>
      </c>
      <c r="U182" s="76">
        <v>406</v>
      </c>
      <c r="V182" s="76">
        <v>88.2</v>
      </c>
      <c r="W182" s="76">
        <v>0.29099999999999998</v>
      </c>
      <c r="X182" s="76">
        <v>1.66</v>
      </c>
      <c r="Y182" s="76"/>
      <c r="Z182" s="76">
        <v>17</v>
      </c>
      <c r="AA182" t="s">
        <v>819</v>
      </c>
      <c r="AB182" s="76" t="s">
        <v>150</v>
      </c>
      <c r="AC182" s="76">
        <v>1</v>
      </c>
      <c r="AD182" s="76">
        <v>1</v>
      </c>
      <c r="AE182" s="76">
        <v>7</v>
      </c>
      <c r="AF182" s="76">
        <v>2</v>
      </c>
      <c r="AG182" s="76">
        <v>3</v>
      </c>
      <c r="AH182" s="76">
        <v>57</v>
      </c>
      <c r="AI182" s="76">
        <v>106</v>
      </c>
      <c r="AJ182" s="76">
        <v>3</v>
      </c>
      <c r="AK182" s="76">
        <v>0</v>
      </c>
      <c r="AL182" s="76">
        <v>12</v>
      </c>
      <c r="AM182" s="76">
        <v>2</v>
      </c>
      <c r="AN182" s="76">
        <v>2</v>
      </c>
      <c r="AO182" s="76">
        <v>1678</v>
      </c>
      <c r="AP182" s="202" t="s">
        <v>150</v>
      </c>
      <c r="AQ182" s="202">
        <v>0</v>
      </c>
      <c r="AR182" s="202">
        <v>0.59</v>
      </c>
      <c r="AS182" s="202">
        <v>0.317</v>
      </c>
      <c r="AT182" s="202">
        <v>0.41799999999999998</v>
      </c>
      <c r="AU182" s="202">
        <v>0.73499999999999999</v>
      </c>
      <c r="AV182" s="202">
        <v>6.05</v>
      </c>
      <c r="AW182" s="202">
        <v>1.4</v>
      </c>
      <c r="AX182" s="202">
        <v>10.71</v>
      </c>
      <c r="AY182" s="202">
        <v>4.33</v>
      </c>
      <c r="AZ182" s="202">
        <v>14.43</v>
      </c>
    </row>
    <row r="183" spans="1:52" x14ac:dyDescent="0.2">
      <c r="A183" s="225" t="s">
        <v>105</v>
      </c>
      <c r="B183" s="225" t="s">
        <v>106</v>
      </c>
      <c r="C183" s="225" t="s">
        <v>157</v>
      </c>
      <c r="D183" s="225" t="s">
        <v>85</v>
      </c>
      <c r="E183" s="225" t="s">
        <v>86</v>
      </c>
      <c r="F183" s="225" t="s">
        <v>107</v>
      </c>
      <c r="G183" s="225" t="s">
        <v>108</v>
      </c>
      <c r="H183" s="225" t="s">
        <v>88</v>
      </c>
      <c r="I183" s="225" t="s">
        <v>89</v>
      </c>
      <c r="J183" s="225" t="s">
        <v>1073</v>
      </c>
      <c r="K183" s="225" t="s">
        <v>90</v>
      </c>
      <c r="L183" s="225" t="s">
        <v>158</v>
      </c>
      <c r="M183" s="225" t="s">
        <v>91</v>
      </c>
      <c r="N183" s="225" t="s">
        <v>92</v>
      </c>
      <c r="O183" s="225" t="s">
        <v>93</v>
      </c>
      <c r="P183" s="225" t="s">
        <v>94</v>
      </c>
      <c r="Q183" s="225" t="s">
        <v>95</v>
      </c>
      <c r="R183" s="225" t="s">
        <v>96</v>
      </c>
      <c r="S183" s="225" t="s">
        <v>98</v>
      </c>
      <c r="T183" s="225" t="s">
        <v>97</v>
      </c>
      <c r="U183" s="225" t="s">
        <v>109</v>
      </c>
      <c r="V183" s="225" t="s">
        <v>91</v>
      </c>
      <c r="W183" s="225" t="s">
        <v>1071</v>
      </c>
      <c r="X183" s="225" t="s">
        <v>1072</v>
      </c>
      <c r="Y183" s="225"/>
      <c r="Z183" s="225" t="s">
        <v>105</v>
      </c>
      <c r="AA183" s="225" t="s">
        <v>106</v>
      </c>
      <c r="AB183" s="225" t="s">
        <v>157</v>
      </c>
      <c r="AC183" s="225" t="s">
        <v>1074</v>
      </c>
      <c r="AD183" s="225" t="s">
        <v>98</v>
      </c>
      <c r="AE183" s="225" t="s">
        <v>1075</v>
      </c>
      <c r="AF183" s="225" t="s">
        <v>1076</v>
      </c>
      <c r="AG183" s="225" t="s">
        <v>1077</v>
      </c>
      <c r="AH183" s="225" t="s">
        <v>1066</v>
      </c>
      <c r="AI183" s="225" t="s">
        <v>1067</v>
      </c>
      <c r="AJ183" s="225" t="s">
        <v>1078</v>
      </c>
      <c r="AK183" s="225" t="s">
        <v>1079</v>
      </c>
      <c r="AL183" s="225" t="s">
        <v>1057</v>
      </c>
      <c r="AM183" s="225" t="s">
        <v>1058</v>
      </c>
      <c r="AN183" s="225" t="s">
        <v>1080</v>
      </c>
      <c r="AO183" s="225" t="s">
        <v>1069</v>
      </c>
      <c r="AP183" s="102" t="s">
        <v>157</v>
      </c>
      <c r="AQ183" s="102" t="s">
        <v>1081</v>
      </c>
      <c r="AR183" s="102" t="s">
        <v>1068</v>
      </c>
      <c r="AS183" s="102" t="s">
        <v>1059</v>
      </c>
      <c r="AT183" s="102" t="s">
        <v>1060</v>
      </c>
      <c r="AU183" s="102" t="s">
        <v>1061</v>
      </c>
      <c r="AV183" s="102" t="s">
        <v>1092</v>
      </c>
      <c r="AW183" s="102" t="s">
        <v>1093</v>
      </c>
      <c r="AX183" s="102" t="s">
        <v>1094</v>
      </c>
      <c r="AY183" s="102" t="s">
        <v>1095</v>
      </c>
      <c r="AZ183" s="102" t="s">
        <v>1096</v>
      </c>
    </row>
    <row r="184" spans="1:52" x14ac:dyDescent="0.2">
      <c r="A184" s="76">
        <v>6</v>
      </c>
      <c r="B184" s="41" t="s">
        <v>811</v>
      </c>
      <c r="C184" s="76" t="s">
        <v>143</v>
      </c>
      <c r="D184" s="76">
        <v>1</v>
      </c>
      <c r="E184" s="76">
        <v>0</v>
      </c>
      <c r="F184" s="76">
        <v>3.11</v>
      </c>
      <c r="G184" s="76">
        <v>27</v>
      </c>
      <c r="H184" s="76">
        <v>0</v>
      </c>
      <c r="I184" s="76">
        <v>0</v>
      </c>
      <c r="J184" s="76">
        <v>0</v>
      </c>
      <c r="K184" s="76">
        <v>0</v>
      </c>
      <c r="L184" s="76">
        <v>0</v>
      </c>
      <c r="M184" s="76">
        <v>37.200000000000003</v>
      </c>
      <c r="N184" s="76">
        <v>43</v>
      </c>
      <c r="O184" s="76">
        <v>13</v>
      </c>
      <c r="P184" s="76">
        <v>13</v>
      </c>
      <c r="Q184" s="76">
        <v>7</v>
      </c>
      <c r="R184" s="76">
        <v>12</v>
      </c>
      <c r="S184" s="76">
        <v>1</v>
      </c>
      <c r="T184" s="76">
        <v>14</v>
      </c>
      <c r="U184" s="76">
        <v>160</v>
      </c>
      <c r="V184" s="76">
        <v>37.200000000000003</v>
      </c>
      <c r="W184" s="76">
        <v>0.29499999999999998</v>
      </c>
      <c r="X184" s="76">
        <v>1.46</v>
      </c>
      <c r="Y184" s="76"/>
      <c r="Z184" s="76">
        <v>6</v>
      </c>
      <c r="AA184" t="s">
        <v>811</v>
      </c>
      <c r="AB184" s="76" t="s">
        <v>143</v>
      </c>
      <c r="AC184" s="76">
        <v>1</v>
      </c>
      <c r="AD184" s="76">
        <v>1</v>
      </c>
      <c r="AE184" s="76">
        <v>17</v>
      </c>
      <c r="AF184" s="76">
        <v>3</v>
      </c>
      <c r="AG184" s="76">
        <v>7</v>
      </c>
      <c r="AH184" s="76">
        <v>47</v>
      </c>
      <c r="AI184" s="76">
        <v>43</v>
      </c>
      <c r="AJ184" s="76">
        <v>0</v>
      </c>
      <c r="AK184" s="76">
        <v>0</v>
      </c>
      <c r="AL184" s="76">
        <v>1</v>
      </c>
      <c r="AM184" s="76">
        <v>1</v>
      </c>
      <c r="AN184" s="76">
        <v>0</v>
      </c>
      <c r="AO184" s="76">
        <v>568</v>
      </c>
      <c r="AP184" s="202" t="s">
        <v>143</v>
      </c>
      <c r="AQ184" s="202" t="s">
        <v>243</v>
      </c>
      <c r="AR184" s="202">
        <v>0.6</v>
      </c>
      <c r="AS184" s="202">
        <v>0.313</v>
      </c>
      <c r="AT184" s="202">
        <v>0.66700000000000004</v>
      </c>
      <c r="AU184" s="202">
        <v>0.97899999999999998</v>
      </c>
      <c r="AV184" s="202">
        <v>7.36</v>
      </c>
      <c r="AW184" s="202">
        <v>2.4500000000000002</v>
      </c>
      <c r="AX184" s="202">
        <v>9.82</v>
      </c>
      <c r="AY184" s="202">
        <v>3</v>
      </c>
      <c r="AZ184" s="202">
        <v>15.55</v>
      </c>
    </row>
    <row r="185" spans="1:52" x14ac:dyDescent="0.2">
      <c r="A185" s="76">
        <v>18</v>
      </c>
      <c r="B185" t="s">
        <v>543</v>
      </c>
      <c r="C185" s="76" t="s">
        <v>143</v>
      </c>
      <c r="D185" s="76">
        <v>0</v>
      </c>
      <c r="E185" s="76">
        <v>0</v>
      </c>
      <c r="F185" s="76">
        <v>4.5</v>
      </c>
      <c r="G185" s="76">
        <v>2</v>
      </c>
      <c r="H185" s="76">
        <v>0</v>
      </c>
      <c r="I185" s="76">
        <v>0</v>
      </c>
      <c r="J185" s="76">
        <v>0</v>
      </c>
      <c r="K185" s="76">
        <v>0</v>
      </c>
      <c r="L185" s="76">
        <v>0</v>
      </c>
      <c r="M185" s="76">
        <v>2</v>
      </c>
      <c r="N185" s="76">
        <v>2</v>
      </c>
      <c r="O185" s="76">
        <v>3</v>
      </c>
      <c r="P185" s="76">
        <v>1</v>
      </c>
      <c r="Q185" s="76">
        <v>1</v>
      </c>
      <c r="R185" s="76">
        <v>2</v>
      </c>
      <c r="S185" s="76">
        <v>0</v>
      </c>
      <c r="T185" s="76">
        <v>1</v>
      </c>
      <c r="U185" s="76">
        <v>12</v>
      </c>
      <c r="V185" s="76">
        <v>2</v>
      </c>
      <c r="W185" s="76">
        <v>0.2</v>
      </c>
      <c r="X185" s="76">
        <v>2</v>
      </c>
      <c r="Y185" s="76"/>
      <c r="Z185" s="76">
        <v>18</v>
      </c>
      <c r="AA185" t="s">
        <v>543</v>
      </c>
      <c r="AB185" s="76" t="s">
        <v>143</v>
      </c>
      <c r="AC185" s="76">
        <v>0</v>
      </c>
      <c r="AD185" s="76">
        <v>0</v>
      </c>
      <c r="AE185" s="76">
        <v>1</v>
      </c>
      <c r="AF185" s="76">
        <v>0</v>
      </c>
      <c r="AG185" s="76">
        <v>0</v>
      </c>
      <c r="AH185" s="76">
        <v>6</v>
      </c>
      <c r="AI185" s="76">
        <v>1</v>
      </c>
      <c r="AJ185" s="76">
        <v>0</v>
      </c>
      <c r="AK185" s="76">
        <v>0</v>
      </c>
      <c r="AL185" s="76">
        <v>0</v>
      </c>
      <c r="AM185" s="76">
        <v>0</v>
      </c>
      <c r="AN185" s="76">
        <v>0</v>
      </c>
      <c r="AO185" s="76">
        <v>48</v>
      </c>
      <c r="AP185" s="202" t="s">
        <v>143</v>
      </c>
      <c r="AQ185" s="202">
        <v>0.5</v>
      </c>
      <c r="AR185" s="202">
        <v>1.53</v>
      </c>
      <c r="AS185" s="202">
        <v>0.316</v>
      </c>
      <c r="AT185" s="202">
        <v>0.36799999999999999</v>
      </c>
      <c r="AU185" s="202">
        <v>0.68400000000000005</v>
      </c>
      <c r="AV185" s="202">
        <v>7.85</v>
      </c>
      <c r="AW185" s="202">
        <v>2.62</v>
      </c>
      <c r="AX185" s="202">
        <v>8.82</v>
      </c>
      <c r="AY185" s="202">
        <v>3</v>
      </c>
      <c r="AZ185" s="202">
        <v>15.24</v>
      </c>
    </row>
    <row r="186" spans="1:52" x14ac:dyDescent="0.2">
      <c r="A186" s="76">
        <v>9</v>
      </c>
      <c r="B186" s="41" t="s">
        <v>545</v>
      </c>
      <c r="C186" s="76" t="s">
        <v>143</v>
      </c>
      <c r="D186" s="76">
        <v>1</v>
      </c>
      <c r="E186" s="76">
        <v>3</v>
      </c>
      <c r="F186" s="76">
        <v>3.45</v>
      </c>
      <c r="G186" s="76">
        <v>64</v>
      </c>
      <c r="H186" s="76">
        <v>0</v>
      </c>
      <c r="I186" s="76">
        <v>0</v>
      </c>
      <c r="J186" s="76">
        <v>0</v>
      </c>
      <c r="K186" s="76">
        <v>0</v>
      </c>
      <c r="L186" s="76">
        <v>1</v>
      </c>
      <c r="M186" s="76">
        <v>57.1</v>
      </c>
      <c r="N186" s="76">
        <v>71</v>
      </c>
      <c r="O186" s="76">
        <v>29</v>
      </c>
      <c r="P186" s="76">
        <v>22</v>
      </c>
      <c r="Q186" s="76">
        <v>4</v>
      </c>
      <c r="R186" s="76">
        <v>15</v>
      </c>
      <c r="S186" s="76">
        <v>4</v>
      </c>
      <c r="T186" s="76">
        <v>51</v>
      </c>
      <c r="U186" s="76">
        <v>256</v>
      </c>
      <c r="V186" s="76">
        <v>57.1</v>
      </c>
      <c r="W186" s="76">
        <v>0.29799999999999999</v>
      </c>
      <c r="X186" s="76">
        <v>1.5</v>
      </c>
      <c r="Y186" s="76"/>
      <c r="Z186" s="76">
        <v>9</v>
      </c>
      <c r="AA186" t="s">
        <v>545</v>
      </c>
      <c r="AB186" s="76" t="s">
        <v>143</v>
      </c>
      <c r="AC186" s="76">
        <v>1</v>
      </c>
      <c r="AD186" s="76">
        <v>4</v>
      </c>
      <c r="AE186" s="76">
        <v>12</v>
      </c>
      <c r="AF186" s="76">
        <v>12</v>
      </c>
      <c r="AG186" s="76">
        <v>5</v>
      </c>
      <c r="AH186" s="76">
        <v>63</v>
      </c>
      <c r="AI186" s="76">
        <v>55</v>
      </c>
      <c r="AJ186" s="76">
        <v>2</v>
      </c>
      <c r="AK186" s="76">
        <v>0</v>
      </c>
      <c r="AL186" s="76">
        <v>2</v>
      </c>
      <c r="AM186" s="76">
        <v>2</v>
      </c>
      <c r="AN186" s="76">
        <v>0</v>
      </c>
      <c r="AO186" s="76">
        <v>930</v>
      </c>
      <c r="AP186" s="202" t="s">
        <v>143</v>
      </c>
      <c r="AQ186" s="202">
        <v>1</v>
      </c>
      <c r="AR186" s="202">
        <v>0.21</v>
      </c>
      <c r="AS186" s="202">
        <v>0.4</v>
      </c>
      <c r="AT186" s="202">
        <v>0.55100000000000005</v>
      </c>
      <c r="AU186" s="202">
        <v>0.95099999999999996</v>
      </c>
      <c r="AV186" s="202">
        <v>10.029999999999999</v>
      </c>
      <c r="AW186" s="202">
        <v>6.17</v>
      </c>
      <c r="AX186" s="202">
        <v>11.57</v>
      </c>
      <c r="AY186" s="202">
        <v>1.63</v>
      </c>
      <c r="AZ186" s="202">
        <v>21.09</v>
      </c>
    </row>
    <row r="187" spans="1:52" x14ac:dyDescent="0.2">
      <c r="A187" s="76">
        <v>4</v>
      </c>
      <c r="B187" s="41" t="s">
        <v>1201</v>
      </c>
      <c r="C187" s="76" t="s">
        <v>143</v>
      </c>
      <c r="D187" s="76">
        <v>0</v>
      </c>
      <c r="E187" s="76">
        <v>0</v>
      </c>
      <c r="F187" s="76">
        <v>2.38</v>
      </c>
      <c r="G187" s="76">
        <v>12</v>
      </c>
      <c r="H187" s="76">
        <v>0</v>
      </c>
      <c r="I187" s="76">
        <v>0</v>
      </c>
      <c r="J187" s="76">
        <v>0</v>
      </c>
      <c r="K187" s="76">
        <v>6</v>
      </c>
      <c r="L187" s="76">
        <v>6</v>
      </c>
      <c r="M187" s="76">
        <v>11.1</v>
      </c>
      <c r="N187" s="76">
        <v>9</v>
      </c>
      <c r="O187" s="76">
        <v>3</v>
      </c>
      <c r="P187" s="76">
        <v>3</v>
      </c>
      <c r="Q187" s="76">
        <v>1</v>
      </c>
      <c r="R187" s="76">
        <v>2</v>
      </c>
      <c r="S187" s="76">
        <v>0</v>
      </c>
      <c r="T187" s="76">
        <v>8</v>
      </c>
      <c r="U187" s="76">
        <v>46</v>
      </c>
      <c r="V187" s="76">
        <v>11.1</v>
      </c>
      <c r="W187" s="76">
        <v>0.214</v>
      </c>
      <c r="X187" s="76">
        <v>0.97</v>
      </c>
      <c r="Y187" s="76"/>
      <c r="Z187" s="76">
        <v>4</v>
      </c>
      <c r="AA187" t="s">
        <v>1201</v>
      </c>
      <c r="AB187" s="76" t="s">
        <v>143</v>
      </c>
      <c r="AC187" s="76">
        <v>1</v>
      </c>
      <c r="AD187" s="76">
        <v>0</v>
      </c>
      <c r="AE187" s="76">
        <v>10</v>
      </c>
      <c r="AF187" s="76">
        <v>0</v>
      </c>
      <c r="AG187" s="76">
        <v>1</v>
      </c>
      <c r="AH187" s="76">
        <v>12</v>
      </c>
      <c r="AI187" s="76">
        <v>14</v>
      </c>
      <c r="AJ187" s="76">
        <v>1</v>
      </c>
      <c r="AK187" s="76">
        <v>0</v>
      </c>
      <c r="AL187" s="76">
        <v>0</v>
      </c>
      <c r="AM187" s="76">
        <v>0</v>
      </c>
      <c r="AN187" s="76">
        <v>0</v>
      </c>
      <c r="AO187" s="76">
        <v>188</v>
      </c>
      <c r="AP187" s="202" t="s">
        <v>143</v>
      </c>
      <c r="AQ187" s="202">
        <v>0.6</v>
      </c>
      <c r="AR187" s="202">
        <v>0.68</v>
      </c>
      <c r="AS187" s="202">
        <v>0.30399999999999999</v>
      </c>
      <c r="AT187" s="202">
        <v>0.375</v>
      </c>
      <c r="AU187" s="202">
        <v>0.67900000000000005</v>
      </c>
      <c r="AV187" s="202">
        <v>6.64</v>
      </c>
      <c r="AW187" s="202">
        <v>2.38</v>
      </c>
      <c r="AX187" s="202">
        <v>8.43</v>
      </c>
      <c r="AY187" s="202">
        <v>2.79</v>
      </c>
      <c r="AZ187" s="202">
        <v>15.57</v>
      </c>
    </row>
    <row r="188" spans="1:52" s="143" customFormat="1" x14ac:dyDescent="0.2">
      <c r="A188" s="76">
        <v>2</v>
      </c>
      <c r="B188" s="41" t="s">
        <v>810</v>
      </c>
      <c r="C188" s="76" t="s">
        <v>143</v>
      </c>
      <c r="D188" s="76">
        <v>2</v>
      </c>
      <c r="E188" s="76">
        <v>0</v>
      </c>
      <c r="F188" s="76">
        <v>1.1200000000000001</v>
      </c>
      <c r="G188" s="76">
        <v>45</v>
      </c>
      <c r="H188" s="76">
        <v>0</v>
      </c>
      <c r="I188" s="76">
        <v>0</v>
      </c>
      <c r="J188" s="76">
        <v>0</v>
      </c>
      <c r="K188" s="76">
        <v>1</v>
      </c>
      <c r="L188" s="76">
        <v>2</v>
      </c>
      <c r="M188" s="76">
        <v>40.1</v>
      </c>
      <c r="N188" s="76">
        <v>30</v>
      </c>
      <c r="O188" s="76">
        <v>7</v>
      </c>
      <c r="P188" s="76">
        <v>5</v>
      </c>
      <c r="Q188" s="76">
        <v>1</v>
      </c>
      <c r="R188" s="76">
        <v>14</v>
      </c>
      <c r="S188" s="76">
        <v>1</v>
      </c>
      <c r="T188" s="76">
        <v>51</v>
      </c>
      <c r="U188" s="76">
        <v>162</v>
      </c>
      <c r="V188" s="76">
        <v>40.1</v>
      </c>
      <c r="W188" s="76">
        <v>0.20699999999999999</v>
      </c>
      <c r="X188" s="76">
        <v>1.0900000000000001</v>
      </c>
      <c r="Y188" s="76"/>
      <c r="Z188" s="76">
        <v>2</v>
      </c>
      <c r="AA188" t="s">
        <v>810</v>
      </c>
      <c r="AB188" s="76" t="s">
        <v>143</v>
      </c>
      <c r="AC188" s="76">
        <v>2</v>
      </c>
      <c r="AD188" s="76">
        <v>1</v>
      </c>
      <c r="AE188" s="76">
        <v>9</v>
      </c>
      <c r="AF188" s="76">
        <v>7</v>
      </c>
      <c r="AG188" s="76">
        <v>3</v>
      </c>
      <c r="AH188" s="76">
        <v>35</v>
      </c>
      <c r="AI188" s="76">
        <v>30</v>
      </c>
      <c r="AJ188" s="76">
        <v>3</v>
      </c>
      <c r="AK188" s="76">
        <v>0</v>
      </c>
      <c r="AL188" s="76">
        <v>1</v>
      </c>
      <c r="AM188" s="76">
        <v>2</v>
      </c>
      <c r="AN188" s="76">
        <v>0</v>
      </c>
      <c r="AO188" s="76">
        <v>655</v>
      </c>
      <c r="AP188" s="202" t="s">
        <v>143</v>
      </c>
      <c r="AQ188" s="202">
        <v>1</v>
      </c>
      <c r="AR188" s="202">
        <v>0.85</v>
      </c>
      <c r="AS188" s="202">
        <v>0.39400000000000002</v>
      </c>
      <c r="AT188" s="202">
        <v>0.439</v>
      </c>
      <c r="AU188" s="202">
        <v>0.83299999999999996</v>
      </c>
      <c r="AV188" s="202">
        <v>9.18</v>
      </c>
      <c r="AW188" s="202">
        <v>5.13</v>
      </c>
      <c r="AX188" s="202">
        <v>10.8</v>
      </c>
      <c r="AY188" s="202">
        <v>1.79</v>
      </c>
      <c r="AZ188" s="202">
        <v>18.96</v>
      </c>
    </row>
    <row r="189" spans="1:52" x14ac:dyDescent="0.2">
      <c r="A189" s="76">
        <v>20</v>
      </c>
      <c r="B189" s="41" t="s">
        <v>365</v>
      </c>
      <c r="C189" s="76" t="s">
        <v>143</v>
      </c>
      <c r="D189" s="76">
        <v>5</v>
      </c>
      <c r="E189" s="76">
        <v>6</v>
      </c>
      <c r="F189" s="76">
        <v>4.68</v>
      </c>
      <c r="G189" s="76">
        <v>29</v>
      </c>
      <c r="H189" s="76">
        <v>17</v>
      </c>
      <c r="I189" s="76">
        <v>1</v>
      </c>
      <c r="J189" s="76">
        <v>0</v>
      </c>
      <c r="K189" s="76">
        <v>0</v>
      </c>
      <c r="L189" s="76">
        <v>0</v>
      </c>
      <c r="M189" s="76">
        <v>117.1</v>
      </c>
      <c r="N189" s="76">
        <v>124</v>
      </c>
      <c r="O189" s="76">
        <v>64</v>
      </c>
      <c r="P189" s="76">
        <v>61</v>
      </c>
      <c r="Q189" s="76">
        <v>10</v>
      </c>
      <c r="R189" s="76">
        <v>47</v>
      </c>
      <c r="S189" s="76">
        <v>4</v>
      </c>
      <c r="T189" s="76">
        <v>92</v>
      </c>
      <c r="U189" s="76">
        <v>515</v>
      </c>
      <c r="V189" s="76">
        <v>117.1</v>
      </c>
      <c r="W189" s="76">
        <v>0.27200000000000002</v>
      </c>
      <c r="X189" s="76">
        <v>1.46</v>
      </c>
      <c r="Y189" s="76"/>
      <c r="Z189" s="76">
        <v>20</v>
      </c>
      <c r="AA189" t="s">
        <v>365</v>
      </c>
      <c r="AB189" s="76" t="s">
        <v>143</v>
      </c>
      <c r="AC189" s="76">
        <v>5</v>
      </c>
      <c r="AD189" s="76">
        <v>4</v>
      </c>
      <c r="AE189" s="76">
        <v>5</v>
      </c>
      <c r="AF189" s="76">
        <v>0</v>
      </c>
      <c r="AG189" s="76">
        <v>10</v>
      </c>
      <c r="AH189" s="76">
        <v>144</v>
      </c>
      <c r="AI189" s="76">
        <v>103</v>
      </c>
      <c r="AJ189" s="76">
        <v>8</v>
      </c>
      <c r="AK189" s="76">
        <v>1</v>
      </c>
      <c r="AL189" s="76">
        <v>3</v>
      </c>
      <c r="AM189" s="76">
        <v>1</v>
      </c>
      <c r="AN189" s="76">
        <v>1</v>
      </c>
      <c r="AO189" s="76">
        <v>1959</v>
      </c>
      <c r="AP189" s="202" t="s">
        <v>143</v>
      </c>
      <c r="AQ189" s="202">
        <v>0.6</v>
      </c>
      <c r="AR189" s="202">
        <v>0.97</v>
      </c>
      <c r="AS189" s="202">
        <v>0.314</v>
      </c>
      <c r="AT189" s="202">
        <v>0.38500000000000001</v>
      </c>
      <c r="AU189" s="202">
        <v>0.7</v>
      </c>
      <c r="AV189" s="202">
        <v>9.08</v>
      </c>
      <c r="AW189" s="202">
        <v>2.39</v>
      </c>
      <c r="AX189" s="202">
        <v>9.56</v>
      </c>
      <c r="AY189" s="202">
        <v>3.8</v>
      </c>
      <c r="AZ189" s="202">
        <v>17.28</v>
      </c>
    </row>
    <row r="190" spans="1:52" x14ac:dyDescent="0.2">
      <c r="A190" s="76">
        <v>1</v>
      </c>
      <c r="B190" t="s">
        <v>1343</v>
      </c>
      <c r="C190" s="76" t="s">
        <v>143</v>
      </c>
      <c r="D190" s="76">
        <v>1</v>
      </c>
      <c r="E190" s="76">
        <v>0</v>
      </c>
      <c r="F190" s="76">
        <v>1.04</v>
      </c>
      <c r="G190" s="76">
        <v>13</v>
      </c>
      <c r="H190" s="76">
        <v>0</v>
      </c>
      <c r="I190" s="76">
        <v>0</v>
      </c>
      <c r="J190" s="76">
        <v>0</v>
      </c>
      <c r="K190" s="76">
        <v>0</v>
      </c>
      <c r="L190" s="76">
        <v>0</v>
      </c>
      <c r="M190" s="76">
        <v>8.1999999999999993</v>
      </c>
      <c r="N190" s="76">
        <v>8</v>
      </c>
      <c r="O190" s="76">
        <v>1</v>
      </c>
      <c r="P190" s="76">
        <v>1</v>
      </c>
      <c r="Q190" s="76">
        <v>1</v>
      </c>
      <c r="R190" s="76">
        <v>3</v>
      </c>
      <c r="S190" s="76">
        <v>0</v>
      </c>
      <c r="T190" s="76">
        <v>9</v>
      </c>
      <c r="U190" s="76">
        <v>36</v>
      </c>
      <c r="V190" s="76">
        <v>8.1999999999999993</v>
      </c>
      <c r="W190" s="76">
        <v>0.25</v>
      </c>
      <c r="X190" s="76">
        <v>1.27</v>
      </c>
      <c r="Y190" s="76"/>
      <c r="Z190" s="76">
        <v>1</v>
      </c>
      <c r="AA190" t="s">
        <v>1343</v>
      </c>
      <c r="AB190" s="76" t="s">
        <v>143</v>
      </c>
      <c r="AC190" s="76">
        <v>0</v>
      </c>
      <c r="AD190" s="76">
        <v>0</v>
      </c>
      <c r="AE190" s="76">
        <v>3</v>
      </c>
      <c r="AF190" s="76">
        <v>3</v>
      </c>
      <c r="AG190" s="76">
        <v>1</v>
      </c>
      <c r="AH190" s="76">
        <v>9</v>
      </c>
      <c r="AI190" s="76">
        <v>7</v>
      </c>
      <c r="AJ190" s="76">
        <v>0</v>
      </c>
      <c r="AK190" s="76">
        <v>0</v>
      </c>
      <c r="AL190" s="76">
        <v>0</v>
      </c>
      <c r="AM190" s="76">
        <v>0</v>
      </c>
      <c r="AN190" s="76">
        <v>0</v>
      </c>
      <c r="AO190" s="76">
        <v>146</v>
      </c>
      <c r="AP190" s="202" t="s">
        <v>143</v>
      </c>
      <c r="AQ190" s="202">
        <v>0.57099999999999995</v>
      </c>
      <c r="AR190" s="202">
        <v>1.46</v>
      </c>
      <c r="AS190" s="202">
        <v>0.30399999999999999</v>
      </c>
      <c r="AT190" s="202">
        <v>0.33900000000000002</v>
      </c>
      <c r="AU190" s="202">
        <v>0.64200000000000002</v>
      </c>
      <c r="AV190" s="202">
        <v>7.93</v>
      </c>
      <c r="AW190" s="202">
        <v>3.09</v>
      </c>
      <c r="AX190" s="202">
        <v>7.79</v>
      </c>
      <c r="AY190" s="202">
        <v>2.57</v>
      </c>
      <c r="AZ190" s="202">
        <v>15.15</v>
      </c>
    </row>
    <row r="191" spans="1:52" x14ac:dyDescent="0.2">
      <c r="A191" s="76">
        <v>8</v>
      </c>
      <c r="B191" s="41" t="s">
        <v>1152</v>
      </c>
      <c r="C191" s="76" t="s">
        <v>143</v>
      </c>
      <c r="D191" s="76">
        <v>3</v>
      </c>
      <c r="E191" s="76">
        <v>0</v>
      </c>
      <c r="F191" s="76">
        <v>3.21</v>
      </c>
      <c r="G191" s="76">
        <v>44</v>
      </c>
      <c r="H191" s="76">
        <v>0</v>
      </c>
      <c r="I191" s="76">
        <v>0</v>
      </c>
      <c r="J191" s="76">
        <v>0</v>
      </c>
      <c r="K191" s="76">
        <v>0</v>
      </c>
      <c r="L191" s="76">
        <v>4</v>
      </c>
      <c r="M191" s="76">
        <v>53.1</v>
      </c>
      <c r="N191" s="76">
        <v>52</v>
      </c>
      <c r="O191" s="76">
        <v>23</v>
      </c>
      <c r="P191" s="76">
        <v>19</v>
      </c>
      <c r="Q191" s="76">
        <v>6</v>
      </c>
      <c r="R191" s="76">
        <v>7</v>
      </c>
      <c r="S191" s="76">
        <v>0</v>
      </c>
      <c r="T191" s="76">
        <v>36</v>
      </c>
      <c r="U191" s="76">
        <v>220</v>
      </c>
      <c r="V191" s="76">
        <v>53.1</v>
      </c>
      <c r="W191" s="76">
        <v>0.249</v>
      </c>
      <c r="X191" s="76">
        <v>1.1100000000000001</v>
      </c>
      <c r="Y191" s="76"/>
      <c r="Z191" s="76">
        <v>8</v>
      </c>
      <c r="AA191" t="s">
        <v>1152</v>
      </c>
      <c r="AB191" s="76" t="s">
        <v>143</v>
      </c>
      <c r="AC191" s="76">
        <v>2</v>
      </c>
      <c r="AD191" s="76">
        <v>0</v>
      </c>
      <c r="AE191" s="76">
        <v>11</v>
      </c>
      <c r="AF191" s="76">
        <v>5</v>
      </c>
      <c r="AG191" s="76">
        <v>3</v>
      </c>
      <c r="AH191" s="76">
        <v>62</v>
      </c>
      <c r="AI191" s="76">
        <v>61</v>
      </c>
      <c r="AJ191" s="76">
        <v>2</v>
      </c>
      <c r="AK191" s="76">
        <v>1</v>
      </c>
      <c r="AL191" s="76">
        <v>1</v>
      </c>
      <c r="AM191" s="76">
        <v>0</v>
      </c>
      <c r="AN191" s="76">
        <v>0</v>
      </c>
      <c r="AO191" s="76">
        <v>901</v>
      </c>
      <c r="AP191" s="202" t="s">
        <v>143</v>
      </c>
      <c r="AQ191" s="202">
        <v>0.66700000000000004</v>
      </c>
      <c r="AR191" s="202">
        <v>0.97</v>
      </c>
      <c r="AS191" s="202">
        <v>0.315</v>
      </c>
      <c r="AT191" s="202">
        <v>0.40400000000000003</v>
      </c>
      <c r="AU191" s="202">
        <v>0.72</v>
      </c>
      <c r="AV191" s="202">
        <v>10.44</v>
      </c>
      <c r="AW191" s="202">
        <v>2.29</v>
      </c>
      <c r="AX191" s="202">
        <v>9.17</v>
      </c>
      <c r="AY191" s="202">
        <v>4.5599999999999996</v>
      </c>
      <c r="AZ191" s="202">
        <v>15.68</v>
      </c>
    </row>
    <row r="192" spans="1:52" x14ac:dyDescent="0.2">
      <c r="A192" s="76">
        <v>24</v>
      </c>
      <c r="B192" t="s">
        <v>383</v>
      </c>
      <c r="C192" s="76" t="s">
        <v>143</v>
      </c>
      <c r="D192" s="76">
        <v>0</v>
      </c>
      <c r="E192" s="76">
        <v>0</v>
      </c>
      <c r="F192" s="76">
        <v>5.68</v>
      </c>
      <c r="G192" s="76">
        <v>7</v>
      </c>
      <c r="H192" s="76">
        <v>0</v>
      </c>
      <c r="I192" s="76">
        <v>0</v>
      </c>
      <c r="J192" s="76">
        <v>0</v>
      </c>
      <c r="K192" s="76">
        <v>0</v>
      </c>
      <c r="L192" s="76">
        <v>0</v>
      </c>
      <c r="M192" s="76">
        <v>6.1</v>
      </c>
      <c r="N192" s="76">
        <v>5</v>
      </c>
      <c r="O192" s="76">
        <v>4</v>
      </c>
      <c r="P192" s="76">
        <v>4</v>
      </c>
      <c r="Q192" s="76">
        <v>1</v>
      </c>
      <c r="R192" s="76">
        <v>7</v>
      </c>
      <c r="S192" s="76">
        <v>1</v>
      </c>
      <c r="T192" s="76">
        <v>4</v>
      </c>
      <c r="U192" s="76">
        <v>30</v>
      </c>
      <c r="V192" s="76">
        <v>6.1</v>
      </c>
      <c r="W192" s="76">
        <v>0.22700000000000001</v>
      </c>
      <c r="X192" s="76">
        <v>1.89</v>
      </c>
      <c r="Y192" s="76"/>
      <c r="Z192" s="76">
        <v>24</v>
      </c>
      <c r="AA192" t="s">
        <v>383</v>
      </c>
      <c r="AB192" s="76" t="s">
        <v>143</v>
      </c>
      <c r="AC192" s="76">
        <v>1</v>
      </c>
      <c r="AD192" s="76">
        <v>1</v>
      </c>
      <c r="AE192" s="76">
        <v>1</v>
      </c>
      <c r="AF192" s="76">
        <v>0</v>
      </c>
      <c r="AG192" s="76">
        <v>2</v>
      </c>
      <c r="AH192" s="76">
        <v>7</v>
      </c>
      <c r="AI192" s="76">
        <v>6</v>
      </c>
      <c r="AJ192" s="76">
        <v>1</v>
      </c>
      <c r="AK192" s="76">
        <v>0</v>
      </c>
      <c r="AL192" s="76">
        <v>0</v>
      </c>
      <c r="AM192" s="76">
        <v>0</v>
      </c>
      <c r="AN192" s="76">
        <v>0</v>
      </c>
      <c r="AO192" s="76">
        <v>134</v>
      </c>
      <c r="AP192" s="202" t="s">
        <v>143</v>
      </c>
      <c r="AQ192" s="202" t="s">
        <v>243</v>
      </c>
      <c r="AR192" s="202">
        <v>0.5</v>
      </c>
      <c r="AS192" s="202">
        <v>0.29199999999999998</v>
      </c>
      <c r="AT192" s="202">
        <v>0.35</v>
      </c>
      <c r="AU192" s="202">
        <v>0.64200000000000002</v>
      </c>
      <c r="AV192" s="202">
        <v>7.94</v>
      </c>
      <c r="AW192" s="202">
        <v>4.76</v>
      </c>
      <c r="AX192" s="202">
        <v>6.35</v>
      </c>
      <c r="AY192" s="202">
        <v>1.67</v>
      </c>
      <c r="AZ192" s="202">
        <v>16.59</v>
      </c>
    </row>
    <row r="193" spans="1:52" x14ac:dyDescent="0.2">
      <c r="A193" s="76">
        <v>26</v>
      </c>
      <c r="B193" t="s">
        <v>766</v>
      </c>
      <c r="C193" s="76" t="s">
        <v>143</v>
      </c>
      <c r="D193" s="76">
        <v>0</v>
      </c>
      <c r="E193" s="76">
        <v>1</v>
      </c>
      <c r="F193" s="76">
        <v>6</v>
      </c>
      <c r="G193" s="76">
        <v>1</v>
      </c>
      <c r="H193" s="76">
        <v>1</v>
      </c>
      <c r="I193" s="76">
        <v>0</v>
      </c>
      <c r="J193" s="76">
        <v>0</v>
      </c>
      <c r="K193" s="76">
        <v>0</v>
      </c>
      <c r="L193" s="76">
        <v>0</v>
      </c>
      <c r="M193" s="76">
        <v>6</v>
      </c>
      <c r="N193" s="76">
        <v>7</v>
      </c>
      <c r="O193" s="76">
        <v>4</v>
      </c>
      <c r="P193" s="76">
        <v>4</v>
      </c>
      <c r="Q193" s="76">
        <v>2</v>
      </c>
      <c r="R193" s="76">
        <v>0</v>
      </c>
      <c r="S193" s="76">
        <v>0</v>
      </c>
      <c r="T193" s="76">
        <v>7</v>
      </c>
      <c r="U193" s="76">
        <v>25</v>
      </c>
      <c r="V193" s="76">
        <v>6</v>
      </c>
      <c r="W193" s="76">
        <v>0.28000000000000003</v>
      </c>
      <c r="X193" s="76">
        <v>1.17</v>
      </c>
      <c r="Y193" s="76"/>
      <c r="Z193" s="76">
        <v>26</v>
      </c>
      <c r="AA193" t="s">
        <v>766</v>
      </c>
      <c r="AB193" s="76" t="s">
        <v>143</v>
      </c>
      <c r="AC193" s="76">
        <v>0</v>
      </c>
      <c r="AD193" s="76">
        <v>0</v>
      </c>
      <c r="AE193" s="76">
        <v>0</v>
      </c>
      <c r="AF193" s="76">
        <v>0</v>
      </c>
      <c r="AG193" s="76">
        <v>0</v>
      </c>
      <c r="AH193" s="76">
        <v>6</v>
      </c>
      <c r="AI193" s="76">
        <v>5</v>
      </c>
      <c r="AJ193" s="76">
        <v>0</v>
      </c>
      <c r="AK193" s="76">
        <v>0</v>
      </c>
      <c r="AL193" s="76">
        <v>0</v>
      </c>
      <c r="AM193" s="76">
        <v>0</v>
      </c>
      <c r="AN193" s="76">
        <v>0</v>
      </c>
      <c r="AO193" s="76">
        <v>87</v>
      </c>
      <c r="AP193" s="202" t="s">
        <v>151</v>
      </c>
      <c r="AQ193" s="202">
        <v>0</v>
      </c>
      <c r="AR193" s="202">
        <v>0.53</v>
      </c>
      <c r="AS193" s="202">
        <v>0.31</v>
      </c>
      <c r="AT193" s="202">
        <v>0.48099999999999998</v>
      </c>
      <c r="AU193" s="202">
        <v>0.79100000000000004</v>
      </c>
      <c r="AV193" s="202">
        <v>9.4499999999999993</v>
      </c>
      <c r="AW193" s="202">
        <v>4.05</v>
      </c>
      <c r="AX193" s="202">
        <v>8.1</v>
      </c>
      <c r="AY193" s="202">
        <v>2.33</v>
      </c>
      <c r="AZ193" s="202">
        <v>17.100000000000001</v>
      </c>
    </row>
    <row r="194" spans="1:52" x14ac:dyDescent="0.2">
      <c r="A194" s="76">
        <v>30</v>
      </c>
      <c r="B194" t="s">
        <v>534</v>
      </c>
      <c r="C194" s="76" t="s">
        <v>143</v>
      </c>
      <c r="D194" s="76">
        <v>0</v>
      </c>
      <c r="E194" s="76">
        <v>2</v>
      </c>
      <c r="F194" s="76">
        <v>11.81</v>
      </c>
      <c r="G194" s="76">
        <v>2</v>
      </c>
      <c r="H194" s="76">
        <v>2</v>
      </c>
      <c r="I194" s="76">
        <v>0</v>
      </c>
      <c r="J194" s="76">
        <v>0</v>
      </c>
      <c r="K194" s="76">
        <v>0</v>
      </c>
      <c r="L194" s="76">
        <v>0</v>
      </c>
      <c r="M194" s="76">
        <v>5.0999999999999996</v>
      </c>
      <c r="N194" s="76">
        <v>13</v>
      </c>
      <c r="O194" s="76">
        <v>10</v>
      </c>
      <c r="P194" s="76">
        <v>7</v>
      </c>
      <c r="Q194" s="76">
        <v>4</v>
      </c>
      <c r="R194" s="76">
        <v>2</v>
      </c>
      <c r="S194" s="76">
        <v>0</v>
      </c>
      <c r="T194" s="76">
        <v>3</v>
      </c>
      <c r="U194" s="76">
        <v>32</v>
      </c>
      <c r="V194" s="76">
        <v>5.0999999999999996</v>
      </c>
      <c r="W194" s="76">
        <v>0.46400000000000002</v>
      </c>
      <c r="X194" s="76">
        <v>2.81</v>
      </c>
      <c r="Y194" s="76"/>
      <c r="Z194" s="76">
        <v>30</v>
      </c>
      <c r="AA194" t="s">
        <v>534</v>
      </c>
      <c r="AB194" s="76" t="s">
        <v>143</v>
      </c>
      <c r="AC194" s="76">
        <v>0</v>
      </c>
      <c r="AD194" s="76">
        <v>0</v>
      </c>
      <c r="AE194" s="76">
        <v>0</v>
      </c>
      <c r="AF194" s="76">
        <v>0</v>
      </c>
      <c r="AG194" s="76">
        <v>1</v>
      </c>
      <c r="AH194" s="76">
        <v>11</v>
      </c>
      <c r="AI194" s="76">
        <v>3</v>
      </c>
      <c r="AJ194" s="76">
        <v>0</v>
      </c>
      <c r="AK194" s="76">
        <v>0</v>
      </c>
      <c r="AL194" s="76">
        <v>0</v>
      </c>
      <c r="AM194" s="76">
        <v>0</v>
      </c>
      <c r="AN194" s="76">
        <v>0</v>
      </c>
      <c r="AO194" s="76">
        <v>108</v>
      </c>
      <c r="AP194" s="202" t="s">
        <v>151</v>
      </c>
      <c r="AQ194" s="202">
        <v>0.83299999999999996</v>
      </c>
      <c r="AR194" s="202">
        <v>1.35</v>
      </c>
      <c r="AS194" s="202">
        <v>0.318</v>
      </c>
      <c r="AT194" s="202">
        <v>0.38400000000000001</v>
      </c>
      <c r="AU194" s="202">
        <v>0.70199999999999996</v>
      </c>
      <c r="AV194" s="202">
        <v>8.2200000000000006</v>
      </c>
      <c r="AW194" s="202">
        <v>3.1</v>
      </c>
      <c r="AX194" s="202">
        <v>8.69</v>
      </c>
      <c r="AY194" s="202">
        <v>2.65</v>
      </c>
      <c r="AZ194" s="202">
        <v>15.66</v>
      </c>
    </row>
    <row r="195" spans="1:52" x14ac:dyDescent="0.2">
      <c r="A195" s="76">
        <v>29</v>
      </c>
      <c r="B195" t="s">
        <v>455</v>
      </c>
      <c r="C195" s="76" t="s">
        <v>143</v>
      </c>
      <c r="D195" s="76">
        <v>2</v>
      </c>
      <c r="E195" s="76">
        <v>6</v>
      </c>
      <c r="F195" s="76">
        <v>9.16</v>
      </c>
      <c r="G195" s="76">
        <v>9</v>
      </c>
      <c r="H195" s="76">
        <v>9</v>
      </c>
      <c r="I195" s="76">
        <v>0</v>
      </c>
      <c r="J195" s="76">
        <v>0</v>
      </c>
      <c r="K195" s="76">
        <v>0</v>
      </c>
      <c r="L195" s="76">
        <v>0</v>
      </c>
      <c r="M195" s="76">
        <v>38.1</v>
      </c>
      <c r="N195" s="76">
        <v>68</v>
      </c>
      <c r="O195" s="76">
        <v>41</v>
      </c>
      <c r="P195" s="76">
        <v>39</v>
      </c>
      <c r="Q195" s="76">
        <v>11</v>
      </c>
      <c r="R195" s="76">
        <v>23</v>
      </c>
      <c r="S195" s="76">
        <v>0</v>
      </c>
      <c r="T195" s="76">
        <v>32</v>
      </c>
      <c r="U195" s="76">
        <v>200</v>
      </c>
      <c r="V195" s="76">
        <v>38.1</v>
      </c>
      <c r="W195" s="76">
        <v>0.39500000000000002</v>
      </c>
      <c r="X195" s="76">
        <v>2.37</v>
      </c>
      <c r="Y195" s="76"/>
      <c r="Z195" s="76">
        <v>29</v>
      </c>
      <c r="AA195" t="s">
        <v>455</v>
      </c>
      <c r="AB195" s="76" t="s">
        <v>143</v>
      </c>
      <c r="AC195" s="76">
        <v>2</v>
      </c>
      <c r="AD195" s="76">
        <v>0</v>
      </c>
      <c r="AE195" s="76">
        <v>0</v>
      </c>
      <c r="AF195" s="76">
        <v>0</v>
      </c>
      <c r="AG195" s="76">
        <v>5</v>
      </c>
      <c r="AH195" s="76">
        <v>37</v>
      </c>
      <c r="AI195" s="76">
        <v>38</v>
      </c>
      <c r="AJ195" s="76">
        <v>3</v>
      </c>
      <c r="AK195" s="76">
        <v>0</v>
      </c>
      <c r="AL195" s="76">
        <v>6</v>
      </c>
      <c r="AM195" s="76">
        <v>2</v>
      </c>
      <c r="AN195" s="76">
        <v>0</v>
      </c>
      <c r="AO195" s="76">
        <v>806</v>
      </c>
      <c r="AP195" s="202" t="s">
        <v>151</v>
      </c>
      <c r="AQ195" s="202">
        <v>0.8</v>
      </c>
      <c r="AR195" s="202">
        <v>1.33</v>
      </c>
      <c r="AS195" s="202">
        <v>0.34300000000000003</v>
      </c>
      <c r="AT195" s="202">
        <v>0.39800000000000002</v>
      </c>
      <c r="AU195" s="202">
        <v>0.74099999999999999</v>
      </c>
      <c r="AV195" s="202">
        <v>4.4400000000000004</v>
      </c>
      <c r="AW195" s="202">
        <v>3.88</v>
      </c>
      <c r="AX195" s="202">
        <v>8.51</v>
      </c>
      <c r="AY195" s="202">
        <v>1.1399999999999999</v>
      </c>
      <c r="AZ195" s="202">
        <v>16.010000000000002</v>
      </c>
    </row>
    <row r="196" spans="1:52" x14ac:dyDescent="0.2">
      <c r="A196" s="76">
        <v>22</v>
      </c>
      <c r="B196" t="s">
        <v>1345</v>
      </c>
      <c r="C196" s="76" t="s">
        <v>143</v>
      </c>
      <c r="D196" s="76">
        <v>1</v>
      </c>
      <c r="E196" s="76">
        <v>0</v>
      </c>
      <c r="F196" s="76">
        <v>5.4</v>
      </c>
      <c r="G196" s="76">
        <v>24</v>
      </c>
      <c r="H196" s="76">
        <v>0</v>
      </c>
      <c r="I196" s="76">
        <v>0</v>
      </c>
      <c r="J196" s="76">
        <v>0</v>
      </c>
      <c r="K196" s="76">
        <v>0</v>
      </c>
      <c r="L196" s="76">
        <v>0</v>
      </c>
      <c r="M196" s="76">
        <v>18.100000000000001</v>
      </c>
      <c r="N196" s="76">
        <v>23</v>
      </c>
      <c r="O196" s="76">
        <v>13</v>
      </c>
      <c r="P196" s="76">
        <v>11</v>
      </c>
      <c r="Q196" s="76">
        <v>4</v>
      </c>
      <c r="R196" s="76">
        <v>10</v>
      </c>
      <c r="S196" s="76">
        <v>2</v>
      </c>
      <c r="T196" s="76">
        <v>14</v>
      </c>
      <c r="U196" s="76">
        <v>86</v>
      </c>
      <c r="V196" s="76">
        <v>18.100000000000001</v>
      </c>
      <c r="W196" s="76">
        <v>0.315</v>
      </c>
      <c r="X196" s="76">
        <v>1.8</v>
      </c>
      <c r="Y196" s="76"/>
      <c r="Z196" s="76">
        <v>22</v>
      </c>
      <c r="AA196" t="s">
        <v>1345</v>
      </c>
      <c r="AB196" s="76" t="s">
        <v>143</v>
      </c>
      <c r="AC196" s="76">
        <v>2</v>
      </c>
      <c r="AD196" s="76">
        <v>2</v>
      </c>
      <c r="AE196" s="76">
        <v>1</v>
      </c>
      <c r="AF196" s="76">
        <v>6</v>
      </c>
      <c r="AG196" s="76">
        <v>4</v>
      </c>
      <c r="AH196" s="76">
        <v>22</v>
      </c>
      <c r="AI196" s="76">
        <v>15</v>
      </c>
      <c r="AJ196" s="76">
        <v>1</v>
      </c>
      <c r="AK196" s="76">
        <v>0</v>
      </c>
      <c r="AL196" s="76">
        <v>1</v>
      </c>
      <c r="AM196" s="76">
        <v>0</v>
      </c>
      <c r="AN196" s="76">
        <v>0</v>
      </c>
      <c r="AO196" s="76">
        <v>328</v>
      </c>
      <c r="AP196" s="202" t="s">
        <v>143</v>
      </c>
      <c r="AQ196" s="202" t="s">
        <v>243</v>
      </c>
      <c r="AR196" s="202">
        <v>3</v>
      </c>
      <c r="AS196" s="202">
        <v>0.4</v>
      </c>
      <c r="AT196" s="202">
        <v>0.625</v>
      </c>
      <c r="AU196" s="202">
        <v>1.0249999999999999</v>
      </c>
      <c r="AV196" s="202">
        <v>9</v>
      </c>
      <c r="AW196" s="202">
        <v>4.5</v>
      </c>
      <c r="AX196" s="202">
        <v>9</v>
      </c>
      <c r="AY196" s="202">
        <v>2</v>
      </c>
      <c r="AZ196" s="202">
        <v>20</v>
      </c>
    </row>
    <row r="197" spans="1:52" x14ac:dyDescent="0.2">
      <c r="A197" s="76">
        <v>19</v>
      </c>
      <c r="B197" t="s">
        <v>1195</v>
      </c>
      <c r="C197" s="76" t="s">
        <v>143</v>
      </c>
      <c r="D197" s="76">
        <v>1</v>
      </c>
      <c r="E197" s="76">
        <v>2</v>
      </c>
      <c r="F197" s="76">
        <v>4.57</v>
      </c>
      <c r="G197" s="76">
        <v>5</v>
      </c>
      <c r="H197" s="76">
        <v>5</v>
      </c>
      <c r="I197" s="76">
        <v>0</v>
      </c>
      <c r="J197" s="76">
        <v>0</v>
      </c>
      <c r="K197" s="76">
        <v>0</v>
      </c>
      <c r="L197" s="76">
        <v>0</v>
      </c>
      <c r="M197" s="76">
        <v>21.2</v>
      </c>
      <c r="N197" s="76">
        <v>17</v>
      </c>
      <c r="O197" s="76">
        <v>11</v>
      </c>
      <c r="P197" s="76">
        <v>11</v>
      </c>
      <c r="Q197" s="76">
        <v>2</v>
      </c>
      <c r="R197" s="76">
        <v>13</v>
      </c>
      <c r="S197" s="76">
        <v>0</v>
      </c>
      <c r="T197" s="76">
        <v>24</v>
      </c>
      <c r="U197" s="76">
        <v>94</v>
      </c>
      <c r="V197" s="76">
        <v>21.2</v>
      </c>
      <c r="W197" s="76">
        <v>0.215</v>
      </c>
      <c r="X197" s="76">
        <v>1.38</v>
      </c>
      <c r="Y197" s="76"/>
      <c r="Z197" s="76">
        <v>19</v>
      </c>
      <c r="AA197" t="s">
        <v>1195</v>
      </c>
      <c r="AB197" s="76" t="s">
        <v>143</v>
      </c>
      <c r="AC197" s="76">
        <v>0</v>
      </c>
      <c r="AD197" s="76">
        <v>0</v>
      </c>
      <c r="AE197" s="76">
        <v>0</v>
      </c>
      <c r="AF197" s="76">
        <v>0</v>
      </c>
      <c r="AG197" s="76">
        <v>1</v>
      </c>
      <c r="AH197" s="76">
        <v>20</v>
      </c>
      <c r="AI197" s="76">
        <v>20</v>
      </c>
      <c r="AJ197" s="76">
        <v>1</v>
      </c>
      <c r="AK197" s="76">
        <v>0</v>
      </c>
      <c r="AL197" s="76">
        <v>2</v>
      </c>
      <c r="AM197" s="76">
        <v>0</v>
      </c>
      <c r="AN197" s="76">
        <v>0</v>
      </c>
      <c r="AO197" s="76">
        <v>383</v>
      </c>
      <c r="AP197" s="202" t="s">
        <v>143</v>
      </c>
      <c r="AQ197" s="202">
        <v>0.5</v>
      </c>
      <c r="AR197" s="202">
        <v>0.62</v>
      </c>
      <c r="AS197" s="202">
        <v>0.28499999999999998</v>
      </c>
      <c r="AT197" s="202">
        <v>0.35699999999999998</v>
      </c>
      <c r="AU197" s="202">
        <v>0.64100000000000001</v>
      </c>
      <c r="AV197" s="202">
        <v>8.23</v>
      </c>
      <c r="AW197" s="202">
        <v>2.89</v>
      </c>
      <c r="AX197" s="202">
        <v>7.51</v>
      </c>
      <c r="AY197" s="202">
        <v>2.85</v>
      </c>
      <c r="AZ197" s="202">
        <v>16.48</v>
      </c>
    </row>
    <row r="198" spans="1:52" x14ac:dyDescent="0.2">
      <c r="A198" s="76">
        <v>16</v>
      </c>
      <c r="B198" s="41" t="s">
        <v>809</v>
      </c>
      <c r="C198" s="76" t="s">
        <v>143</v>
      </c>
      <c r="D198" s="76">
        <v>2</v>
      </c>
      <c r="E198" s="76">
        <v>2</v>
      </c>
      <c r="F198" s="76">
        <v>4.37</v>
      </c>
      <c r="G198" s="76">
        <v>60</v>
      </c>
      <c r="H198" s="76">
        <v>0</v>
      </c>
      <c r="I198" s="76">
        <v>0</v>
      </c>
      <c r="J198" s="76">
        <v>0</v>
      </c>
      <c r="K198" s="76">
        <v>0</v>
      </c>
      <c r="L198" s="76">
        <v>1</v>
      </c>
      <c r="M198" s="76">
        <v>55.2</v>
      </c>
      <c r="N198" s="76">
        <v>52</v>
      </c>
      <c r="O198" s="76">
        <v>31</v>
      </c>
      <c r="P198" s="76">
        <v>27</v>
      </c>
      <c r="Q198" s="76">
        <v>6</v>
      </c>
      <c r="R198" s="76">
        <v>15</v>
      </c>
      <c r="S198" s="76">
        <v>1</v>
      </c>
      <c r="T198" s="76">
        <v>49</v>
      </c>
      <c r="U198" s="76">
        <v>227</v>
      </c>
      <c r="V198" s="76">
        <v>55.2</v>
      </c>
      <c r="W198" s="76">
        <v>0.25</v>
      </c>
      <c r="X198" s="76">
        <v>1.2</v>
      </c>
      <c r="Y198" s="76"/>
      <c r="Z198" s="76">
        <v>16</v>
      </c>
      <c r="AA198" t="s">
        <v>809</v>
      </c>
      <c r="AB198" s="76" t="s">
        <v>143</v>
      </c>
      <c r="AC198" s="76">
        <v>1</v>
      </c>
      <c r="AD198" s="76">
        <v>1</v>
      </c>
      <c r="AE198" s="76">
        <v>8</v>
      </c>
      <c r="AF198" s="76">
        <v>13</v>
      </c>
      <c r="AG198" s="76">
        <v>3</v>
      </c>
      <c r="AH198" s="76">
        <v>46</v>
      </c>
      <c r="AI198" s="76">
        <v>64</v>
      </c>
      <c r="AJ198" s="76">
        <v>1</v>
      </c>
      <c r="AK198" s="76">
        <v>1</v>
      </c>
      <c r="AL198" s="76">
        <v>1</v>
      </c>
      <c r="AM198" s="76">
        <v>3</v>
      </c>
      <c r="AN198" s="76">
        <v>2</v>
      </c>
      <c r="AO198" s="76">
        <v>848</v>
      </c>
      <c r="AP198" s="202" t="s">
        <v>143</v>
      </c>
      <c r="AQ198" s="202">
        <v>0.5</v>
      </c>
      <c r="AR198" s="202">
        <v>0.47</v>
      </c>
      <c r="AS198" s="202">
        <v>0.307</v>
      </c>
      <c r="AT198" s="202">
        <v>0.41599999999999998</v>
      </c>
      <c r="AU198" s="202">
        <v>0.72299999999999998</v>
      </c>
      <c r="AV198" s="202">
        <v>8.07</v>
      </c>
      <c r="AW198" s="202">
        <v>3.54</v>
      </c>
      <c r="AX198" s="202">
        <v>7.77</v>
      </c>
      <c r="AY198" s="202">
        <v>2.2799999999999998</v>
      </c>
      <c r="AZ198" s="202">
        <v>17.5</v>
      </c>
    </row>
    <row r="199" spans="1:52" x14ac:dyDescent="0.2">
      <c r="A199" s="76">
        <v>7</v>
      </c>
      <c r="B199" s="41" t="s">
        <v>380</v>
      </c>
      <c r="C199" s="76" t="s">
        <v>143</v>
      </c>
      <c r="D199" s="76">
        <v>4</v>
      </c>
      <c r="E199" s="76">
        <v>6</v>
      </c>
      <c r="F199" s="76">
        <v>3.21</v>
      </c>
      <c r="G199" s="76">
        <v>11</v>
      </c>
      <c r="H199" s="76">
        <v>11</v>
      </c>
      <c r="I199" s="76">
        <v>1</v>
      </c>
      <c r="J199" s="76">
        <v>1</v>
      </c>
      <c r="K199" s="76">
        <v>0</v>
      </c>
      <c r="L199" s="76">
        <v>0</v>
      </c>
      <c r="M199" s="76">
        <v>73</v>
      </c>
      <c r="N199" s="76">
        <v>63</v>
      </c>
      <c r="O199" s="76">
        <v>27</v>
      </c>
      <c r="P199" s="76">
        <v>26</v>
      </c>
      <c r="Q199" s="76">
        <v>8</v>
      </c>
      <c r="R199" s="76">
        <v>15</v>
      </c>
      <c r="S199" s="76">
        <v>0</v>
      </c>
      <c r="T199" s="76">
        <v>51</v>
      </c>
      <c r="U199" s="76">
        <v>290</v>
      </c>
      <c r="V199" s="76">
        <v>73</v>
      </c>
      <c r="W199" s="76">
        <v>0.23200000000000001</v>
      </c>
      <c r="X199" s="76">
        <v>1.07</v>
      </c>
      <c r="Y199" s="76"/>
      <c r="Z199" s="76">
        <v>7</v>
      </c>
      <c r="AA199" t="s">
        <v>380</v>
      </c>
      <c r="AB199" s="76" t="s">
        <v>143</v>
      </c>
      <c r="AC199" s="76">
        <v>2</v>
      </c>
      <c r="AD199" s="76">
        <v>0</v>
      </c>
      <c r="AE199" s="76">
        <v>0</v>
      </c>
      <c r="AF199" s="76">
        <v>0</v>
      </c>
      <c r="AG199" s="76">
        <v>9</v>
      </c>
      <c r="AH199" s="76">
        <v>79</v>
      </c>
      <c r="AI199" s="76">
        <v>80</v>
      </c>
      <c r="AJ199" s="76">
        <v>3</v>
      </c>
      <c r="AK199" s="76">
        <v>0</v>
      </c>
      <c r="AL199" s="76">
        <v>3</v>
      </c>
      <c r="AM199" s="76">
        <v>3</v>
      </c>
      <c r="AN199" s="76">
        <v>1</v>
      </c>
      <c r="AO199" s="76">
        <v>1090</v>
      </c>
      <c r="AP199" s="202" t="s">
        <v>143</v>
      </c>
      <c r="AQ199" s="202" t="s">
        <v>243</v>
      </c>
      <c r="AR199" s="202" t="s">
        <v>243</v>
      </c>
      <c r="AS199" s="202">
        <v>0.25</v>
      </c>
      <c r="AT199" s="202">
        <v>0</v>
      </c>
      <c r="AU199" s="202">
        <v>0.25</v>
      </c>
      <c r="AV199" s="202">
        <v>18</v>
      </c>
      <c r="AW199" s="202">
        <v>9</v>
      </c>
      <c r="AX199" s="202">
        <v>0</v>
      </c>
      <c r="AY199" s="202">
        <v>2</v>
      </c>
      <c r="AZ199" s="202">
        <v>16</v>
      </c>
    </row>
    <row r="200" spans="1:52" x14ac:dyDescent="0.2">
      <c r="A200" s="76">
        <v>28</v>
      </c>
      <c r="B200" s="41" t="s">
        <v>548</v>
      </c>
      <c r="C200" s="76" t="s">
        <v>143</v>
      </c>
      <c r="D200" s="76">
        <v>1</v>
      </c>
      <c r="E200" s="76">
        <v>1</v>
      </c>
      <c r="F200" s="76">
        <v>8.5500000000000007</v>
      </c>
      <c r="G200" s="76">
        <v>11</v>
      </c>
      <c r="H200" s="76">
        <v>2</v>
      </c>
      <c r="I200" s="76">
        <v>0</v>
      </c>
      <c r="J200" s="76">
        <v>0</v>
      </c>
      <c r="K200" s="76">
        <v>0</v>
      </c>
      <c r="L200" s="76">
        <v>0</v>
      </c>
      <c r="M200" s="76">
        <v>20</v>
      </c>
      <c r="N200" s="76">
        <v>27</v>
      </c>
      <c r="O200" s="76">
        <v>19</v>
      </c>
      <c r="P200" s="76">
        <v>19</v>
      </c>
      <c r="Q200" s="76">
        <v>7</v>
      </c>
      <c r="R200" s="76">
        <v>9</v>
      </c>
      <c r="S200" s="76">
        <v>1</v>
      </c>
      <c r="T200" s="76">
        <v>16</v>
      </c>
      <c r="U200" s="76">
        <v>95</v>
      </c>
      <c r="V200" s="76">
        <v>20</v>
      </c>
      <c r="W200" s="76">
        <v>0.318</v>
      </c>
      <c r="X200" s="76">
        <v>1.8</v>
      </c>
      <c r="Y200" s="76"/>
      <c r="Z200" s="76">
        <v>28</v>
      </c>
      <c r="AA200" t="s">
        <v>548</v>
      </c>
      <c r="AB200" s="76" t="s">
        <v>143</v>
      </c>
      <c r="AC200" s="76">
        <v>1</v>
      </c>
      <c r="AD200" s="76">
        <v>1</v>
      </c>
      <c r="AE200" s="76">
        <v>4</v>
      </c>
      <c r="AF200" s="76">
        <v>0</v>
      </c>
      <c r="AG200" s="76">
        <v>1</v>
      </c>
      <c r="AH200" s="76">
        <v>20</v>
      </c>
      <c r="AI200" s="76">
        <v>22</v>
      </c>
      <c r="AJ200" s="76">
        <v>0</v>
      </c>
      <c r="AK200" s="76">
        <v>0</v>
      </c>
      <c r="AL200" s="76">
        <v>0</v>
      </c>
      <c r="AM200" s="76">
        <v>2</v>
      </c>
      <c r="AN200" s="76">
        <v>0</v>
      </c>
      <c r="AO200" s="76">
        <v>375</v>
      </c>
      <c r="AP200" s="202" t="s">
        <v>151</v>
      </c>
      <c r="AQ200" s="202" t="s">
        <v>243</v>
      </c>
      <c r="AR200" s="202">
        <v>0.28999999999999998</v>
      </c>
      <c r="AS200" s="202">
        <v>0.33300000000000002</v>
      </c>
      <c r="AT200" s="202">
        <v>0.49099999999999999</v>
      </c>
      <c r="AU200" s="202">
        <v>0.82399999999999995</v>
      </c>
      <c r="AV200" s="202">
        <v>5.93</v>
      </c>
      <c r="AW200" s="202">
        <v>3.29</v>
      </c>
      <c r="AX200" s="202">
        <v>9.2200000000000006</v>
      </c>
      <c r="AY200" s="202">
        <v>1.8</v>
      </c>
      <c r="AZ200" s="202">
        <v>17.93</v>
      </c>
    </row>
    <row r="201" spans="1:52" x14ac:dyDescent="0.2">
      <c r="A201" s="76">
        <v>5</v>
      </c>
      <c r="B201" s="41" t="s">
        <v>424</v>
      </c>
      <c r="C201" s="76" t="s">
        <v>143</v>
      </c>
      <c r="D201" s="76">
        <v>2</v>
      </c>
      <c r="E201" s="76">
        <v>1</v>
      </c>
      <c r="F201" s="76">
        <v>2.91</v>
      </c>
      <c r="G201" s="76">
        <v>43</v>
      </c>
      <c r="H201" s="76">
        <v>0</v>
      </c>
      <c r="I201" s="76">
        <v>0</v>
      </c>
      <c r="J201" s="76">
        <v>0</v>
      </c>
      <c r="K201" s="76">
        <v>1</v>
      </c>
      <c r="L201" s="76">
        <v>2</v>
      </c>
      <c r="M201" s="76">
        <v>46.1</v>
      </c>
      <c r="N201" s="76">
        <v>42</v>
      </c>
      <c r="O201" s="76">
        <v>17</v>
      </c>
      <c r="P201" s="76">
        <v>15</v>
      </c>
      <c r="Q201" s="76">
        <v>5</v>
      </c>
      <c r="R201" s="76">
        <v>13</v>
      </c>
      <c r="S201" s="76">
        <v>0</v>
      </c>
      <c r="T201" s="76">
        <v>31</v>
      </c>
      <c r="U201" s="76">
        <v>196</v>
      </c>
      <c r="V201" s="76">
        <v>46.1</v>
      </c>
      <c r="W201" s="76">
        <v>0.24099999999999999</v>
      </c>
      <c r="X201" s="76">
        <v>1.19</v>
      </c>
      <c r="Y201" s="76"/>
      <c r="Z201" s="76">
        <v>5</v>
      </c>
      <c r="AA201" t="s">
        <v>424</v>
      </c>
      <c r="AB201" s="76" t="s">
        <v>143</v>
      </c>
      <c r="AC201" s="76">
        <v>4</v>
      </c>
      <c r="AD201" s="76">
        <v>0</v>
      </c>
      <c r="AE201" s="76">
        <v>9</v>
      </c>
      <c r="AF201" s="76">
        <v>12</v>
      </c>
      <c r="AG201" s="76">
        <v>3</v>
      </c>
      <c r="AH201" s="76">
        <v>62</v>
      </c>
      <c r="AI201" s="76">
        <v>44</v>
      </c>
      <c r="AJ201" s="76">
        <v>4</v>
      </c>
      <c r="AK201" s="76">
        <v>0</v>
      </c>
      <c r="AL201" s="76">
        <v>5</v>
      </c>
      <c r="AM201" s="76">
        <v>2</v>
      </c>
      <c r="AN201" s="76">
        <v>1</v>
      </c>
      <c r="AO201" s="76">
        <v>743</v>
      </c>
      <c r="AP201" s="202" t="s">
        <v>143</v>
      </c>
      <c r="AQ201" s="202" t="s">
        <v>243</v>
      </c>
      <c r="AR201" s="202">
        <v>1.25</v>
      </c>
      <c r="AS201" s="202">
        <v>0.36799999999999999</v>
      </c>
      <c r="AT201" s="202">
        <v>0.313</v>
      </c>
      <c r="AU201" s="202">
        <v>0.68100000000000005</v>
      </c>
      <c r="AV201" s="202">
        <v>6.75</v>
      </c>
      <c r="AW201" s="202">
        <v>6.75</v>
      </c>
      <c r="AX201" s="202">
        <v>9</v>
      </c>
      <c r="AY201" s="202">
        <v>1</v>
      </c>
      <c r="AZ201" s="202">
        <v>20</v>
      </c>
    </row>
    <row r="202" spans="1:52" x14ac:dyDescent="0.2">
      <c r="A202" s="76">
        <v>25</v>
      </c>
      <c r="B202" t="s">
        <v>340</v>
      </c>
      <c r="C202" s="76" t="s">
        <v>143</v>
      </c>
      <c r="D202" s="76">
        <v>0</v>
      </c>
      <c r="E202" s="76">
        <v>2</v>
      </c>
      <c r="F202" s="76">
        <v>5.84</v>
      </c>
      <c r="G202" s="76">
        <v>19</v>
      </c>
      <c r="H202" s="76">
        <v>1</v>
      </c>
      <c r="I202" s="76">
        <v>0</v>
      </c>
      <c r="J202" s="76">
        <v>0</v>
      </c>
      <c r="K202" s="76">
        <v>0</v>
      </c>
      <c r="L202" s="76">
        <v>1</v>
      </c>
      <c r="M202" s="76">
        <v>24.2</v>
      </c>
      <c r="N202" s="76">
        <v>25</v>
      </c>
      <c r="O202" s="76">
        <v>16</v>
      </c>
      <c r="P202" s="76">
        <v>16</v>
      </c>
      <c r="Q202" s="76">
        <v>4</v>
      </c>
      <c r="R202" s="76">
        <v>16</v>
      </c>
      <c r="S202" s="76">
        <v>1</v>
      </c>
      <c r="T202" s="76">
        <v>17</v>
      </c>
      <c r="U202" s="76">
        <v>114</v>
      </c>
      <c r="V202" s="76">
        <v>24.2</v>
      </c>
      <c r="W202" s="76">
        <v>0.26</v>
      </c>
      <c r="X202" s="76">
        <v>1.66</v>
      </c>
      <c r="Y202" s="76"/>
      <c r="Z202" s="76">
        <v>25</v>
      </c>
      <c r="AA202" t="s">
        <v>340</v>
      </c>
      <c r="AB202" s="76" t="s">
        <v>143</v>
      </c>
      <c r="AC202" s="76">
        <v>1</v>
      </c>
      <c r="AD202" s="76">
        <v>1</v>
      </c>
      <c r="AE202" s="76">
        <v>4</v>
      </c>
      <c r="AF202" s="76">
        <v>0</v>
      </c>
      <c r="AG202" s="76">
        <v>0</v>
      </c>
      <c r="AH202" s="76">
        <v>18</v>
      </c>
      <c r="AI202" s="76">
        <v>37</v>
      </c>
      <c r="AJ202" s="76">
        <v>2</v>
      </c>
      <c r="AK202" s="76">
        <v>2</v>
      </c>
      <c r="AL202" s="76">
        <v>4</v>
      </c>
      <c r="AM202" s="76">
        <v>2</v>
      </c>
      <c r="AN202" s="76">
        <v>1</v>
      </c>
      <c r="AO202" s="76">
        <v>464</v>
      </c>
      <c r="AP202" s="102" t="s">
        <v>157</v>
      </c>
      <c r="AQ202" s="102" t="s">
        <v>1081</v>
      </c>
      <c r="AR202" s="102" t="s">
        <v>1068</v>
      </c>
      <c r="AS202" s="102" t="s">
        <v>1059</v>
      </c>
      <c r="AT202" s="102" t="s">
        <v>1060</v>
      </c>
      <c r="AU202" s="102" t="s">
        <v>1061</v>
      </c>
      <c r="AV202" s="102" t="s">
        <v>1092</v>
      </c>
      <c r="AW202" s="102" t="s">
        <v>1093</v>
      </c>
      <c r="AX202" s="102" t="s">
        <v>1094</v>
      </c>
      <c r="AY202" s="102" t="s">
        <v>1095</v>
      </c>
      <c r="AZ202" s="102" t="s">
        <v>1096</v>
      </c>
    </row>
    <row r="203" spans="1:52" x14ac:dyDescent="0.2">
      <c r="A203" s="76">
        <v>3</v>
      </c>
      <c r="B203" t="s">
        <v>566</v>
      </c>
      <c r="C203" s="76" t="s">
        <v>143</v>
      </c>
      <c r="D203" s="76">
        <v>1</v>
      </c>
      <c r="E203" s="76">
        <v>3</v>
      </c>
      <c r="F203" s="76">
        <v>2.34</v>
      </c>
      <c r="G203" s="76">
        <v>6</v>
      </c>
      <c r="H203" s="76">
        <v>6</v>
      </c>
      <c r="I203" s="76">
        <v>0</v>
      </c>
      <c r="J203" s="76">
        <v>0</v>
      </c>
      <c r="K203" s="76">
        <v>0</v>
      </c>
      <c r="L203" s="76">
        <v>0</v>
      </c>
      <c r="M203" s="76">
        <v>34.200000000000003</v>
      </c>
      <c r="N203" s="76">
        <v>31</v>
      </c>
      <c r="O203" s="76">
        <v>16</v>
      </c>
      <c r="P203" s="76">
        <v>9</v>
      </c>
      <c r="Q203" s="76">
        <v>2</v>
      </c>
      <c r="R203" s="76">
        <v>15</v>
      </c>
      <c r="S203" s="76">
        <v>1</v>
      </c>
      <c r="T203" s="76">
        <v>34</v>
      </c>
      <c r="U203" s="76">
        <v>148</v>
      </c>
      <c r="V203" s="76">
        <v>34.200000000000003</v>
      </c>
      <c r="W203" s="76">
        <v>0.23799999999999999</v>
      </c>
      <c r="X203" s="76">
        <v>1.33</v>
      </c>
      <c r="Y203" s="76"/>
      <c r="Z203" s="76">
        <v>3</v>
      </c>
      <c r="AA203" t="s">
        <v>566</v>
      </c>
      <c r="AB203" s="76" t="s">
        <v>143</v>
      </c>
      <c r="AC203" s="76">
        <v>1</v>
      </c>
      <c r="AD203" s="76">
        <v>1</v>
      </c>
      <c r="AE203" s="76">
        <v>0</v>
      </c>
      <c r="AF203" s="76">
        <v>0</v>
      </c>
      <c r="AG203" s="76">
        <v>4</v>
      </c>
      <c r="AH203" s="76">
        <v>37</v>
      </c>
      <c r="AI203" s="76">
        <v>30</v>
      </c>
      <c r="AJ203" s="76">
        <v>3</v>
      </c>
      <c r="AK203" s="76">
        <v>0</v>
      </c>
      <c r="AL203" s="76">
        <v>4</v>
      </c>
      <c r="AM203" s="76">
        <v>1</v>
      </c>
      <c r="AN203" s="76">
        <v>0</v>
      </c>
      <c r="AO203" s="76">
        <v>615</v>
      </c>
      <c r="AP203" s="202" t="s">
        <v>143</v>
      </c>
      <c r="AQ203" s="202">
        <v>0.66700000000000004</v>
      </c>
      <c r="AR203" s="202">
        <v>1.63</v>
      </c>
      <c r="AS203" s="202">
        <v>0.31</v>
      </c>
      <c r="AT203" s="202">
        <v>0.315</v>
      </c>
      <c r="AU203" s="202">
        <v>0.625</v>
      </c>
      <c r="AV203" s="202">
        <v>5.0999999999999996</v>
      </c>
      <c r="AW203" s="202">
        <v>3.02</v>
      </c>
      <c r="AX203" s="202">
        <v>8.1199999999999992</v>
      </c>
      <c r="AY203" s="202">
        <v>1.69</v>
      </c>
      <c r="AZ203" s="202">
        <v>15.27</v>
      </c>
    </row>
    <row r="204" spans="1:52" x14ac:dyDescent="0.2">
      <c r="A204" s="76">
        <v>17</v>
      </c>
      <c r="B204" t="s">
        <v>469</v>
      </c>
      <c r="C204" s="76" t="s">
        <v>143</v>
      </c>
      <c r="D204" s="76">
        <v>3</v>
      </c>
      <c r="E204" s="76">
        <v>6</v>
      </c>
      <c r="F204" s="76">
        <v>4.47</v>
      </c>
      <c r="G204" s="76">
        <v>58</v>
      </c>
      <c r="H204" s="76">
        <v>0</v>
      </c>
      <c r="I204" s="76">
        <v>0</v>
      </c>
      <c r="J204" s="76">
        <v>0</v>
      </c>
      <c r="K204" s="76">
        <v>6</v>
      </c>
      <c r="L204" s="76">
        <v>11</v>
      </c>
      <c r="M204" s="76">
        <v>56.1</v>
      </c>
      <c r="N204" s="76">
        <v>52</v>
      </c>
      <c r="O204" s="76">
        <v>28</v>
      </c>
      <c r="P204" s="76">
        <v>28</v>
      </c>
      <c r="Q204" s="76">
        <v>9</v>
      </c>
      <c r="R204" s="76">
        <v>19</v>
      </c>
      <c r="S204" s="76">
        <v>1</v>
      </c>
      <c r="T204" s="76">
        <v>45</v>
      </c>
      <c r="U204" s="76">
        <v>231</v>
      </c>
      <c r="V204" s="76">
        <v>56.1</v>
      </c>
      <c r="W204" s="76">
        <v>0.248</v>
      </c>
      <c r="X204" s="76">
        <v>1.26</v>
      </c>
      <c r="Y204" s="76"/>
      <c r="Z204" s="76">
        <v>17</v>
      </c>
      <c r="AA204" t="s">
        <v>469</v>
      </c>
      <c r="AB204" s="76" t="s">
        <v>143</v>
      </c>
      <c r="AC204" s="76">
        <v>0</v>
      </c>
      <c r="AD204" s="76">
        <v>1</v>
      </c>
      <c r="AE204" s="76">
        <v>22</v>
      </c>
      <c r="AF204" s="76">
        <v>13</v>
      </c>
      <c r="AG204" s="76">
        <v>5</v>
      </c>
      <c r="AH204" s="76">
        <v>50</v>
      </c>
      <c r="AI204" s="76">
        <v>65</v>
      </c>
      <c r="AJ204" s="76">
        <v>0</v>
      </c>
      <c r="AK204" s="76">
        <v>0</v>
      </c>
      <c r="AL204" s="76">
        <v>3</v>
      </c>
      <c r="AM204" s="76">
        <v>2</v>
      </c>
      <c r="AN204" s="76">
        <v>0</v>
      </c>
      <c r="AO204" s="76">
        <v>966</v>
      </c>
      <c r="AP204" s="202" t="s">
        <v>143</v>
      </c>
      <c r="AQ204" s="202">
        <v>0.41199999999999998</v>
      </c>
      <c r="AR204" s="202">
        <v>0.78</v>
      </c>
      <c r="AS204" s="202">
        <v>0.308</v>
      </c>
      <c r="AT204" s="202">
        <v>0.45</v>
      </c>
      <c r="AU204" s="202">
        <v>0.75800000000000001</v>
      </c>
      <c r="AV204" s="202">
        <v>7.71</v>
      </c>
      <c r="AW204" s="202">
        <v>2.33</v>
      </c>
      <c r="AX204" s="202">
        <v>8.98</v>
      </c>
      <c r="AY204" s="202">
        <v>3.31</v>
      </c>
      <c r="AZ204" s="202">
        <v>15.44</v>
      </c>
    </row>
    <row r="205" spans="1:52" x14ac:dyDescent="0.2">
      <c r="A205" s="76">
        <v>15</v>
      </c>
      <c r="B205" t="s">
        <v>515</v>
      </c>
      <c r="C205" s="76" t="s">
        <v>143</v>
      </c>
      <c r="D205" s="76">
        <v>10</v>
      </c>
      <c r="E205" s="76">
        <v>4</v>
      </c>
      <c r="F205" s="76">
        <v>4.25</v>
      </c>
      <c r="G205" s="76">
        <v>22</v>
      </c>
      <c r="H205" s="76">
        <v>22</v>
      </c>
      <c r="I205" s="76">
        <v>0</v>
      </c>
      <c r="J205" s="76">
        <v>0</v>
      </c>
      <c r="K205" s="76">
        <v>0</v>
      </c>
      <c r="L205" s="76">
        <v>0</v>
      </c>
      <c r="M205" s="76">
        <v>120.2</v>
      </c>
      <c r="N205" s="76">
        <v>104</v>
      </c>
      <c r="O205" s="76">
        <v>61</v>
      </c>
      <c r="P205" s="76">
        <v>57</v>
      </c>
      <c r="Q205" s="76">
        <v>20</v>
      </c>
      <c r="R205" s="76">
        <v>57</v>
      </c>
      <c r="S205" s="76">
        <v>0</v>
      </c>
      <c r="T205" s="76">
        <v>107</v>
      </c>
      <c r="U205" s="76">
        <v>515</v>
      </c>
      <c r="V205" s="76">
        <v>120.2</v>
      </c>
      <c r="W205" s="76">
        <v>0.23300000000000001</v>
      </c>
      <c r="X205" s="76">
        <v>1.33</v>
      </c>
      <c r="Y205" s="76"/>
      <c r="Z205" s="76">
        <v>15</v>
      </c>
      <c r="AA205" t="s">
        <v>515</v>
      </c>
      <c r="AB205" s="76" t="s">
        <v>143</v>
      </c>
      <c r="AC205" s="76">
        <v>4</v>
      </c>
      <c r="AD205" s="76">
        <v>0</v>
      </c>
      <c r="AE205" s="76">
        <v>0</v>
      </c>
      <c r="AF205" s="76">
        <v>0</v>
      </c>
      <c r="AG205" s="76">
        <v>9</v>
      </c>
      <c r="AH205" s="76">
        <v>103</v>
      </c>
      <c r="AI205" s="76">
        <v>140</v>
      </c>
      <c r="AJ205" s="76">
        <v>2</v>
      </c>
      <c r="AK205" s="76">
        <v>1</v>
      </c>
      <c r="AL205" s="76">
        <v>6</v>
      </c>
      <c r="AM205" s="76">
        <v>5</v>
      </c>
      <c r="AN205" s="76">
        <v>4</v>
      </c>
      <c r="AO205" s="76">
        <v>2126</v>
      </c>
      <c r="AP205" s="202" t="s">
        <v>143</v>
      </c>
      <c r="AQ205" s="202">
        <v>0.71399999999999997</v>
      </c>
      <c r="AR205" s="202">
        <v>0.78</v>
      </c>
      <c r="AS205" s="202">
        <v>0.28799999999999998</v>
      </c>
      <c r="AT205" s="202">
        <v>0.42899999999999999</v>
      </c>
      <c r="AU205" s="202">
        <v>0.71599999999999997</v>
      </c>
      <c r="AV205" s="202">
        <v>10.46</v>
      </c>
      <c r="AW205" s="202">
        <v>1.7</v>
      </c>
      <c r="AX205" s="202">
        <v>8.6199999999999992</v>
      </c>
      <c r="AY205" s="202">
        <v>6.17</v>
      </c>
      <c r="AZ205" s="202">
        <v>16.260000000000002</v>
      </c>
    </row>
    <row r="206" spans="1:52" x14ac:dyDescent="0.2">
      <c r="A206" s="76">
        <v>12</v>
      </c>
      <c r="B206" s="41" t="s">
        <v>562</v>
      </c>
      <c r="C206" s="76" t="s">
        <v>143</v>
      </c>
      <c r="D206" s="76">
        <v>9</v>
      </c>
      <c r="E206" s="76">
        <v>13</v>
      </c>
      <c r="F206" s="76">
        <v>3.88</v>
      </c>
      <c r="G206" s="76">
        <v>27</v>
      </c>
      <c r="H206" s="76">
        <v>27</v>
      </c>
      <c r="I206" s="76">
        <v>1</v>
      </c>
      <c r="J206" s="76">
        <v>1</v>
      </c>
      <c r="K206" s="76">
        <v>0</v>
      </c>
      <c r="L206" s="76">
        <v>0</v>
      </c>
      <c r="M206" s="76">
        <v>160</v>
      </c>
      <c r="N206" s="76">
        <v>166</v>
      </c>
      <c r="O206" s="76">
        <v>71</v>
      </c>
      <c r="P206" s="76">
        <v>69</v>
      </c>
      <c r="Q206" s="76">
        <v>18</v>
      </c>
      <c r="R206" s="76">
        <v>30</v>
      </c>
      <c r="S206" s="76">
        <v>1</v>
      </c>
      <c r="T206" s="76">
        <v>143</v>
      </c>
      <c r="U206" s="76">
        <v>668</v>
      </c>
      <c r="V206" s="76">
        <v>160</v>
      </c>
      <c r="W206" s="76">
        <v>0.26600000000000001</v>
      </c>
      <c r="X206" s="76">
        <v>1.23</v>
      </c>
      <c r="Y206" s="76"/>
      <c r="Z206" s="76">
        <v>12</v>
      </c>
      <c r="AA206" t="s">
        <v>562</v>
      </c>
      <c r="AB206" s="76" t="s">
        <v>143</v>
      </c>
      <c r="AC206" s="76">
        <v>7</v>
      </c>
      <c r="AD206" s="76">
        <v>1</v>
      </c>
      <c r="AE206" s="76">
        <v>0</v>
      </c>
      <c r="AF206" s="76">
        <v>0</v>
      </c>
      <c r="AG206" s="76">
        <v>10</v>
      </c>
      <c r="AH206" s="76">
        <v>152</v>
      </c>
      <c r="AI206" s="76">
        <v>170</v>
      </c>
      <c r="AJ206" s="76">
        <v>2</v>
      </c>
      <c r="AK206" s="76">
        <v>0</v>
      </c>
      <c r="AL206" s="76">
        <v>12</v>
      </c>
      <c r="AM206" s="76">
        <v>4</v>
      </c>
      <c r="AN206" s="76">
        <v>1</v>
      </c>
      <c r="AO206" s="76">
        <v>2476</v>
      </c>
      <c r="AP206" s="202" t="s">
        <v>143</v>
      </c>
      <c r="AQ206" s="202">
        <v>1</v>
      </c>
      <c r="AR206" s="202">
        <v>0</v>
      </c>
      <c r="AS206" s="202">
        <v>0</v>
      </c>
      <c r="AT206" s="202">
        <v>0</v>
      </c>
      <c r="AU206" s="202">
        <v>0</v>
      </c>
      <c r="AV206" s="202">
        <v>0</v>
      </c>
      <c r="AW206" s="202">
        <v>0</v>
      </c>
      <c r="AX206" s="202">
        <v>0</v>
      </c>
      <c r="AY206" s="202" t="s">
        <v>243</v>
      </c>
      <c r="AZ206" s="202">
        <v>3</v>
      </c>
    </row>
    <row r="207" spans="1:52" x14ac:dyDescent="0.2">
      <c r="A207" s="76">
        <v>13</v>
      </c>
      <c r="B207" s="41" t="s">
        <v>1344</v>
      </c>
      <c r="C207" s="76" t="s">
        <v>143</v>
      </c>
      <c r="D207" s="76">
        <v>3</v>
      </c>
      <c r="E207" s="76">
        <v>4</v>
      </c>
      <c r="F207" s="76">
        <v>4.17</v>
      </c>
      <c r="G207" s="76">
        <v>10</v>
      </c>
      <c r="H207" s="76">
        <v>10</v>
      </c>
      <c r="I207" s="76">
        <v>0</v>
      </c>
      <c r="J207" s="76">
        <v>0</v>
      </c>
      <c r="K207" s="76">
        <v>0</v>
      </c>
      <c r="L207" s="76">
        <v>0</v>
      </c>
      <c r="M207" s="76">
        <v>49.2</v>
      </c>
      <c r="N207" s="76">
        <v>51</v>
      </c>
      <c r="O207" s="76">
        <v>23</v>
      </c>
      <c r="P207" s="76">
        <v>23</v>
      </c>
      <c r="Q207" s="76">
        <v>5</v>
      </c>
      <c r="R207" s="76">
        <v>23</v>
      </c>
      <c r="S207" s="76">
        <v>0</v>
      </c>
      <c r="T207" s="76">
        <v>50</v>
      </c>
      <c r="U207" s="76">
        <v>219</v>
      </c>
      <c r="V207" s="76">
        <v>49.2</v>
      </c>
      <c r="W207" s="76">
        <v>0.26700000000000002</v>
      </c>
      <c r="X207" s="76">
        <v>1.49</v>
      </c>
      <c r="Y207" s="76"/>
      <c r="Z207" s="76">
        <v>13</v>
      </c>
      <c r="AA207" t="s">
        <v>1344</v>
      </c>
      <c r="AB207" s="76" t="s">
        <v>143</v>
      </c>
      <c r="AC207" s="76">
        <v>2</v>
      </c>
      <c r="AD207" s="76">
        <v>0</v>
      </c>
      <c r="AE207" s="76">
        <v>0</v>
      </c>
      <c r="AF207" s="76">
        <v>0</v>
      </c>
      <c r="AG207" s="76">
        <v>4</v>
      </c>
      <c r="AH207" s="76">
        <v>51</v>
      </c>
      <c r="AI207" s="76">
        <v>42</v>
      </c>
      <c r="AJ207" s="76">
        <v>0</v>
      </c>
      <c r="AK207" s="76">
        <v>0</v>
      </c>
      <c r="AL207" s="76">
        <v>11</v>
      </c>
      <c r="AM207" s="76">
        <v>0</v>
      </c>
      <c r="AN207" s="76">
        <v>0</v>
      </c>
      <c r="AO207" s="76">
        <v>876</v>
      </c>
      <c r="AP207" s="202" t="s">
        <v>143</v>
      </c>
      <c r="AQ207" s="202">
        <v>0.55600000000000005</v>
      </c>
      <c r="AR207" s="202">
        <v>1.59</v>
      </c>
      <c r="AS207" s="202">
        <v>0.30499999999999999</v>
      </c>
      <c r="AT207" s="202">
        <v>0.35899999999999999</v>
      </c>
      <c r="AU207" s="202">
        <v>0.66400000000000003</v>
      </c>
      <c r="AV207" s="202">
        <v>7.64</v>
      </c>
      <c r="AW207" s="202">
        <v>3.3</v>
      </c>
      <c r="AX207" s="202">
        <v>7.86</v>
      </c>
      <c r="AY207" s="202">
        <v>2.3199999999999998</v>
      </c>
      <c r="AZ207" s="202">
        <v>15.68</v>
      </c>
    </row>
    <row r="208" spans="1:52" x14ac:dyDescent="0.2">
      <c r="A208" s="76">
        <v>11</v>
      </c>
      <c r="B208" t="s">
        <v>521</v>
      </c>
      <c r="C208" s="76" t="s">
        <v>143</v>
      </c>
      <c r="D208" s="76">
        <v>1</v>
      </c>
      <c r="E208" s="76">
        <v>4</v>
      </c>
      <c r="F208" s="76">
        <v>3.82</v>
      </c>
      <c r="G208" s="76">
        <v>38</v>
      </c>
      <c r="H208" s="76">
        <v>0</v>
      </c>
      <c r="I208" s="76">
        <v>0</v>
      </c>
      <c r="J208" s="76">
        <v>0</v>
      </c>
      <c r="K208" s="76">
        <v>6</v>
      </c>
      <c r="L208" s="76">
        <v>9</v>
      </c>
      <c r="M208" s="76">
        <v>37.200000000000003</v>
      </c>
      <c r="N208" s="76">
        <v>36</v>
      </c>
      <c r="O208" s="76">
        <v>16</v>
      </c>
      <c r="P208" s="76">
        <v>16</v>
      </c>
      <c r="Q208" s="76">
        <v>4</v>
      </c>
      <c r="R208" s="76">
        <v>13</v>
      </c>
      <c r="S208" s="76">
        <v>3</v>
      </c>
      <c r="T208" s="76">
        <v>25</v>
      </c>
      <c r="U208" s="76">
        <v>160</v>
      </c>
      <c r="V208" s="76">
        <v>37.200000000000003</v>
      </c>
      <c r="W208" s="76">
        <v>0.25700000000000001</v>
      </c>
      <c r="X208" s="76">
        <v>1.3</v>
      </c>
      <c r="Y208" s="76"/>
      <c r="Z208" s="76">
        <v>11</v>
      </c>
      <c r="AA208" t="s">
        <v>521</v>
      </c>
      <c r="AB208" s="76" t="s">
        <v>143</v>
      </c>
      <c r="AC208" s="76">
        <v>5</v>
      </c>
      <c r="AD208" s="76">
        <v>3</v>
      </c>
      <c r="AE208" s="76">
        <v>16</v>
      </c>
      <c r="AF208" s="76">
        <v>6</v>
      </c>
      <c r="AG208" s="76">
        <v>4</v>
      </c>
      <c r="AH208" s="76">
        <v>49</v>
      </c>
      <c r="AI208" s="76">
        <v>32</v>
      </c>
      <c r="AJ208" s="76">
        <v>0</v>
      </c>
      <c r="AK208" s="76">
        <v>1</v>
      </c>
      <c r="AL208" s="76">
        <v>1</v>
      </c>
      <c r="AM208" s="76">
        <v>3</v>
      </c>
      <c r="AN208" s="76">
        <v>3</v>
      </c>
      <c r="AO208" s="76">
        <v>602</v>
      </c>
      <c r="AP208" s="202" t="s">
        <v>143</v>
      </c>
      <c r="AQ208" s="202" t="s">
        <v>243</v>
      </c>
      <c r="AR208" s="202">
        <v>0.79</v>
      </c>
      <c r="AS208" s="202">
        <v>0.31</v>
      </c>
      <c r="AT208" s="202">
        <v>0.38700000000000001</v>
      </c>
      <c r="AU208" s="202">
        <v>0.69699999999999995</v>
      </c>
      <c r="AV208" s="202">
        <v>11.76</v>
      </c>
      <c r="AW208" s="202">
        <v>4.79</v>
      </c>
      <c r="AX208" s="202">
        <v>6.53</v>
      </c>
      <c r="AY208" s="202">
        <v>2.4500000000000002</v>
      </c>
      <c r="AZ208" s="202">
        <v>18.239999999999998</v>
      </c>
    </row>
    <row r="209" spans="1:52" x14ac:dyDescent="0.2">
      <c r="A209" s="76">
        <v>27</v>
      </c>
      <c r="B209" s="41" t="s">
        <v>439</v>
      </c>
      <c r="C209" s="76" t="s">
        <v>143</v>
      </c>
      <c r="D209" s="76">
        <v>3</v>
      </c>
      <c r="E209" s="76">
        <v>2</v>
      </c>
      <c r="F209" s="76">
        <v>6.45</v>
      </c>
      <c r="G209" s="76">
        <v>26</v>
      </c>
      <c r="H209" s="76">
        <v>0</v>
      </c>
      <c r="I209" s="76">
        <v>0</v>
      </c>
      <c r="J209" s="76">
        <v>0</v>
      </c>
      <c r="K209" s="76">
        <v>9</v>
      </c>
      <c r="L209" s="76">
        <v>12</v>
      </c>
      <c r="M209" s="76">
        <v>22.1</v>
      </c>
      <c r="N209" s="76">
        <v>31</v>
      </c>
      <c r="O209" s="76">
        <v>16</v>
      </c>
      <c r="P209" s="76">
        <v>16</v>
      </c>
      <c r="Q209" s="76">
        <v>5</v>
      </c>
      <c r="R209" s="76">
        <v>12</v>
      </c>
      <c r="S209" s="76">
        <v>2</v>
      </c>
      <c r="T209" s="76">
        <v>14</v>
      </c>
      <c r="U209" s="76">
        <v>105</v>
      </c>
      <c r="V209" s="76">
        <v>22.1</v>
      </c>
      <c r="W209" s="76">
        <v>0.33700000000000002</v>
      </c>
      <c r="X209" s="76">
        <v>1.93</v>
      </c>
      <c r="Y209" s="76"/>
      <c r="Z209" s="76">
        <v>27</v>
      </c>
      <c r="AA209" t="s">
        <v>439</v>
      </c>
      <c r="AB209" s="76" t="s">
        <v>143</v>
      </c>
      <c r="AC209" s="76">
        <v>0</v>
      </c>
      <c r="AD209" s="76">
        <v>2</v>
      </c>
      <c r="AE209" s="76">
        <v>21</v>
      </c>
      <c r="AF209" s="76">
        <v>0</v>
      </c>
      <c r="AG209" s="76">
        <v>2</v>
      </c>
      <c r="AH209" s="76">
        <v>20</v>
      </c>
      <c r="AI209" s="76">
        <v>28</v>
      </c>
      <c r="AJ209" s="76">
        <v>0</v>
      </c>
      <c r="AK209" s="76">
        <v>0</v>
      </c>
      <c r="AL209" s="76">
        <v>2</v>
      </c>
      <c r="AM209" s="76">
        <v>0</v>
      </c>
      <c r="AN209" s="76">
        <v>1</v>
      </c>
      <c r="AO209" s="76">
        <v>401</v>
      </c>
      <c r="AP209" s="202" t="s">
        <v>151</v>
      </c>
      <c r="AQ209" s="202">
        <v>0.33300000000000002</v>
      </c>
      <c r="AR209" s="202">
        <v>1.17</v>
      </c>
      <c r="AS209" s="202">
        <v>0.30599999999999999</v>
      </c>
      <c r="AT209" s="202">
        <v>0.38500000000000001</v>
      </c>
      <c r="AU209" s="202">
        <v>0.69099999999999995</v>
      </c>
      <c r="AV209" s="202">
        <v>4.57</v>
      </c>
      <c r="AW209" s="202">
        <v>2.63</v>
      </c>
      <c r="AX209" s="202">
        <v>8.58</v>
      </c>
      <c r="AY209" s="202">
        <v>1.74</v>
      </c>
      <c r="AZ209" s="202">
        <v>14.37</v>
      </c>
    </row>
    <row r="210" spans="1:52" x14ac:dyDescent="0.2">
      <c r="A210" s="76">
        <v>10</v>
      </c>
      <c r="B210" s="41" t="s">
        <v>803</v>
      </c>
      <c r="C210" s="76" t="s">
        <v>143</v>
      </c>
      <c r="D210" s="76">
        <v>3</v>
      </c>
      <c r="E210" s="76">
        <v>2</v>
      </c>
      <c r="F210" s="76">
        <v>3.56</v>
      </c>
      <c r="G210" s="76">
        <v>13</v>
      </c>
      <c r="H210" s="76">
        <v>13</v>
      </c>
      <c r="I210" s="76">
        <v>0</v>
      </c>
      <c r="J210" s="76">
        <v>0</v>
      </c>
      <c r="K210" s="76">
        <v>0</v>
      </c>
      <c r="L210" s="76">
        <v>0</v>
      </c>
      <c r="M210" s="76">
        <v>68.099999999999994</v>
      </c>
      <c r="N210" s="76">
        <v>70</v>
      </c>
      <c r="O210" s="76">
        <v>27</v>
      </c>
      <c r="P210" s="76">
        <v>27</v>
      </c>
      <c r="Q210" s="76">
        <v>14</v>
      </c>
      <c r="R210" s="76">
        <v>31</v>
      </c>
      <c r="S210" s="76">
        <v>1</v>
      </c>
      <c r="T210" s="76">
        <v>68</v>
      </c>
      <c r="U210" s="76">
        <v>296</v>
      </c>
      <c r="V210" s="76">
        <v>68.099999999999994</v>
      </c>
      <c r="W210" s="76">
        <v>0.27</v>
      </c>
      <c r="X210" s="76">
        <v>1.48</v>
      </c>
      <c r="Y210" s="76"/>
      <c r="Z210" s="76">
        <v>10</v>
      </c>
      <c r="AA210" t="s">
        <v>803</v>
      </c>
      <c r="AB210" s="76" t="s">
        <v>143</v>
      </c>
      <c r="AC210" s="76">
        <v>2</v>
      </c>
      <c r="AD210" s="76">
        <v>1</v>
      </c>
      <c r="AE210" s="76">
        <v>0</v>
      </c>
      <c r="AF210" s="76">
        <v>0</v>
      </c>
      <c r="AG210" s="76">
        <v>4</v>
      </c>
      <c r="AH210" s="76">
        <v>48</v>
      </c>
      <c r="AI210" s="76">
        <v>77</v>
      </c>
      <c r="AJ210" s="76">
        <v>4</v>
      </c>
      <c r="AK210" s="76">
        <v>0</v>
      </c>
      <c r="AL210" s="76">
        <v>3</v>
      </c>
      <c r="AM210" s="76">
        <v>3</v>
      </c>
      <c r="AN210" s="76">
        <v>4</v>
      </c>
      <c r="AO210" s="76">
        <v>1213</v>
      </c>
      <c r="AP210" s="202" t="s">
        <v>143</v>
      </c>
      <c r="AQ210" s="202">
        <v>0.66700000000000004</v>
      </c>
      <c r="AR210" s="202">
        <v>1.28</v>
      </c>
      <c r="AS210" s="202">
        <v>0.33500000000000002</v>
      </c>
      <c r="AT210" s="202">
        <v>0.35</v>
      </c>
      <c r="AU210" s="202">
        <v>0.68500000000000005</v>
      </c>
      <c r="AV210" s="202">
        <v>7.39</v>
      </c>
      <c r="AW210" s="202">
        <v>2.58</v>
      </c>
      <c r="AX210" s="202">
        <v>9.4600000000000009</v>
      </c>
      <c r="AY210" s="202">
        <v>2.87</v>
      </c>
      <c r="AZ210" s="202">
        <v>15.08</v>
      </c>
    </row>
    <row r="211" spans="1:52" x14ac:dyDescent="0.2">
      <c r="A211" s="76">
        <v>14</v>
      </c>
      <c r="B211" t="s">
        <v>1180</v>
      </c>
      <c r="C211" s="76" t="s">
        <v>143</v>
      </c>
      <c r="D211" s="76">
        <v>2</v>
      </c>
      <c r="E211" s="76">
        <v>3</v>
      </c>
      <c r="F211" s="76">
        <v>4.24</v>
      </c>
      <c r="G211" s="76">
        <v>25</v>
      </c>
      <c r="H211" s="76">
        <v>0</v>
      </c>
      <c r="I211" s="76">
        <v>0</v>
      </c>
      <c r="J211" s="76">
        <v>0</v>
      </c>
      <c r="K211" s="76">
        <v>0</v>
      </c>
      <c r="L211" s="76">
        <v>1</v>
      </c>
      <c r="M211" s="76">
        <v>23.1</v>
      </c>
      <c r="N211" s="76">
        <v>17</v>
      </c>
      <c r="O211" s="76">
        <v>11</v>
      </c>
      <c r="P211" s="76">
        <v>11</v>
      </c>
      <c r="Q211" s="76">
        <v>4</v>
      </c>
      <c r="R211" s="76">
        <v>16</v>
      </c>
      <c r="S211" s="76">
        <v>0</v>
      </c>
      <c r="T211" s="76">
        <v>22</v>
      </c>
      <c r="U211" s="76">
        <v>100</v>
      </c>
      <c r="V211" s="76">
        <v>23.1</v>
      </c>
      <c r="W211" s="76">
        <v>0.20200000000000001</v>
      </c>
      <c r="X211" s="76">
        <v>1.41</v>
      </c>
      <c r="Y211" s="76"/>
      <c r="Z211" s="76">
        <v>14</v>
      </c>
      <c r="AA211" t="s">
        <v>1180</v>
      </c>
      <c r="AB211" s="76" t="s">
        <v>143</v>
      </c>
      <c r="AC211" s="76">
        <v>0</v>
      </c>
      <c r="AD211" s="76">
        <v>0</v>
      </c>
      <c r="AE211" s="76">
        <v>4</v>
      </c>
      <c r="AF211" s="76">
        <v>5</v>
      </c>
      <c r="AG211" s="76">
        <v>2</v>
      </c>
      <c r="AH211" s="76">
        <v>22</v>
      </c>
      <c r="AI211" s="76">
        <v>23</v>
      </c>
      <c r="AJ211" s="76">
        <v>2</v>
      </c>
      <c r="AK211" s="76">
        <v>1</v>
      </c>
      <c r="AL211" s="76">
        <v>0</v>
      </c>
      <c r="AM211" s="76">
        <v>0</v>
      </c>
      <c r="AN211" s="76">
        <v>0</v>
      </c>
      <c r="AO211" s="76">
        <v>398</v>
      </c>
      <c r="AP211" s="202" t="s">
        <v>143</v>
      </c>
      <c r="AQ211" s="202">
        <v>0</v>
      </c>
      <c r="AR211" s="202">
        <v>1</v>
      </c>
      <c r="AS211" s="202">
        <v>0.48599999999999999</v>
      </c>
      <c r="AT211" s="202">
        <v>0.53600000000000003</v>
      </c>
      <c r="AU211" s="202">
        <v>1.0209999999999999</v>
      </c>
      <c r="AV211" s="202">
        <v>5.14</v>
      </c>
      <c r="AW211" s="202">
        <v>7.71</v>
      </c>
      <c r="AX211" s="202">
        <v>12.86</v>
      </c>
      <c r="AY211" s="202">
        <v>0.67</v>
      </c>
      <c r="AZ211" s="202">
        <v>22</v>
      </c>
    </row>
    <row r="212" spans="1:52" x14ac:dyDescent="0.2">
      <c r="A212" s="76">
        <v>21</v>
      </c>
      <c r="B212" s="41" t="s">
        <v>563</v>
      </c>
      <c r="C212" s="76" t="s">
        <v>143</v>
      </c>
      <c r="D212" s="76">
        <v>12</v>
      </c>
      <c r="E212" s="76">
        <v>12</v>
      </c>
      <c r="F212" s="76">
        <v>5.0599999999999996</v>
      </c>
      <c r="G212" s="76">
        <v>31</v>
      </c>
      <c r="H212" s="76">
        <v>31</v>
      </c>
      <c r="I212" s="76">
        <v>1</v>
      </c>
      <c r="J212" s="76">
        <v>1</v>
      </c>
      <c r="K212" s="76">
        <v>0</v>
      </c>
      <c r="L212" s="76">
        <v>0</v>
      </c>
      <c r="M212" s="76">
        <v>178</v>
      </c>
      <c r="N212" s="76">
        <v>209</v>
      </c>
      <c r="O212" s="76">
        <v>106</v>
      </c>
      <c r="P212" s="76">
        <v>100</v>
      </c>
      <c r="Q212" s="76">
        <v>37</v>
      </c>
      <c r="R212" s="76">
        <v>51</v>
      </c>
      <c r="S212" s="76">
        <v>2</v>
      </c>
      <c r="T212" s="76">
        <v>103</v>
      </c>
      <c r="U212" s="76">
        <v>767</v>
      </c>
      <c r="V212" s="76">
        <v>178</v>
      </c>
      <c r="W212" s="76">
        <v>0.29699999999999999</v>
      </c>
      <c r="X212" s="76">
        <v>1.46</v>
      </c>
      <c r="Y212" s="76"/>
      <c r="Z212" s="76">
        <v>21</v>
      </c>
      <c r="AA212" t="s">
        <v>563</v>
      </c>
      <c r="AB212" s="76" t="s">
        <v>143</v>
      </c>
      <c r="AC212" s="76">
        <v>4</v>
      </c>
      <c r="AD212" s="76">
        <v>2</v>
      </c>
      <c r="AE212" s="76">
        <v>0</v>
      </c>
      <c r="AF212" s="76">
        <v>0</v>
      </c>
      <c r="AG212" s="76">
        <v>19</v>
      </c>
      <c r="AH212" s="76">
        <v>130</v>
      </c>
      <c r="AI212" s="76">
        <v>269</v>
      </c>
      <c r="AJ212" s="76">
        <v>1</v>
      </c>
      <c r="AK212" s="76">
        <v>2</v>
      </c>
      <c r="AL212" s="76">
        <v>20</v>
      </c>
      <c r="AM212" s="76">
        <v>8</v>
      </c>
      <c r="AN212" s="76">
        <v>1</v>
      </c>
      <c r="AO212" s="76">
        <v>2835</v>
      </c>
      <c r="AP212" s="202" t="s">
        <v>143</v>
      </c>
      <c r="AQ212" s="202">
        <v>0.36799999999999999</v>
      </c>
      <c r="AR212" s="202">
        <v>0.63</v>
      </c>
      <c r="AS212" s="202">
        <v>0.313</v>
      </c>
      <c r="AT212" s="202">
        <v>0.45400000000000001</v>
      </c>
      <c r="AU212" s="202">
        <v>0.76700000000000002</v>
      </c>
      <c r="AV212" s="202">
        <v>5.09</v>
      </c>
      <c r="AW212" s="202">
        <v>1.87</v>
      </c>
      <c r="AX212" s="202">
        <v>9.23</v>
      </c>
      <c r="AY212" s="202">
        <v>2.73</v>
      </c>
      <c r="AZ212" s="202">
        <v>15.4</v>
      </c>
    </row>
    <row r="213" spans="1:52" x14ac:dyDescent="0.2">
      <c r="A213" s="76">
        <v>22</v>
      </c>
      <c r="B213" t="s">
        <v>1346</v>
      </c>
      <c r="C213" s="76" t="s">
        <v>143</v>
      </c>
      <c r="D213" s="76">
        <v>1</v>
      </c>
      <c r="E213" s="76">
        <v>3</v>
      </c>
      <c r="F213" s="76">
        <v>5.4</v>
      </c>
      <c r="G213" s="76">
        <v>5</v>
      </c>
      <c r="H213" s="76">
        <v>5</v>
      </c>
      <c r="I213" s="76">
        <v>0</v>
      </c>
      <c r="J213" s="76">
        <v>0</v>
      </c>
      <c r="K213" s="76">
        <v>0</v>
      </c>
      <c r="L213" s="76">
        <v>0</v>
      </c>
      <c r="M213" s="76">
        <v>26.2</v>
      </c>
      <c r="N213" s="76">
        <v>32</v>
      </c>
      <c r="O213" s="76">
        <v>16</v>
      </c>
      <c r="P213" s="76">
        <v>16</v>
      </c>
      <c r="Q213" s="76">
        <v>5</v>
      </c>
      <c r="R213" s="76">
        <v>6</v>
      </c>
      <c r="S213" s="76">
        <v>0</v>
      </c>
      <c r="T213" s="76">
        <v>15</v>
      </c>
      <c r="U213" s="76">
        <v>115</v>
      </c>
      <c r="V213" s="76">
        <v>26.2</v>
      </c>
      <c r="W213" s="76">
        <v>0.314</v>
      </c>
      <c r="X213" s="76">
        <v>1.43</v>
      </c>
      <c r="Y213" s="76"/>
      <c r="Z213" s="76">
        <v>22</v>
      </c>
      <c r="AA213" t="s">
        <v>1346</v>
      </c>
      <c r="AB213" s="76" t="s">
        <v>143</v>
      </c>
      <c r="AC213" s="76">
        <v>5</v>
      </c>
      <c r="AD213" s="76">
        <v>0</v>
      </c>
      <c r="AE213" s="76">
        <v>0</v>
      </c>
      <c r="AF213" s="76">
        <v>0</v>
      </c>
      <c r="AG213" s="76">
        <v>4</v>
      </c>
      <c r="AH213" s="76">
        <v>26</v>
      </c>
      <c r="AI213" s="76">
        <v>31</v>
      </c>
      <c r="AJ213" s="76">
        <v>1</v>
      </c>
      <c r="AK213" s="76">
        <v>0</v>
      </c>
      <c r="AL213" s="76">
        <v>1</v>
      </c>
      <c r="AM213" s="76">
        <v>1</v>
      </c>
      <c r="AN213" s="76">
        <v>0</v>
      </c>
      <c r="AO213" s="76">
        <v>436</v>
      </c>
      <c r="AP213" s="202" t="s">
        <v>143</v>
      </c>
      <c r="AQ213" s="202">
        <v>0.5</v>
      </c>
      <c r="AR213" s="202">
        <v>0.95</v>
      </c>
      <c r="AS213" s="202">
        <v>0.316</v>
      </c>
      <c r="AT213" s="202">
        <v>0.36699999999999999</v>
      </c>
      <c r="AU213" s="202">
        <v>0.68200000000000005</v>
      </c>
      <c r="AV213" s="202">
        <v>7.5</v>
      </c>
      <c r="AW213" s="202">
        <v>3.14</v>
      </c>
      <c r="AX213" s="202">
        <v>8.0500000000000007</v>
      </c>
      <c r="AY213" s="202">
        <v>2.39</v>
      </c>
      <c r="AZ213" s="202">
        <v>16.04</v>
      </c>
    </row>
    <row r="214" spans="1:52" x14ac:dyDescent="0.2">
      <c r="A214" s="225" t="s">
        <v>105</v>
      </c>
      <c r="B214" s="225" t="s">
        <v>106</v>
      </c>
      <c r="C214" s="225" t="s">
        <v>157</v>
      </c>
      <c r="D214" s="225" t="s">
        <v>85</v>
      </c>
      <c r="E214" s="225" t="s">
        <v>86</v>
      </c>
      <c r="F214" s="225" t="s">
        <v>107</v>
      </c>
      <c r="G214" s="225" t="s">
        <v>108</v>
      </c>
      <c r="H214" s="225" t="s">
        <v>88</v>
      </c>
      <c r="I214" s="225" t="s">
        <v>89</v>
      </c>
      <c r="J214" s="225" t="s">
        <v>1073</v>
      </c>
      <c r="K214" s="225" t="s">
        <v>90</v>
      </c>
      <c r="L214" s="225" t="s">
        <v>158</v>
      </c>
      <c r="M214" s="225" t="s">
        <v>91</v>
      </c>
      <c r="N214" s="225" t="s">
        <v>92</v>
      </c>
      <c r="O214" s="225" t="s">
        <v>93</v>
      </c>
      <c r="P214" s="225" t="s">
        <v>94</v>
      </c>
      <c r="Q214" s="225" t="s">
        <v>95</v>
      </c>
      <c r="R214" s="225" t="s">
        <v>96</v>
      </c>
      <c r="S214" s="225" t="s">
        <v>98</v>
      </c>
      <c r="T214" s="225" t="s">
        <v>97</v>
      </c>
      <c r="U214" s="225" t="s">
        <v>109</v>
      </c>
      <c r="V214" s="225" t="s">
        <v>91</v>
      </c>
      <c r="W214" s="225" t="s">
        <v>1071</v>
      </c>
      <c r="X214" s="225" t="s">
        <v>1072</v>
      </c>
      <c r="Y214" s="225"/>
      <c r="Z214" s="225" t="s">
        <v>105</v>
      </c>
      <c r="AA214" s="225" t="s">
        <v>106</v>
      </c>
      <c r="AB214" s="225" t="s">
        <v>157</v>
      </c>
      <c r="AC214" s="225" t="s">
        <v>1074</v>
      </c>
      <c r="AD214" s="225" t="s">
        <v>98</v>
      </c>
      <c r="AE214" s="225" t="s">
        <v>1075</v>
      </c>
      <c r="AF214" s="225" t="s">
        <v>1076</v>
      </c>
      <c r="AG214" s="225" t="s">
        <v>1077</v>
      </c>
      <c r="AH214" s="225" t="s">
        <v>1066</v>
      </c>
      <c r="AI214" s="225" t="s">
        <v>1067</v>
      </c>
      <c r="AJ214" s="225" t="s">
        <v>1078</v>
      </c>
      <c r="AK214" s="225" t="s">
        <v>1079</v>
      </c>
      <c r="AL214" s="225" t="s">
        <v>1057</v>
      </c>
      <c r="AM214" s="225" t="s">
        <v>1058</v>
      </c>
      <c r="AN214" s="225" t="s">
        <v>1080</v>
      </c>
      <c r="AO214" s="225" t="s">
        <v>1069</v>
      </c>
      <c r="AP214" s="202" t="s">
        <v>151</v>
      </c>
      <c r="AQ214" s="202">
        <v>0.4</v>
      </c>
      <c r="AR214" s="202">
        <v>0.69</v>
      </c>
      <c r="AS214" s="202">
        <v>0.27100000000000002</v>
      </c>
      <c r="AT214" s="202">
        <v>0.377</v>
      </c>
      <c r="AU214" s="202">
        <v>0.64800000000000002</v>
      </c>
      <c r="AV214" s="202">
        <v>5.83</v>
      </c>
      <c r="AW214" s="202">
        <v>1.1399999999999999</v>
      </c>
      <c r="AX214" s="202">
        <v>8.67</v>
      </c>
      <c r="AY214" s="202">
        <v>5.13</v>
      </c>
      <c r="AZ214" s="202">
        <v>15.55</v>
      </c>
    </row>
    <row r="215" spans="1:52" x14ac:dyDescent="0.2">
      <c r="A215" s="76">
        <v>2</v>
      </c>
      <c r="B215" t="s">
        <v>477</v>
      </c>
      <c r="C215" s="76" t="s">
        <v>151</v>
      </c>
      <c r="D215" s="76">
        <v>1</v>
      </c>
      <c r="E215" s="76">
        <v>4</v>
      </c>
      <c r="F215" s="76">
        <v>2.65</v>
      </c>
      <c r="G215" s="76">
        <v>39</v>
      </c>
      <c r="H215" s="76">
        <v>0</v>
      </c>
      <c r="I215" s="76">
        <v>0</v>
      </c>
      <c r="J215" s="76">
        <v>0</v>
      </c>
      <c r="K215" s="76">
        <v>1</v>
      </c>
      <c r="L215" s="76">
        <v>2</v>
      </c>
      <c r="M215" s="76">
        <v>34</v>
      </c>
      <c r="N215" s="76">
        <v>27</v>
      </c>
      <c r="O215" s="76">
        <v>11</v>
      </c>
      <c r="P215" s="76">
        <v>10</v>
      </c>
      <c r="Q215" s="76">
        <v>2</v>
      </c>
      <c r="R215" s="76">
        <v>14</v>
      </c>
      <c r="S215" s="76">
        <v>2</v>
      </c>
      <c r="T215" s="76">
        <v>29</v>
      </c>
      <c r="U215" s="76">
        <v>138</v>
      </c>
      <c r="V215" s="76">
        <v>34</v>
      </c>
      <c r="W215" s="76">
        <v>0.22</v>
      </c>
      <c r="X215" s="76">
        <v>1.21</v>
      </c>
      <c r="Y215" s="76"/>
      <c r="Z215" s="76">
        <v>2</v>
      </c>
      <c r="AA215" t="s">
        <v>477</v>
      </c>
      <c r="AB215" s="76" t="s">
        <v>151</v>
      </c>
      <c r="AC215" s="76">
        <v>0</v>
      </c>
      <c r="AD215" s="76">
        <v>2</v>
      </c>
      <c r="AE215" s="76">
        <v>8</v>
      </c>
      <c r="AF215" s="76">
        <v>6</v>
      </c>
      <c r="AG215" s="76">
        <v>6</v>
      </c>
      <c r="AH215" s="76">
        <v>35</v>
      </c>
      <c r="AI215" s="76">
        <v>33</v>
      </c>
      <c r="AJ215" s="76">
        <v>0</v>
      </c>
      <c r="AK215" s="76">
        <v>1</v>
      </c>
      <c r="AL215" s="76">
        <v>2</v>
      </c>
      <c r="AM215" s="76">
        <v>0</v>
      </c>
      <c r="AN215" s="76">
        <v>0</v>
      </c>
      <c r="AO215" s="76">
        <v>549</v>
      </c>
      <c r="AP215" s="202" t="s">
        <v>151</v>
      </c>
      <c r="AQ215" s="202">
        <v>0.5</v>
      </c>
      <c r="AR215" s="202">
        <v>1.1599999999999999</v>
      </c>
      <c r="AS215" s="202">
        <v>0.34899999999999998</v>
      </c>
      <c r="AT215" s="202">
        <v>0.46100000000000002</v>
      </c>
      <c r="AU215" s="202">
        <v>0.80900000000000005</v>
      </c>
      <c r="AV215" s="202">
        <v>7.49</v>
      </c>
      <c r="AW215" s="202">
        <v>2.97</v>
      </c>
      <c r="AX215" s="202">
        <v>10.32</v>
      </c>
      <c r="AY215" s="202">
        <v>2.52</v>
      </c>
      <c r="AZ215" s="202">
        <v>16.82</v>
      </c>
    </row>
    <row r="216" spans="1:52" s="143" customFormat="1" x14ac:dyDescent="0.2">
      <c r="A216" s="76">
        <v>17</v>
      </c>
      <c r="B216" t="s">
        <v>1220</v>
      </c>
      <c r="C216" s="76" t="s">
        <v>151</v>
      </c>
      <c r="D216" s="76">
        <v>0</v>
      </c>
      <c r="E216" s="76">
        <v>0</v>
      </c>
      <c r="F216" s="76">
        <v>5.82</v>
      </c>
      <c r="G216" s="76">
        <v>6</v>
      </c>
      <c r="H216" s="76">
        <v>2</v>
      </c>
      <c r="I216" s="76">
        <v>0</v>
      </c>
      <c r="J216" s="76">
        <v>0</v>
      </c>
      <c r="K216" s="76">
        <v>0</v>
      </c>
      <c r="L216" s="76">
        <v>0</v>
      </c>
      <c r="M216" s="76">
        <v>17</v>
      </c>
      <c r="N216" s="76">
        <v>27</v>
      </c>
      <c r="O216" s="76">
        <v>16</v>
      </c>
      <c r="P216" s="76">
        <v>11</v>
      </c>
      <c r="Q216" s="76">
        <v>5</v>
      </c>
      <c r="R216" s="76">
        <v>6</v>
      </c>
      <c r="S216" s="76">
        <v>0</v>
      </c>
      <c r="T216" s="76">
        <v>16</v>
      </c>
      <c r="U216" s="76">
        <v>85</v>
      </c>
      <c r="V216" s="76">
        <v>17</v>
      </c>
      <c r="W216" s="76">
        <v>0.34200000000000003</v>
      </c>
      <c r="X216" s="76">
        <v>1.94</v>
      </c>
      <c r="Y216" s="76"/>
      <c r="Z216" s="76">
        <v>17</v>
      </c>
      <c r="AA216" t="s">
        <v>1220</v>
      </c>
      <c r="AB216" s="76" t="s">
        <v>151</v>
      </c>
      <c r="AC216" s="76">
        <v>0</v>
      </c>
      <c r="AD216" s="76">
        <v>0</v>
      </c>
      <c r="AE216" s="76">
        <v>3</v>
      </c>
      <c r="AF216" s="76">
        <v>0</v>
      </c>
      <c r="AG216" s="76">
        <v>3</v>
      </c>
      <c r="AH216" s="76">
        <v>22</v>
      </c>
      <c r="AI216" s="76">
        <v>14</v>
      </c>
      <c r="AJ216" s="76">
        <v>1</v>
      </c>
      <c r="AK216" s="76">
        <v>0</v>
      </c>
      <c r="AL216" s="76">
        <v>0</v>
      </c>
      <c r="AM216" s="76">
        <v>2</v>
      </c>
      <c r="AN216" s="76">
        <v>0</v>
      </c>
      <c r="AO216" s="76">
        <v>326</v>
      </c>
      <c r="AP216" s="202" t="s">
        <v>151</v>
      </c>
      <c r="AQ216" s="202">
        <v>0.25</v>
      </c>
      <c r="AR216" s="202">
        <v>0.64</v>
      </c>
      <c r="AS216" s="202">
        <v>0.31900000000000001</v>
      </c>
      <c r="AT216" s="202">
        <v>0.36399999999999999</v>
      </c>
      <c r="AU216" s="202">
        <v>0.68200000000000005</v>
      </c>
      <c r="AV216" s="202">
        <v>4.7300000000000004</v>
      </c>
      <c r="AW216" s="202">
        <v>3.06</v>
      </c>
      <c r="AX216" s="202">
        <v>8.91</v>
      </c>
      <c r="AY216" s="202">
        <v>1.55</v>
      </c>
      <c r="AZ216" s="202">
        <v>15.59</v>
      </c>
    </row>
    <row r="217" spans="1:52" x14ac:dyDescent="0.2">
      <c r="A217" s="76">
        <v>25</v>
      </c>
      <c r="B217" s="41" t="s">
        <v>1354</v>
      </c>
      <c r="C217" s="76" t="s">
        <v>151</v>
      </c>
      <c r="D217" s="76">
        <v>3</v>
      </c>
      <c r="E217" s="76">
        <v>7</v>
      </c>
      <c r="F217" s="76">
        <v>8.02</v>
      </c>
      <c r="G217" s="76">
        <v>14</v>
      </c>
      <c r="H217" s="76">
        <v>14</v>
      </c>
      <c r="I217" s="76">
        <v>0</v>
      </c>
      <c r="J217" s="76">
        <v>0</v>
      </c>
      <c r="K217" s="76">
        <v>0</v>
      </c>
      <c r="L217" s="76">
        <v>0</v>
      </c>
      <c r="M217" s="76">
        <v>58.1</v>
      </c>
      <c r="N217" s="76">
        <v>74</v>
      </c>
      <c r="O217" s="76">
        <v>56</v>
      </c>
      <c r="P217" s="76">
        <v>52</v>
      </c>
      <c r="Q217" s="76">
        <v>12</v>
      </c>
      <c r="R217" s="76">
        <v>35</v>
      </c>
      <c r="S217" s="76">
        <v>0</v>
      </c>
      <c r="T217" s="76">
        <v>49</v>
      </c>
      <c r="U217" s="76">
        <v>281</v>
      </c>
      <c r="V217" s="76">
        <v>58.1</v>
      </c>
      <c r="W217" s="76">
        <v>0.31</v>
      </c>
      <c r="X217" s="76">
        <v>1.87</v>
      </c>
      <c r="Y217" s="76"/>
      <c r="Z217" s="76">
        <v>25</v>
      </c>
      <c r="AA217" t="s">
        <v>1354</v>
      </c>
      <c r="AB217" s="76" t="s">
        <v>151</v>
      </c>
      <c r="AC217" s="76">
        <v>5</v>
      </c>
      <c r="AD217" s="76">
        <v>0</v>
      </c>
      <c r="AE217" s="76">
        <v>0</v>
      </c>
      <c r="AF217" s="76">
        <v>0</v>
      </c>
      <c r="AG217" s="76">
        <v>5</v>
      </c>
      <c r="AH217" s="76">
        <v>50</v>
      </c>
      <c r="AI217" s="76">
        <v>68</v>
      </c>
      <c r="AJ217" s="76">
        <v>1</v>
      </c>
      <c r="AK217" s="76">
        <v>0</v>
      </c>
      <c r="AL217" s="76">
        <v>4</v>
      </c>
      <c r="AM217" s="76">
        <v>1</v>
      </c>
      <c r="AN217" s="76">
        <v>1</v>
      </c>
      <c r="AO217" s="76">
        <v>1144</v>
      </c>
      <c r="AP217" s="202" t="s">
        <v>152</v>
      </c>
      <c r="AQ217" s="202">
        <v>1</v>
      </c>
      <c r="AR217" s="202">
        <v>1.38</v>
      </c>
      <c r="AS217" s="202">
        <v>0.34100000000000003</v>
      </c>
      <c r="AT217" s="202">
        <v>0.65100000000000002</v>
      </c>
      <c r="AU217" s="202">
        <v>0.99199999999999999</v>
      </c>
      <c r="AV217" s="202">
        <v>10.24</v>
      </c>
      <c r="AW217" s="202">
        <v>0.93</v>
      </c>
      <c r="AX217" s="202">
        <v>13.03</v>
      </c>
      <c r="AY217" s="202">
        <v>11</v>
      </c>
      <c r="AZ217" s="202">
        <v>18.52</v>
      </c>
    </row>
    <row r="218" spans="1:52" x14ac:dyDescent="0.2">
      <c r="A218" s="76">
        <v>9</v>
      </c>
      <c r="B218" s="41" t="s">
        <v>1350</v>
      </c>
      <c r="C218" s="76" t="s">
        <v>151</v>
      </c>
      <c r="D218" s="76">
        <v>2</v>
      </c>
      <c r="E218" s="76">
        <v>0</v>
      </c>
      <c r="F218" s="76">
        <v>4.25</v>
      </c>
      <c r="G218" s="76">
        <v>37</v>
      </c>
      <c r="H218" s="76">
        <v>0</v>
      </c>
      <c r="I218" s="76">
        <v>0</v>
      </c>
      <c r="J218" s="76">
        <v>0</v>
      </c>
      <c r="K218" s="76">
        <v>0</v>
      </c>
      <c r="L218" s="76">
        <v>0</v>
      </c>
      <c r="M218" s="76">
        <v>36</v>
      </c>
      <c r="N218" s="76">
        <v>35</v>
      </c>
      <c r="O218" s="76">
        <v>21</v>
      </c>
      <c r="P218" s="76">
        <v>17</v>
      </c>
      <c r="Q218" s="76">
        <v>3</v>
      </c>
      <c r="R218" s="76">
        <v>7</v>
      </c>
      <c r="S218" s="76">
        <v>1</v>
      </c>
      <c r="T218" s="76">
        <v>37</v>
      </c>
      <c r="U218" s="76">
        <v>152</v>
      </c>
      <c r="V218" s="76">
        <v>36</v>
      </c>
      <c r="W218" s="76">
        <v>0.248</v>
      </c>
      <c r="X218" s="76">
        <v>1.17</v>
      </c>
      <c r="Y218" s="76"/>
      <c r="Z218" s="76">
        <v>9</v>
      </c>
      <c r="AA218" t="s">
        <v>1350</v>
      </c>
      <c r="AB218" s="76" t="s">
        <v>151</v>
      </c>
      <c r="AC218" s="76">
        <v>1</v>
      </c>
      <c r="AD218" s="76">
        <v>1</v>
      </c>
      <c r="AE218" s="76">
        <v>9</v>
      </c>
      <c r="AF218" s="76">
        <v>2</v>
      </c>
      <c r="AG218" s="76">
        <v>2</v>
      </c>
      <c r="AH218" s="76">
        <v>40</v>
      </c>
      <c r="AI218" s="76">
        <v>32</v>
      </c>
      <c r="AJ218" s="76">
        <v>1</v>
      </c>
      <c r="AK218" s="76">
        <v>0</v>
      </c>
      <c r="AL218" s="76">
        <v>5</v>
      </c>
      <c r="AM218" s="76">
        <v>0</v>
      </c>
      <c r="AN218" s="76">
        <v>0</v>
      </c>
      <c r="AO218" s="76">
        <v>542</v>
      </c>
      <c r="AP218" s="202" t="s">
        <v>151</v>
      </c>
      <c r="AQ218" s="202" t="s">
        <v>243</v>
      </c>
      <c r="AR218" s="202">
        <v>0.83</v>
      </c>
      <c r="AS218" s="202">
        <v>0.32300000000000001</v>
      </c>
      <c r="AT218" s="202">
        <v>0.33800000000000002</v>
      </c>
      <c r="AU218" s="202">
        <v>0.66</v>
      </c>
      <c r="AV218" s="202">
        <v>9.82</v>
      </c>
      <c r="AW218" s="202">
        <v>6.14</v>
      </c>
      <c r="AX218" s="202">
        <v>6.55</v>
      </c>
      <c r="AY218" s="202">
        <v>1.6</v>
      </c>
      <c r="AZ218" s="202">
        <v>17.95</v>
      </c>
    </row>
    <row r="219" spans="1:52" x14ac:dyDescent="0.2">
      <c r="A219" s="76">
        <v>10</v>
      </c>
      <c r="B219" s="41" t="s">
        <v>1351</v>
      </c>
      <c r="C219" s="76" t="s">
        <v>151</v>
      </c>
      <c r="D219" s="76">
        <v>1</v>
      </c>
      <c r="E219" s="76">
        <v>1</v>
      </c>
      <c r="F219" s="76">
        <v>4.7</v>
      </c>
      <c r="G219" s="76">
        <v>25</v>
      </c>
      <c r="H219" s="76">
        <v>0</v>
      </c>
      <c r="I219" s="76">
        <v>0</v>
      </c>
      <c r="J219" s="76">
        <v>0</v>
      </c>
      <c r="K219" s="76">
        <v>0</v>
      </c>
      <c r="L219" s="76">
        <v>0</v>
      </c>
      <c r="M219" s="76">
        <v>23</v>
      </c>
      <c r="N219" s="76">
        <v>25</v>
      </c>
      <c r="O219" s="76">
        <v>12</v>
      </c>
      <c r="P219" s="76">
        <v>12</v>
      </c>
      <c r="Q219" s="76">
        <v>0</v>
      </c>
      <c r="R219" s="76">
        <v>12</v>
      </c>
      <c r="S219" s="76">
        <v>0</v>
      </c>
      <c r="T219" s="76">
        <v>17</v>
      </c>
      <c r="U219" s="76">
        <v>100</v>
      </c>
      <c r="V219" s="76">
        <v>23</v>
      </c>
      <c r="W219" s="76">
        <v>0.29099999999999998</v>
      </c>
      <c r="X219" s="76">
        <v>1.61</v>
      </c>
      <c r="Y219" s="76"/>
      <c r="Z219" s="76">
        <v>10</v>
      </c>
      <c r="AA219" t="s">
        <v>1351</v>
      </c>
      <c r="AB219" s="76" t="s">
        <v>151</v>
      </c>
      <c r="AC219" s="76">
        <v>1</v>
      </c>
      <c r="AD219" s="76">
        <v>0</v>
      </c>
      <c r="AE219" s="76">
        <v>10</v>
      </c>
      <c r="AF219" s="76">
        <v>2</v>
      </c>
      <c r="AG219" s="76">
        <v>5</v>
      </c>
      <c r="AH219" s="76">
        <v>25</v>
      </c>
      <c r="AI219" s="76">
        <v>20</v>
      </c>
      <c r="AJ219" s="76">
        <v>3</v>
      </c>
      <c r="AK219" s="76">
        <v>0</v>
      </c>
      <c r="AL219" s="76">
        <v>3</v>
      </c>
      <c r="AM219" s="76">
        <v>0</v>
      </c>
      <c r="AN219" s="76">
        <v>0</v>
      </c>
      <c r="AO219" s="76">
        <v>364</v>
      </c>
      <c r="AP219" s="202" t="s">
        <v>151</v>
      </c>
      <c r="AQ219" s="202">
        <v>0.35299999999999998</v>
      </c>
      <c r="AR219" s="202">
        <v>1.38</v>
      </c>
      <c r="AS219" s="202">
        <v>0.35899999999999999</v>
      </c>
      <c r="AT219" s="202">
        <v>0.41299999999999998</v>
      </c>
      <c r="AU219" s="202">
        <v>0.77200000000000002</v>
      </c>
      <c r="AV219" s="202">
        <v>4.7</v>
      </c>
      <c r="AW219" s="202">
        <v>2.46</v>
      </c>
      <c r="AX219" s="202">
        <v>10.82</v>
      </c>
      <c r="AY219" s="202">
        <v>1.91</v>
      </c>
      <c r="AZ219" s="202">
        <v>16.170000000000002</v>
      </c>
    </row>
    <row r="220" spans="1:52" x14ac:dyDescent="0.2">
      <c r="A220" s="76">
        <v>21</v>
      </c>
      <c r="B220" t="s">
        <v>1352</v>
      </c>
      <c r="C220" s="76" t="s">
        <v>151</v>
      </c>
      <c r="D220" s="76">
        <v>1</v>
      </c>
      <c r="E220" s="76">
        <v>6</v>
      </c>
      <c r="F220" s="76">
        <v>6.28</v>
      </c>
      <c r="G220" s="76">
        <v>19</v>
      </c>
      <c r="H220" s="76">
        <v>9</v>
      </c>
      <c r="I220" s="76">
        <v>0</v>
      </c>
      <c r="J220" s="76">
        <v>0</v>
      </c>
      <c r="K220" s="76">
        <v>0</v>
      </c>
      <c r="L220" s="76">
        <v>0</v>
      </c>
      <c r="M220" s="76">
        <v>67.099999999999994</v>
      </c>
      <c r="N220" s="76">
        <v>88</v>
      </c>
      <c r="O220" s="76">
        <v>47</v>
      </c>
      <c r="P220" s="76">
        <v>47</v>
      </c>
      <c r="Q220" s="76">
        <v>13</v>
      </c>
      <c r="R220" s="76">
        <v>23</v>
      </c>
      <c r="S220" s="76">
        <v>1</v>
      </c>
      <c r="T220" s="76">
        <v>50</v>
      </c>
      <c r="U220" s="76">
        <v>300</v>
      </c>
      <c r="V220" s="76">
        <v>67.099999999999994</v>
      </c>
      <c r="W220" s="76">
        <v>0.32100000000000001</v>
      </c>
      <c r="X220" s="76">
        <v>1.65</v>
      </c>
      <c r="Y220" s="76"/>
      <c r="Z220" s="76">
        <v>21</v>
      </c>
      <c r="AA220" t="s">
        <v>1352</v>
      </c>
      <c r="AB220" s="76" t="s">
        <v>151</v>
      </c>
      <c r="AC220" s="76">
        <v>0</v>
      </c>
      <c r="AD220" s="76">
        <v>1</v>
      </c>
      <c r="AE220" s="76">
        <v>4</v>
      </c>
      <c r="AF220" s="76">
        <v>0</v>
      </c>
      <c r="AG220" s="76">
        <v>11</v>
      </c>
      <c r="AH220" s="76">
        <v>70</v>
      </c>
      <c r="AI220" s="76">
        <v>69</v>
      </c>
      <c r="AJ220" s="76">
        <v>1</v>
      </c>
      <c r="AK220" s="76">
        <v>0</v>
      </c>
      <c r="AL220" s="76">
        <v>1</v>
      </c>
      <c r="AM220" s="76">
        <v>1</v>
      </c>
      <c r="AN220" s="76">
        <v>1</v>
      </c>
      <c r="AO220" s="76">
        <v>1158</v>
      </c>
      <c r="AP220" s="202" t="s">
        <v>152</v>
      </c>
      <c r="AQ220" s="202">
        <v>0.6</v>
      </c>
      <c r="AR220" s="202">
        <v>1.22</v>
      </c>
      <c r="AS220" s="202">
        <v>0.26600000000000001</v>
      </c>
      <c r="AT220" s="202">
        <v>0.24399999999999999</v>
      </c>
      <c r="AU220" s="202">
        <v>0.51</v>
      </c>
      <c r="AV220" s="202">
        <v>14.04</v>
      </c>
      <c r="AW220" s="202">
        <v>4.29</v>
      </c>
      <c r="AX220" s="202">
        <v>4.82</v>
      </c>
      <c r="AY220" s="202">
        <v>3.28</v>
      </c>
      <c r="AZ220" s="202">
        <v>16.309999999999999</v>
      </c>
    </row>
    <row r="221" spans="1:52" x14ac:dyDescent="0.2">
      <c r="A221" s="76">
        <v>22</v>
      </c>
      <c r="B221" s="41" t="s">
        <v>1192</v>
      </c>
      <c r="C221" s="76" t="s">
        <v>151</v>
      </c>
      <c r="D221" s="76">
        <v>9</v>
      </c>
      <c r="E221" s="76">
        <v>12</v>
      </c>
      <c r="F221" s="76">
        <v>6.43</v>
      </c>
      <c r="G221" s="76">
        <v>26</v>
      </c>
      <c r="H221" s="76">
        <v>26</v>
      </c>
      <c r="I221" s="76">
        <v>0</v>
      </c>
      <c r="J221" s="76">
        <v>0</v>
      </c>
      <c r="K221" s="76">
        <v>0</v>
      </c>
      <c r="L221" s="76">
        <v>0</v>
      </c>
      <c r="M221" s="76">
        <v>133</v>
      </c>
      <c r="N221" s="76">
        <v>167</v>
      </c>
      <c r="O221" s="76">
        <v>103</v>
      </c>
      <c r="P221" s="76">
        <v>95</v>
      </c>
      <c r="Q221" s="76">
        <v>25</v>
      </c>
      <c r="R221" s="76">
        <v>32</v>
      </c>
      <c r="S221" s="76">
        <v>3</v>
      </c>
      <c r="T221" s="76">
        <v>114</v>
      </c>
      <c r="U221" s="76">
        <v>596</v>
      </c>
      <c r="V221" s="76">
        <v>133</v>
      </c>
      <c r="W221" s="76">
        <v>0.30099999999999999</v>
      </c>
      <c r="X221" s="76">
        <v>1.5</v>
      </c>
      <c r="Y221" s="76"/>
      <c r="Z221" s="76">
        <v>22</v>
      </c>
      <c r="AA221" t="s">
        <v>1192</v>
      </c>
      <c r="AB221" s="76" t="s">
        <v>151</v>
      </c>
      <c r="AC221" s="76">
        <v>6</v>
      </c>
      <c r="AD221" s="76">
        <v>3</v>
      </c>
      <c r="AE221" s="76">
        <v>0</v>
      </c>
      <c r="AF221" s="76">
        <v>0</v>
      </c>
      <c r="AG221" s="76">
        <v>14</v>
      </c>
      <c r="AH221" s="76">
        <v>169</v>
      </c>
      <c r="AI221" s="76">
        <v>108</v>
      </c>
      <c r="AJ221" s="76">
        <v>9</v>
      </c>
      <c r="AK221" s="76">
        <v>1</v>
      </c>
      <c r="AL221" s="76">
        <v>2</v>
      </c>
      <c r="AM221" s="76">
        <v>1</v>
      </c>
      <c r="AN221" s="76">
        <v>0</v>
      </c>
      <c r="AO221" s="76">
        <v>2278</v>
      </c>
      <c r="AP221" s="202" t="s">
        <v>152</v>
      </c>
      <c r="AQ221" s="202" t="s">
        <v>243</v>
      </c>
      <c r="AR221" s="202" t="s">
        <v>243</v>
      </c>
      <c r="AS221" s="202">
        <v>0.66700000000000004</v>
      </c>
      <c r="AT221" s="202">
        <v>1.2</v>
      </c>
      <c r="AU221" s="202">
        <v>1.867</v>
      </c>
      <c r="AV221" s="202">
        <v>13.5</v>
      </c>
      <c r="AW221" s="202">
        <v>13.5</v>
      </c>
      <c r="AX221" s="202">
        <v>40.5</v>
      </c>
      <c r="AY221" s="202">
        <v>1</v>
      </c>
      <c r="AZ221" s="202">
        <v>33</v>
      </c>
    </row>
    <row r="222" spans="1:52" x14ac:dyDescent="0.2">
      <c r="A222" s="76">
        <v>1</v>
      </c>
      <c r="B222" t="s">
        <v>1347</v>
      </c>
      <c r="C222" s="76" t="s">
        <v>151</v>
      </c>
      <c r="D222" s="76">
        <v>0</v>
      </c>
      <c r="E222" s="76">
        <v>0</v>
      </c>
      <c r="F222" s="76">
        <v>0</v>
      </c>
      <c r="G222" s="76">
        <v>1</v>
      </c>
      <c r="H222" s="76">
        <v>0</v>
      </c>
      <c r="I222" s="76">
        <v>0</v>
      </c>
      <c r="J222" s="76">
        <v>0</v>
      </c>
      <c r="K222" s="76">
        <v>0</v>
      </c>
      <c r="L222" s="76">
        <v>0</v>
      </c>
      <c r="M222" s="76">
        <v>1</v>
      </c>
      <c r="N222" s="76">
        <v>1</v>
      </c>
      <c r="O222" s="76">
        <v>0</v>
      </c>
      <c r="P222" s="76">
        <v>0</v>
      </c>
      <c r="Q222" s="76">
        <v>0</v>
      </c>
      <c r="R222" s="76">
        <v>0</v>
      </c>
      <c r="S222" s="76">
        <v>0</v>
      </c>
      <c r="T222" s="76">
        <v>0</v>
      </c>
      <c r="U222" s="76">
        <v>4</v>
      </c>
      <c r="V222" s="76">
        <v>1</v>
      </c>
      <c r="W222" s="76">
        <v>0.25</v>
      </c>
      <c r="X222" s="76">
        <v>1</v>
      </c>
      <c r="Y222" s="76"/>
      <c r="Z222" s="76">
        <v>1</v>
      </c>
      <c r="AA222" t="s">
        <v>1347</v>
      </c>
      <c r="AB222" s="76" t="s">
        <v>151</v>
      </c>
      <c r="AC222" s="76">
        <v>0</v>
      </c>
      <c r="AD222" s="76">
        <v>0</v>
      </c>
      <c r="AE222" s="76">
        <v>1</v>
      </c>
      <c r="AF222" s="76">
        <v>0</v>
      </c>
      <c r="AG222" s="76">
        <v>0</v>
      </c>
      <c r="AH222" s="76">
        <v>0</v>
      </c>
      <c r="AI222" s="76">
        <v>3</v>
      </c>
      <c r="AJ222" s="76">
        <v>0</v>
      </c>
      <c r="AK222" s="76">
        <v>0</v>
      </c>
      <c r="AL222" s="76">
        <v>0</v>
      </c>
      <c r="AM222" s="76">
        <v>0</v>
      </c>
      <c r="AN222" s="76">
        <v>0</v>
      </c>
      <c r="AO222" s="76">
        <v>16</v>
      </c>
      <c r="AP222" s="202" t="s">
        <v>151</v>
      </c>
      <c r="AQ222" s="202">
        <v>0.5</v>
      </c>
      <c r="AR222" s="202">
        <v>1.61</v>
      </c>
      <c r="AS222" s="202">
        <v>0.317</v>
      </c>
      <c r="AT222" s="202">
        <v>0.38100000000000001</v>
      </c>
      <c r="AU222" s="202">
        <v>0.69799999999999995</v>
      </c>
      <c r="AV222" s="202">
        <v>6.7</v>
      </c>
      <c r="AW222" s="202">
        <v>3.01</v>
      </c>
      <c r="AX222" s="202">
        <v>8.6</v>
      </c>
      <c r="AY222" s="202">
        <v>2.23</v>
      </c>
      <c r="AZ222" s="202">
        <v>16.62</v>
      </c>
    </row>
    <row r="223" spans="1:52" x14ac:dyDescent="0.2">
      <c r="A223" s="76">
        <v>24</v>
      </c>
      <c r="B223" t="s">
        <v>575</v>
      </c>
      <c r="C223" s="76" t="s">
        <v>151</v>
      </c>
      <c r="D223" s="76">
        <v>1</v>
      </c>
      <c r="E223" s="76">
        <v>0</v>
      </c>
      <c r="F223" s="76">
        <v>7.9</v>
      </c>
      <c r="G223" s="76">
        <v>14</v>
      </c>
      <c r="H223" s="76">
        <v>0</v>
      </c>
      <c r="I223" s="76">
        <v>0</v>
      </c>
      <c r="J223" s="76">
        <v>0</v>
      </c>
      <c r="K223" s="76">
        <v>0</v>
      </c>
      <c r="L223" s="76">
        <v>0</v>
      </c>
      <c r="M223" s="76">
        <v>13.2</v>
      </c>
      <c r="N223" s="76">
        <v>21</v>
      </c>
      <c r="O223" s="76">
        <v>12</v>
      </c>
      <c r="P223" s="76">
        <v>12</v>
      </c>
      <c r="Q223" s="76">
        <v>5</v>
      </c>
      <c r="R223" s="76">
        <v>3</v>
      </c>
      <c r="S223" s="76">
        <v>0</v>
      </c>
      <c r="T223" s="76">
        <v>12</v>
      </c>
      <c r="U223" s="76">
        <v>63</v>
      </c>
      <c r="V223" s="76">
        <v>13.2</v>
      </c>
      <c r="W223" s="76">
        <v>0.35</v>
      </c>
      <c r="X223" s="76">
        <v>1.76</v>
      </c>
      <c r="Y223" s="76"/>
      <c r="Z223" s="76">
        <v>24</v>
      </c>
      <c r="AA223" t="s">
        <v>575</v>
      </c>
      <c r="AB223" s="76" t="s">
        <v>151</v>
      </c>
      <c r="AC223" s="76">
        <v>0</v>
      </c>
      <c r="AD223" s="76">
        <v>0</v>
      </c>
      <c r="AE223" s="76">
        <v>2</v>
      </c>
      <c r="AF223" s="76">
        <v>1</v>
      </c>
      <c r="AG223" s="76">
        <v>2</v>
      </c>
      <c r="AH223" s="76">
        <v>9</v>
      </c>
      <c r="AI223" s="76">
        <v>18</v>
      </c>
      <c r="AJ223" s="76">
        <v>1</v>
      </c>
      <c r="AK223" s="76">
        <v>0</v>
      </c>
      <c r="AL223" s="76">
        <v>1</v>
      </c>
      <c r="AM223" s="76">
        <v>0</v>
      </c>
      <c r="AN223" s="76">
        <v>0</v>
      </c>
      <c r="AO223" s="76">
        <v>233</v>
      </c>
      <c r="AP223" s="202" t="s">
        <v>152</v>
      </c>
      <c r="AQ223" s="202">
        <v>0</v>
      </c>
      <c r="AR223" s="202">
        <v>1.26</v>
      </c>
      <c r="AS223" s="202">
        <v>0.35399999999999998</v>
      </c>
      <c r="AT223" s="202">
        <v>0.51400000000000001</v>
      </c>
      <c r="AU223" s="202">
        <v>0.86899999999999999</v>
      </c>
      <c r="AV223" s="202">
        <v>5.3</v>
      </c>
      <c r="AW223" s="202">
        <v>3.38</v>
      </c>
      <c r="AX223" s="202">
        <v>9.64</v>
      </c>
      <c r="AY223" s="202">
        <v>1.57</v>
      </c>
      <c r="AZ223" s="202">
        <v>15.32</v>
      </c>
    </row>
    <row r="224" spans="1:52" x14ac:dyDescent="0.2">
      <c r="A224" s="76">
        <v>12</v>
      </c>
      <c r="B224" s="41" t="s">
        <v>579</v>
      </c>
      <c r="C224" s="76" t="s">
        <v>151</v>
      </c>
      <c r="D224" s="76">
        <v>6</v>
      </c>
      <c r="E224" s="76">
        <v>11</v>
      </c>
      <c r="F224" s="76">
        <v>5.07</v>
      </c>
      <c r="G224" s="76">
        <v>25</v>
      </c>
      <c r="H224" s="76">
        <v>25</v>
      </c>
      <c r="I224" s="76">
        <v>1</v>
      </c>
      <c r="J224" s="76">
        <v>0</v>
      </c>
      <c r="K224" s="76">
        <v>0</v>
      </c>
      <c r="L224" s="76">
        <v>0</v>
      </c>
      <c r="M224" s="76">
        <v>147.1</v>
      </c>
      <c r="N224" s="76">
        <v>175</v>
      </c>
      <c r="O224" s="76">
        <v>89</v>
      </c>
      <c r="P224" s="76">
        <v>83</v>
      </c>
      <c r="Q224" s="76">
        <v>20</v>
      </c>
      <c r="R224" s="76">
        <v>55</v>
      </c>
      <c r="S224" s="76">
        <v>3</v>
      </c>
      <c r="T224" s="76">
        <v>104</v>
      </c>
      <c r="U224" s="76">
        <v>653</v>
      </c>
      <c r="V224" s="76">
        <v>147.1</v>
      </c>
      <c r="W224" s="76">
        <v>0.29799999999999999</v>
      </c>
      <c r="X224" s="76">
        <v>1.56</v>
      </c>
      <c r="Y224" s="76"/>
      <c r="Z224" s="76">
        <v>12</v>
      </c>
      <c r="AA224" t="s">
        <v>579</v>
      </c>
      <c r="AB224" s="76" t="s">
        <v>151</v>
      </c>
      <c r="AC224" s="76">
        <v>4</v>
      </c>
      <c r="AD224" s="76">
        <v>3</v>
      </c>
      <c r="AE224" s="76">
        <v>0</v>
      </c>
      <c r="AF224" s="76">
        <v>0</v>
      </c>
      <c r="AG224" s="76">
        <v>21</v>
      </c>
      <c r="AH224" s="76">
        <v>187</v>
      </c>
      <c r="AI224" s="76">
        <v>128</v>
      </c>
      <c r="AJ224" s="76">
        <v>9</v>
      </c>
      <c r="AK224" s="76">
        <v>0</v>
      </c>
      <c r="AL224" s="76">
        <v>11</v>
      </c>
      <c r="AM224" s="76">
        <v>2</v>
      </c>
      <c r="AN224" s="76">
        <v>4</v>
      </c>
      <c r="AO224" s="76">
        <v>2468</v>
      </c>
      <c r="AP224" s="202" t="s">
        <v>151</v>
      </c>
      <c r="AQ224" s="202">
        <v>0.6</v>
      </c>
      <c r="AR224" s="202">
        <v>1.07</v>
      </c>
      <c r="AS224" s="202">
        <v>0.33100000000000002</v>
      </c>
      <c r="AT224" s="202">
        <v>0.314</v>
      </c>
      <c r="AU224" s="202">
        <v>0.64500000000000002</v>
      </c>
      <c r="AV224" s="202">
        <v>7.16</v>
      </c>
      <c r="AW224" s="202">
        <v>3.9</v>
      </c>
      <c r="AX224" s="202">
        <v>8.7799999999999994</v>
      </c>
      <c r="AY224" s="202">
        <v>1.83</v>
      </c>
      <c r="AZ224" s="202">
        <v>15.33</v>
      </c>
    </row>
    <row r="225" spans="1:52" x14ac:dyDescent="0.2">
      <c r="A225" s="76">
        <v>28</v>
      </c>
      <c r="B225" t="s">
        <v>1193</v>
      </c>
      <c r="C225" s="76" t="s">
        <v>151</v>
      </c>
      <c r="D225" s="76">
        <v>0</v>
      </c>
      <c r="E225" s="76">
        <v>0</v>
      </c>
      <c r="F225" s="76">
        <v>10.8</v>
      </c>
      <c r="G225" s="76">
        <v>1</v>
      </c>
      <c r="H225" s="76">
        <v>0</v>
      </c>
      <c r="I225" s="76">
        <v>0</v>
      </c>
      <c r="J225" s="76">
        <v>0</v>
      </c>
      <c r="K225" s="76">
        <v>0</v>
      </c>
      <c r="L225" s="76">
        <v>0</v>
      </c>
      <c r="M225" s="76">
        <v>1.2</v>
      </c>
      <c r="N225" s="76">
        <v>3</v>
      </c>
      <c r="O225" s="76">
        <v>2</v>
      </c>
      <c r="P225" s="76">
        <v>2</v>
      </c>
      <c r="Q225" s="76">
        <v>0</v>
      </c>
      <c r="R225" s="76">
        <v>1</v>
      </c>
      <c r="S225" s="76">
        <v>0</v>
      </c>
      <c r="T225" s="76">
        <v>2</v>
      </c>
      <c r="U225" s="76">
        <v>9</v>
      </c>
      <c r="V225" s="76">
        <v>1.2</v>
      </c>
      <c r="W225" s="76">
        <v>0.375</v>
      </c>
      <c r="X225" s="76">
        <v>2.4</v>
      </c>
      <c r="Y225" s="76"/>
      <c r="Z225" s="76">
        <v>28</v>
      </c>
      <c r="AA225" t="s">
        <v>1193</v>
      </c>
      <c r="AB225" s="76" t="s">
        <v>151</v>
      </c>
      <c r="AC225" s="76">
        <v>0</v>
      </c>
      <c r="AD225" s="76">
        <v>0</v>
      </c>
      <c r="AE225" s="76">
        <v>0</v>
      </c>
      <c r="AF225" s="76">
        <v>0</v>
      </c>
      <c r="AG225" s="76">
        <v>0</v>
      </c>
      <c r="AH225" s="76">
        <v>1</v>
      </c>
      <c r="AI225" s="76">
        <v>2</v>
      </c>
      <c r="AJ225" s="76">
        <v>0</v>
      </c>
      <c r="AK225" s="76">
        <v>0</v>
      </c>
      <c r="AL225" s="76">
        <v>0</v>
      </c>
      <c r="AM225" s="76">
        <v>0</v>
      </c>
      <c r="AN225" s="76">
        <v>0</v>
      </c>
      <c r="AO225" s="76">
        <v>23</v>
      </c>
      <c r="AP225" s="202" t="s">
        <v>152</v>
      </c>
      <c r="AQ225" s="202">
        <v>0.82399999999999995</v>
      </c>
      <c r="AR225" s="202">
        <v>1.37</v>
      </c>
      <c r="AS225" s="202">
        <v>0.33900000000000002</v>
      </c>
      <c r="AT225" s="202">
        <v>0.377</v>
      </c>
      <c r="AU225" s="202">
        <v>0.71599999999999997</v>
      </c>
      <c r="AV225" s="202">
        <v>7.06</v>
      </c>
      <c r="AW225" s="202">
        <v>2.86</v>
      </c>
      <c r="AX225" s="202">
        <v>10.210000000000001</v>
      </c>
      <c r="AY225" s="202">
        <v>2.4700000000000002</v>
      </c>
      <c r="AZ225" s="202">
        <v>17.09</v>
      </c>
    </row>
    <row r="226" spans="1:52" x14ac:dyDescent="0.2">
      <c r="A226" s="76">
        <v>18</v>
      </c>
      <c r="B226" s="41" t="s">
        <v>591</v>
      </c>
      <c r="C226" s="76" t="s">
        <v>151</v>
      </c>
      <c r="D226" s="76">
        <v>1</v>
      </c>
      <c r="E226" s="76">
        <v>7</v>
      </c>
      <c r="F226" s="76">
        <v>5.95</v>
      </c>
      <c r="G226" s="76">
        <v>12</v>
      </c>
      <c r="H226" s="76">
        <v>11</v>
      </c>
      <c r="I226" s="76">
        <v>1</v>
      </c>
      <c r="J226" s="76">
        <v>0</v>
      </c>
      <c r="K226" s="76">
        <v>0</v>
      </c>
      <c r="L226" s="76">
        <v>0</v>
      </c>
      <c r="M226" s="76">
        <v>59</v>
      </c>
      <c r="N226" s="76">
        <v>76</v>
      </c>
      <c r="O226" s="76">
        <v>40</v>
      </c>
      <c r="P226" s="76">
        <v>39</v>
      </c>
      <c r="Q226" s="76">
        <v>11</v>
      </c>
      <c r="R226" s="76">
        <v>13</v>
      </c>
      <c r="S226" s="76">
        <v>0</v>
      </c>
      <c r="T226" s="76">
        <v>34</v>
      </c>
      <c r="U226" s="76">
        <v>259</v>
      </c>
      <c r="V226" s="76">
        <v>59</v>
      </c>
      <c r="W226" s="76">
        <v>0.313</v>
      </c>
      <c r="X226" s="76">
        <v>1.51</v>
      </c>
      <c r="Y226" s="76"/>
      <c r="Z226" s="76">
        <v>18</v>
      </c>
      <c r="AA226" t="s">
        <v>591</v>
      </c>
      <c r="AB226" s="76" t="s">
        <v>151</v>
      </c>
      <c r="AC226" s="76">
        <v>0</v>
      </c>
      <c r="AD226" s="76">
        <v>0</v>
      </c>
      <c r="AE226" s="76">
        <v>0</v>
      </c>
      <c r="AF226" s="76">
        <v>0</v>
      </c>
      <c r="AG226" s="76">
        <v>6</v>
      </c>
      <c r="AH226" s="76">
        <v>51</v>
      </c>
      <c r="AI226" s="76">
        <v>85</v>
      </c>
      <c r="AJ226" s="76">
        <v>0</v>
      </c>
      <c r="AK226" s="76">
        <v>0</v>
      </c>
      <c r="AL226" s="76">
        <v>1</v>
      </c>
      <c r="AM226" s="76">
        <v>0</v>
      </c>
      <c r="AN226" s="76">
        <v>0</v>
      </c>
      <c r="AO226" s="76">
        <v>907</v>
      </c>
      <c r="AP226" s="202" t="s">
        <v>151</v>
      </c>
      <c r="AQ226" s="202" t="s">
        <v>243</v>
      </c>
      <c r="AR226" s="202">
        <v>1.45</v>
      </c>
      <c r="AS226" s="202">
        <v>0.313</v>
      </c>
      <c r="AT226" s="202">
        <v>0.38600000000000001</v>
      </c>
      <c r="AU226" s="202">
        <v>0.69899999999999995</v>
      </c>
      <c r="AV226" s="202">
        <v>7.33</v>
      </c>
      <c r="AW226" s="202">
        <v>3.47</v>
      </c>
      <c r="AX226" s="202">
        <v>8.1</v>
      </c>
      <c r="AY226" s="202">
        <v>2.11</v>
      </c>
      <c r="AZ226" s="202">
        <v>15.51</v>
      </c>
    </row>
    <row r="227" spans="1:52" x14ac:dyDescent="0.2">
      <c r="A227" s="76">
        <v>20</v>
      </c>
      <c r="B227" t="s">
        <v>567</v>
      </c>
      <c r="C227" s="76" t="s">
        <v>151</v>
      </c>
      <c r="D227" s="76">
        <v>2</v>
      </c>
      <c r="E227" s="76">
        <v>5</v>
      </c>
      <c r="F227" s="76">
        <v>6.16</v>
      </c>
      <c r="G227" s="76">
        <v>33</v>
      </c>
      <c r="H227" s="76">
        <v>0</v>
      </c>
      <c r="I227" s="76">
        <v>0</v>
      </c>
      <c r="J227" s="76">
        <v>0</v>
      </c>
      <c r="K227" s="76">
        <v>7</v>
      </c>
      <c r="L227" s="76">
        <v>11</v>
      </c>
      <c r="M227" s="76">
        <v>30.2</v>
      </c>
      <c r="N227" s="76">
        <v>42</v>
      </c>
      <c r="O227" s="76">
        <v>22</v>
      </c>
      <c r="P227" s="76">
        <v>21</v>
      </c>
      <c r="Q227" s="76">
        <v>7</v>
      </c>
      <c r="R227" s="76">
        <v>12</v>
      </c>
      <c r="S227" s="76">
        <v>1</v>
      </c>
      <c r="T227" s="76">
        <v>22</v>
      </c>
      <c r="U227" s="76">
        <v>141</v>
      </c>
      <c r="V227" s="76">
        <v>30.2</v>
      </c>
      <c r="W227" s="76">
        <v>0.33300000000000002</v>
      </c>
      <c r="X227" s="76">
        <v>1.76</v>
      </c>
      <c r="Y227" s="76"/>
      <c r="Z227" s="76">
        <v>20</v>
      </c>
      <c r="AA227" t="s">
        <v>567</v>
      </c>
      <c r="AB227" s="76" t="s">
        <v>151</v>
      </c>
      <c r="AC227" s="76">
        <v>0</v>
      </c>
      <c r="AD227" s="76">
        <v>1</v>
      </c>
      <c r="AE227" s="76">
        <v>19</v>
      </c>
      <c r="AF227" s="76">
        <v>2</v>
      </c>
      <c r="AG227" s="76">
        <v>3</v>
      </c>
      <c r="AH227" s="76">
        <v>23</v>
      </c>
      <c r="AI227" s="76">
        <v>42</v>
      </c>
      <c r="AJ227" s="76">
        <v>2</v>
      </c>
      <c r="AK227" s="76">
        <v>0</v>
      </c>
      <c r="AL227" s="76">
        <v>1</v>
      </c>
      <c r="AM227" s="76">
        <v>0</v>
      </c>
      <c r="AN227" s="76">
        <v>0</v>
      </c>
      <c r="AO227" s="76">
        <v>543</v>
      </c>
      <c r="AP227" s="202" t="s">
        <v>152</v>
      </c>
      <c r="AQ227" s="202">
        <v>0</v>
      </c>
      <c r="AR227" s="202">
        <v>0.54</v>
      </c>
      <c r="AS227" s="202">
        <v>0.36599999999999999</v>
      </c>
      <c r="AT227" s="202">
        <v>0.5</v>
      </c>
      <c r="AU227" s="202">
        <v>0.86599999999999999</v>
      </c>
      <c r="AV227" s="202">
        <v>6.23</v>
      </c>
      <c r="AW227" s="202">
        <v>5.19</v>
      </c>
      <c r="AX227" s="202">
        <v>10.38</v>
      </c>
      <c r="AY227" s="202">
        <v>1.2</v>
      </c>
      <c r="AZ227" s="202">
        <v>19.27</v>
      </c>
    </row>
    <row r="228" spans="1:52" x14ac:dyDescent="0.2">
      <c r="A228" s="76">
        <v>3</v>
      </c>
      <c r="B228" s="41" t="s">
        <v>402</v>
      </c>
      <c r="C228" s="76" t="s">
        <v>151</v>
      </c>
      <c r="D228" s="76">
        <v>0</v>
      </c>
      <c r="E228" s="76">
        <v>2</v>
      </c>
      <c r="F228" s="76">
        <v>3.15</v>
      </c>
      <c r="G228" s="76">
        <v>54</v>
      </c>
      <c r="H228" s="76">
        <v>0</v>
      </c>
      <c r="I228" s="76">
        <v>0</v>
      </c>
      <c r="J228" s="76">
        <v>0</v>
      </c>
      <c r="K228" s="76">
        <v>17</v>
      </c>
      <c r="L228" s="76">
        <v>20</v>
      </c>
      <c r="M228" s="76">
        <v>54.1</v>
      </c>
      <c r="N228" s="76">
        <v>59</v>
      </c>
      <c r="O228" s="76">
        <v>22</v>
      </c>
      <c r="P228" s="76">
        <v>19</v>
      </c>
      <c r="Q228" s="76">
        <v>5</v>
      </c>
      <c r="R228" s="76">
        <v>8</v>
      </c>
      <c r="S228" s="76">
        <v>1</v>
      </c>
      <c r="T228" s="76">
        <v>35</v>
      </c>
      <c r="U228" s="76">
        <v>224</v>
      </c>
      <c r="V228" s="76">
        <v>54.1</v>
      </c>
      <c r="W228" s="76">
        <v>0.27600000000000002</v>
      </c>
      <c r="X228" s="76">
        <v>1.23</v>
      </c>
      <c r="Y228" s="76"/>
      <c r="Z228" s="76">
        <v>3</v>
      </c>
      <c r="AA228" t="s">
        <v>402</v>
      </c>
      <c r="AB228" s="76" t="s">
        <v>151</v>
      </c>
      <c r="AC228" s="76">
        <v>2</v>
      </c>
      <c r="AD228" s="76">
        <v>1</v>
      </c>
      <c r="AE228" s="76">
        <v>36</v>
      </c>
      <c r="AF228" s="76">
        <v>1</v>
      </c>
      <c r="AG228" s="76">
        <v>8</v>
      </c>
      <c r="AH228" s="76">
        <v>83</v>
      </c>
      <c r="AI228" s="76">
        <v>37</v>
      </c>
      <c r="AJ228" s="76">
        <v>0</v>
      </c>
      <c r="AK228" s="76">
        <v>0</v>
      </c>
      <c r="AL228" s="76">
        <v>0</v>
      </c>
      <c r="AM228" s="76">
        <v>0</v>
      </c>
      <c r="AN228" s="76">
        <v>1</v>
      </c>
      <c r="AO228" s="76">
        <v>828</v>
      </c>
      <c r="AP228" s="202" t="s">
        <v>151</v>
      </c>
      <c r="AQ228" s="202">
        <v>0.55000000000000004</v>
      </c>
      <c r="AR228" s="202">
        <v>0.74</v>
      </c>
      <c r="AS228" s="202">
        <v>0.311</v>
      </c>
      <c r="AT228" s="202">
        <v>0.501</v>
      </c>
      <c r="AU228" s="202">
        <v>0.81200000000000006</v>
      </c>
      <c r="AV228" s="202">
        <v>5.45</v>
      </c>
      <c r="AW228" s="202">
        <v>0.93</v>
      </c>
      <c r="AX228" s="202">
        <v>10.66</v>
      </c>
      <c r="AY228" s="202">
        <v>5.88</v>
      </c>
      <c r="AZ228" s="202">
        <v>14.52</v>
      </c>
    </row>
    <row r="229" spans="1:52" x14ac:dyDescent="0.2">
      <c r="A229" s="76">
        <v>26</v>
      </c>
      <c r="B229" t="s">
        <v>1308</v>
      </c>
      <c r="C229" s="76" t="s">
        <v>151</v>
      </c>
      <c r="D229" s="76">
        <v>0</v>
      </c>
      <c r="E229" s="76">
        <v>1</v>
      </c>
      <c r="F229" s="76">
        <v>9</v>
      </c>
      <c r="G229" s="76">
        <v>15</v>
      </c>
      <c r="H229" s="76">
        <v>0</v>
      </c>
      <c r="I229" s="76">
        <v>0</v>
      </c>
      <c r="J229" s="76">
        <v>0</v>
      </c>
      <c r="K229" s="76">
        <v>0</v>
      </c>
      <c r="L229" s="76">
        <v>1</v>
      </c>
      <c r="M229" s="76">
        <v>14</v>
      </c>
      <c r="N229" s="76">
        <v>15</v>
      </c>
      <c r="O229" s="76">
        <v>14</v>
      </c>
      <c r="P229" s="76">
        <v>14</v>
      </c>
      <c r="Q229" s="76">
        <v>2</v>
      </c>
      <c r="R229" s="76">
        <v>15</v>
      </c>
      <c r="S229" s="76">
        <v>2</v>
      </c>
      <c r="T229" s="76">
        <v>14</v>
      </c>
      <c r="U229" s="76">
        <v>73</v>
      </c>
      <c r="V229" s="76">
        <v>14</v>
      </c>
      <c r="W229" s="76">
        <v>0.25900000000000001</v>
      </c>
      <c r="X229" s="76">
        <v>2.14</v>
      </c>
      <c r="Y229" s="76"/>
      <c r="Z229" s="76">
        <v>26</v>
      </c>
      <c r="AA229" t="s">
        <v>1308</v>
      </c>
      <c r="AB229" s="76" t="s">
        <v>151</v>
      </c>
      <c r="AC229" s="76">
        <v>0</v>
      </c>
      <c r="AD229" s="76">
        <v>2</v>
      </c>
      <c r="AE229" s="76">
        <v>0</v>
      </c>
      <c r="AF229" s="76">
        <v>0</v>
      </c>
      <c r="AG229" s="76">
        <v>1</v>
      </c>
      <c r="AH229" s="76">
        <v>20</v>
      </c>
      <c r="AI229" s="76">
        <v>9</v>
      </c>
      <c r="AJ229" s="76">
        <v>5</v>
      </c>
      <c r="AK229" s="76">
        <v>0</v>
      </c>
      <c r="AL229" s="76">
        <v>1</v>
      </c>
      <c r="AM229" s="76">
        <v>0</v>
      </c>
      <c r="AN229" s="76">
        <v>0</v>
      </c>
      <c r="AO229" s="76">
        <v>316</v>
      </c>
      <c r="AP229" s="202" t="s">
        <v>152</v>
      </c>
      <c r="AQ229" s="202" t="s">
        <v>243</v>
      </c>
      <c r="AR229" s="202">
        <v>4</v>
      </c>
      <c r="AS229" s="202">
        <v>0.3</v>
      </c>
      <c r="AT229" s="202">
        <v>0.3</v>
      </c>
      <c r="AU229" s="202">
        <v>0.6</v>
      </c>
      <c r="AV229" s="202">
        <v>7.71</v>
      </c>
      <c r="AW229" s="202">
        <v>0</v>
      </c>
      <c r="AX229" s="202">
        <v>11.57</v>
      </c>
      <c r="AY229" s="202" t="s">
        <v>243</v>
      </c>
      <c r="AZ229" s="202">
        <v>16.29</v>
      </c>
    </row>
    <row r="230" spans="1:52" x14ac:dyDescent="0.2">
      <c r="A230" s="76">
        <v>14</v>
      </c>
      <c r="B230" s="41" t="s">
        <v>812</v>
      </c>
      <c r="C230" s="76" t="s">
        <v>151</v>
      </c>
      <c r="D230" s="76">
        <v>2</v>
      </c>
      <c r="E230" s="76">
        <v>2</v>
      </c>
      <c r="F230" s="76">
        <v>5.27</v>
      </c>
      <c r="G230" s="76">
        <v>44</v>
      </c>
      <c r="H230" s="76">
        <v>0</v>
      </c>
      <c r="I230" s="76">
        <v>0</v>
      </c>
      <c r="J230" s="76">
        <v>0</v>
      </c>
      <c r="K230" s="76">
        <v>0</v>
      </c>
      <c r="L230" s="76">
        <v>2</v>
      </c>
      <c r="M230" s="76">
        <v>42.2</v>
      </c>
      <c r="N230" s="76">
        <v>39</v>
      </c>
      <c r="O230" s="76">
        <v>26</v>
      </c>
      <c r="P230" s="76">
        <v>25</v>
      </c>
      <c r="Q230" s="76">
        <v>7</v>
      </c>
      <c r="R230" s="76">
        <v>17</v>
      </c>
      <c r="S230" s="76">
        <v>1</v>
      </c>
      <c r="T230" s="76">
        <v>60</v>
      </c>
      <c r="U230" s="76">
        <v>187</v>
      </c>
      <c r="V230" s="76">
        <v>42.2</v>
      </c>
      <c r="W230" s="76">
        <v>0.23200000000000001</v>
      </c>
      <c r="X230" s="76">
        <v>1.31</v>
      </c>
      <c r="Y230" s="76"/>
      <c r="Z230" s="76">
        <v>14</v>
      </c>
      <c r="AA230" t="s">
        <v>812</v>
      </c>
      <c r="AB230" s="76" t="s">
        <v>151</v>
      </c>
      <c r="AC230" s="76">
        <v>2</v>
      </c>
      <c r="AD230" s="76">
        <v>1</v>
      </c>
      <c r="AE230" s="76">
        <v>10</v>
      </c>
      <c r="AF230" s="76">
        <v>6</v>
      </c>
      <c r="AG230" s="76">
        <v>1</v>
      </c>
      <c r="AH230" s="76">
        <v>27</v>
      </c>
      <c r="AI230" s="76">
        <v>42</v>
      </c>
      <c r="AJ230" s="76">
        <v>10</v>
      </c>
      <c r="AK230" s="76">
        <v>0</v>
      </c>
      <c r="AL230" s="76">
        <v>4</v>
      </c>
      <c r="AM230" s="76">
        <v>1</v>
      </c>
      <c r="AN230" s="76">
        <v>0</v>
      </c>
      <c r="AO230" s="76">
        <v>841</v>
      </c>
      <c r="AP230" s="202" t="s">
        <v>151</v>
      </c>
      <c r="AQ230" s="202">
        <v>0.58299999999999996</v>
      </c>
      <c r="AR230" s="202">
        <v>0.97</v>
      </c>
      <c r="AS230" s="202">
        <v>0.318</v>
      </c>
      <c r="AT230" s="202">
        <v>0.41099999999999998</v>
      </c>
      <c r="AU230" s="202">
        <v>0.72899999999999998</v>
      </c>
      <c r="AV230" s="202">
        <v>6.83</v>
      </c>
      <c r="AW230" s="202">
        <v>3</v>
      </c>
      <c r="AX230" s="202">
        <v>8.67</v>
      </c>
      <c r="AY230" s="202">
        <v>2.2799999999999998</v>
      </c>
      <c r="AZ230" s="202">
        <v>15.54</v>
      </c>
    </row>
    <row r="231" spans="1:52" x14ac:dyDescent="0.2">
      <c r="A231" s="76">
        <v>23</v>
      </c>
      <c r="B231" t="s">
        <v>1353</v>
      </c>
      <c r="C231" s="76" t="s">
        <v>151</v>
      </c>
      <c r="D231" s="76">
        <v>0</v>
      </c>
      <c r="E231" s="76">
        <v>0</v>
      </c>
      <c r="F231" s="76">
        <v>7.71</v>
      </c>
      <c r="G231" s="76">
        <v>1</v>
      </c>
      <c r="H231" s="76">
        <v>0</v>
      </c>
      <c r="I231" s="76">
        <v>0</v>
      </c>
      <c r="J231" s="76">
        <v>0</v>
      </c>
      <c r="K231" s="76">
        <v>0</v>
      </c>
      <c r="L231" s="76">
        <v>0</v>
      </c>
      <c r="M231" s="76">
        <v>2.1</v>
      </c>
      <c r="N231" s="76">
        <v>5</v>
      </c>
      <c r="O231" s="76">
        <v>2</v>
      </c>
      <c r="P231" s="76">
        <v>2</v>
      </c>
      <c r="Q231" s="76">
        <v>0</v>
      </c>
      <c r="R231" s="76">
        <v>1</v>
      </c>
      <c r="S231" s="76">
        <v>0</v>
      </c>
      <c r="T231" s="76">
        <v>0</v>
      </c>
      <c r="U231" s="76">
        <v>13</v>
      </c>
      <c r="V231" s="76">
        <v>2.1</v>
      </c>
      <c r="W231" s="76">
        <v>0.45500000000000002</v>
      </c>
      <c r="X231" s="76">
        <v>2.57</v>
      </c>
      <c r="Y231" s="76"/>
      <c r="Z231" s="76">
        <v>23</v>
      </c>
      <c r="AA231" t="s">
        <v>1353</v>
      </c>
      <c r="AB231" s="76" t="s">
        <v>151</v>
      </c>
      <c r="AC231" s="76">
        <v>0</v>
      </c>
      <c r="AD231" s="76">
        <v>0</v>
      </c>
      <c r="AE231" s="76">
        <v>0</v>
      </c>
      <c r="AF231" s="76">
        <v>0</v>
      </c>
      <c r="AG231" s="76">
        <v>0</v>
      </c>
      <c r="AH231" s="76">
        <v>3</v>
      </c>
      <c r="AI231" s="76">
        <v>4</v>
      </c>
      <c r="AJ231" s="76">
        <v>0</v>
      </c>
      <c r="AK231" s="76">
        <v>0</v>
      </c>
      <c r="AL231" s="76">
        <v>0</v>
      </c>
      <c r="AM231" s="76">
        <v>0</v>
      </c>
      <c r="AN231" s="76">
        <v>0</v>
      </c>
      <c r="AO231" s="76">
        <v>42</v>
      </c>
      <c r="AP231" s="202" t="s">
        <v>152</v>
      </c>
      <c r="AQ231" s="202">
        <v>0</v>
      </c>
      <c r="AR231" s="202">
        <v>0.93</v>
      </c>
      <c r="AS231" s="202">
        <v>0.39700000000000002</v>
      </c>
      <c r="AT231" s="202">
        <v>0.49399999999999999</v>
      </c>
      <c r="AU231" s="202">
        <v>0.89100000000000001</v>
      </c>
      <c r="AV231" s="202">
        <v>8.41</v>
      </c>
      <c r="AW231" s="202">
        <v>4.87</v>
      </c>
      <c r="AX231" s="202">
        <v>11.51</v>
      </c>
      <c r="AY231" s="202">
        <v>1.73</v>
      </c>
      <c r="AZ231" s="202">
        <v>18.32</v>
      </c>
    </row>
    <row r="232" spans="1:52" x14ac:dyDescent="0.2">
      <c r="A232" s="76">
        <v>29</v>
      </c>
      <c r="B232" t="s">
        <v>1195</v>
      </c>
      <c r="C232" s="76" t="s">
        <v>151</v>
      </c>
      <c r="D232" s="76">
        <v>0</v>
      </c>
      <c r="E232" s="76">
        <v>1</v>
      </c>
      <c r="F232" s="76">
        <v>12.27</v>
      </c>
      <c r="G232" s="76">
        <v>2</v>
      </c>
      <c r="H232" s="76">
        <v>1</v>
      </c>
      <c r="I232" s="76">
        <v>0</v>
      </c>
      <c r="J232" s="76">
        <v>0</v>
      </c>
      <c r="K232" s="76">
        <v>0</v>
      </c>
      <c r="L232" s="76">
        <v>0</v>
      </c>
      <c r="M232" s="76">
        <v>3.2</v>
      </c>
      <c r="N232" s="76">
        <v>8</v>
      </c>
      <c r="O232" s="76">
        <v>5</v>
      </c>
      <c r="P232" s="76">
        <v>5</v>
      </c>
      <c r="Q232" s="76">
        <v>1</v>
      </c>
      <c r="R232" s="76">
        <v>4</v>
      </c>
      <c r="S232" s="76">
        <v>0</v>
      </c>
      <c r="T232" s="76">
        <v>5</v>
      </c>
      <c r="U232" s="76">
        <v>23</v>
      </c>
      <c r="V232" s="76">
        <v>3.2</v>
      </c>
      <c r="W232" s="76">
        <v>0.42099999999999999</v>
      </c>
      <c r="X232" s="76">
        <v>3.27</v>
      </c>
      <c r="Y232" s="76"/>
      <c r="Z232" s="76">
        <v>29</v>
      </c>
      <c r="AA232" t="s">
        <v>1195</v>
      </c>
      <c r="AB232" s="76" t="s">
        <v>151</v>
      </c>
      <c r="AC232" s="76">
        <v>0</v>
      </c>
      <c r="AD232" s="76">
        <v>0</v>
      </c>
      <c r="AE232" s="76">
        <v>0</v>
      </c>
      <c r="AF232" s="76">
        <v>0</v>
      </c>
      <c r="AG232" s="76">
        <v>0</v>
      </c>
      <c r="AH232" s="76">
        <v>1</v>
      </c>
      <c r="AI232" s="76">
        <v>5</v>
      </c>
      <c r="AJ232" s="76">
        <v>2</v>
      </c>
      <c r="AK232" s="76">
        <v>0</v>
      </c>
      <c r="AL232" s="76">
        <v>1</v>
      </c>
      <c r="AM232" s="76">
        <v>0</v>
      </c>
      <c r="AN232" s="76">
        <v>0</v>
      </c>
      <c r="AO232" s="76">
        <v>93</v>
      </c>
      <c r="AP232" s="202" t="s">
        <v>152</v>
      </c>
      <c r="AQ232" s="202" t="s">
        <v>243</v>
      </c>
      <c r="AR232" s="202">
        <v>1.17</v>
      </c>
      <c r="AS232" s="202">
        <v>0.38500000000000001</v>
      </c>
      <c r="AT232" s="202">
        <v>0.40899999999999997</v>
      </c>
      <c r="AU232" s="202">
        <v>0.79400000000000004</v>
      </c>
      <c r="AV232" s="202">
        <v>4.76</v>
      </c>
      <c r="AW232" s="202">
        <v>4.76</v>
      </c>
      <c r="AX232" s="202">
        <v>9.5299999999999994</v>
      </c>
      <c r="AY232" s="202">
        <v>1</v>
      </c>
      <c r="AZ232" s="202">
        <v>21.53</v>
      </c>
    </row>
    <row r="233" spans="1:52" x14ac:dyDescent="0.2">
      <c r="A233" s="76">
        <v>16</v>
      </c>
      <c r="B233" s="41" t="s">
        <v>602</v>
      </c>
      <c r="C233" s="76" t="s">
        <v>151</v>
      </c>
      <c r="D233" s="76">
        <v>3</v>
      </c>
      <c r="E233" s="76">
        <v>5</v>
      </c>
      <c r="F233" s="76">
        <v>5.71</v>
      </c>
      <c r="G233" s="76">
        <v>19</v>
      </c>
      <c r="H233" s="76">
        <v>12</v>
      </c>
      <c r="I233" s="76">
        <v>0</v>
      </c>
      <c r="J233" s="76">
        <v>0</v>
      </c>
      <c r="K233" s="76">
        <v>0</v>
      </c>
      <c r="L233" s="76">
        <v>0</v>
      </c>
      <c r="M233" s="76">
        <v>69.099999999999994</v>
      </c>
      <c r="N233" s="76">
        <v>84</v>
      </c>
      <c r="O233" s="76">
        <v>53</v>
      </c>
      <c r="P233" s="76">
        <v>44</v>
      </c>
      <c r="Q233" s="76">
        <v>15</v>
      </c>
      <c r="R233" s="76">
        <v>22</v>
      </c>
      <c r="S233" s="76">
        <v>3</v>
      </c>
      <c r="T233" s="76">
        <v>49</v>
      </c>
      <c r="U233" s="76">
        <v>311</v>
      </c>
      <c r="V233" s="76">
        <v>69.099999999999994</v>
      </c>
      <c r="W233" s="76">
        <v>0.29899999999999999</v>
      </c>
      <c r="X233" s="76">
        <v>1.53</v>
      </c>
      <c r="Y233" s="76"/>
      <c r="Z233" s="76">
        <v>16</v>
      </c>
      <c r="AA233" t="s">
        <v>602</v>
      </c>
      <c r="AB233" s="76" t="s">
        <v>151</v>
      </c>
      <c r="AC233" s="76">
        <v>1</v>
      </c>
      <c r="AD233" s="76">
        <v>3</v>
      </c>
      <c r="AE233" s="76">
        <v>3</v>
      </c>
      <c r="AF233" s="76">
        <v>1</v>
      </c>
      <c r="AG233" s="76">
        <v>6</v>
      </c>
      <c r="AH233" s="76">
        <v>88</v>
      </c>
      <c r="AI233" s="76">
        <v>67</v>
      </c>
      <c r="AJ233" s="76">
        <v>3</v>
      </c>
      <c r="AK233" s="76">
        <v>1</v>
      </c>
      <c r="AL233" s="76">
        <v>7</v>
      </c>
      <c r="AM233" s="76">
        <v>2</v>
      </c>
      <c r="AN233" s="76">
        <v>2</v>
      </c>
      <c r="AO233" s="76">
        <v>1223</v>
      </c>
      <c r="AP233" s="202" t="s">
        <v>151</v>
      </c>
      <c r="AQ233" s="202" t="s">
        <v>243</v>
      </c>
      <c r="AR233" s="202">
        <v>4</v>
      </c>
      <c r="AS233" s="202">
        <v>0.26300000000000001</v>
      </c>
      <c r="AT233" s="202">
        <v>0.316</v>
      </c>
      <c r="AU233" s="202">
        <v>0.57899999999999996</v>
      </c>
      <c r="AV233" s="202">
        <v>9</v>
      </c>
      <c r="AW233" s="202">
        <v>0</v>
      </c>
      <c r="AX233" s="202">
        <v>9</v>
      </c>
      <c r="AY233" s="202" t="s">
        <v>243</v>
      </c>
      <c r="AZ233" s="202">
        <v>16.2</v>
      </c>
    </row>
    <row r="234" spans="1:52" x14ac:dyDescent="0.2">
      <c r="A234" s="76">
        <v>13</v>
      </c>
      <c r="B234" t="s">
        <v>380</v>
      </c>
      <c r="C234" s="76" t="s">
        <v>151</v>
      </c>
      <c r="D234" s="76">
        <v>4</v>
      </c>
      <c r="E234" s="76">
        <v>8</v>
      </c>
      <c r="F234" s="76">
        <v>5.13</v>
      </c>
      <c r="G234" s="76">
        <v>21</v>
      </c>
      <c r="H234" s="76">
        <v>21</v>
      </c>
      <c r="I234" s="76">
        <v>0</v>
      </c>
      <c r="J234" s="76">
        <v>0</v>
      </c>
      <c r="K234" s="76">
        <v>0</v>
      </c>
      <c r="L234" s="76">
        <v>0</v>
      </c>
      <c r="M234" s="76">
        <v>124.2</v>
      </c>
      <c r="N234" s="76">
        <v>139</v>
      </c>
      <c r="O234" s="76">
        <v>77</v>
      </c>
      <c r="P234" s="76">
        <v>71</v>
      </c>
      <c r="Q234" s="76">
        <v>18</v>
      </c>
      <c r="R234" s="76">
        <v>29</v>
      </c>
      <c r="S234" s="76">
        <v>0</v>
      </c>
      <c r="T234" s="76">
        <v>93</v>
      </c>
      <c r="U234" s="76">
        <v>527</v>
      </c>
      <c r="V234" s="76">
        <v>124.2</v>
      </c>
      <c r="W234" s="76">
        <v>0.28699999999999998</v>
      </c>
      <c r="X234" s="76">
        <v>1.35</v>
      </c>
      <c r="Y234" s="76"/>
      <c r="Z234" s="76">
        <v>13</v>
      </c>
      <c r="AA234" t="s">
        <v>380</v>
      </c>
      <c r="AB234" s="76" t="s">
        <v>151</v>
      </c>
      <c r="AC234" s="76">
        <v>3</v>
      </c>
      <c r="AD234" s="76">
        <v>0</v>
      </c>
      <c r="AE234" s="76">
        <v>0</v>
      </c>
      <c r="AF234" s="76">
        <v>0</v>
      </c>
      <c r="AG234" s="76">
        <v>12</v>
      </c>
      <c r="AH234" s="76">
        <v>127</v>
      </c>
      <c r="AI234" s="76">
        <v>136</v>
      </c>
      <c r="AJ234" s="76">
        <v>4</v>
      </c>
      <c r="AK234" s="76">
        <v>0</v>
      </c>
      <c r="AL234" s="76">
        <v>5</v>
      </c>
      <c r="AM234" s="76">
        <v>2</v>
      </c>
      <c r="AN234" s="76">
        <v>3</v>
      </c>
      <c r="AO234" s="76">
        <v>2037</v>
      </c>
      <c r="AP234" s="202" t="s">
        <v>151</v>
      </c>
      <c r="AQ234" s="202" t="s">
        <v>243</v>
      </c>
      <c r="AR234" s="202">
        <v>1</v>
      </c>
      <c r="AS234" s="202">
        <v>0.25</v>
      </c>
      <c r="AT234" s="202">
        <v>0</v>
      </c>
      <c r="AU234" s="202">
        <v>0.25</v>
      </c>
      <c r="AV234" s="202">
        <v>9</v>
      </c>
      <c r="AW234" s="202">
        <v>9</v>
      </c>
      <c r="AX234" s="202">
        <v>0</v>
      </c>
      <c r="AY234" s="202">
        <v>1</v>
      </c>
      <c r="AZ234" s="202">
        <v>14</v>
      </c>
    </row>
    <row r="235" spans="1:52" x14ac:dyDescent="0.2">
      <c r="A235" s="76">
        <v>6</v>
      </c>
      <c r="B235" s="41" t="s">
        <v>1194</v>
      </c>
      <c r="C235" s="76" t="s">
        <v>151</v>
      </c>
      <c r="D235" s="76">
        <v>0</v>
      </c>
      <c r="E235" s="76">
        <v>1</v>
      </c>
      <c r="F235" s="76">
        <v>3.96</v>
      </c>
      <c r="G235" s="76">
        <v>26</v>
      </c>
      <c r="H235" s="76">
        <v>0</v>
      </c>
      <c r="I235" s="76">
        <v>0</v>
      </c>
      <c r="J235" s="76">
        <v>0</v>
      </c>
      <c r="K235" s="76">
        <v>0</v>
      </c>
      <c r="L235" s="76">
        <v>0</v>
      </c>
      <c r="M235" s="76">
        <v>25</v>
      </c>
      <c r="N235" s="76">
        <v>18</v>
      </c>
      <c r="O235" s="76">
        <v>13</v>
      </c>
      <c r="P235" s="76">
        <v>11</v>
      </c>
      <c r="Q235" s="76">
        <v>3</v>
      </c>
      <c r="R235" s="76">
        <v>10</v>
      </c>
      <c r="S235" s="76">
        <v>0</v>
      </c>
      <c r="T235" s="76">
        <v>24</v>
      </c>
      <c r="U235" s="76">
        <v>101</v>
      </c>
      <c r="V235" s="76">
        <v>25</v>
      </c>
      <c r="W235" s="76">
        <v>0.20699999999999999</v>
      </c>
      <c r="X235" s="76">
        <v>1.1200000000000001</v>
      </c>
      <c r="Y235" s="76"/>
      <c r="Z235" s="76">
        <v>6</v>
      </c>
      <c r="AA235" t="s">
        <v>1194</v>
      </c>
      <c r="AB235" s="76" t="s">
        <v>151</v>
      </c>
      <c r="AC235" s="76">
        <v>1</v>
      </c>
      <c r="AD235" s="76">
        <v>0</v>
      </c>
      <c r="AE235" s="76">
        <v>6</v>
      </c>
      <c r="AF235" s="76">
        <v>0</v>
      </c>
      <c r="AG235" s="76">
        <v>4</v>
      </c>
      <c r="AH235" s="76">
        <v>22</v>
      </c>
      <c r="AI235" s="76">
        <v>26</v>
      </c>
      <c r="AJ235" s="76">
        <v>2</v>
      </c>
      <c r="AK235" s="76">
        <v>1</v>
      </c>
      <c r="AL235" s="76">
        <v>1</v>
      </c>
      <c r="AM235" s="76">
        <v>0</v>
      </c>
      <c r="AN235" s="76">
        <v>0</v>
      </c>
      <c r="AO235" s="76">
        <v>399</v>
      </c>
      <c r="AP235" s="202" t="s">
        <v>151</v>
      </c>
      <c r="AQ235" s="202" t="s">
        <v>243</v>
      </c>
      <c r="AR235" s="202">
        <v>0.67</v>
      </c>
      <c r="AS235" s="202">
        <v>0.5</v>
      </c>
      <c r="AT235" s="202">
        <v>0.90900000000000003</v>
      </c>
      <c r="AU235" s="202">
        <v>1.409</v>
      </c>
      <c r="AV235" s="202">
        <v>10.130000000000001</v>
      </c>
      <c r="AW235" s="202">
        <v>10.130000000000001</v>
      </c>
      <c r="AX235" s="202">
        <v>13.5</v>
      </c>
      <c r="AY235" s="202">
        <v>1</v>
      </c>
      <c r="AZ235" s="202">
        <v>24.37</v>
      </c>
    </row>
    <row r="236" spans="1:52" x14ac:dyDescent="0.2">
      <c r="A236" s="76">
        <v>26</v>
      </c>
      <c r="B236" t="s">
        <v>571</v>
      </c>
      <c r="C236" s="76" t="s">
        <v>151</v>
      </c>
      <c r="D236" s="76">
        <v>0</v>
      </c>
      <c r="E236" s="76">
        <v>0</v>
      </c>
      <c r="F236" s="76">
        <v>9</v>
      </c>
      <c r="G236" s="76">
        <v>2</v>
      </c>
      <c r="H236" s="76">
        <v>0</v>
      </c>
      <c r="I236" s="76">
        <v>0</v>
      </c>
      <c r="J236" s="76">
        <v>0</v>
      </c>
      <c r="K236" s="76">
        <v>0</v>
      </c>
      <c r="L236" s="76">
        <v>1</v>
      </c>
      <c r="M236" s="76">
        <v>2</v>
      </c>
      <c r="N236" s="76">
        <v>5</v>
      </c>
      <c r="O236" s="76">
        <v>2</v>
      </c>
      <c r="P236" s="76">
        <v>2</v>
      </c>
      <c r="Q236" s="76">
        <v>0</v>
      </c>
      <c r="R236" s="76">
        <v>1</v>
      </c>
      <c r="S236" s="76">
        <v>0</v>
      </c>
      <c r="T236" s="76">
        <v>3</v>
      </c>
      <c r="U236" s="76">
        <v>12</v>
      </c>
      <c r="V236" s="76">
        <v>2</v>
      </c>
      <c r="W236" s="76">
        <v>0.5</v>
      </c>
      <c r="X236" s="76">
        <v>3</v>
      </c>
      <c r="Y236" s="76"/>
      <c r="Z236" s="76">
        <v>26</v>
      </c>
      <c r="AA236" t="s">
        <v>571</v>
      </c>
      <c r="AB236" s="76" t="s">
        <v>151</v>
      </c>
      <c r="AC236" s="76">
        <v>0</v>
      </c>
      <c r="AD236" s="76">
        <v>0</v>
      </c>
      <c r="AE236" s="76">
        <v>1</v>
      </c>
      <c r="AF236" s="76">
        <v>0</v>
      </c>
      <c r="AG236" s="76">
        <v>0</v>
      </c>
      <c r="AH236" s="76">
        <v>0</v>
      </c>
      <c r="AI236" s="76">
        <v>3</v>
      </c>
      <c r="AJ236" s="76">
        <v>2</v>
      </c>
      <c r="AK236" s="76">
        <v>0</v>
      </c>
      <c r="AL236" s="76">
        <v>0</v>
      </c>
      <c r="AM236" s="76">
        <v>0</v>
      </c>
      <c r="AN236" s="76">
        <v>0</v>
      </c>
      <c r="AO236" s="76">
        <v>48</v>
      </c>
      <c r="AP236" s="202" t="s">
        <v>152</v>
      </c>
      <c r="AQ236" s="202" t="s">
        <v>243</v>
      </c>
      <c r="AR236" s="202">
        <v>0.4</v>
      </c>
      <c r="AS236" s="202">
        <v>0.4</v>
      </c>
      <c r="AT236" s="202">
        <v>0.45500000000000002</v>
      </c>
      <c r="AU236" s="202">
        <v>0.85499999999999998</v>
      </c>
      <c r="AV236" s="202">
        <v>5.4</v>
      </c>
      <c r="AW236" s="202">
        <v>10.8</v>
      </c>
      <c r="AX236" s="202">
        <v>5.4</v>
      </c>
      <c r="AY236" s="202">
        <v>0.5</v>
      </c>
      <c r="AZ236" s="202">
        <v>19.8</v>
      </c>
    </row>
    <row r="237" spans="1:52" x14ac:dyDescent="0.2">
      <c r="A237" s="76">
        <v>5</v>
      </c>
      <c r="B237" s="41" t="s">
        <v>574</v>
      </c>
      <c r="C237" s="76" t="s">
        <v>151</v>
      </c>
      <c r="D237" s="76">
        <v>6</v>
      </c>
      <c r="E237" s="76">
        <v>7</v>
      </c>
      <c r="F237" s="76">
        <v>3.7</v>
      </c>
      <c r="G237" s="76">
        <v>72</v>
      </c>
      <c r="H237" s="76">
        <v>0</v>
      </c>
      <c r="I237" s="76">
        <v>0</v>
      </c>
      <c r="J237" s="76">
        <v>0</v>
      </c>
      <c r="K237" s="76">
        <v>1</v>
      </c>
      <c r="L237" s="76">
        <v>6</v>
      </c>
      <c r="M237" s="76">
        <v>75.099999999999994</v>
      </c>
      <c r="N237" s="76">
        <v>79</v>
      </c>
      <c r="O237" s="76">
        <v>34</v>
      </c>
      <c r="P237" s="76">
        <v>31</v>
      </c>
      <c r="Q237" s="76">
        <v>8</v>
      </c>
      <c r="R237" s="76">
        <v>23</v>
      </c>
      <c r="S237" s="76">
        <v>2</v>
      </c>
      <c r="T237" s="76">
        <v>67</v>
      </c>
      <c r="U237" s="76">
        <v>328</v>
      </c>
      <c r="V237" s="76">
        <v>75.099999999999994</v>
      </c>
      <c r="W237" s="76">
        <v>0.26600000000000001</v>
      </c>
      <c r="X237" s="76">
        <v>1.35</v>
      </c>
      <c r="Y237" s="76"/>
      <c r="Z237" s="76">
        <v>5</v>
      </c>
      <c r="AA237" t="s">
        <v>574</v>
      </c>
      <c r="AB237" s="76" t="s">
        <v>151</v>
      </c>
      <c r="AC237" s="76">
        <v>2</v>
      </c>
      <c r="AD237" s="76">
        <v>2</v>
      </c>
      <c r="AE237" s="76">
        <v>10</v>
      </c>
      <c r="AF237" s="76">
        <v>13</v>
      </c>
      <c r="AG237" s="76">
        <v>3</v>
      </c>
      <c r="AH237" s="76">
        <v>69</v>
      </c>
      <c r="AI237" s="76">
        <v>88</v>
      </c>
      <c r="AJ237" s="76">
        <v>7</v>
      </c>
      <c r="AK237" s="76">
        <v>0</v>
      </c>
      <c r="AL237" s="76">
        <v>3</v>
      </c>
      <c r="AM237" s="76">
        <v>0</v>
      </c>
      <c r="AN237" s="76">
        <v>0</v>
      </c>
      <c r="AO237" s="76">
        <v>1220</v>
      </c>
      <c r="AP237" s="202" t="s">
        <v>151</v>
      </c>
      <c r="AQ237" s="202">
        <v>0.47099999999999997</v>
      </c>
      <c r="AR237" s="202">
        <v>0.77</v>
      </c>
      <c r="AS237" s="202">
        <v>0.32100000000000001</v>
      </c>
      <c r="AT237" s="202">
        <v>0.43099999999999999</v>
      </c>
      <c r="AU237" s="202">
        <v>0.752</v>
      </c>
      <c r="AV237" s="202">
        <v>8.6300000000000008</v>
      </c>
      <c r="AW237" s="202">
        <v>2.04</v>
      </c>
      <c r="AX237" s="202">
        <v>9.9700000000000006</v>
      </c>
      <c r="AY237" s="202">
        <v>4.2300000000000004</v>
      </c>
      <c r="AZ237" s="202">
        <v>16.260000000000002</v>
      </c>
    </row>
    <row r="238" spans="1:52" x14ac:dyDescent="0.2">
      <c r="A238" s="76">
        <v>19</v>
      </c>
      <c r="B238" t="s">
        <v>752</v>
      </c>
      <c r="C238" s="76" t="s">
        <v>151</v>
      </c>
      <c r="D238" s="76">
        <v>0</v>
      </c>
      <c r="E238" s="76">
        <v>0</v>
      </c>
      <c r="F238" s="76">
        <v>6.14</v>
      </c>
      <c r="G238" s="76">
        <v>8</v>
      </c>
      <c r="H238" s="76">
        <v>0</v>
      </c>
      <c r="I238" s="76">
        <v>0</v>
      </c>
      <c r="J238" s="76">
        <v>0</v>
      </c>
      <c r="K238" s="76">
        <v>0</v>
      </c>
      <c r="L238" s="76">
        <v>0</v>
      </c>
      <c r="M238" s="76">
        <v>14.2</v>
      </c>
      <c r="N238" s="76">
        <v>15</v>
      </c>
      <c r="O238" s="76">
        <v>10</v>
      </c>
      <c r="P238" s="76">
        <v>10</v>
      </c>
      <c r="Q238" s="76">
        <v>5</v>
      </c>
      <c r="R238" s="76">
        <v>10</v>
      </c>
      <c r="S238" s="76">
        <v>0</v>
      </c>
      <c r="T238" s="76">
        <v>11</v>
      </c>
      <c r="U238" s="76">
        <v>65</v>
      </c>
      <c r="V238" s="76">
        <v>14.2</v>
      </c>
      <c r="W238" s="76">
        <v>0.27800000000000002</v>
      </c>
      <c r="X238" s="76">
        <v>1.7</v>
      </c>
      <c r="Y238" s="76"/>
      <c r="Z238" s="76">
        <v>19</v>
      </c>
      <c r="AA238" t="s">
        <v>752</v>
      </c>
      <c r="AB238" s="76" t="s">
        <v>151</v>
      </c>
      <c r="AC238" s="76">
        <v>0</v>
      </c>
      <c r="AD238" s="76">
        <v>0</v>
      </c>
      <c r="AE238" s="76">
        <v>3</v>
      </c>
      <c r="AF238" s="76">
        <v>0</v>
      </c>
      <c r="AG238" s="76">
        <v>1</v>
      </c>
      <c r="AH238" s="76">
        <v>8</v>
      </c>
      <c r="AI238" s="76">
        <v>21</v>
      </c>
      <c r="AJ238" s="76">
        <v>2</v>
      </c>
      <c r="AK238" s="76">
        <v>0</v>
      </c>
      <c r="AL238" s="76">
        <v>1</v>
      </c>
      <c r="AM238" s="76">
        <v>3</v>
      </c>
      <c r="AN238" s="76">
        <v>0</v>
      </c>
      <c r="AO238" s="76">
        <v>296</v>
      </c>
      <c r="AP238" s="102" t="s">
        <v>157</v>
      </c>
      <c r="AQ238" s="102" t="s">
        <v>1081</v>
      </c>
      <c r="AR238" s="102" t="s">
        <v>1068</v>
      </c>
      <c r="AS238" s="102" t="s">
        <v>1059</v>
      </c>
      <c r="AT238" s="102" t="s">
        <v>1060</v>
      </c>
      <c r="AU238" s="102" t="s">
        <v>1061</v>
      </c>
      <c r="AV238" s="102" t="s">
        <v>1092</v>
      </c>
      <c r="AW238" s="102" t="s">
        <v>1093</v>
      </c>
      <c r="AX238" s="102" t="s">
        <v>1094</v>
      </c>
      <c r="AY238" s="102" t="s">
        <v>1095</v>
      </c>
      <c r="AZ238" s="102" t="s">
        <v>1096</v>
      </c>
    </row>
    <row r="239" spans="1:52" x14ac:dyDescent="0.2">
      <c r="A239" s="76">
        <v>7</v>
      </c>
      <c r="B239" s="41" t="s">
        <v>1348</v>
      </c>
      <c r="C239" s="76" t="s">
        <v>151</v>
      </c>
      <c r="D239" s="76">
        <v>3</v>
      </c>
      <c r="E239" s="76">
        <v>1</v>
      </c>
      <c r="F239" s="76">
        <v>3.96</v>
      </c>
      <c r="G239" s="76">
        <v>57</v>
      </c>
      <c r="H239" s="76">
        <v>0</v>
      </c>
      <c r="I239" s="76">
        <v>0</v>
      </c>
      <c r="J239" s="76">
        <v>0</v>
      </c>
      <c r="K239" s="76">
        <v>0</v>
      </c>
      <c r="L239" s="76">
        <v>0</v>
      </c>
      <c r="M239" s="76">
        <v>61.1</v>
      </c>
      <c r="N239" s="76">
        <v>63</v>
      </c>
      <c r="O239" s="76">
        <v>29</v>
      </c>
      <c r="P239" s="76">
        <v>27</v>
      </c>
      <c r="Q239" s="76">
        <v>7</v>
      </c>
      <c r="R239" s="76">
        <v>16</v>
      </c>
      <c r="S239" s="76">
        <v>3</v>
      </c>
      <c r="T239" s="76">
        <v>64</v>
      </c>
      <c r="U239" s="76">
        <v>264</v>
      </c>
      <c r="V239" s="76">
        <v>61.1</v>
      </c>
      <c r="W239" s="76">
        <v>0.26</v>
      </c>
      <c r="X239" s="76">
        <v>1.29</v>
      </c>
      <c r="Y239" s="76"/>
      <c r="Z239" s="76">
        <v>7</v>
      </c>
      <c r="AA239" t="s">
        <v>1348</v>
      </c>
      <c r="AB239" s="76" t="s">
        <v>151</v>
      </c>
      <c r="AC239" s="76">
        <v>5</v>
      </c>
      <c r="AD239" s="76">
        <v>3</v>
      </c>
      <c r="AE239" s="76">
        <v>8</v>
      </c>
      <c r="AF239" s="76">
        <v>9</v>
      </c>
      <c r="AG239" s="76">
        <v>9</v>
      </c>
      <c r="AH239" s="76">
        <v>71</v>
      </c>
      <c r="AI239" s="76">
        <v>45</v>
      </c>
      <c r="AJ239" s="76">
        <v>1</v>
      </c>
      <c r="AK239" s="76">
        <v>0</v>
      </c>
      <c r="AL239" s="76">
        <v>3</v>
      </c>
      <c r="AM239" s="76">
        <v>1</v>
      </c>
      <c r="AN239" s="76">
        <v>0</v>
      </c>
      <c r="AO239" s="76">
        <v>1006</v>
      </c>
      <c r="AP239" s="202" t="s">
        <v>151</v>
      </c>
      <c r="AQ239" s="202">
        <v>0.64300000000000002</v>
      </c>
      <c r="AR239" s="202">
        <v>0.98</v>
      </c>
      <c r="AS239" s="202">
        <v>0.307</v>
      </c>
      <c r="AT239" s="202">
        <v>0.42399999999999999</v>
      </c>
      <c r="AU239" s="202">
        <v>0.73099999999999998</v>
      </c>
      <c r="AV239" s="202">
        <v>6.37</v>
      </c>
      <c r="AW239" s="202">
        <v>2.52</v>
      </c>
      <c r="AX239" s="202">
        <v>8.9499999999999993</v>
      </c>
      <c r="AY239" s="202">
        <v>2.5299999999999998</v>
      </c>
      <c r="AZ239" s="202">
        <v>16.059999999999999</v>
      </c>
    </row>
    <row r="240" spans="1:52" x14ac:dyDescent="0.2">
      <c r="A240" s="76">
        <v>4</v>
      </c>
      <c r="B240" s="41" t="s">
        <v>558</v>
      </c>
      <c r="C240" s="76" t="s">
        <v>151</v>
      </c>
      <c r="D240" s="76">
        <v>7</v>
      </c>
      <c r="E240" s="76">
        <v>11</v>
      </c>
      <c r="F240" s="76">
        <v>3.38</v>
      </c>
      <c r="G240" s="76">
        <v>30</v>
      </c>
      <c r="H240" s="76">
        <v>30</v>
      </c>
      <c r="I240" s="76">
        <v>2</v>
      </c>
      <c r="J240" s="76">
        <v>1</v>
      </c>
      <c r="K240" s="76">
        <v>0</v>
      </c>
      <c r="L240" s="76">
        <v>0</v>
      </c>
      <c r="M240" s="76">
        <v>181.1</v>
      </c>
      <c r="N240" s="76">
        <v>168</v>
      </c>
      <c r="O240" s="76">
        <v>78</v>
      </c>
      <c r="P240" s="76">
        <v>68</v>
      </c>
      <c r="Q240" s="76">
        <v>19</v>
      </c>
      <c r="R240" s="76">
        <v>53</v>
      </c>
      <c r="S240" s="76">
        <v>2</v>
      </c>
      <c r="T240" s="76">
        <v>149</v>
      </c>
      <c r="U240" s="76">
        <v>748</v>
      </c>
      <c r="V240" s="76">
        <v>181.1</v>
      </c>
      <c r="W240" s="76">
        <v>0.245</v>
      </c>
      <c r="X240" s="76">
        <v>1.22</v>
      </c>
      <c r="Y240" s="76"/>
      <c r="Z240" s="76">
        <v>4</v>
      </c>
      <c r="AA240" t="s">
        <v>558</v>
      </c>
      <c r="AB240" s="76" t="s">
        <v>151</v>
      </c>
      <c r="AC240" s="76">
        <v>4</v>
      </c>
      <c r="AD240" s="76">
        <v>2</v>
      </c>
      <c r="AE240" s="76">
        <v>0</v>
      </c>
      <c r="AF240" s="76">
        <v>0</v>
      </c>
      <c r="AG240" s="76">
        <v>20</v>
      </c>
      <c r="AH240" s="76">
        <v>182</v>
      </c>
      <c r="AI240" s="76">
        <v>192</v>
      </c>
      <c r="AJ240" s="76">
        <v>11</v>
      </c>
      <c r="AK240" s="76">
        <v>3</v>
      </c>
      <c r="AL240" s="76">
        <v>5</v>
      </c>
      <c r="AM240" s="76">
        <v>1</v>
      </c>
      <c r="AN240" s="76">
        <v>0</v>
      </c>
      <c r="AO240" s="76">
        <v>2931</v>
      </c>
      <c r="AP240" s="202" t="s">
        <v>151</v>
      </c>
      <c r="AQ240" s="202">
        <v>0.5</v>
      </c>
      <c r="AR240" s="202">
        <v>0.64</v>
      </c>
      <c r="AS240" s="202">
        <v>0.22900000000000001</v>
      </c>
      <c r="AT240" s="202">
        <v>0.216</v>
      </c>
      <c r="AU240" s="202">
        <v>0.44500000000000001</v>
      </c>
      <c r="AV240" s="202">
        <v>8.0399999999999991</v>
      </c>
      <c r="AW240" s="202">
        <v>2.25</v>
      </c>
      <c r="AX240" s="202">
        <v>5.79</v>
      </c>
      <c r="AY240" s="202">
        <v>3.57</v>
      </c>
      <c r="AZ240" s="202">
        <v>16.07</v>
      </c>
    </row>
    <row r="241" spans="1:52" x14ac:dyDescent="0.2">
      <c r="A241" s="76">
        <v>15</v>
      </c>
      <c r="B241" s="41" t="s">
        <v>515</v>
      </c>
      <c r="C241" s="76" t="s">
        <v>151</v>
      </c>
      <c r="D241" s="76">
        <v>3</v>
      </c>
      <c r="E241" s="76">
        <v>6</v>
      </c>
      <c r="F241" s="76">
        <v>5.58</v>
      </c>
      <c r="G241" s="76">
        <v>11</v>
      </c>
      <c r="H241" s="76">
        <v>11</v>
      </c>
      <c r="I241" s="76">
        <v>0</v>
      </c>
      <c r="J241" s="76">
        <v>0</v>
      </c>
      <c r="K241" s="76">
        <v>0</v>
      </c>
      <c r="L241" s="76">
        <v>0</v>
      </c>
      <c r="M241" s="76">
        <v>61.1</v>
      </c>
      <c r="N241" s="76">
        <v>65</v>
      </c>
      <c r="O241" s="76">
        <v>39</v>
      </c>
      <c r="P241" s="76">
        <v>38</v>
      </c>
      <c r="Q241" s="76">
        <v>13</v>
      </c>
      <c r="R241" s="76">
        <v>22</v>
      </c>
      <c r="S241" s="76">
        <v>0</v>
      </c>
      <c r="T241" s="76">
        <v>37</v>
      </c>
      <c r="U241" s="76">
        <v>270</v>
      </c>
      <c r="V241" s="76">
        <v>61.1</v>
      </c>
      <c r="W241" s="76">
        <v>0.26700000000000002</v>
      </c>
      <c r="X241" s="76">
        <v>1.42</v>
      </c>
      <c r="Y241" s="76"/>
      <c r="Z241" s="76">
        <v>15</v>
      </c>
      <c r="AA241" t="s">
        <v>515</v>
      </c>
      <c r="AB241" s="76" t="s">
        <v>151</v>
      </c>
      <c r="AC241" s="76">
        <v>1</v>
      </c>
      <c r="AD241" s="76">
        <v>0</v>
      </c>
      <c r="AE241" s="76">
        <v>0</v>
      </c>
      <c r="AF241" s="76">
        <v>0</v>
      </c>
      <c r="AG241" s="76">
        <v>2</v>
      </c>
      <c r="AH241" s="76">
        <v>48</v>
      </c>
      <c r="AI241" s="76">
        <v>97</v>
      </c>
      <c r="AJ241" s="76">
        <v>1</v>
      </c>
      <c r="AK241" s="76">
        <v>0</v>
      </c>
      <c r="AL241" s="76">
        <v>3</v>
      </c>
      <c r="AM241" s="76">
        <v>2</v>
      </c>
      <c r="AN241" s="76">
        <v>0</v>
      </c>
      <c r="AO241" s="76">
        <v>1046</v>
      </c>
      <c r="AP241" s="202" t="s">
        <v>151</v>
      </c>
      <c r="AQ241" s="202">
        <v>1</v>
      </c>
      <c r="AR241" s="202">
        <v>3</v>
      </c>
      <c r="AS241" s="202">
        <v>0.42499999999999999</v>
      </c>
      <c r="AT241" s="202">
        <v>0.70799999999999996</v>
      </c>
      <c r="AU241" s="202">
        <v>1.1319999999999999</v>
      </c>
      <c r="AV241" s="202">
        <v>3.6</v>
      </c>
      <c r="AW241" s="202">
        <v>4.2</v>
      </c>
      <c r="AX241" s="202">
        <v>14.4</v>
      </c>
      <c r="AY241" s="202">
        <v>0.86</v>
      </c>
      <c r="AZ241" s="202">
        <v>18.2</v>
      </c>
    </row>
    <row r="242" spans="1:52" x14ac:dyDescent="0.2">
      <c r="A242" s="76">
        <v>11</v>
      </c>
      <c r="B242" s="41" t="s">
        <v>570</v>
      </c>
      <c r="C242" s="76" t="s">
        <v>151</v>
      </c>
      <c r="D242" s="76">
        <v>3</v>
      </c>
      <c r="E242" s="76">
        <v>2</v>
      </c>
      <c r="F242" s="76">
        <v>5.0199999999999996</v>
      </c>
      <c r="G242" s="76">
        <v>65</v>
      </c>
      <c r="H242" s="76">
        <v>0</v>
      </c>
      <c r="I242" s="76">
        <v>0</v>
      </c>
      <c r="J242" s="76">
        <v>0</v>
      </c>
      <c r="K242" s="76">
        <v>0</v>
      </c>
      <c r="L242" s="76">
        <v>2</v>
      </c>
      <c r="M242" s="76">
        <v>71.2</v>
      </c>
      <c r="N242" s="76">
        <v>80</v>
      </c>
      <c r="O242" s="76">
        <v>46</v>
      </c>
      <c r="P242" s="76">
        <v>40</v>
      </c>
      <c r="Q242" s="76">
        <v>13</v>
      </c>
      <c r="R242" s="76">
        <v>24</v>
      </c>
      <c r="S242" s="76">
        <v>0</v>
      </c>
      <c r="T242" s="76">
        <v>80</v>
      </c>
      <c r="U242" s="76">
        <v>315</v>
      </c>
      <c r="V242" s="76">
        <v>71.2</v>
      </c>
      <c r="W242" s="76">
        <v>0.28000000000000003</v>
      </c>
      <c r="X242" s="76">
        <v>1.45</v>
      </c>
      <c r="Y242" s="76"/>
      <c r="Z242" s="76">
        <v>11</v>
      </c>
      <c r="AA242" t="s">
        <v>570</v>
      </c>
      <c r="AB242" s="76" t="s">
        <v>151</v>
      </c>
      <c r="AC242" s="76">
        <v>3</v>
      </c>
      <c r="AD242" s="76">
        <v>0</v>
      </c>
      <c r="AE242" s="76">
        <v>23</v>
      </c>
      <c r="AF242" s="76">
        <v>2</v>
      </c>
      <c r="AG242" s="76">
        <v>7</v>
      </c>
      <c r="AH242" s="76">
        <v>53</v>
      </c>
      <c r="AI242" s="76">
        <v>75</v>
      </c>
      <c r="AJ242" s="76">
        <v>5</v>
      </c>
      <c r="AK242" s="76">
        <v>0</v>
      </c>
      <c r="AL242" s="76">
        <v>13</v>
      </c>
      <c r="AM242" s="76">
        <v>1</v>
      </c>
      <c r="AN242" s="76">
        <v>2</v>
      </c>
      <c r="AO242" s="76">
        <v>1287</v>
      </c>
      <c r="AP242" s="202" t="s">
        <v>151</v>
      </c>
      <c r="AQ242" s="202">
        <v>0.375</v>
      </c>
      <c r="AR242" s="202">
        <v>0.55000000000000004</v>
      </c>
      <c r="AS242" s="202">
        <v>0.28699999999999998</v>
      </c>
      <c r="AT242" s="202">
        <v>0.41399999999999998</v>
      </c>
      <c r="AU242" s="202">
        <v>0.70099999999999996</v>
      </c>
      <c r="AV242" s="202">
        <v>8.5299999999999994</v>
      </c>
      <c r="AW242" s="202">
        <v>1.58</v>
      </c>
      <c r="AX242" s="202">
        <v>9.16</v>
      </c>
      <c r="AY242" s="202">
        <v>5.4</v>
      </c>
      <c r="AZ242" s="202">
        <v>14.63</v>
      </c>
    </row>
    <row r="243" spans="1:52" x14ac:dyDescent="0.2">
      <c r="A243" s="76">
        <v>8</v>
      </c>
      <c r="B243" t="s">
        <v>1349</v>
      </c>
      <c r="C243" s="76" t="s">
        <v>151</v>
      </c>
      <c r="D243" s="76">
        <v>1</v>
      </c>
      <c r="E243" s="76">
        <v>3</v>
      </c>
      <c r="F243" s="76">
        <v>4.1500000000000004</v>
      </c>
      <c r="G243" s="76">
        <v>16</v>
      </c>
      <c r="H243" s="76">
        <v>0</v>
      </c>
      <c r="I243" s="76">
        <v>0</v>
      </c>
      <c r="J243" s="76">
        <v>0</v>
      </c>
      <c r="K243" s="76">
        <v>0</v>
      </c>
      <c r="L243" s="76">
        <v>1</v>
      </c>
      <c r="M243" s="76">
        <v>17.100000000000001</v>
      </c>
      <c r="N243" s="76">
        <v>14</v>
      </c>
      <c r="O243" s="76">
        <v>8</v>
      </c>
      <c r="P243" s="76">
        <v>8</v>
      </c>
      <c r="Q243" s="76">
        <v>2</v>
      </c>
      <c r="R243" s="76">
        <v>11</v>
      </c>
      <c r="S243" s="76">
        <v>1</v>
      </c>
      <c r="T243" s="76">
        <v>14</v>
      </c>
      <c r="U243" s="76">
        <v>72</v>
      </c>
      <c r="V243" s="76">
        <v>17.100000000000001</v>
      </c>
      <c r="W243" s="76">
        <v>0.23699999999999999</v>
      </c>
      <c r="X243" s="76">
        <v>1.44</v>
      </c>
      <c r="Y243" s="76"/>
      <c r="Z243" s="76">
        <v>8</v>
      </c>
      <c r="AA243" t="s">
        <v>1349</v>
      </c>
      <c r="AB243" s="76" t="s">
        <v>151</v>
      </c>
      <c r="AC243" s="76">
        <v>0</v>
      </c>
      <c r="AD243" s="76">
        <v>1</v>
      </c>
      <c r="AE243" s="76">
        <v>2</v>
      </c>
      <c r="AF243" s="76">
        <v>1</v>
      </c>
      <c r="AG243" s="76">
        <v>3</v>
      </c>
      <c r="AH243" s="76">
        <v>21</v>
      </c>
      <c r="AI243" s="76">
        <v>12</v>
      </c>
      <c r="AJ243" s="76">
        <v>0</v>
      </c>
      <c r="AK243" s="76">
        <v>0</v>
      </c>
      <c r="AL243" s="76">
        <v>0</v>
      </c>
      <c r="AM243" s="76">
        <v>0</v>
      </c>
      <c r="AN243" s="76">
        <v>0</v>
      </c>
      <c r="AO243" s="76">
        <v>306</v>
      </c>
      <c r="AP243" s="202" t="s">
        <v>151</v>
      </c>
      <c r="AQ243" s="202">
        <v>0.71399999999999997</v>
      </c>
      <c r="AR243" s="202">
        <v>1.03</v>
      </c>
      <c r="AS243" s="202">
        <v>0.376</v>
      </c>
      <c r="AT243" s="202">
        <v>0.48099999999999998</v>
      </c>
      <c r="AU243" s="202">
        <v>0.85599999999999998</v>
      </c>
      <c r="AV243" s="202">
        <v>8.44</v>
      </c>
      <c r="AW243" s="202">
        <v>3.38</v>
      </c>
      <c r="AX243" s="202">
        <v>12.05</v>
      </c>
      <c r="AY243" s="202">
        <v>2.5</v>
      </c>
      <c r="AZ243" s="202">
        <v>17.809999999999999</v>
      </c>
    </row>
    <row r="244" spans="1:52" x14ac:dyDescent="0.2">
      <c r="A244" s="225" t="s">
        <v>105</v>
      </c>
      <c r="B244" s="225" t="s">
        <v>106</v>
      </c>
      <c r="C244" s="225" t="s">
        <v>157</v>
      </c>
      <c r="D244" s="225" t="s">
        <v>85</v>
      </c>
      <c r="E244" s="225" t="s">
        <v>86</v>
      </c>
      <c r="F244" s="225" t="s">
        <v>107</v>
      </c>
      <c r="G244" s="225" t="s">
        <v>108</v>
      </c>
      <c r="H244" s="225" t="s">
        <v>88</v>
      </c>
      <c r="I244" s="225" t="s">
        <v>89</v>
      </c>
      <c r="J244" s="225" t="s">
        <v>1073</v>
      </c>
      <c r="K244" s="225" t="s">
        <v>90</v>
      </c>
      <c r="L244" s="225" t="s">
        <v>158</v>
      </c>
      <c r="M244" s="225" t="s">
        <v>91</v>
      </c>
      <c r="N244" s="225" t="s">
        <v>92</v>
      </c>
      <c r="O244" s="225" t="s">
        <v>93</v>
      </c>
      <c r="P244" s="225" t="s">
        <v>94</v>
      </c>
      <c r="Q244" s="225" t="s">
        <v>95</v>
      </c>
      <c r="R244" s="225" t="s">
        <v>96</v>
      </c>
      <c r="S244" s="225" t="s">
        <v>98</v>
      </c>
      <c r="T244" s="225" t="s">
        <v>97</v>
      </c>
      <c r="U244" s="225" t="s">
        <v>109</v>
      </c>
      <c r="V244" s="225" t="s">
        <v>91</v>
      </c>
      <c r="W244" s="225" t="s">
        <v>1071</v>
      </c>
      <c r="X244" s="225" t="s">
        <v>1072</v>
      </c>
      <c r="Y244" s="225"/>
      <c r="Z244" s="225" t="s">
        <v>105</v>
      </c>
      <c r="AA244" s="225" t="s">
        <v>106</v>
      </c>
      <c r="AB244" s="225" t="s">
        <v>157</v>
      </c>
      <c r="AC244" s="225" t="s">
        <v>1074</v>
      </c>
      <c r="AD244" s="225" t="s">
        <v>98</v>
      </c>
      <c r="AE244" s="225" t="s">
        <v>1075</v>
      </c>
      <c r="AF244" s="225" t="s">
        <v>1076</v>
      </c>
      <c r="AG244" s="225" t="s">
        <v>1077</v>
      </c>
      <c r="AH244" s="225" t="s">
        <v>1066</v>
      </c>
      <c r="AI244" s="225" t="s">
        <v>1067</v>
      </c>
      <c r="AJ244" s="225" t="s">
        <v>1078</v>
      </c>
      <c r="AK244" s="225" t="s">
        <v>1079</v>
      </c>
      <c r="AL244" s="225" t="s">
        <v>1057</v>
      </c>
      <c r="AM244" s="225" t="s">
        <v>1058</v>
      </c>
      <c r="AN244" s="225" t="s">
        <v>1080</v>
      </c>
      <c r="AO244" s="225" t="s">
        <v>1069</v>
      </c>
      <c r="AP244" s="202" t="s">
        <v>152</v>
      </c>
      <c r="AQ244" s="202" t="s">
        <v>243</v>
      </c>
      <c r="AR244" s="202">
        <v>1</v>
      </c>
      <c r="AS244" s="202">
        <v>0.5</v>
      </c>
      <c r="AT244" s="202">
        <v>0</v>
      </c>
      <c r="AU244" s="202">
        <v>0.5</v>
      </c>
      <c r="AV244" s="202">
        <v>0</v>
      </c>
      <c r="AW244" s="202">
        <v>13.5</v>
      </c>
      <c r="AX244" s="202">
        <v>0</v>
      </c>
      <c r="AY244" s="202">
        <v>0</v>
      </c>
      <c r="AZ244" s="202">
        <v>25.5</v>
      </c>
    </row>
    <row r="245" spans="1:52" x14ac:dyDescent="0.2">
      <c r="A245" s="76">
        <v>27</v>
      </c>
      <c r="B245" t="s">
        <v>1362</v>
      </c>
      <c r="C245" s="76" t="s">
        <v>152</v>
      </c>
      <c r="D245" s="76">
        <v>1</v>
      </c>
      <c r="E245" s="76">
        <v>2</v>
      </c>
      <c r="F245" s="76">
        <v>7.62</v>
      </c>
      <c r="G245" s="76">
        <v>13</v>
      </c>
      <c r="H245" s="76">
        <v>0</v>
      </c>
      <c r="I245" s="76">
        <v>0</v>
      </c>
      <c r="J245" s="76">
        <v>0</v>
      </c>
      <c r="K245" s="76">
        <v>0</v>
      </c>
      <c r="L245" s="76">
        <v>0</v>
      </c>
      <c r="M245" s="76">
        <v>13</v>
      </c>
      <c r="N245" s="76">
        <v>13</v>
      </c>
      <c r="O245" s="76">
        <v>11</v>
      </c>
      <c r="P245" s="76">
        <v>11</v>
      </c>
      <c r="Q245" s="76">
        <v>2</v>
      </c>
      <c r="R245" s="76">
        <v>5</v>
      </c>
      <c r="S245" s="76">
        <v>0</v>
      </c>
      <c r="T245" s="76">
        <v>15</v>
      </c>
      <c r="U245" s="76">
        <v>57</v>
      </c>
      <c r="V245" s="76">
        <v>13</v>
      </c>
      <c r="W245" s="76">
        <v>0.26</v>
      </c>
      <c r="X245" s="76">
        <v>1.38</v>
      </c>
      <c r="Y245" s="76"/>
      <c r="Z245" s="76">
        <v>27</v>
      </c>
      <c r="AA245" t="s">
        <v>1362</v>
      </c>
      <c r="AB245" s="76" t="s">
        <v>152</v>
      </c>
      <c r="AC245" s="76">
        <v>2</v>
      </c>
      <c r="AD245" s="76">
        <v>0</v>
      </c>
      <c r="AE245" s="76">
        <v>5</v>
      </c>
      <c r="AF245" s="76">
        <v>0</v>
      </c>
      <c r="AG245" s="76">
        <v>0</v>
      </c>
      <c r="AH245" s="76">
        <v>11</v>
      </c>
      <c r="AI245" s="76">
        <v>11</v>
      </c>
      <c r="AJ245" s="76">
        <v>0</v>
      </c>
      <c r="AK245" s="76">
        <v>0</v>
      </c>
      <c r="AL245" s="76">
        <v>1</v>
      </c>
      <c r="AM245" s="76">
        <v>1</v>
      </c>
      <c r="AN245" s="76">
        <v>0</v>
      </c>
      <c r="AO245" s="76">
        <v>235</v>
      </c>
      <c r="AP245" s="202" t="s">
        <v>153</v>
      </c>
      <c r="AQ245" s="202">
        <v>0.42899999999999999</v>
      </c>
      <c r="AR245" s="202">
        <v>1</v>
      </c>
      <c r="AS245" s="202">
        <v>0.371</v>
      </c>
      <c r="AT245" s="202">
        <v>0.50700000000000001</v>
      </c>
      <c r="AU245" s="202">
        <v>0.878</v>
      </c>
      <c r="AV245" s="202">
        <v>6.18</v>
      </c>
      <c r="AW245" s="202">
        <v>2.4700000000000002</v>
      </c>
      <c r="AX245" s="202">
        <v>11.82</v>
      </c>
      <c r="AY245" s="202">
        <v>2.5</v>
      </c>
      <c r="AZ245" s="202">
        <v>16.22</v>
      </c>
    </row>
    <row r="246" spans="1:52" x14ac:dyDescent="0.2">
      <c r="A246" s="76">
        <v>7</v>
      </c>
      <c r="B246" s="41" t="s">
        <v>592</v>
      </c>
      <c r="C246" s="76" t="s">
        <v>152</v>
      </c>
      <c r="D246" s="76">
        <v>3</v>
      </c>
      <c r="E246" s="76">
        <v>6</v>
      </c>
      <c r="F246" s="76">
        <v>3.08</v>
      </c>
      <c r="G246" s="76">
        <v>73</v>
      </c>
      <c r="H246" s="76">
        <v>0</v>
      </c>
      <c r="I246" s="76">
        <v>0</v>
      </c>
      <c r="J246" s="76">
        <v>0</v>
      </c>
      <c r="K246" s="76">
        <v>12</v>
      </c>
      <c r="L246" s="76">
        <v>17</v>
      </c>
      <c r="M246" s="76">
        <v>73</v>
      </c>
      <c r="N246" s="76">
        <v>54</v>
      </c>
      <c r="O246" s="76">
        <v>31</v>
      </c>
      <c r="P246" s="76">
        <v>25</v>
      </c>
      <c r="Q246" s="76">
        <v>5</v>
      </c>
      <c r="R246" s="76">
        <v>28</v>
      </c>
      <c r="S246" s="76">
        <v>0</v>
      </c>
      <c r="T246" s="76">
        <v>126</v>
      </c>
      <c r="U246" s="76">
        <v>299</v>
      </c>
      <c r="V246" s="76">
        <v>73</v>
      </c>
      <c r="W246" s="76">
        <v>0.20100000000000001</v>
      </c>
      <c r="X246" s="76">
        <v>1.1200000000000001</v>
      </c>
      <c r="Y246" s="76"/>
      <c r="Z246" s="76">
        <v>7</v>
      </c>
      <c r="AA246" t="s">
        <v>592</v>
      </c>
      <c r="AB246" s="76" t="s">
        <v>152</v>
      </c>
      <c r="AC246" s="76">
        <v>1</v>
      </c>
      <c r="AD246" s="76">
        <v>0</v>
      </c>
      <c r="AE246" s="76">
        <v>20</v>
      </c>
      <c r="AF246" s="76">
        <v>28</v>
      </c>
      <c r="AG246" s="76">
        <v>4</v>
      </c>
      <c r="AH246" s="76">
        <v>54</v>
      </c>
      <c r="AI246" s="76">
        <v>36</v>
      </c>
      <c r="AJ246" s="76">
        <v>6</v>
      </c>
      <c r="AK246" s="76">
        <v>0</v>
      </c>
      <c r="AL246" s="76">
        <v>21</v>
      </c>
      <c r="AM246" s="76">
        <v>0</v>
      </c>
      <c r="AN246" s="76">
        <v>0</v>
      </c>
      <c r="AO246" s="76">
        <v>1250</v>
      </c>
      <c r="AP246" s="202" t="s">
        <v>152</v>
      </c>
      <c r="AQ246" s="202" t="s">
        <v>243</v>
      </c>
      <c r="AR246" s="202">
        <v>0.71</v>
      </c>
      <c r="AS246" s="202">
        <v>0.3</v>
      </c>
      <c r="AT246" s="202">
        <v>0.17599999999999999</v>
      </c>
      <c r="AU246" s="202">
        <v>0.47599999999999998</v>
      </c>
      <c r="AV246" s="202">
        <v>5.4</v>
      </c>
      <c r="AW246" s="202">
        <v>5.4</v>
      </c>
      <c r="AX246" s="202">
        <v>5.4</v>
      </c>
      <c r="AY246" s="202">
        <v>1</v>
      </c>
      <c r="AZ246" s="202">
        <v>17.2</v>
      </c>
    </row>
    <row r="247" spans="1:52" x14ac:dyDescent="0.2">
      <c r="A247" s="76">
        <v>2</v>
      </c>
      <c r="B247" s="41" t="s">
        <v>1355</v>
      </c>
      <c r="C247" s="76" t="s">
        <v>152</v>
      </c>
      <c r="D247" s="76">
        <v>0</v>
      </c>
      <c r="E247" s="76">
        <v>0</v>
      </c>
      <c r="F247" s="76">
        <v>1.96</v>
      </c>
      <c r="G247" s="76">
        <v>23</v>
      </c>
      <c r="H247" s="76">
        <v>0</v>
      </c>
      <c r="I247" s="76">
        <v>0</v>
      </c>
      <c r="J247" s="76">
        <v>0</v>
      </c>
      <c r="K247" s="76">
        <v>0</v>
      </c>
      <c r="L247" s="76">
        <v>0</v>
      </c>
      <c r="M247" s="76">
        <v>23</v>
      </c>
      <c r="N247" s="76">
        <v>20</v>
      </c>
      <c r="O247" s="76">
        <v>6</v>
      </c>
      <c r="P247" s="76">
        <v>5</v>
      </c>
      <c r="Q247" s="76">
        <v>0</v>
      </c>
      <c r="R247" s="76">
        <v>4</v>
      </c>
      <c r="S247" s="76">
        <v>0</v>
      </c>
      <c r="T247" s="76">
        <v>13</v>
      </c>
      <c r="U247" s="76">
        <v>92</v>
      </c>
      <c r="V247" s="76">
        <v>23</v>
      </c>
      <c r="W247" s="76">
        <v>0.23300000000000001</v>
      </c>
      <c r="X247" s="76">
        <v>1.04</v>
      </c>
      <c r="Y247" s="76"/>
      <c r="Z247" s="76">
        <v>2</v>
      </c>
      <c r="AA247" t="s">
        <v>1355</v>
      </c>
      <c r="AB247" s="76" t="s">
        <v>152</v>
      </c>
      <c r="AC247" s="76">
        <v>1</v>
      </c>
      <c r="AD247" s="76">
        <v>0</v>
      </c>
      <c r="AE247" s="76">
        <v>8</v>
      </c>
      <c r="AF247" s="76">
        <v>2</v>
      </c>
      <c r="AG247" s="76">
        <v>3</v>
      </c>
      <c r="AH247" s="76">
        <v>35</v>
      </c>
      <c r="AI247" s="76">
        <v>19</v>
      </c>
      <c r="AJ247" s="76">
        <v>0</v>
      </c>
      <c r="AK247" s="76">
        <v>0</v>
      </c>
      <c r="AL247" s="76">
        <v>2</v>
      </c>
      <c r="AM247" s="76">
        <v>0</v>
      </c>
      <c r="AN247" s="76">
        <v>0</v>
      </c>
      <c r="AO247" s="76">
        <v>349</v>
      </c>
      <c r="AP247" s="202" t="s">
        <v>152</v>
      </c>
      <c r="AQ247" s="202">
        <v>0</v>
      </c>
      <c r="AR247" s="202">
        <v>1.71</v>
      </c>
      <c r="AS247" s="202">
        <v>0.35399999999999998</v>
      </c>
      <c r="AT247" s="202">
        <v>0.42399999999999999</v>
      </c>
      <c r="AU247" s="202">
        <v>0.77700000000000002</v>
      </c>
      <c r="AV247" s="202">
        <v>7.84</v>
      </c>
      <c r="AW247" s="202">
        <v>2.61</v>
      </c>
      <c r="AX247" s="202">
        <v>12.19</v>
      </c>
      <c r="AY247" s="202">
        <v>3</v>
      </c>
      <c r="AZ247" s="202">
        <v>18.920000000000002</v>
      </c>
    </row>
    <row r="248" spans="1:52" x14ac:dyDescent="0.2">
      <c r="A248" s="76">
        <v>12</v>
      </c>
      <c r="B248" s="41" t="s">
        <v>1357</v>
      </c>
      <c r="C248" s="76" t="s">
        <v>152</v>
      </c>
      <c r="D248" s="76">
        <v>4</v>
      </c>
      <c r="E248" s="76">
        <v>4</v>
      </c>
      <c r="F248" s="76">
        <v>4.3499999999999996</v>
      </c>
      <c r="G248" s="76">
        <v>17</v>
      </c>
      <c r="H248" s="76">
        <v>9</v>
      </c>
      <c r="I248" s="76">
        <v>0</v>
      </c>
      <c r="J248" s="76">
        <v>0</v>
      </c>
      <c r="K248" s="76">
        <v>0</v>
      </c>
      <c r="L248" s="76">
        <v>0</v>
      </c>
      <c r="M248" s="76">
        <v>70.099999999999994</v>
      </c>
      <c r="N248" s="76">
        <v>64</v>
      </c>
      <c r="O248" s="76">
        <v>36</v>
      </c>
      <c r="P248" s="76">
        <v>34</v>
      </c>
      <c r="Q248" s="76">
        <v>16</v>
      </c>
      <c r="R248" s="76">
        <v>14</v>
      </c>
      <c r="S248" s="76">
        <v>0</v>
      </c>
      <c r="T248" s="76">
        <v>46</v>
      </c>
      <c r="U248" s="76">
        <v>285</v>
      </c>
      <c r="V248" s="76">
        <v>70.099999999999994</v>
      </c>
      <c r="W248" s="76">
        <v>0.24099999999999999</v>
      </c>
      <c r="X248" s="76">
        <v>1.1100000000000001</v>
      </c>
      <c r="Y248" s="76"/>
      <c r="Z248" s="76">
        <v>12</v>
      </c>
      <c r="AA248" t="s">
        <v>1357</v>
      </c>
      <c r="AB248" s="76" t="s">
        <v>152</v>
      </c>
      <c r="AC248" s="76">
        <v>3</v>
      </c>
      <c r="AD248" s="76">
        <v>0</v>
      </c>
      <c r="AE248" s="76">
        <v>5</v>
      </c>
      <c r="AF248" s="76">
        <v>0</v>
      </c>
      <c r="AG248" s="76">
        <v>3</v>
      </c>
      <c r="AH248" s="76">
        <v>80</v>
      </c>
      <c r="AI248" s="76">
        <v>78</v>
      </c>
      <c r="AJ248" s="76">
        <v>2</v>
      </c>
      <c r="AK248" s="76">
        <v>0</v>
      </c>
      <c r="AL248" s="76">
        <v>4</v>
      </c>
      <c r="AM248" s="76">
        <v>1</v>
      </c>
      <c r="AN248" s="76">
        <v>0</v>
      </c>
      <c r="AO248" s="76">
        <v>1052</v>
      </c>
      <c r="AP248" s="202" t="s">
        <v>152</v>
      </c>
      <c r="AQ248" s="202">
        <v>0.5</v>
      </c>
      <c r="AR248" s="202">
        <v>0.88</v>
      </c>
      <c r="AS248" s="202">
        <v>0.309</v>
      </c>
      <c r="AT248" s="202">
        <v>0.41299999999999998</v>
      </c>
      <c r="AU248" s="202">
        <v>0.72199999999999998</v>
      </c>
      <c r="AV248" s="202">
        <v>8.6199999999999992</v>
      </c>
      <c r="AW248" s="202">
        <v>2.87</v>
      </c>
      <c r="AX248" s="202">
        <v>9.19</v>
      </c>
      <c r="AY248" s="202">
        <v>3</v>
      </c>
      <c r="AZ248" s="202">
        <v>17.87</v>
      </c>
    </row>
    <row r="249" spans="1:52" x14ac:dyDescent="0.2">
      <c r="A249" s="76">
        <v>3</v>
      </c>
      <c r="B249" t="s">
        <v>355</v>
      </c>
      <c r="C249" s="76" t="s">
        <v>152</v>
      </c>
      <c r="D249" s="76">
        <v>3</v>
      </c>
      <c r="E249" s="76">
        <v>0</v>
      </c>
      <c r="F249" s="76">
        <v>2.0099999999999998</v>
      </c>
      <c r="G249" s="76">
        <v>31</v>
      </c>
      <c r="H249" s="76">
        <v>0</v>
      </c>
      <c r="I249" s="76">
        <v>0</v>
      </c>
      <c r="J249" s="76">
        <v>0</v>
      </c>
      <c r="K249" s="76">
        <v>20</v>
      </c>
      <c r="L249" s="76">
        <v>21</v>
      </c>
      <c r="M249" s="76">
        <v>31.1</v>
      </c>
      <c r="N249" s="76">
        <v>20</v>
      </c>
      <c r="O249" s="76">
        <v>8</v>
      </c>
      <c r="P249" s="76">
        <v>7</v>
      </c>
      <c r="Q249" s="76">
        <v>2</v>
      </c>
      <c r="R249" s="76">
        <v>8</v>
      </c>
      <c r="S249" s="76">
        <v>0</v>
      </c>
      <c r="T249" s="76">
        <v>44</v>
      </c>
      <c r="U249" s="76">
        <v>120</v>
      </c>
      <c r="V249" s="76">
        <v>31.1</v>
      </c>
      <c r="W249" s="76">
        <v>0.17899999999999999</v>
      </c>
      <c r="X249" s="76">
        <v>0.89</v>
      </c>
      <c r="Y249" s="76"/>
      <c r="Z249" s="76">
        <v>3</v>
      </c>
      <c r="AA249" t="s">
        <v>355</v>
      </c>
      <c r="AB249" s="76" t="s">
        <v>152</v>
      </c>
      <c r="AC249" s="76">
        <v>0</v>
      </c>
      <c r="AD249" s="76">
        <v>0</v>
      </c>
      <c r="AE249" s="76">
        <v>29</v>
      </c>
      <c r="AF249" s="76">
        <v>0</v>
      </c>
      <c r="AG249" s="76">
        <v>2</v>
      </c>
      <c r="AH249" s="76">
        <v>21</v>
      </c>
      <c r="AI249" s="76">
        <v>27</v>
      </c>
      <c r="AJ249" s="76">
        <v>2</v>
      </c>
      <c r="AK249" s="76">
        <v>1</v>
      </c>
      <c r="AL249" s="76">
        <v>0</v>
      </c>
      <c r="AM249" s="76">
        <v>1</v>
      </c>
      <c r="AN249" s="76">
        <v>1</v>
      </c>
      <c r="AO249" s="76">
        <v>528</v>
      </c>
      <c r="AP249" s="202" t="s">
        <v>152</v>
      </c>
      <c r="AQ249" s="202">
        <v>0.6</v>
      </c>
      <c r="AR249" s="202">
        <v>1.05</v>
      </c>
      <c r="AS249" s="202">
        <v>0.23699999999999999</v>
      </c>
      <c r="AT249" s="202">
        <v>0.23899999999999999</v>
      </c>
      <c r="AU249" s="202">
        <v>0.47499999999999998</v>
      </c>
      <c r="AV249" s="202">
        <v>14.59</v>
      </c>
      <c r="AW249" s="202">
        <v>2.92</v>
      </c>
      <c r="AX249" s="202">
        <v>4.82</v>
      </c>
      <c r="AY249" s="202">
        <v>5</v>
      </c>
      <c r="AZ249" s="202">
        <v>15.66</v>
      </c>
    </row>
    <row r="250" spans="1:52" x14ac:dyDescent="0.2">
      <c r="A250" s="76">
        <v>4</v>
      </c>
      <c r="B250" s="41" t="s">
        <v>474</v>
      </c>
      <c r="C250" s="76" t="s">
        <v>152</v>
      </c>
      <c r="D250" s="76">
        <v>2</v>
      </c>
      <c r="E250" s="76">
        <v>3</v>
      </c>
      <c r="F250" s="76">
        <v>2.4900000000000002</v>
      </c>
      <c r="G250" s="76">
        <v>29</v>
      </c>
      <c r="H250" s="76">
        <v>0</v>
      </c>
      <c r="I250" s="76">
        <v>0</v>
      </c>
      <c r="J250" s="76">
        <v>0</v>
      </c>
      <c r="K250" s="76">
        <v>2</v>
      </c>
      <c r="L250" s="76">
        <v>3</v>
      </c>
      <c r="M250" s="76">
        <v>25.1</v>
      </c>
      <c r="N250" s="76">
        <v>20</v>
      </c>
      <c r="O250" s="76">
        <v>9</v>
      </c>
      <c r="P250" s="76">
        <v>7</v>
      </c>
      <c r="Q250" s="76">
        <v>3</v>
      </c>
      <c r="R250" s="76">
        <v>11</v>
      </c>
      <c r="S250" s="76">
        <v>2</v>
      </c>
      <c r="T250" s="76">
        <v>26</v>
      </c>
      <c r="U250" s="76">
        <v>107</v>
      </c>
      <c r="V250" s="76">
        <v>25.1</v>
      </c>
      <c r="W250" s="76">
        <v>0.21099999999999999</v>
      </c>
      <c r="X250" s="76">
        <v>1.22</v>
      </c>
      <c r="Y250" s="76"/>
      <c r="Z250" s="76">
        <v>4</v>
      </c>
      <c r="AA250" t="s">
        <v>474</v>
      </c>
      <c r="AB250" s="76" t="s">
        <v>152</v>
      </c>
      <c r="AC250" s="76">
        <v>1</v>
      </c>
      <c r="AD250" s="76">
        <v>2</v>
      </c>
      <c r="AE250" s="76">
        <v>7</v>
      </c>
      <c r="AF250" s="76">
        <v>12</v>
      </c>
      <c r="AG250" s="76">
        <v>1</v>
      </c>
      <c r="AH250" s="76">
        <v>14</v>
      </c>
      <c r="AI250" s="76">
        <v>35</v>
      </c>
      <c r="AJ250" s="76">
        <v>4</v>
      </c>
      <c r="AK250" s="76">
        <v>0</v>
      </c>
      <c r="AL250" s="76">
        <v>1</v>
      </c>
      <c r="AM250" s="76">
        <v>0</v>
      </c>
      <c r="AN250" s="76">
        <v>0</v>
      </c>
      <c r="AO250" s="76">
        <v>435</v>
      </c>
      <c r="AP250" s="202" t="s">
        <v>152</v>
      </c>
      <c r="AQ250" s="202">
        <v>0</v>
      </c>
      <c r="AR250" s="202">
        <v>1.57</v>
      </c>
      <c r="AS250" s="202">
        <v>0.38500000000000001</v>
      </c>
      <c r="AT250" s="202">
        <v>0.432</v>
      </c>
      <c r="AU250" s="202">
        <v>0.81699999999999995</v>
      </c>
      <c r="AV250" s="202">
        <v>8.8000000000000007</v>
      </c>
      <c r="AW250" s="202">
        <v>4.8499999999999996</v>
      </c>
      <c r="AX250" s="202">
        <v>11.22</v>
      </c>
      <c r="AY250" s="202">
        <v>1.81</v>
      </c>
      <c r="AZ250" s="202">
        <v>20.09</v>
      </c>
    </row>
    <row r="251" spans="1:52" x14ac:dyDescent="0.2">
      <c r="A251" s="76">
        <v>24</v>
      </c>
      <c r="B251" t="s">
        <v>544</v>
      </c>
      <c r="C251" s="76" t="s">
        <v>152</v>
      </c>
      <c r="D251" s="76">
        <v>0</v>
      </c>
      <c r="E251" s="76">
        <v>0</v>
      </c>
      <c r="F251" s="76">
        <v>6</v>
      </c>
      <c r="G251" s="76">
        <v>3</v>
      </c>
      <c r="H251" s="76">
        <v>0</v>
      </c>
      <c r="I251" s="76">
        <v>0</v>
      </c>
      <c r="J251" s="76">
        <v>0</v>
      </c>
      <c r="K251" s="76">
        <v>0</v>
      </c>
      <c r="L251" s="76">
        <v>0</v>
      </c>
      <c r="M251" s="76">
        <v>6</v>
      </c>
      <c r="N251" s="76">
        <v>7</v>
      </c>
      <c r="O251" s="76">
        <v>5</v>
      </c>
      <c r="P251" s="76">
        <v>4</v>
      </c>
      <c r="Q251" s="76">
        <v>1</v>
      </c>
      <c r="R251" s="76">
        <v>4</v>
      </c>
      <c r="S251" s="76">
        <v>0</v>
      </c>
      <c r="T251" s="76">
        <v>1</v>
      </c>
      <c r="U251" s="76">
        <v>29</v>
      </c>
      <c r="V251" s="76">
        <v>6</v>
      </c>
      <c r="W251" s="76">
        <v>0.29199999999999998</v>
      </c>
      <c r="X251" s="76">
        <v>1.83</v>
      </c>
      <c r="Y251" s="76"/>
      <c r="Z251" s="76">
        <v>24</v>
      </c>
      <c r="AA251" t="s">
        <v>544</v>
      </c>
      <c r="AB251" s="76" t="s">
        <v>152</v>
      </c>
      <c r="AC251" s="76">
        <v>1</v>
      </c>
      <c r="AD251" s="76">
        <v>0</v>
      </c>
      <c r="AE251" s="76">
        <v>2</v>
      </c>
      <c r="AF251" s="76">
        <v>0</v>
      </c>
      <c r="AG251" s="76">
        <v>1</v>
      </c>
      <c r="AH251" s="76">
        <v>9</v>
      </c>
      <c r="AI251" s="76">
        <v>7</v>
      </c>
      <c r="AJ251" s="76">
        <v>0</v>
      </c>
      <c r="AK251" s="76">
        <v>0</v>
      </c>
      <c r="AL251" s="76">
        <v>0</v>
      </c>
      <c r="AM251" s="76">
        <v>0</v>
      </c>
      <c r="AN251" s="76">
        <v>0</v>
      </c>
      <c r="AO251" s="76">
        <v>100</v>
      </c>
      <c r="AP251" s="202" t="s">
        <v>153</v>
      </c>
      <c r="AQ251" s="202">
        <v>0.5</v>
      </c>
      <c r="AR251" s="202">
        <v>0.67</v>
      </c>
      <c r="AS251" s="202">
        <v>0.32200000000000001</v>
      </c>
      <c r="AT251" s="202">
        <v>0.49199999999999999</v>
      </c>
      <c r="AU251" s="202">
        <v>0.81299999999999994</v>
      </c>
      <c r="AV251" s="202">
        <v>8.5</v>
      </c>
      <c r="AW251" s="202">
        <v>3.59</v>
      </c>
      <c r="AX251" s="202">
        <v>8.5</v>
      </c>
      <c r="AY251" s="202">
        <v>2.37</v>
      </c>
      <c r="AZ251" s="202">
        <v>17.48</v>
      </c>
    </row>
    <row r="252" spans="1:52" x14ac:dyDescent="0.2">
      <c r="A252" s="76">
        <v>15</v>
      </c>
      <c r="B252" s="41" t="s">
        <v>393</v>
      </c>
      <c r="C252" s="76" t="s">
        <v>152</v>
      </c>
      <c r="D252" s="76">
        <v>9</v>
      </c>
      <c r="E252" s="76">
        <v>8</v>
      </c>
      <c r="F252" s="76">
        <v>4.76</v>
      </c>
      <c r="G252" s="76">
        <v>24</v>
      </c>
      <c r="H252" s="76">
        <v>21</v>
      </c>
      <c r="I252" s="76">
        <v>0</v>
      </c>
      <c r="J252" s="76">
        <v>0</v>
      </c>
      <c r="K252" s="76">
        <v>0</v>
      </c>
      <c r="L252" s="76">
        <v>0</v>
      </c>
      <c r="M252" s="76">
        <v>124.2</v>
      </c>
      <c r="N252" s="76">
        <v>123</v>
      </c>
      <c r="O252" s="76">
        <v>66</v>
      </c>
      <c r="P252" s="76">
        <v>66</v>
      </c>
      <c r="Q252" s="76">
        <v>23</v>
      </c>
      <c r="R252" s="76">
        <v>40</v>
      </c>
      <c r="S252" s="76">
        <v>2</v>
      </c>
      <c r="T252" s="76">
        <v>97</v>
      </c>
      <c r="U252" s="76">
        <v>525</v>
      </c>
      <c r="V252" s="76">
        <v>124.2</v>
      </c>
      <c r="W252" s="76">
        <v>0.255</v>
      </c>
      <c r="X252" s="76">
        <v>1.31</v>
      </c>
      <c r="Y252" s="76"/>
      <c r="Z252" s="76">
        <v>15</v>
      </c>
      <c r="AA252" t="s">
        <v>393</v>
      </c>
      <c r="AB252" s="76" t="s">
        <v>152</v>
      </c>
      <c r="AC252" s="76">
        <v>1</v>
      </c>
      <c r="AD252" s="76">
        <v>2</v>
      </c>
      <c r="AE252" s="76">
        <v>2</v>
      </c>
      <c r="AF252" s="76">
        <v>0</v>
      </c>
      <c r="AG252" s="76">
        <v>8</v>
      </c>
      <c r="AH252" s="76">
        <v>150</v>
      </c>
      <c r="AI252" s="76">
        <v>114</v>
      </c>
      <c r="AJ252" s="76">
        <v>5</v>
      </c>
      <c r="AK252" s="76">
        <v>0</v>
      </c>
      <c r="AL252" s="76">
        <v>1</v>
      </c>
      <c r="AM252" s="76">
        <v>4</v>
      </c>
      <c r="AN252" s="76">
        <v>2</v>
      </c>
      <c r="AO252" s="76">
        <v>2064</v>
      </c>
      <c r="AP252" s="202" t="s">
        <v>152</v>
      </c>
      <c r="AQ252" s="202" t="s">
        <v>243</v>
      </c>
      <c r="AR252" s="202">
        <v>0.5</v>
      </c>
      <c r="AS252" s="202">
        <v>0.25</v>
      </c>
      <c r="AT252" s="202">
        <v>0.66700000000000004</v>
      </c>
      <c r="AU252" s="202">
        <v>0.91700000000000004</v>
      </c>
      <c r="AV252" s="202">
        <v>9</v>
      </c>
      <c r="AW252" s="202">
        <v>0</v>
      </c>
      <c r="AX252" s="202">
        <v>9</v>
      </c>
      <c r="AY252" s="202" t="s">
        <v>243</v>
      </c>
      <c r="AZ252" s="202">
        <v>13.67</v>
      </c>
    </row>
    <row r="253" spans="1:52" x14ac:dyDescent="0.2">
      <c r="A253" s="76">
        <v>13</v>
      </c>
      <c r="B253" s="41" t="s">
        <v>1199</v>
      </c>
      <c r="C253" s="76" t="s">
        <v>152</v>
      </c>
      <c r="D253" s="76">
        <v>0</v>
      </c>
      <c r="E253" s="76">
        <v>0</v>
      </c>
      <c r="F253" s="76">
        <v>4.66</v>
      </c>
      <c r="G253" s="76">
        <v>27</v>
      </c>
      <c r="H253" s="76">
        <v>0</v>
      </c>
      <c r="I253" s="76">
        <v>0</v>
      </c>
      <c r="J253" s="76">
        <v>0</v>
      </c>
      <c r="K253" s="76">
        <v>0</v>
      </c>
      <c r="L253" s="76">
        <v>0</v>
      </c>
      <c r="M253" s="76">
        <v>29</v>
      </c>
      <c r="N253" s="76">
        <v>30</v>
      </c>
      <c r="O253" s="76">
        <v>15</v>
      </c>
      <c r="P253" s="76">
        <v>15</v>
      </c>
      <c r="Q253" s="76">
        <v>7</v>
      </c>
      <c r="R253" s="76">
        <v>12</v>
      </c>
      <c r="S253" s="76">
        <v>1</v>
      </c>
      <c r="T253" s="76">
        <v>34</v>
      </c>
      <c r="U253" s="76">
        <v>128</v>
      </c>
      <c r="V253" s="76">
        <v>29</v>
      </c>
      <c r="W253" s="76">
        <v>0.26500000000000001</v>
      </c>
      <c r="X253" s="76">
        <v>1.45</v>
      </c>
      <c r="Y253" s="76"/>
      <c r="Z253" s="76">
        <v>13</v>
      </c>
      <c r="AA253" t="s">
        <v>1199</v>
      </c>
      <c r="AB253" s="76" t="s">
        <v>152</v>
      </c>
      <c r="AC253" s="76">
        <v>1</v>
      </c>
      <c r="AD253" s="76">
        <v>1</v>
      </c>
      <c r="AE253" s="76">
        <v>10</v>
      </c>
      <c r="AF253" s="76">
        <v>0</v>
      </c>
      <c r="AG253" s="76">
        <v>1</v>
      </c>
      <c r="AH253" s="76">
        <v>11</v>
      </c>
      <c r="AI253" s="76">
        <v>40</v>
      </c>
      <c r="AJ253" s="76">
        <v>0</v>
      </c>
      <c r="AK253" s="76">
        <v>0</v>
      </c>
      <c r="AL253" s="76">
        <v>1</v>
      </c>
      <c r="AM253" s="76">
        <v>1</v>
      </c>
      <c r="AN253" s="76">
        <v>0</v>
      </c>
      <c r="AO253" s="76">
        <v>528</v>
      </c>
      <c r="AP253" s="202" t="s">
        <v>152</v>
      </c>
      <c r="AQ253" s="202" t="s">
        <v>243</v>
      </c>
      <c r="AR253" s="202">
        <v>0.2</v>
      </c>
      <c r="AS253" s="202">
        <v>0.25</v>
      </c>
      <c r="AT253" s="202">
        <v>0.25</v>
      </c>
      <c r="AU253" s="202">
        <v>0.5</v>
      </c>
      <c r="AV253" s="202">
        <v>0</v>
      </c>
      <c r="AW253" s="202">
        <v>0</v>
      </c>
      <c r="AX253" s="202">
        <v>9</v>
      </c>
      <c r="AY253" s="202" t="s">
        <v>243</v>
      </c>
      <c r="AZ253" s="202">
        <v>14</v>
      </c>
    </row>
    <row r="254" spans="1:52" x14ac:dyDescent="0.2">
      <c r="A254" s="76">
        <v>14</v>
      </c>
      <c r="B254" t="s">
        <v>1358</v>
      </c>
      <c r="C254" s="76" t="s">
        <v>152</v>
      </c>
      <c r="D254" s="76">
        <v>2</v>
      </c>
      <c r="E254" s="76">
        <v>4</v>
      </c>
      <c r="F254" s="76">
        <v>4.7300000000000004</v>
      </c>
      <c r="G254" s="76">
        <v>12</v>
      </c>
      <c r="H254" s="76">
        <v>8</v>
      </c>
      <c r="I254" s="76">
        <v>0</v>
      </c>
      <c r="J254" s="76">
        <v>0</v>
      </c>
      <c r="K254" s="76">
        <v>1</v>
      </c>
      <c r="L254" s="76">
        <v>1</v>
      </c>
      <c r="M254" s="76">
        <v>45.2</v>
      </c>
      <c r="N254" s="76">
        <v>49</v>
      </c>
      <c r="O254" s="76">
        <v>26</v>
      </c>
      <c r="P254" s="76">
        <v>24</v>
      </c>
      <c r="Q254" s="76">
        <v>12</v>
      </c>
      <c r="R254" s="76">
        <v>15</v>
      </c>
      <c r="S254" s="76">
        <v>0</v>
      </c>
      <c r="T254" s="76">
        <v>52</v>
      </c>
      <c r="U254" s="76">
        <v>198</v>
      </c>
      <c r="V254" s="76">
        <v>45.2</v>
      </c>
      <c r="W254" s="76">
        <v>0.27200000000000002</v>
      </c>
      <c r="X254" s="76">
        <v>1.4</v>
      </c>
      <c r="Y254" s="76"/>
      <c r="Z254" s="76">
        <v>14</v>
      </c>
      <c r="AA254" t="s">
        <v>1358</v>
      </c>
      <c r="AB254" s="76" t="s">
        <v>152</v>
      </c>
      <c r="AC254" s="76">
        <v>1</v>
      </c>
      <c r="AD254" s="76">
        <v>0</v>
      </c>
      <c r="AE254" s="76">
        <v>4</v>
      </c>
      <c r="AF254" s="76">
        <v>0</v>
      </c>
      <c r="AG254" s="76">
        <v>3</v>
      </c>
      <c r="AH254" s="76">
        <v>43</v>
      </c>
      <c r="AI254" s="76">
        <v>38</v>
      </c>
      <c r="AJ254" s="76">
        <v>1</v>
      </c>
      <c r="AK254" s="76">
        <v>0</v>
      </c>
      <c r="AL254" s="76">
        <v>3</v>
      </c>
      <c r="AM254" s="76">
        <v>1</v>
      </c>
      <c r="AN254" s="76">
        <v>0</v>
      </c>
      <c r="AO254" s="76">
        <v>836</v>
      </c>
      <c r="AP254" s="202" t="s">
        <v>152</v>
      </c>
      <c r="AQ254" s="202">
        <v>0.375</v>
      </c>
      <c r="AR254" s="202">
        <v>1.1299999999999999</v>
      </c>
      <c r="AS254" s="202">
        <v>0.33800000000000002</v>
      </c>
      <c r="AT254" s="202">
        <v>0.45800000000000002</v>
      </c>
      <c r="AU254" s="202">
        <v>0.79700000000000004</v>
      </c>
      <c r="AV254" s="202">
        <v>7.37</v>
      </c>
      <c r="AW254" s="202">
        <v>2.69</v>
      </c>
      <c r="AX254" s="202">
        <v>10.11</v>
      </c>
      <c r="AY254" s="202">
        <v>2.74</v>
      </c>
      <c r="AZ254" s="202">
        <v>16.149999999999999</v>
      </c>
    </row>
    <row r="255" spans="1:52" x14ac:dyDescent="0.2">
      <c r="A255" s="76">
        <v>25</v>
      </c>
      <c r="B255" t="s">
        <v>1361</v>
      </c>
      <c r="C255" s="76" t="s">
        <v>152</v>
      </c>
      <c r="D255" s="76">
        <v>1</v>
      </c>
      <c r="E255" s="76">
        <v>0</v>
      </c>
      <c r="F255" s="76">
        <v>6.43</v>
      </c>
      <c r="G255" s="76">
        <v>10</v>
      </c>
      <c r="H255" s="76">
        <v>0</v>
      </c>
      <c r="I255" s="76">
        <v>0</v>
      </c>
      <c r="J255" s="76">
        <v>0</v>
      </c>
      <c r="K255" s="76">
        <v>0</v>
      </c>
      <c r="L255" s="76">
        <v>1</v>
      </c>
      <c r="M255" s="76">
        <v>7</v>
      </c>
      <c r="N255" s="76">
        <v>11</v>
      </c>
      <c r="O255" s="76">
        <v>5</v>
      </c>
      <c r="P255" s="76">
        <v>5</v>
      </c>
      <c r="Q255" s="76">
        <v>3</v>
      </c>
      <c r="R255" s="76">
        <v>4</v>
      </c>
      <c r="S255" s="76">
        <v>1</v>
      </c>
      <c r="T255" s="76">
        <v>6</v>
      </c>
      <c r="U255" s="76">
        <v>40</v>
      </c>
      <c r="V255" s="76">
        <v>7</v>
      </c>
      <c r="W255" s="76">
        <v>0.32400000000000001</v>
      </c>
      <c r="X255" s="76">
        <v>2.14</v>
      </c>
      <c r="Y255" s="76"/>
      <c r="Z255" s="76">
        <v>25</v>
      </c>
      <c r="AA255" t="s">
        <v>1361</v>
      </c>
      <c r="AB255" s="76" t="s">
        <v>152</v>
      </c>
      <c r="AC255" s="76">
        <v>2</v>
      </c>
      <c r="AD255" s="76">
        <v>1</v>
      </c>
      <c r="AE255" s="76">
        <v>4</v>
      </c>
      <c r="AF255" s="76">
        <v>1</v>
      </c>
      <c r="AG255" s="76">
        <v>0</v>
      </c>
      <c r="AH255" s="76">
        <v>10</v>
      </c>
      <c r="AI255" s="76">
        <v>7</v>
      </c>
      <c r="AJ255" s="76">
        <v>0</v>
      </c>
      <c r="AK255" s="76">
        <v>0</v>
      </c>
      <c r="AL255" s="76">
        <v>2</v>
      </c>
      <c r="AM255" s="76">
        <v>0</v>
      </c>
      <c r="AN255" s="76">
        <v>0</v>
      </c>
      <c r="AO255" s="76">
        <v>170</v>
      </c>
      <c r="AP255" s="202" t="s">
        <v>153</v>
      </c>
      <c r="AQ255" s="202" t="s">
        <v>243</v>
      </c>
      <c r="AR255" s="202">
        <v>0.32</v>
      </c>
      <c r="AS255" s="202">
        <v>0.4</v>
      </c>
      <c r="AT255" s="202">
        <v>0.63500000000000001</v>
      </c>
      <c r="AU255" s="202">
        <v>1.0349999999999999</v>
      </c>
      <c r="AV255" s="202">
        <v>10.35</v>
      </c>
      <c r="AW255" s="202">
        <v>5.85</v>
      </c>
      <c r="AX255" s="202">
        <v>12.15</v>
      </c>
      <c r="AY255" s="202">
        <v>1.77</v>
      </c>
      <c r="AZ255" s="202">
        <v>19.7</v>
      </c>
    </row>
    <row r="256" spans="1:52" x14ac:dyDescent="0.2">
      <c r="A256" s="76">
        <v>21</v>
      </c>
      <c r="B256" t="s">
        <v>1360</v>
      </c>
      <c r="C256" s="76" t="s">
        <v>152</v>
      </c>
      <c r="D256" s="76">
        <v>0</v>
      </c>
      <c r="E256" s="76">
        <v>0</v>
      </c>
      <c r="F256" s="76">
        <v>5.4</v>
      </c>
      <c r="G256" s="76">
        <v>8</v>
      </c>
      <c r="H256" s="76">
        <v>0</v>
      </c>
      <c r="I256" s="76">
        <v>0</v>
      </c>
      <c r="J256" s="76">
        <v>0</v>
      </c>
      <c r="K256" s="76">
        <v>0</v>
      </c>
      <c r="L256" s="76">
        <v>0</v>
      </c>
      <c r="M256" s="76">
        <v>8.1</v>
      </c>
      <c r="N256" s="76">
        <v>8</v>
      </c>
      <c r="O256" s="76">
        <v>5</v>
      </c>
      <c r="P256" s="76">
        <v>5</v>
      </c>
      <c r="Q256" s="76">
        <v>1</v>
      </c>
      <c r="R256" s="76">
        <v>4</v>
      </c>
      <c r="S256" s="76">
        <v>0</v>
      </c>
      <c r="T256" s="76">
        <v>5</v>
      </c>
      <c r="U256" s="76">
        <v>36</v>
      </c>
      <c r="V256" s="76">
        <v>8.1</v>
      </c>
      <c r="W256" s="76">
        <v>0.25800000000000001</v>
      </c>
      <c r="X256" s="76">
        <v>1.44</v>
      </c>
      <c r="Y256" s="76"/>
      <c r="Z256" s="76">
        <v>21</v>
      </c>
      <c r="AA256" t="s">
        <v>1360</v>
      </c>
      <c r="AB256" s="76" t="s">
        <v>152</v>
      </c>
      <c r="AC256" s="76">
        <v>0</v>
      </c>
      <c r="AD256" s="76">
        <v>0</v>
      </c>
      <c r="AE256" s="76">
        <v>1</v>
      </c>
      <c r="AF256" s="76">
        <v>0</v>
      </c>
      <c r="AG256" s="76">
        <v>1</v>
      </c>
      <c r="AH256" s="76">
        <v>6</v>
      </c>
      <c r="AI256" s="76">
        <v>13</v>
      </c>
      <c r="AJ256" s="76">
        <v>0</v>
      </c>
      <c r="AK256" s="76">
        <v>0</v>
      </c>
      <c r="AL256" s="76">
        <v>0</v>
      </c>
      <c r="AM256" s="76">
        <v>0</v>
      </c>
      <c r="AN256" s="76">
        <v>0</v>
      </c>
      <c r="AO256" s="76">
        <v>144</v>
      </c>
      <c r="AP256" s="202" t="s">
        <v>152</v>
      </c>
      <c r="AQ256" s="202">
        <v>0.33300000000000002</v>
      </c>
      <c r="AR256" s="202">
        <v>1.41</v>
      </c>
      <c r="AS256" s="202">
        <v>0.32100000000000001</v>
      </c>
      <c r="AT256" s="202">
        <v>0.442</v>
      </c>
      <c r="AU256" s="202">
        <v>0.76300000000000001</v>
      </c>
      <c r="AV256" s="202">
        <v>7.45</v>
      </c>
      <c r="AW256" s="202">
        <v>2.33</v>
      </c>
      <c r="AX256" s="202">
        <v>9.31</v>
      </c>
      <c r="AY256" s="202">
        <v>3.2</v>
      </c>
      <c r="AZ256" s="202">
        <v>16.71</v>
      </c>
    </row>
    <row r="257" spans="1:52" x14ac:dyDescent="0.2">
      <c r="A257" s="76">
        <v>10</v>
      </c>
      <c r="B257" s="41" t="s">
        <v>437</v>
      </c>
      <c r="C257" s="76" t="s">
        <v>152</v>
      </c>
      <c r="D257" s="76">
        <v>2</v>
      </c>
      <c r="E257" s="76">
        <v>0</v>
      </c>
      <c r="F257" s="76">
        <v>3.38</v>
      </c>
      <c r="G257" s="76">
        <v>29</v>
      </c>
      <c r="H257" s="76">
        <v>0</v>
      </c>
      <c r="I257" s="76">
        <v>0</v>
      </c>
      <c r="J257" s="76">
        <v>0</v>
      </c>
      <c r="K257" s="76">
        <v>1</v>
      </c>
      <c r="L257" s="76">
        <v>2</v>
      </c>
      <c r="M257" s="76">
        <v>16</v>
      </c>
      <c r="N257" s="76">
        <v>10</v>
      </c>
      <c r="O257" s="76">
        <v>6</v>
      </c>
      <c r="P257" s="76">
        <v>6</v>
      </c>
      <c r="Q257" s="76">
        <v>2</v>
      </c>
      <c r="R257" s="76">
        <v>7</v>
      </c>
      <c r="S257" s="76">
        <v>1</v>
      </c>
      <c r="T257" s="76">
        <v>13</v>
      </c>
      <c r="U257" s="76">
        <v>67</v>
      </c>
      <c r="V257" s="76">
        <v>16</v>
      </c>
      <c r="W257" s="76">
        <v>0.17499999999999999</v>
      </c>
      <c r="X257" s="76">
        <v>1.06</v>
      </c>
      <c r="Y257" s="76"/>
      <c r="Z257" s="76">
        <v>10</v>
      </c>
      <c r="AA257" t="s">
        <v>437</v>
      </c>
      <c r="AB257" s="76" t="s">
        <v>152</v>
      </c>
      <c r="AC257" s="76">
        <v>2</v>
      </c>
      <c r="AD257" s="76">
        <v>1</v>
      </c>
      <c r="AE257" s="76">
        <v>4</v>
      </c>
      <c r="AF257" s="76">
        <v>10</v>
      </c>
      <c r="AG257" s="76">
        <v>0</v>
      </c>
      <c r="AH257" s="76">
        <v>17</v>
      </c>
      <c r="AI257" s="76">
        <v>18</v>
      </c>
      <c r="AJ257" s="76">
        <v>1</v>
      </c>
      <c r="AK257" s="76">
        <v>0</v>
      </c>
      <c r="AL257" s="76">
        <v>0</v>
      </c>
      <c r="AM257" s="76">
        <v>0</v>
      </c>
      <c r="AN257" s="76">
        <v>0</v>
      </c>
      <c r="AO257" s="76">
        <v>249</v>
      </c>
      <c r="AP257" s="202" t="s">
        <v>152</v>
      </c>
      <c r="AQ257" s="202" t="s">
        <v>243</v>
      </c>
      <c r="AR257" s="202">
        <v>0.4</v>
      </c>
      <c r="AS257" s="202">
        <v>0.55000000000000004</v>
      </c>
      <c r="AT257" s="202">
        <v>0.53300000000000003</v>
      </c>
      <c r="AU257" s="202">
        <v>1.083</v>
      </c>
      <c r="AV257" s="202">
        <v>6</v>
      </c>
      <c r="AW257" s="202">
        <v>12</v>
      </c>
      <c r="AX257" s="202">
        <v>18</v>
      </c>
      <c r="AY257" s="202">
        <v>0.5</v>
      </c>
      <c r="AZ257" s="202">
        <v>28</v>
      </c>
    </row>
    <row r="258" spans="1:52" x14ac:dyDescent="0.2">
      <c r="A258" s="76">
        <v>1</v>
      </c>
      <c r="B258" t="s">
        <v>499</v>
      </c>
      <c r="C258" s="76" t="s">
        <v>152</v>
      </c>
      <c r="D258" s="76">
        <v>6</v>
      </c>
      <c r="E258" s="76">
        <v>1</v>
      </c>
      <c r="F258" s="76">
        <v>1.39</v>
      </c>
      <c r="G258" s="76">
        <v>44</v>
      </c>
      <c r="H258" s="76">
        <v>0</v>
      </c>
      <c r="I258" s="76">
        <v>0</v>
      </c>
      <c r="J258" s="76">
        <v>0</v>
      </c>
      <c r="K258" s="76">
        <v>9</v>
      </c>
      <c r="L258" s="76">
        <v>11</v>
      </c>
      <c r="M258" s="76">
        <v>45.1</v>
      </c>
      <c r="N258" s="76">
        <v>28</v>
      </c>
      <c r="O258" s="76">
        <v>8</v>
      </c>
      <c r="P258" s="76">
        <v>7</v>
      </c>
      <c r="Q258" s="76">
        <v>5</v>
      </c>
      <c r="R258" s="76">
        <v>7</v>
      </c>
      <c r="S258" s="76">
        <v>0</v>
      </c>
      <c r="T258" s="76">
        <v>77</v>
      </c>
      <c r="U258" s="76">
        <v>172</v>
      </c>
      <c r="V258" s="76">
        <v>45.1</v>
      </c>
      <c r="W258" s="76">
        <v>0.17399999999999999</v>
      </c>
      <c r="X258" s="76">
        <v>0.77</v>
      </c>
      <c r="Y258" s="76"/>
      <c r="Z258" s="76">
        <v>1</v>
      </c>
      <c r="AA258" t="s">
        <v>499</v>
      </c>
      <c r="AB258" s="76" t="s">
        <v>152</v>
      </c>
      <c r="AC258" s="76">
        <v>2</v>
      </c>
      <c r="AD258" s="76">
        <v>0</v>
      </c>
      <c r="AE258" s="76">
        <v>16</v>
      </c>
      <c r="AF258" s="76">
        <v>16</v>
      </c>
      <c r="AG258" s="76">
        <v>3</v>
      </c>
      <c r="AH258" s="76">
        <v>39</v>
      </c>
      <c r="AI258" s="76">
        <v>19</v>
      </c>
      <c r="AJ258" s="76">
        <v>0</v>
      </c>
      <c r="AK258" s="76">
        <v>0</v>
      </c>
      <c r="AL258" s="76">
        <v>0</v>
      </c>
      <c r="AM258" s="76">
        <v>0</v>
      </c>
      <c r="AN258" s="76">
        <v>0</v>
      </c>
      <c r="AO258" s="76">
        <v>707</v>
      </c>
      <c r="AP258" s="202" t="s">
        <v>152</v>
      </c>
      <c r="AQ258" s="202" t="s">
        <v>243</v>
      </c>
      <c r="AR258" s="202">
        <v>1</v>
      </c>
      <c r="AS258" s="202">
        <v>0.31</v>
      </c>
      <c r="AT258" s="202">
        <v>0.625</v>
      </c>
      <c r="AU258" s="202">
        <v>0.93500000000000005</v>
      </c>
      <c r="AV258" s="202">
        <v>10.29</v>
      </c>
      <c r="AW258" s="202">
        <v>5.14</v>
      </c>
      <c r="AX258" s="202">
        <v>6.43</v>
      </c>
      <c r="AY258" s="202">
        <v>2</v>
      </c>
      <c r="AZ258" s="202">
        <v>16.57</v>
      </c>
    </row>
    <row r="259" spans="1:52" x14ac:dyDescent="0.2">
      <c r="A259" s="76">
        <v>8</v>
      </c>
      <c r="B259" t="s">
        <v>814</v>
      </c>
      <c r="C259" s="76" t="s">
        <v>152</v>
      </c>
      <c r="D259" s="76">
        <v>1</v>
      </c>
      <c r="E259" s="76">
        <v>2</v>
      </c>
      <c r="F259" s="76">
        <v>3.24</v>
      </c>
      <c r="G259" s="76">
        <v>5</v>
      </c>
      <c r="H259" s="76">
        <v>5</v>
      </c>
      <c r="I259" s="76">
        <v>0</v>
      </c>
      <c r="J259" s="76">
        <v>0</v>
      </c>
      <c r="K259" s="76">
        <v>0</v>
      </c>
      <c r="L259" s="76">
        <v>0</v>
      </c>
      <c r="M259" s="76">
        <v>25</v>
      </c>
      <c r="N259" s="76">
        <v>26</v>
      </c>
      <c r="O259" s="76">
        <v>13</v>
      </c>
      <c r="P259" s="76">
        <v>9</v>
      </c>
      <c r="Q259" s="76">
        <v>1</v>
      </c>
      <c r="R259" s="76">
        <v>12</v>
      </c>
      <c r="S259" s="76">
        <v>0</v>
      </c>
      <c r="T259" s="76">
        <v>11</v>
      </c>
      <c r="U259" s="76">
        <v>107</v>
      </c>
      <c r="V259" s="76">
        <v>25</v>
      </c>
      <c r="W259" s="76">
        <v>0.27700000000000002</v>
      </c>
      <c r="X259" s="76">
        <v>1.52</v>
      </c>
      <c r="Y259" s="76"/>
      <c r="Z259" s="76">
        <v>8</v>
      </c>
      <c r="AA259" t="s">
        <v>814</v>
      </c>
      <c r="AB259" s="76" t="s">
        <v>152</v>
      </c>
      <c r="AC259" s="76">
        <v>0</v>
      </c>
      <c r="AD259" s="76">
        <v>0</v>
      </c>
      <c r="AE259" s="76">
        <v>0</v>
      </c>
      <c r="AF259" s="76">
        <v>0</v>
      </c>
      <c r="AG259" s="76">
        <v>5</v>
      </c>
      <c r="AH259" s="76">
        <v>31</v>
      </c>
      <c r="AI259" s="76">
        <v>27</v>
      </c>
      <c r="AJ259" s="76">
        <v>0</v>
      </c>
      <c r="AK259" s="76">
        <v>0</v>
      </c>
      <c r="AL259" s="76">
        <v>1</v>
      </c>
      <c r="AM259" s="76">
        <v>2</v>
      </c>
      <c r="AN259" s="76">
        <v>0</v>
      </c>
      <c r="AO259" s="76">
        <v>388</v>
      </c>
      <c r="AP259" s="202" t="s">
        <v>152</v>
      </c>
      <c r="AQ259" s="202">
        <v>0</v>
      </c>
      <c r="AR259" s="202">
        <v>0.67</v>
      </c>
      <c r="AS259" s="202">
        <v>0.34399999999999997</v>
      </c>
      <c r="AT259" s="202">
        <v>0.48599999999999999</v>
      </c>
      <c r="AU259" s="202">
        <v>0.83</v>
      </c>
      <c r="AV259" s="202">
        <v>8.1300000000000008</v>
      </c>
      <c r="AW259" s="202">
        <v>4.55</v>
      </c>
      <c r="AX259" s="202">
        <v>9.11</v>
      </c>
      <c r="AY259" s="202">
        <v>1.79</v>
      </c>
      <c r="AZ259" s="202">
        <v>17.420000000000002</v>
      </c>
    </row>
    <row r="260" spans="1:52" x14ac:dyDescent="0.2">
      <c r="A260" s="76">
        <v>5</v>
      </c>
      <c r="B260" t="s">
        <v>1356</v>
      </c>
      <c r="C260" s="76" t="s">
        <v>152</v>
      </c>
      <c r="D260" s="76">
        <v>0</v>
      </c>
      <c r="E260" s="76">
        <v>0</v>
      </c>
      <c r="F260" s="76">
        <v>3</v>
      </c>
      <c r="G260" s="76">
        <v>3</v>
      </c>
      <c r="H260" s="76">
        <v>0</v>
      </c>
      <c r="I260" s="76">
        <v>0</v>
      </c>
      <c r="J260" s="76">
        <v>0</v>
      </c>
      <c r="K260" s="76">
        <v>0</v>
      </c>
      <c r="L260" s="76">
        <v>0</v>
      </c>
      <c r="M260" s="76">
        <v>3</v>
      </c>
      <c r="N260" s="76">
        <v>0</v>
      </c>
      <c r="O260" s="76">
        <v>1</v>
      </c>
      <c r="P260" s="76">
        <v>1</v>
      </c>
      <c r="Q260" s="76">
        <v>0</v>
      </c>
      <c r="R260" s="76">
        <v>4</v>
      </c>
      <c r="S260" s="76">
        <v>0</v>
      </c>
      <c r="T260" s="76">
        <v>4</v>
      </c>
      <c r="U260" s="76">
        <v>14</v>
      </c>
      <c r="V260" s="76">
        <v>3</v>
      </c>
      <c r="W260" s="76">
        <v>0</v>
      </c>
      <c r="X260" s="76">
        <v>1.33</v>
      </c>
      <c r="Y260" s="76"/>
      <c r="Z260" s="76">
        <v>5</v>
      </c>
      <c r="AA260" t="s">
        <v>1356</v>
      </c>
      <c r="AB260" s="76" t="s">
        <v>152</v>
      </c>
      <c r="AC260" s="76">
        <v>1</v>
      </c>
      <c r="AD260" s="76">
        <v>0</v>
      </c>
      <c r="AE260" s="76">
        <v>1</v>
      </c>
      <c r="AF260" s="76">
        <v>0</v>
      </c>
      <c r="AG260" s="76">
        <v>0</v>
      </c>
      <c r="AH260" s="76">
        <v>3</v>
      </c>
      <c r="AI260" s="76">
        <v>2</v>
      </c>
      <c r="AJ260" s="76">
        <v>0</v>
      </c>
      <c r="AK260" s="76">
        <v>0</v>
      </c>
      <c r="AL260" s="76">
        <v>1</v>
      </c>
      <c r="AM260" s="76">
        <v>0</v>
      </c>
      <c r="AN260" s="76">
        <v>0</v>
      </c>
      <c r="AO260" s="76">
        <v>65</v>
      </c>
      <c r="AP260" s="202" t="s">
        <v>152</v>
      </c>
      <c r="AQ260" s="202">
        <v>1</v>
      </c>
      <c r="AR260" s="202">
        <v>0.77</v>
      </c>
      <c r="AS260" s="202">
        <v>0.311</v>
      </c>
      <c r="AT260" s="202">
        <v>0.375</v>
      </c>
      <c r="AU260" s="202">
        <v>0.68600000000000005</v>
      </c>
      <c r="AV260" s="202">
        <v>6.97</v>
      </c>
      <c r="AW260" s="202">
        <v>2.61</v>
      </c>
      <c r="AX260" s="202">
        <v>7.84</v>
      </c>
      <c r="AY260" s="202">
        <v>2.67</v>
      </c>
      <c r="AZ260" s="202">
        <v>15.97</v>
      </c>
    </row>
    <row r="261" spans="1:52" x14ac:dyDescent="0.2">
      <c r="A261" s="76">
        <v>17</v>
      </c>
      <c r="B261" t="s">
        <v>584</v>
      </c>
      <c r="C261" s="76" t="s">
        <v>152</v>
      </c>
      <c r="D261" s="76">
        <v>7</v>
      </c>
      <c r="E261" s="76">
        <v>6</v>
      </c>
      <c r="F261" s="76">
        <v>4.9000000000000004</v>
      </c>
      <c r="G261" s="76">
        <v>21</v>
      </c>
      <c r="H261" s="76">
        <v>15</v>
      </c>
      <c r="I261" s="76">
        <v>0</v>
      </c>
      <c r="J261" s="76">
        <v>0</v>
      </c>
      <c r="K261" s="76">
        <v>1</v>
      </c>
      <c r="L261" s="76">
        <v>1</v>
      </c>
      <c r="M261" s="76">
        <v>97.1</v>
      </c>
      <c r="N261" s="76">
        <v>107</v>
      </c>
      <c r="O261" s="76">
        <v>54</v>
      </c>
      <c r="P261" s="76">
        <v>53</v>
      </c>
      <c r="Q261" s="76">
        <v>19</v>
      </c>
      <c r="R261" s="76">
        <v>25</v>
      </c>
      <c r="S261" s="76">
        <v>1</v>
      </c>
      <c r="T261" s="76">
        <v>75</v>
      </c>
      <c r="U261" s="76">
        <v>421</v>
      </c>
      <c r="V261" s="76">
        <v>97.1</v>
      </c>
      <c r="W261" s="76">
        <v>0.27600000000000002</v>
      </c>
      <c r="X261" s="76">
        <v>1.36</v>
      </c>
      <c r="Y261" s="76"/>
      <c r="Z261" s="76">
        <v>17</v>
      </c>
      <c r="AA261" t="s">
        <v>584</v>
      </c>
      <c r="AB261" s="76" t="s">
        <v>152</v>
      </c>
      <c r="AC261" s="76">
        <v>6</v>
      </c>
      <c r="AD261" s="76">
        <v>1</v>
      </c>
      <c r="AE261" s="76">
        <v>3</v>
      </c>
      <c r="AF261" s="76">
        <v>0</v>
      </c>
      <c r="AG261" s="76">
        <v>8</v>
      </c>
      <c r="AH261" s="76">
        <v>136</v>
      </c>
      <c r="AI261" s="76">
        <v>72</v>
      </c>
      <c r="AJ261" s="76">
        <v>7</v>
      </c>
      <c r="AK261" s="76">
        <v>0</v>
      </c>
      <c r="AL261" s="76">
        <v>8</v>
      </c>
      <c r="AM261" s="76">
        <v>2</v>
      </c>
      <c r="AN261" s="76">
        <v>0</v>
      </c>
      <c r="AO261" s="76">
        <v>1479</v>
      </c>
      <c r="AP261" s="202" t="s">
        <v>152</v>
      </c>
      <c r="AQ261" s="202">
        <v>0.75</v>
      </c>
      <c r="AR261" s="202">
        <v>1.1200000000000001</v>
      </c>
      <c r="AS261" s="202">
        <v>0.33300000000000002</v>
      </c>
      <c r="AT261" s="202">
        <v>0.40500000000000003</v>
      </c>
      <c r="AU261" s="202">
        <v>0.73799999999999999</v>
      </c>
      <c r="AV261" s="202">
        <v>9.8699999999999992</v>
      </c>
      <c r="AW261" s="202">
        <v>5.09</v>
      </c>
      <c r="AX261" s="202">
        <v>7.56</v>
      </c>
      <c r="AY261" s="202">
        <v>1.94</v>
      </c>
      <c r="AZ261" s="202">
        <v>19.03</v>
      </c>
    </row>
    <row r="262" spans="1:52" x14ac:dyDescent="0.2">
      <c r="A262" s="76">
        <v>26</v>
      </c>
      <c r="B262" t="s">
        <v>1208</v>
      </c>
      <c r="C262" s="76" t="s">
        <v>152</v>
      </c>
      <c r="D262" s="76">
        <v>0</v>
      </c>
      <c r="E262" s="76">
        <v>0</v>
      </c>
      <c r="F262" s="76">
        <v>6.75</v>
      </c>
      <c r="G262" s="76">
        <v>1</v>
      </c>
      <c r="H262" s="76">
        <v>0</v>
      </c>
      <c r="I262" s="76">
        <v>0</v>
      </c>
      <c r="J262" s="76">
        <v>0</v>
      </c>
      <c r="K262" s="76">
        <v>0</v>
      </c>
      <c r="L262" s="76">
        <v>0</v>
      </c>
      <c r="M262" s="76">
        <v>2.2000000000000002</v>
      </c>
      <c r="N262" s="76">
        <v>3</v>
      </c>
      <c r="O262" s="76">
        <v>2</v>
      </c>
      <c r="P262" s="76">
        <v>2</v>
      </c>
      <c r="Q262" s="76">
        <v>0</v>
      </c>
      <c r="R262" s="76">
        <v>2</v>
      </c>
      <c r="S262" s="76">
        <v>0</v>
      </c>
      <c r="T262" s="76">
        <v>0</v>
      </c>
      <c r="U262" s="76">
        <v>13</v>
      </c>
      <c r="V262" s="76">
        <v>2.2000000000000002</v>
      </c>
      <c r="W262" s="76">
        <v>0.3</v>
      </c>
      <c r="X262" s="76">
        <v>1.88</v>
      </c>
      <c r="Y262" s="76"/>
      <c r="Z262" s="76">
        <v>26</v>
      </c>
      <c r="AA262" t="s">
        <v>1208</v>
      </c>
      <c r="AB262" s="76" t="s">
        <v>152</v>
      </c>
      <c r="AC262" s="76">
        <v>0</v>
      </c>
      <c r="AD262" s="76">
        <v>0</v>
      </c>
      <c r="AE262" s="76">
        <v>1</v>
      </c>
      <c r="AF262" s="76">
        <v>0</v>
      </c>
      <c r="AG262" s="76">
        <v>0</v>
      </c>
      <c r="AH262" s="76">
        <v>2</v>
      </c>
      <c r="AI262" s="76">
        <v>6</v>
      </c>
      <c r="AJ262" s="76">
        <v>0</v>
      </c>
      <c r="AK262" s="76">
        <v>0</v>
      </c>
      <c r="AL262" s="76">
        <v>0</v>
      </c>
      <c r="AM262" s="76">
        <v>0</v>
      </c>
      <c r="AN262" s="76">
        <v>0</v>
      </c>
      <c r="AO262" s="76">
        <v>47</v>
      </c>
      <c r="AP262" s="202" t="s">
        <v>153</v>
      </c>
      <c r="AQ262" s="202">
        <v>0.111</v>
      </c>
      <c r="AR262" s="202">
        <v>1</v>
      </c>
      <c r="AS262" s="202">
        <v>0.32500000000000001</v>
      </c>
      <c r="AT262" s="202">
        <v>0.35899999999999999</v>
      </c>
      <c r="AU262" s="202">
        <v>0.68400000000000005</v>
      </c>
      <c r="AV262" s="202">
        <v>6.7</v>
      </c>
      <c r="AW262" s="202">
        <v>3.14</v>
      </c>
      <c r="AX262" s="202">
        <v>8.16</v>
      </c>
      <c r="AY262" s="202">
        <v>2.13</v>
      </c>
      <c r="AZ262" s="202">
        <v>16.510000000000002</v>
      </c>
    </row>
    <row r="263" spans="1:52" x14ac:dyDescent="0.2">
      <c r="A263" s="76">
        <v>18</v>
      </c>
      <c r="B263" t="s">
        <v>1359</v>
      </c>
      <c r="C263" s="76" t="s">
        <v>152</v>
      </c>
      <c r="D263" s="76">
        <v>1</v>
      </c>
      <c r="E263" s="76">
        <v>0</v>
      </c>
      <c r="F263" s="76">
        <v>4.96</v>
      </c>
      <c r="G263" s="76">
        <v>16</v>
      </c>
      <c r="H263" s="76">
        <v>0</v>
      </c>
      <c r="I263" s="76">
        <v>0</v>
      </c>
      <c r="J263" s="76">
        <v>0</v>
      </c>
      <c r="K263" s="76">
        <v>1</v>
      </c>
      <c r="L263" s="76">
        <v>1</v>
      </c>
      <c r="M263" s="76">
        <v>16.100000000000001</v>
      </c>
      <c r="N263" s="76">
        <v>16</v>
      </c>
      <c r="O263" s="76">
        <v>9</v>
      </c>
      <c r="P263" s="76">
        <v>9</v>
      </c>
      <c r="Q263" s="76">
        <v>1</v>
      </c>
      <c r="R263" s="76">
        <v>8</v>
      </c>
      <c r="S263" s="76">
        <v>1</v>
      </c>
      <c r="T263" s="76">
        <v>15</v>
      </c>
      <c r="U263" s="76">
        <v>74</v>
      </c>
      <c r="V263" s="76">
        <v>16.100000000000001</v>
      </c>
      <c r="W263" s="76">
        <v>0.25</v>
      </c>
      <c r="X263" s="76">
        <v>1.47</v>
      </c>
      <c r="Y263" s="76"/>
      <c r="Z263" s="76">
        <v>18</v>
      </c>
      <c r="AA263" t="s">
        <v>1359</v>
      </c>
      <c r="AB263" s="76" t="s">
        <v>152</v>
      </c>
      <c r="AC263" s="76">
        <v>2</v>
      </c>
      <c r="AD263" s="76">
        <v>1</v>
      </c>
      <c r="AE263" s="76">
        <v>5</v>
      </c>
      <c r="AF263" s="76">
        <v>0</v>
      </c>
      <c r="AG263" s="76">
        <v>0</v>
      </c>
      <c r="AH263" s="76">
        <v>15</v>
      </c>
      <c r="AI263" s="76">
        <v>18</v>
      </c>
      <c r="AJ263" s="76">
        <v>0</v>
      </c>
      <c r="AK263" s="76">
        <v>0</v>
      </c>
      <c r="AL263" s="76">
        <v>2</v>
      </c>
      <c r="AM263" s="76">
        <v>2</v>
      </c>
      <c r="AN263" s="76">
        <v>0</v>
      </c>
      <c r="AO263" s="76">
        <v>308</v>
      </c>
      <c r="AP263" s="202" t="s">
        <v>152</v>
      </c>
      <c r="AQ263" s="202">
        <v>0.63200000000000001</v>
      </c>
      <c r="AR263" s="202">
        <v>1.23</v>
      </c>
      <c r="AS263" s="202">
        <v>0.254</v>
      </c>
      <c r="AT263" s="202">
        <v>0.42</v>
      </c>
      <c r="AU263" s="202">
        <v>0.67400000000000004</v>
      </c>
      <c r="AV263" s="202">
        <v>8.1199999999999992</v>
      </c>
      <c r="AW263" s="202">
        <v>1.58</v>
      </c>
      <c r="AX263" s="202">
        <v>7.36</v>
      </c>
      <c r="AY263" s="202">
        <v>5.15</v>
      </c>
      <c r="AZ263" s="202">
        <v>14.87</v>
      </c>
    </row>
    <row r="264" spans="1:52" x14ac:dyDescent="0.2">
      <c r="A264" s="76">
        <v>28</v>
      </c>
      <c r="B264" t="s">
        <v>1196</v>
      </c>
      <c r="C264" s="76" t="s">
        <v>152</v>
      </c>
      <c r="D264" s="76">
        <v>1</v>
      </c>
      <c r="E264" s="76">
        <v>0</v>
      </c>
      <c r="F264" s="76">
        <v>13.5</v>
      </c>
      <c r="G264" s="76">
        <v>7</v>
      </c>
      <c r="H264" s="76">
        <v>0</v>
      </c>
      <c r="I264" s="76">
        <v>0</v>
      </c>
      <c r="J264" s="76">
        <v>0</v>
      </c>
      <c r="K264" s="76">
        <v>0</v>
      </c>
      <c r="L264" s="76">
        <v>0</v>
      </c>
      <c r="M264" s="76">
        <v>3.1</v>
      </c>
      <c r="N264" s="76">
        <v>7</v>
      </c>
      <c r="O264" s="76">
        <v>5</v>
      </c>
      <c r="P264" s="76">
        <v>5</v>
      </c>
      <c r="Q264" s="76">
        <v>2</v>
      </c>
      <c r="R264" s="76">
        <v>1</v>
      </c>
      <c r="S264" s="76">
        <v>0</v>
      </c>
      <c r="T264" s="76">
        <v>3</v>
      </c>
      <c r="U264" s="76">
        <v>17</v>
      </c>
      <c r="V264" s="76">
        <v>3.1</v>
      </c>
      <c r="W264" s="76">
        <v>0.438</v>
      </c>
      <c r="X264" s="76">
        <v>2.4</v>
      </c>
      <c r="Y264" s="76"/>
      <c r="Z264" s="76">
        <v>28</v>
      </c>
      <c r="AA264" t="s">
        <v>1196</v>
      </c>
      <c r="AB264" s="76" t="s">
        <v>152</v>
      </c>
      <c r="AC264" s="76">
        <v>0</v>
      </c>
      <c r="AD264" s="76">
        <v>0</v>
      </c>
      <c r="AE264" s="76">
        <v>1</v>
      </c>
      <c r="AF264" s="76">
        <v>0</v>
      </c>
      <c r="AG264" s="76">
        <v>1</v>
      </c>
      <c r="AH264" s="76">
        <v>5</v>
      </c>
      <c r="AI264" s="76">
        <v>1</v>
      </c>
      <c r="AJ264" s="76">
        <v>0</v>
      </c>
      <c r="AK264" s="76">
        <v>0</v>
      </c>
      <c r="AL264" s="76">
        <v>0</v>
      </c>
      <c r="AM264" s="76">
        <v>0</v>
      </c>
      <c r="AN264" s="76">
        <v>0</v>
      </c>
      <c r="AO264" s="76">
        <v>58</v>
      </c>
      <c r="AP264" s="202" t="s">
        <v>153</v>
      </c>
      <c r="AQ264" s="202">
        <v>0</v>
      </c>
      <c r="AR264" s="202">
        <v>0.75</v>
      </c>
      <c r="AS264" s="202">
        <v>0.52400000000000002</v>
      </c>
      <c r="AT264" s="202">
        <v>0.61099999999999999</v>
      </c>
      <c r="AU264" s="202">
        <v>1.135</v>
      </c>
      <c r="AV264" s="202">
        <v>9</v>
      </c>
      <c r="AW264" s="202">
        <v>6.75</v>
      </c>
      <c r="AX264" s="202">
        <v>18</v>
      </c>
      <c r="AY264" s="202">
        <v>1.33</v>
      </c>
      <c r="AZ264" s="202">
        <v>22</v>
      </c>
    </row>
    <row r="265" spans="1:52" s="143" customFormat="1" x14ac:dyDescent="0.2">
      <c r="A265" s="76">
        <v>29</v>
      </c>
      <c r="B265" t="s">
        <v>1198</v>
      </c>
      <c r="C265" s="76" t="s">
        <v>152</v>
      </c>
      <c r="D265" s="76">
        <v>0</v>
      </c>
      <c r="E265" s="76">
        <v>0</v>
      </c>
      <c r="F265" s="76">
        <v>18</v>
      </c>
      <c r="G265" s="76">
        <v>1</v>
      </c>
      <c r="H265" s="76">
        <v>0</v>
      </c>
      <c r="I265" s="76">
        <v>0</v>
      </c>
      <c r="J265" s="76">
        <v>0</v>
      </c>
      <c r="K265" s="76">
        <v>0</v>
      </c>
      <c r="L265" s="76">
        <v>0</v>
      </c>
      <c r="M265" s="76">
        <v>1</v>
      </c>
      <c r="N265" s="76">
        <v>3</v>
      </c>
      <c r="O265" s="76">
        <v>2</v>
      </c>
      <c r="P265" s="76">
        <v>2</v>
      </c>
      <c r="Q265" s="76">
        <v>0</v>
      </c>
      <c r="R265" s="76">
        <v>1</v>
      </c>
      <c r="S265" s="76">
        <v>0</v>
      </c>
      <c r="T265" s="76">
        <v>1</v>
      </c>
      <c r="U265" s="76">
        <v>6</v>
      </c>
      <c r="V265" s="76">
        <v>1</v>
      </c>
      <c r="W265" s="76">
        <v>0.6</v>
      </c>
      <c r="X265" s="76">
        <v>4</v>
      </c>
      <c r="Y265" s="76"/>
      <c r="Z265" s="76">
        <v>29</v>
      </c>
      <c r="AA265" t="s">
        <v>1198</v>
      </c>
      <c r="AB265" s="76" t="s">
        <v>152</v>
      </c>
      <c r="AC265" s="76">
        <v>0</v>
      </c>
      <c r="AD265" s="76">
        <v>0</v>
      </c>
      <c r="AE265" s="76">
        <v>0</v>
      </c>
      <c r="AF265" s="76">
        <v>0</v>
      </c>
      <c r="AG265" s="76">
        <v>1</v>
      </c>
      <c r="AH265" s="76">
        <v>1</v>
      </c>
      <c r="AI265" s="76">
        <v>0</v>
      </c>
      <c r="AJ265" s="76">
        <v>0</v>
      </c>
      <c r="AK265" s="76">
        <v>0</v>
      </c>
      <c r="AL265" s="76">
        <v>0</v>
      </c>
      <c r="AM265" s="76">
        <v>0</v>
      </c>
      <c r="AN265" s="76">
        <v>0</v>
      </c>
      <c r="AO265" s="76">
        <v>18</v>
      </c>
      <c r="AP265" s="202" t="s">
        <v>153</v>
      </c>
      <c r="AQ265" s="202">
        <v>0.318</v>
      </c>
      <c r="AR265" s="202">
        <v>0.99</v>
      </c>
      <c r="AS265" s="202">
        <v>0.32</v>
      </c>
      <c r="AT265" s="202">
        <v>0.41</v>
      </c>
      <c r="AU265" s="202">
        <v>0.73</v>
      </c>
      <c r="AV265" s="202">
        <v>7.8</v>
      </c>
      <c r="AW265" s="202">
        <v>2.75</v>
      </c>
      <c r="AX265" s="202">
        <v>9.4</v>
      </c>
      <c r="AY265" s="202">
        <v>2.83</v>
      </c>
      <c r="AZ265" s="202">
        <v>16.38</v>
      </c>
    </row>
    <row r="266" spans="1:52" x14ac:dyDescent="0.2">
      <c r="A266" s="76">
        <v>16</v>
      </c>
      <c r="B266" s="41" t="s">
        <v>813</v>
      </c>
      <c r="C266" s="76" t="s">
        <v>152</v>
      </c>
      <c r="D266" s="76">
        <v>6</v>
      </c>
      <c r="E266" s="76">
        <v>12</v>
      </c>
      <c r="F266" s="76">
        <v>4.82</v>
      </c>
      <c r="G266" s="76">
        <v>32</v>
      </c>
      <c r="H266" s="76">
        <v>32</v>
      </c>
      <c r="I266" s="76">
        <v>0</v>
      </c>
      <c r="J266" s="76">
        <v>0</v>
      </c>
      <c r="K266" s="76">
        <v>0</v>
      </c>
      <c r="L266" s="76">
        <v>0</v>
      </c>
      <c r="M266" s="76">
        <v>175.2</v>
      </c>
      <c r="N266" s="76">
        <v>184</v>
      </c>
      <c r="O266" s="76">
        <v>98</v>
      </c>
      <c r="P266" s="76">
        <v>94</v>
      </c>
      <c r="Q266" s="76">
        <v>27</v>
      </c>
      <c r="R266" s="76">
        <v>53</v>
      </c>
      <c r="S266" s="76">
        <v>1</v>
      </c>
      <c r="T266" s="76">
        <v>207</v>
      </c>
      <c r="U266" s="76">
        <v>756</v>
      </c>
      <c r="V266" s="76">
        <v>175.2</v>
      </c>
      <c r="W266" s="76">
        <v>0.26600000000000001</v>
      </c>
      <c r="X266" s="76">
        <v>1.35</v>
      </c>
      <c r="Y266" s="76"/>
      <c r="Z266" s="76">
        <v>16</v>
      </c>
      <c r="AA266" t="s">
        <v>813</v>
      </c>
      <c r="AB266" s="76" t="s">
        <v>152</v>
      </c>
      <c r="AC266" s="76">
        <v>6</v>
      </c>
      <c r="AD266" s="76">
        <v>1</v>
      </c>
      <c r="AE266" s="76">
        <v>0</v>
      </c>
      <c r="AF266" s="76">
        <v>0</v>
      </c>
      <c r="AG266" s="76">
        <v>10</v>
      </c>
      <c r="AH266" s="76">
        <v>163</v>
      </c>
      <c r="AI266" s="76">
        <v>142</v>
      </c>
      <c r="AJ266" s="76">
        <v>7</v>
      </c>
      <c r="AK266" s="76">
        <v>0</v>
      </c>
      <c r="AL266" s="76">
        <v>16</v>
      </c>
      <c r="AM266" s="76">
        <v>8</v>
      </c>
      <c r="AN266" s="76">
        <v>2</v>
      </c>
      <c r="AO266" s="76">
        <v>3017</v>
      </c>
      <c r="AP266" s="202" t="s">
        <v>152</v>
      </c>
      <c r="AQ266" s="202">
        <v>0.625</v>
      </c>
      <c r="AR266" s="202">
        <v>1.6</v>
      </c>
      <c r="AS266" s="202">
        <v>0.30199999999999999</v>
      </c>
      <c r="AT266" s="202">
        <v>0.40300000000000002</v>
      </c>
      <c r="AU266" s="202">
        <v>0.70499999999999996</v>
      </c>
      <c r="AV266" s="202">
        <v>8.09</v>
      </c>
      <c r="AW266" s="202">
        <v>3.18</v>
      </c>
      <c r="AX266" s="202">
        <v>7.65</v>
      </c>
      <c r="AY266" s="202">
        <v>2.5499999999999998</v>
      </c>
      <c r="AZ266" s="202">
        <v>16.440000000000001</v>
      </c>
    </row>
    <row r="267" spans="1:52" x14ac:dyDescent="0.2">
      <c r="A267" s="76">
        <v>11</v>
      </c>
      <c r="B267" s="41" t="s">
        <v>588</v>
      </c>
      <c r="C267" s="76" t="s">
        <v>152</v>
      </c>
      <c r="D267" s="76">
        <v>9</v>
      </c>
      <c r="E267" s="76">
        <v>12</v>
      </c>
      <c r="F267" s="76">
        <v>3.91</v>
      </c>
      <c r="G267" s="76">
        <v>30</v>
      </c>
      <c r="H267" s="76">
        <v>30</v>
      </c>
      <c r="I267" s="76">
        <v>0</v>
      </c>
      <c r="J267" s="76">
        <v>0</v>
      </c>
      <c r="K267" s="76">
        <v>0</v>
      </c>
      <c r="L267" s="76">
        <v>0</v>
      </c>
      <c r="M267" s="76">
        <v>179.2</v>
      </c>
      <c r="N267" s="76">
        <v>172</v>
      </c>
      <c r="O267" s="76">
        <v>83</v>
      </c>
      <c r="P267" s="76">
        <v>78</v>
      </c>
      <c r="Q267" s="76">
        <v>22</v>
      </c>
      <c r="R267" s="76">
        <v>65</v>
      </c>
      <c r="S267" s="76">
        <v>1</v>
      </c>
      <c r="T267" s="76">
        <v>152</v>
      </c>
      <c r="U267" s="76">
        <v>768</v>
      </c>
      <c r="V267" s="76">
        <v>179.2</v>
      </c>
      <c r="W267" s="76">
        <v>0.25</v>
      </c>
      <c r="X267" s="76">
        <v>1.32</v>
      </c>
      <c r="Y267" s="76"/>
      <c r="Z267" s="76">
        <v>11</v>
      </c>
      <c r="AA267" t="s">
        <v>588</v>
      </c>
      <c r="AB267" s="76" t="s">
        <v>152</v>
      </c>
      <c r="AC267" s="76">
        <v>9</v>
      </c>
      <c r="AD267" s="76">
        <v>1</v>
      </c>
      <c r="AE267" s="76">
        <v>0</v>
      </c>
      <c r="AF267" s="76">
        <v>0</v>
      </c>
      <c r="AG267" s="76">
        <v>21</v>
      </c>
      <c r="AH267" s="76">
        <v>204</v>
      </c>
      <c r="AI267" s="76">
        <v>166</v>
      </c>
      <c r="AJ267" s="76">
        <v>2</v>
      </c>
      <c r="AK267" s="76">
        <v>1</v>
      </c>
      <c r="AL267" s="76">
        <v>3</v>
      </c>
      <c r="AM267" s="76">
        <v>0</v>
      </c>
      <c r="AN267" s="76">
        <v>0</v>
      </c>
      <c r="AO267" s="76">
        <v>2910</v>
      </c>
      <c r="AP267" s="202" t="s">
        <v>152</v>
      </c>
      <c r="AQ267" s="202">
        <v>0.5</v>
      </c>
      <c r="AR267" s="202">
        <v>0.91</v>
      </c>
      <c r="AS267" s="202">
        <v>0.373</v>
      </c>
      <c r="AT267" s="202">
        <v>0.46300000000000002</v>
      </c>
      <c r="AU267" s="202">
        <v>0.83499999999999996</v>
      </c>
      <c r="AV267" s="202">
        <v>8.4499999999999993</v>
      </c>
      <c r="AW267" s="202">
        <v>3.82</v>
      </c>
      <c r="AX267" s="202">
        <v>11.18</v>
      </c>
      <c r="AY267" s="202">
        <v>2.21</v>
      </c>
      <c r="AZ267" s="202">
        <v>17.52</v>
      </c>
    </row>
    <row r="268" spans="1:52" x14ac:dyDescent="0.2">
      <c r="A268" s="76">
        <v>23</v>
      </c>
      <c r="B268" s="41" t="s">
        <v>1197</v>
      </c>
      <c r="C268" s="76" t="s">
        <v>152</v>
      </c>
      <c r="D268" s="76">
        <v>3</v>
      </c>
      <c r="E268" s="76">
        <v>8</v>
      </c>
      <c r="F268" s="76">
        <v>5.83</v>
      </c>
      <c r="G268" s="76">
        <v>22</v>
      </c>
      <c r="H268" s="76">
        <v>11</v>
      </c>
      <c r="I268" s="76">
        <v>0</v>
      </c>
      <c r="J268" s="76">
        <v>0</v>
      </c>
      <c r="K268" s="76">
        <v>0</v>
      </c>
      <c r="L268" s="76">
        <v>0</v>
      </c>
      <c r="M268" s="76">
        <v>71</v>
      </c>
      <c r="N268" s="76">
        <v>78</v>
      </c>
      <c r="O268" s="76">
        <v>48</v>
      </c>
      <c r="P268" s="76">
        <v>46</v>
      </c>
      <c r="Q268" s="76">
        <v>11</v>
      </c>
      <c r="R268" s="76">
        <v>25</v>
      </c>
      <c r="S268" s="76">
        <v>1</v>
      </c>
      <c r="T268" s="76">
        <v>66</v>
      </c>
      <c r="U268" s="76">
        <v>312</v>
      </c>
      <c r="V268" s="76">
        <v>71</v>
      </c>
      <c r="W268" s="76">
        <v>0.27500000000000002</v>
      </c>
      <c r="X268" s="76">
        <v>1.45</v>
      </c>
      <c r="Y268" s="76"/>
      <c r="Z268" s="76">
        <v>23</v>
      </c>
      <c r="AA268" t="s">
        <v>1197</v>
      </c>
      <c r="AB268" s="76" t="s">
        <v>152</v>
      </c>
      <c r="AC268" s="76">
        <v>3</v>
      </c>
      <c r="AD268" s="76">
        <v>1</v>
      </c>
      <c r="AE268" s="76">
        <v>3</v>
      </c>
      <c r="AF268" s="76">
        <v>1</v>
      </c>
      <c r="AG268" s="76">
        <v>8</v>
      </c>
      <c r="AH268" s="76">
        <v>77</v>
      </c>
      <c r="AI268" s="76">
        <v>63</v>
      </c>
      <c r="AJ268" s="76">
        <v>3</v>
      </c>
      <c r="AK268" s="76">
        <v>0</v>
      </c>
      <c r="AL268" s="76">
        <v>2</v>
      </c>
      <c r="AM268" s="76">
        <v>0</v>
      </c>
      <c r="AN268" s="76">
        <v>0</v>
      </c>
      <c r="AO268" s="76">
        <v>1269</v>
      </c>
      <c r="AP268" s="102" t="s">
        <v>157</v>
      </c>
      <c r="AQ268" s="102" t="s">
        <v>1081</v>
      </c>
      <c r="AR268" s="102" t="s">
        <v>1068</v>
      </c>
      <c r="AS268" s="102" t="s">
        <v>1059</v>
      </c>
      <c r="AT268" s="102" t="s">
        <v>1060</v>
      </c>
      <c r="AU268" s="102" t="s">
        <v>1061</v>
      </c>
      <c r="AV268" s="102" t="s">
        <v>1092</v>
      </c>
      <c r="AW268" s="102" t="s">
        <v>1093</v>
      </c>
      <c r="AX268" s="102" t="s">
        <v>1094</v>
      </c>
      <c r="AY268" s="102" t="s">
        <v>1095</v>
      </c>
      <c r="AZ268" s="102" t="s">
        <v>1096</v>
      </c>
    </row>
    <row r="269" spans="1:52" x14ac:dyDescent="0.2">
      <c r="A269" s="76">
        <v>19</v>
      </c>
      <c r="B269" s="41" t="s">
        <v>751</v>
      </c>
      <c r="C269" s="76" t="s">
        <v>152</v>
      </c>
      <c r="D269" s="76">
        <v>2</v>
      </c>
      <c r="E269" s="76">
        <v>1</v>
      </c>
      <c r="F269" s="76">
        <v>5.18</v>
      </c>
      <c r="G269" s="76">
        <v>37</v>
      </c>
      <c r="H269" s="76">
        <v>0</v>
      </c>
      <c r="I269" s="76">
        <v>0</v>
      </c>
      <c r="J269" s="76">
        <v>0</v>
      </c>
      <c r="K269" s="76">
        <v>1</v>
      </c>
      <c r="L269" s="76">
        <v>1</v>
      </c>
      <c r="M269" s="76">
        <v>33</v>
      </c>
      <c r="N269" s="76">
        <v>29</v>
      </c>
      <c r="O269" s="76">
        <v>19</v>
      </c>
      <c r="P269" s="76">
        <v>19</v>
      </c>
      <c r="Q269" s="76">
        <v>8</v>
      </c>
      <c r="R269" s="76">
        <v>13</v>
      </c>
      <c r="S269" s="76">
        <v>0</v>
      </c>
      <c r="T269" s="76">
        <v>33</v>
      </c>
      <c r="U269" s="76">
        <v>142</v>
      </c>
      <c r="V269" s="76">
        <v>33</v>
      </c>
      <c r="W269" s="76">
        <v>0.23200000000000001</v>
      </c>
      <c r="X269" s="76">
        <v>1.27</v>
      </c>
      <c r="Y269" s="76"/>
      <c r="Z269" s="76">
        <v>19</v>
      </c>
      <c r="AA269" t="s">
        <v>751</v>
      </c>
      <c r="AB269" s="76" t="s">
        <v>152</v>
      </c>
      <c r="AC269" s="76">
        <v>3</v>
      </c>
      <c r="AD269" s="76">
        <v>0</v>
      </c>
      <c r="AE269" s="76">
        <v>11</v>
      </c>
      <c r="AF269" s="76">
        <v>1</v>
      </c>
      <c r="AG269" s="76">
        <v>0</v>
      </c>
      <c r="AH269" s="76">
        <v>34</v>
      </c>
      <c r="AI269" s="76">
        <v>30</v>
      </c>
      <c r="AJ269" s="76">
        <v>0</v>
      </c>
      <c r="AK269" s="76">
        <v>0</v>
      </c>
      <c r="AL269" s="76">
        <v>1</v>
      </c>
      <c r="AM269" s="76">
        <v>1</v>
      </c>
      <c r="AN269" s="76">
        <v>0</v>
      </c>
      <c r="AO269" s="76">
        <v>569</v>
      </c>
      <c r="AP269" s="202" t="s">
        <v>152</v>
      </c>
      <c r="AQ269" s="202" t="s">
        <v>243</v>
      </c>
      <c r="AR269" s="202">
        <v>2</v>
      </c>
      <c r="AS269" s="202">
        <v>0.36399999999999999</v>
      </c>
      <c r="AT269" s="202">
        <v>0.33300000000000002</v>
      </c>
      <c r="AU269" s="202">
        <v>0.69699999999999995</v>
      </c>
      <c r="AV269" s="202">
        <v>4.5</v>
      </c>
      <c r="AW269" s="202">
        <v>9</v>
      </c>
      <c r="AX269" s="202">
        <v>9</v>
      </c>
      <c r="AY269" s="202">
        <v>0.5</v>
      </c>
      <c r="AZ269" s="202">
        <v>19.5</v>
      </c>
    </row>
    <row r="270" spans="1:52" x14ac:dyDescent="0.2">
      <c r="A270" s="76">
        <v>22</v>
      </c>
      <c r="B270" s="41" t="s">
        <v>572</v>
      </c>
      <c r="C270" s="76" t="s">
        <v>152</v>
      </c>
      <c r="D270" s="76">
        <v>1</v>
      </c>
      <c r="E270" s="76">
        <v>2</v>
      </c>
      <c r="F270" s="76">
        <v>5.52</v>
      </c>
      <c r="G270" s="76">
        <v>26</v>
      </c>
      <c r="H270" s="76">
        <v>0</v>
      </c>
      <c r="I270" s="76">
        <v>0</v>
      </c>
      <c r="J270" s="76">
        <v>0</v>
      </c>
      <c r="K270" s="76">
        <v>0</v>
      </c>
      <c r="L270" s="76">
        <v>1</v>
      </c>
      <c r="M270" s="76">
        <v>31</v>
      </c>
      <c r="N270" s="76">
        <v>28</v>
      </c>
      <c r="O270" s="76">
        <v>19</v>
      </c>
      <c r="P270" s="76">
        <v>19</v>
      </c>
      <c r="Q270" s="76">
        <v>10</v>
      </c>
      <c r="R270" s="76">
        <v>7</v>
      </c>
      <c r="S270" s="76">
        <v>0</v>
      </c>
      <c r="T270" s="76">
        <v>31</v>
      </c>
      <c r="U270" s="76">
        <v>124</v>
      </c>
      <c r="V270" s="76">
        <v>31</v>
      </c>
      <c r="W270" s="76">
        <v>0.24299999999999999</v>
      </c>
      <c r="X270" s="76">
        <v>1.1299999999999999</v>
      </c>
      <c r="Y270" s="76"/>
      <c r="Z270" s="76">
        <v>22</v>
      </c>
      <c r="AA270" t="s">
        <v>572</v>
      </c>
      <c r="AB270" s="76" t="s">
        <v>152</v>
      </c>
      <c r="AC270" s="76">
        <v>1</v>
      </c>
      <c r="AD270" s="76">
        <v>0</v>
      </c>
      <c r="AE270" s="76">
        <v>6</v>
      </c>
      <c r="AF270" s="76">
        <v>1</v>
      </c>
      <c r="AG270" s="76">
        <v>3</v>
      </c>
      <c r="AH270" s="76">
        <v>30</v>
      </c>
      <c r="AI270" s="76">
        <v>27</v>
      </c>
      <c r="AJ270" s="76">
        <v>1</v>
      </c>
      <c r="AK270" s="76">
        <v>0</v>
      </c>
      <c r="AL270" s="76">
        <v>2</v>
      </c>
      <c r="AM270" s="76">
        <v>0</v>
      </c>
      <c r="AN270" s="76">
        <v>0</v>
      </c>
      <c r="AO270" s="76">
        <v>488</v>
      </c>
      <c r="AP270" s="202" t="s">
        <v>152</v>
      </c>
      <c r="AQ270" s="202">
        <v>1</v>
      </c>
      <c r="AR270" s="202">
        <v>1.06</v>
      </c>
      <c r="AS270" s="202">
        <v>0.29299999999999998</v>
      </c>
      <c r="AT270" s="202">
        <v>0.309</v>
      </c>
      <c r="AU270" s="202">
        <v>0.60199999999999998</v>
      </c>
      <c r="AV270" s="202">
        <v>9.74</v>
      </c>
      <c r="AW270" s="202">
        <v>2.95</v>
      </c>
      <c r="AX270" s="202">
        <v>7.23</v>
      </c>
      <c r="AY270" s="202">
        <v>3.3</v>
      </c>
      <c r="AZ270" s="202">
        <v>17.18</v>
      </c>
    </row>
    <row r="271" spans="1:52" x14ac:dyDescent="0.2">
      <c r="A271" s="76">
        <v>6</v>
      </c>
      <c r="B271" s="41" t="s">
        <v>815</v>
      </c>
      <c r="C271" s="76" t="s">
        <v>152</v>
      </c>
      <c r="D271" s="76">
        <v>14</v>
      </c>
      <c r="E271" s="76">
        <v>4</v>
      </c>
      <c r="F271" s="76">
        <v>3.07</v>
      </c>
      <c r="G271" s="76">
        <v>31</v>
      </c>
      <c r="H271" s="76">
        <v>31</v>
      </c>
      <c r="I271" s="76">
        <v>0</v>
      </c>
      <c r="J271" s="76">
        <v>0</v>
      </c>
      <c r="K271" s="76">
        <v>0</v>
      </c>
      <c r="L271" s="76">
        <v>0</v>
      </c>
      <c r="M271" s="76">
        <v>199.2</v>
      </c>
      <c r="N271" s="76">
        <v>179</v>
      </c>
      <c r="O271" s="76">
        <v>75</v>
      </c>
      <c r="P271" s="76">
        <v>68</v>
      </c>
      <c r="Q271" s="76">
        <v>22</v>
      </c>
      <c r="R271" s="76">
        <v>36</v>
      </c>
      <c r="S271" s="76">
        <v>0</v>
      </c>
      <c r="T271" s="76">
        <v>165</v>
      </c>
      <c r="U271" s="76">
        <v>805</v>
      </c>
      <c r="V271" s="76">
        <v>199.2</v>
      </c>
      <c r="W271" s="76">
        <v>0.23599999999999999</v>
      </c>
      <c r="X271" s="76">
        <v>1.08</v>
      </c>
      <c r="Y271" s="76"/>
      <c r="Z271" s="76">
        <v>6</v>
      </c>
      <c r="AA271" t="s">
        <v>815</v>
      </c>
      <c r="AB271" s="76" t="s">
        <v>152</v>
      </c>
      <c r="AC271" s="76">
        <v>3</v>
      </c>
      <c r="AD271" s="76">
        <v>0</v>
      </c>
      <c r="AE271" s="76">
        <v>0</v>
      </c>
      <c r="AF271" s="76">
        <v>0</v>
      </c>
      <c r="AG271" s="76">
        <v>10</v>
      </c>
      <c r="AH271" s="76">
        <v>230</v>
      </c>
      <c r="AI271" s="76">
        <v>192</v>
      </c>
      <c r="AJ271" s="76">
        <v>7</v>
      </c>
      <c r="AK271" s="76">
        <v>0</v>
      </c>
      <c r="AL271" s="76">
        <v>7</v>
      </c>
      <c r="AM271" s="76">
        <v>3</v>
      </c>
      <c r="AN271" s="76">
        <v>0</v>
      </c>
      <c r="AO271" s="76">
        <v>2935</v>
      </c>
      <c r="AP271" s="202" t="s">
        <v>152</v>
      </c>
      <c r="AQ271" s="202">
        <v>0.35299999999999998</v>
      </c>
      <c r="AR271" s="202">
        <v>1.34</v>
      </c>
      <c r="AS271" s="202">
        <v>0.33900000000000002</v>
      </c>
      <c r="AT271" s="202">
        <v>0.45400000000000001</v>
      </c>
      <c r="AU271" s="202">
        <v>0.79300000000000004</v>
      </c>
      <c r="AV271" s="202">
        <v>6.03</v>
      </c>
      <c r="AW271" s="202">
        <v>3.16</v>
      </c>
      <c r="AX271" s="202">
        <v>9.48</v>
      </c>
      <c r="AY271" s="202">
        <v>1.91</v>
      </c>
      <c r="AZ271" s="202">
        <v>16.27</v>
      </c>
    </row>
    <row r="272" spans="1:52" x14ac:dyDescent="0.2">
      <c r="A272" s="76">
        <v>9</v>
      </c>
      <c r="B272" s="41" t="s">
        <v>586</v>
      </c>
      <c r="C272" s="76" t="s">
        <v>152</v>
      </c>
      <c r="D272" s="76">
        <v>4</v>
      </c>
      <c r="E272" s="76">
        <v>2</v>
      </c>
      <c r="F272" s="76">
        <v>3.26</v>
      </c>
      <c r="G272" s="76">
        <v>29</v>
      </c>
      <c r="H272" s="76">
        <v>0</v>
      </c>
      <c r="I272" s="76">
        <v>0</v>
      </c>
      <c r="J272" s="76">
        <v>0</v>
      </c>
      <c r="K272" s="76">
        <v>0</v>
      </c>
      <c r="L272" s="76">
        <v>2</v>
      </c>
      <c r="M272" s="76">
        <v>30.1</v>
      </c>
      <c r="N272" s="76">
        <v>28</v>
      </c>
      <c r="O272" s="76">
        <v>13</v>
      </c>
      <c r="P272" s="76">
        <v>11</v>
      </c>
      <c r="Q272" s="76">
        <v>4</v>
      </c>
      <c r="R272" s="76">
        <v>10</v>
      </c>
      <c r="S272" s="76">
        <v>2</v>
      </c>
      <c r="T272" s="76">
        <v>25</v>
      </c>
      <c r="U272" s="76">
        <v>125</v>
      </c>
      <c r="V272" s="76">
        <v>30.1</v>
      </c>
      <c r="W272" s="76">
        <v>0.25</v>
      </c>
      <c r="X272" s="76">
        <v>1.25</v>
      </c>
      <c r="Y272" s="76"/>
      <c r="Z272" s="76">
        <v>9</v>
      </c>
      <c r="AA272" t="s">
        <v>586</v>
      </c>
      <c r="AB272" s="76" t="s">
        <v>152</v>
      </c>
      <c r="AC272" s="76">
        <v>1</v>
      </c>
      <c r="AD272" s="76">
        <v>2</v>
      </c>
      <c r="AE272" s="76">
        <v>3</v>
      </c>
      <c r="AF272" s="76">
        <v>6</v>
      </c>
      <c r="AG272" s="76">
        <v>2</v>
      </c>
      <c r="AH272" s="76">
        <v>26</v>
      </c>
      <c r="AI272" s="76">
        <v>35</v>
      </c>
      <c r="AJ272" s="76">
        <v>3</v>
      </c>
      <c r="AK272" s="76">
        <v>0</v>
      </c>
      <c r="AL272" s="76">
        <v>0</v>
      </c>
      <c r="AM272" s="76">
        <v>2</v>
      </c>
      <c r="AN272" s="76">
        <v>0</v>
      </c>
      <c r="AO272" s="76">
        <v>520</v>
      </c>
      <c r="AP272" s="202" t="s">
        <v>152</v>
      </c>
      <c r="AQ272" s="202">
        <v>0.54500000000000004</v>
      </c>
      <c r="AR272" s="202">
        <v>1.35</v>
      </c>
      <c r="AS272" s="202">
        <v>0.30099999999999999</v>
      </c>
      <c r="AT272" s="202">
        <v>0.45100000000000001</v>
      </c>
      <c r="AU272" s="202">
        <v>0.752</v>
      </c>
      <c r="AV272" s="202">
        <v>8.74</v>
      </c>
      <c r="AW272" s="202">
        <v>1.18</v>
      </c>
      <c r="AX272" s="202">
        <v>9.86</v>
      </c>
      <c r="AY272" s="202">
        <v>7.43</v>
      </c>
      <c r="AZ272" s="202">
        <v>15.86</v>
      </c>
    </row>
    <row r="273" spans="1:52" x14ac:dyDescent="0.2">
      <c r="A273" s="76">
        <v>20</v>
      </c>
      <c r="B273" s="41" t="s">
        <v>822</v>
      </c>
      <c r="C273" s="76" t="s">
        <v>152</v>
      </c>
      <c r="D273" s="76">
        <v>2</v>
      </c>
      <c r="E273" s="76">
        <v>1</v>
      </c>
      <c r="F273" s="76">
        <v>5.23</v>
      </c>
      <c r="G273" s="76">
        <v>41</v>
      </c>
      <c r="H273" s="76">
        <v>0</v>
      </c>
      <c r="I273" s="76">
        <v>0</v>
      </c>
      <c r="J273" s="76">
        <v>0</v>
      </c>
      <c r="K273" s="76">
        <v>0</v>
      </c>
      <c r="L273" s="76">
        <v>2</v>
      </c>
      <c r="M273" s="76">
        <v>41.1</v>
      </c>
      <c r="N273" s="76">
        <v>41</v>
      </c>
      <c r="O273" s="76">
        <v>24</v>
      </c>
      <c r="P273" s="76">
        <v>24</v>
      </c>
      <c r="Q273" s="76">
        <v>5</v>
      </c>
      <c r="R273" s="76">
        <v>19</v>
      </c>
      <c r="S273" s="76">
        <v>1</v>
      </c>
      <c r="T273" s="76">
        <v>50</v>
      </c>
      <c r="U273" s="76">
        <v>184</v>
      </c>
      <c r="V273" s="76">
        <v>41.1</v>
      </c>
      <c r="W273" s="76">
        <v>0.25800000000000001</v>
      </c>
      <c r="X273" s="76">
        <v>1.45</v>
      </c>
      <c r="Y273" s="76"/>
      <c r="Z273" s="76">
        <v>20</v>
      </c>
      <c r="AA273" t="s">
        <v>822</v>
      </c>
      <c r="AB273" s="76" t="s">
        <v>152</v>
      </c>
      <c r="AC273" s="76">
        <v>4</v>
      </c>
      <c r="AD273" s="76">
        <v>1</v>
      </c>
      <c r="AE273" s="76">
        <v>11</v>
      </c>
      <c r="AF273" s="76">
        <v>2</v>
      </c>
      <c r="AG273" s="76">
        <v>1</v>
      </c>
      <c r="AH273" s="76">
        <v>34</v>
      </c>
      <c r="AI273" s="76">
        <v>36</v>
      </c>
      <c r="AJ273" s="76">
        <v>1</v>
      </c>
      <c r="AK273" s="76">
        <v>0</v>
      </c>
      <c r="AL273" s="76">
        <v>7</v>
      </c>
      <c r="AM273" s="76">
        <v>2</v>
      </c>
      <c r="AN273" s="76">
        <v>0</v>
      </c>
      <c r="AO273" s="76">
        <v>800</v>
      </c>
      <c r="AP273" s="202" t="s">
        <v>152</v>
      </c>
      <c r="AQ273" s="202">
        <v>0.5</v>
      </c>
      <c r="AR273" s="202">
        <v>1.1100000000000001</v>
      </c>
      <c r="AS273" s="202">
        <v>0.30099999999999999</v>
      </c>
      <c r="AT273" s="202">
        <v>0.34699999999999998</v>
      </c>
      <c r="AU273" s="202">
        <v>0.64800000000000002</v>
      </c>
      <c r="AV273" s="202">
        <v>7.13</v>
      </c>
      <c r="AW273" s="202">
        <v>2.67</v>
      </c>
      <c r="AX273" s="202">
        <v>7.81</v>
      </c>
      <c r="AY273" s="202">
        <v>2.67</v>
      </c>
      <c r="AZ273" s="202">
        <v>16.440000000000001</v>
      </c>
    </row>
    <row r="274" spans="1:52" x14ac:dyDescent="0.2">
      <c r="A274" s="225" t="s">
        <v>105</v>
      </c>
      <c r="B274" s="225" t="s">
        <v>106</v>
      </c>
      <c r="C274" s="225" t="s">
        <v>157</v>
      </c>
      <c r="D274" s="225" t="s">
        <v>85</v>
      </c>
      <c r="E274" s="225" t="s">
        <v>86</v>
      </c>
      <c r="F274" s="225" t="s">
        <v>107</v>
      </c>
      <c r="G274" s="225" t="s">
        <v>108</v>
      </c>
      <c r="H274" s="225" t="s">
        <v>88</v>
      </c>
      <c r="I274" s="225" t="s">
        <v>89</v>
      </c>
      <c r="J274" s="225" t="s">
        <v>1073</v>
      </c>
      <c r="K274" s="225" t="s">
        <v>90</v>
      </c>
      <c r="L274" s="225" t="s">
        <v>158</v>
      </c>
      <c r="M274" s="225" t="s">
        <v>91</v>
      </c>
      <c r="N274" s="225" t="s">
        <v>92</v>
      </c>
      <c r="O274" s="225" t="s">
        <v>93</v>
      </c>
      <c r="P274" s="225" t="s">
        <v>94</v>
      </c>
      <c r="Q274" s="225" t="s">
        <v>95</v>
      </c>
      <c r="R274" s="225" t="s">
        <v>96</v>
      </c>
      <c r="S274" s="225" t="s">
        <v>98</v>
      </c>
      <c r="T274" s="225" t="s">
        <v>97</v>
      </c>
      <c r="U274" s="225" t="s">
        <v>109</v>
      </c>
      <c r="V274" s="225" t="s">
        <v>91</v>
      </c>
      <c r="W274" s="225" t="s">
        <v>1071</v>
      </c>
      <c r="X274" s="225" t="s">
        <v>1072</v>
      </c>
      <c r="Y274" s="225"/>
      <c r="Z274" s="225" t="s">
        <v>105</v>
      </c>
      <c r="AA274" s="225" t="s">
        <v>106</v>
      </c>
      <c r="AB274" s="225" t="s">
        <v>157</v>
      </c>
      <c r="AC274" s="225" t="s">
        <v>1074</v>
      </c>
      <c r="AD274" s="225" t="s">
        <v>98</v>
      </c>
      <c r="AE274" s="225" t="s">
        <v>1075</v>
      </c>
      <c r="AF274" s="225" t="s">
        <v>1076</v>
      </c>
      <c r="AG274" s="225" t="s">
        <v>1077</v>
      </c>
      <c r="AH274" s="225" t="s">
        <v>1066</v>
      </c>
      <c r="AI274" s="225" t="s">
        <v>1067</v>
      </c>
      <c r="AJ274" s="225" t="s">
        <v>1078</v>
      </c>
      <c r="AK274" s="225" t="s">
        <v>1079</v>
      </c>
      <c r="AL274" s="225" t="s">
        <v>1057</v>
      </c>
      <c r="AM274" s="225" t="s">
        <v>1058</v>
      </c>
      <c r="AN274" s="225" t="s">
        <v>1080</v>
      </c>
      <c r="AO274" s="225" t="s">
        <v>1069</v>
      </c>
      <c r="AP274" s="202" t="s">
        <v>153</v>
      </c>
      <c r="AQ274" s="202">
        <v>0.25</v>
      </c>
      <c r="AR274" s="202">
        <v>0.33</v>
      </c>
      <c r="AS274" s="202">
        <v>0.28699999999999998</v>
      </c>
      <c r="AT274" s="202">
        <v>0.28000000000000003</v>
      </c>
      <c r="AU274" s="202">
        <v>0.56699999999999995</v>
      </c>
      <c r="AV274" s="202">
        <v>8.84</v>
      </c>
      <c r="AW274" s="202">
        <v>4.8899999999999997</v>
      </c>
      <c r="AX274" s="202">
        <v>5.82</v>
      </c>
      <c r="AY274" s="202">
        <v>1.81</v>
      </c>
      <c r="AZ274" s="202">
        <v>18.41</v>
      </c>
    </row>
    <row r="275" spans="1:52" x14ac:dyDescent="0.2">
      <c r="A275" s="76">
        <v>24</v>
      </c>
      <c r="B275" t="s">
        <v>1370</v>
      </c>
      <c r="C275" s="76" t="s">
        <v>153</v>
      </c>
      <c r="D275" s="76">
        <v>1</v>
      </c>
      <c r="E275" s="76">
        <v>3</v>
      </c>
      <c r="F275" s="76">
        <v>7.25</v>
      </c>
      <c r="G275" s="76">
        <v>5</v>
      </c>
      <c r="H275" s="76">
        <v>5</v>
      </c>
      <c r="I275" s="76">
        <v>0</v>
      </c>
      <c r="J275" s="76">
        <v>0</v>
      </c>
      <c r="K275" s="76">
        <v>0</v>
      </c>
      <c r="L275" s="76">
        <v>0</v>
      </c>
      <c r="M275" s="76">
        <v>22.1</v>
      </c>
      <c r="N275" s="76">
        <v>31</v>
      </c>
      <c r="O275" s="76">
        <v>18</v>
      </c>
      <c r="P275" s="76">
        <v>18</v>
      </c>
      <c r="Q275" s="76">
        <v>9</v>
      </c>
      <c r="R275" s="76">
        <v>4</v>
      </c>
      <c r="S275" s="76">
        <v>0</v>
      </c>
      <c r="T275" s="76">
        <v>14</v>
      </c>
      <c r="U275" s="76">
        <v>103</v>
      </c>
      <c r="V275" s="76">
        <v>22.1</v>
      </c>
      <c r="W275" s="76">
        <v>0.33300000000000002</v>
      </c>
      <c r="X275" s="76">
        <v>1.57</v>
      </c>
      <c r="Y275" s="76"/>
      <c r="Z275" s="76">
        <v>24</v>
      </c>
      <c r="AA275" t="s">
        <v>1370</v>
      </c>
      <c r="AB275" s="76" t="s">
        <v>153</v>
      </c>
      <c r="AC275" s="76">
        <v>4</v>
      </c>
      <c r="AD275" s="76">
        <v>0</v>
      </c>
      <c r="AE275" s="76">
        <v>0</v>
      </c>
      <c r="AF275" s="76">
        <v>0</v>
      </c>
      <c r="AG275" s="76">
        <v>2</v>
      </c>
      <c r="AH275" s="76">
        <v>22</v>
      </c>
      <c r="AI275" s="76">
        <v>28</v>
      </c>
      <c r="AJ275" s="76">
        <v>1</v>
      </c>
      <c r="AK275" s="76">
        <v>1</v>
      </c>
      <c r="AL275" s="76">
        <v>2</v>
      </c>
      <c r="AM275" s="76">
        <v>0</v>
      </c>
      <c r="AN275" s="76">
        <v>0</v>
      </c>
      <c r="AO275" s="76">
        <v>380</v>
      </c>
      <c r="AP275" s="102" t="s">
        <v>157</v>
      </c>
      <c r="AQ275" s="102" t="s">
        <v>1081</v>
      </c>
      <c r="AR275" s="102" t="s">
        <v>1068</v>
      </c>
      <c r="AS275" s="102" t="s">
        <v>1059</v>
      </c>
      <c r="AT275" s="102" t="s">
        <v>1060</v>
      </c>
      <c r="AU275" s="102" t="s">
        <v>1061</v>
      </c>
      <c r="AV275" s="102" t="s">
        <v>1092</v>
      </c>
      <c r="AW275" s="102" t="s">
        <v>1093</v>
      </c>
      <c r="AX275" s="102" t="s">
        <v>1094</v>
      </c>
      <c r="AY275" s="102" t="s">
        <v>1095</v>
      </c>
      <c r="AZ275" s="102" t="s">
        <v>1096</v>
      </c>
    </row>
    <row r="276" spans="1:52" x14ac:dyDescent="0.2">
      <c r="A276" s="76">
        <v>12</v>
      </c>
      <c r="B276" s="41" t="s">
        <v>408</v>
      </c>
      <c r="C276" s="76" t="s">
        <v>153</v>
      </c>
      <c r="D276" s="76">
        <v>6</v>
      </c>
      <c r="E276" s="76">
        <v>4</v>
      </c>
      <c r="F276" s="76">
        <v>3.97</v>
      </c>
      <c r="G276" s="76">
        <v>68</v>
      </c>
      <c r="H276" s="76">
        <v>0</v>
      </c>
      <c r="I276" s="76">
        <v>0</v>
      </c>
      <c r="J276" s="76">
        <v>0</v>
      </c>
      <c r="K276" s="76">
        <v>3</v>
      </c>
      <c r="L276" s="76">
        <v>10</v>
      </c>
      <c r="M276" s="76">
        <v>65.2</v>
      </c>
      <c r="N276" s="76">
        <v>65</v>
      </c>
      <c r="O276" s="76">
        <v>30</v>
      </c>
      <c r="P276" s="76">
        <v>29</v>
      </c>
      <c r="Q276" s="76">
        <v>6</v>
      </c>
      <c r="R276" s="76">
        <v>30</v>
      </c>
      <c r="S276" s="76">
        <v>1</v>
      </c>
      <c r="T276" s="76">
        <v>60</v>
      </c>
      <c r="U276" s="76">
        <v>289</v>
      </c>
      <c r="V276" s="76">
        <v>65.2</v>
      </c>
      <c r="W276" s="76">
        <v>0.25800000000000001</v>
      </c>
      <c r="X276" s="76">
        <v>1.45</v>
      </c>
      <c r="Y276" s="76"/>
      <c r="Z276" s="76">
        <v>12</v>
      </c>
      <c r="AA276" t="s">
        <v>408</v>
      </c>
      <c r="AB276" s="76" t="s">
        <v>153</v>
      </c>
      <c r="AC276" s="76">
        <v>3</v>
      </c>
      <c r="AD276" s="76">
        <v>1</v>
      </c>
      <c r="AE276" s="76">
        <v>13</v>
      </c>
      <c r="AF276" s="76">
        <v>15</v>
      </c>
      <c r="AG276" s="76">
        <v>7</v>
      </c>
      <c r="AH276" s="76">
        <v>76</v>
      </c>
      <c r="AI276" s="76">
        <v>55</v>
      </c>
      <c r="AJ276" s="76">
        <v>4</v>
      </c>
      <c r="AK276" s="76">
        <v>0</v>
      </c>
      <c r="AL276" s="76">
        <v>4</v>
      </c>
      <c r="AM276" s="76">
        <v>0</v>
      </c>
      <c r="AN276" s="76">
        <v>0</v>
      </c>
      <c r="AO276" s="76">
        <v>1194</v>
      </c>
      <c r="AP276" s="202" t="s">
        <v>153</v>
      </c>
      <c r="AQ276" s="202">
        <v>0</v>
      </c>
      <c r="AR276" s="202">
        <v>0.85</v>
      </c>
      <c r="AS276" s="202">
        <v>0.44900000000000001</v>
      </c>
      <c r="AT276" s="202">
        <v>0.78600000000000003</v>
      </c>
      <c r="AU276" s="202">
        <v>1.2350000000000001</v>
      </c>
      <c r="AV276" s="202">
        <v>3</v>
      </c>
      <c r="AW276" s="202">
        <v>5</v>
      </c>
      <c r="AX276" s="202">
        <v>16</v>
      </c>
      <c r="AY276" s="202">
        <v>0.6</v>
      </c>
      <c r="AZ276" s="202">
        <v>18.440000000000001</v>
      </c>
    </row>
    <row r="277" spans="1:52" x14ac:dyDescent="0.2">
      <c r="A277" s="76">
        <v>20</v>
      </c>
      <c r="B277" t="s">
        <v>790</v>
      </c>
      <c r="C277" s="76" t="s">
        <v>153</v>
      </c>
      <c r="D277" s="76">
        <v>0</v>
      </c>
      <c r="E277" s="76">
        <v>2</v>
      </c>
      <c r="F277" s="76">
        <v>6.11</v>
      </c>
      <c r="G277" s="76">
        <v>5</v>
      </c>
      <c r="H277" s="76">
        <v>5</v>
      </c>
      <c r="I277" s="76">
        <v>0</v>
      </c>
      <c r="J277" s="76">
        <v>0</v>
      </c>
      <c r="K277" s="76">
        <v>0</v>
      </c>
      <c r="L277" s="76">
        <v>0</v>
      </c>
      <c r="M277" s="76">
        <v>28</v>
      </c>
      <c r="N277" s="76">
        <v>35</v>
      </c>
      <c r="O277" s="76">
        <v>20</v>
      </c>
      <c r="P277" s="76">
        <v>19</v>
      </c>
      <c r="Q277" s="76">
        <v>5</v>
      </c>
      <c r="R277" s="76">
        <v>14</v>
      </c>
      <c r="S277" s="76">
        <v>0</v>
      </c>
      <c r="T277" s="76">
        <v>23</v>
      </c>
      <c r="U277" s="76">
        <v>133</v>
      </c>
      <c r="V277" s="76">
        <v>28</v>
      </c>
      <c r="W277" s="76">
        <v>0.29399999999999998</v>
      </c>
      <c r="X277" s="76">
        <v>1.75</v>
      </c>
      <c r="Y277" s="76"/>
      <c r="Z277" s="76">
        <v>20</v>
      </c>
      <c r="AA277" t="s">
        <v>790</v>
      </c>
      <c r="AB277" s="76" t="s">
        <v>153</v>
      </c>
      <c r="AC277" s="76">
        <v>0</v>
      </c>
      <c r="AD277" s="76">
        <v>0</v>
      </c>
      <c r="AE277" s="76">
        <v>0</v>
      </c>
      <c r="AF277" s="76">
        <v>0</v>
      </c>
      <c r="AG277" s="76">
        <v>3</v>
      </c>
      <c r="AH277" s="76">
        <v>32</v>
      </c>
      <c r="AI277" s="76">
        <v>29</v>
      </c>
      <c r="AJ277" s="76">
        <v>2</v>
      </c>
      <c r="AK277" s="76">
        <v>0</v>
      </c>
      <c r="AL277" s="76">
        <v>1</v>
      </c>
      <c r="AM277" s="76">
        <v>0</v>
      </c>
      <c r="AN277" s="76">
        <v>0</v>
      </c>
      <c r="AO277" s="76">
        <v>503</v>
      </c>
      <c r="AP277" s="202" t="s">
        <v>153</v>
      </c>
      <c r="AQ277" s="202">
        <v>0.5</v>
      </c>
      <c r="AR277" s="202">
        <v>0.83</v>
      </c>
      <c r="AS277" s="202">
        <v>0.26900000000000002</v>
      </c>
      <c r="AT277" s="202">
        <v>0.48899999999999999</v>
      </c>
      <c r="AU277" s="202">
        <v>0.75800000000000001</v>
      </c>
      <c r="AV277" s="202">
        <v>9.6</v>
      </c>
      <c r="AW277" s="202">
        <v>0.6</v>
      </c>
      <c r="AX277" s="202">
        <v>8.6999999999999993</v>
      </c>
      <c r="AY277" s="202">
        <v>16</v>
      </c>
      <c r="AZ277" s="202">
        <v>15.35</v>
      </c>
    </row>
    <row r="278" spans="1:52" x14ac:dyDescent="0.2">
      <c r="A278" s="76">
        <v>3</v>
      </c>
      <c r="B278" t="s">
        <v>1365</v>
      </c>
      <c r="C278" s="76" t="s">
        <v>153</v>
      </c>
      <c r="D278" s="76">
        <v>2</v>
      </c>
      <c r="E278" s="76">
        <v>0</v>
      </c>
      <c r="F278" s="76">
        <v>2.15</v>
      </c>
      <c r="G278" s="76">
        <v>5</v>
      </c>
      <c r="H278" s="76">
        <v>5</v>
      </c>
      <c r="I278" s="76">
        <v>0</v>
      </c>
      <c r="J278" s="76">
        <v>0</v>
      </c>
      <c r="K278" s="76">
        <v>0</v>
      </c>
      <c r="L278" s="76">
        <v>0</v>
      </c>
      <c r="M278" s="76">
        <v>29.1</v>
      </c>
      <c r="N278" s="76">
        <v>20</v>
      </c>
      <c r="O278" s="76">
        <v>10</v>
      </c>
      <c r="P278" s="76">
        <v>7</v>
      </c>
      <c r="Q278" s="76">
        <v>4</v>
      </c>
      <c r="R278" s="76">
        <v>4</v>
      </c>
      <c r="S278" s="76">
        <v>0</v>
      </c>
      <c r="T278" s="76">
        <v>23</v>
      </c>
      <c r="U278" s="76">
        <v>112</v>
      </c>
      <c r="V278" s="76">
        <v>29.1</v>
      </c>
      <c r="W278" s="76">
        <v>0.185</v>
      </c>
      <c r="X278" s="76">
        <v>0.82</v>
      </c>
      <c r="Y278" s="76"/>
      <c r="Z278" s="76">
        <v>3</v>
      </c>
      <c r="AA278" t="s">
        <v>1365</v>
      </c>
      <c r="AB278" s="76" t="s">
        <v>153</v>
      </c>
      <c r="AC278" s="76">
        <v>0</v>
      </c>
      <c r="AD278" s="76">
        <v>0</v>
      </c>
      <c r="AE278" s="76">
        <v>0</v>
      </c>
      <c r="AF278" s="76">
        <v>0</v>
      </c>
      <c r="AG278" s="76">
        <v>2</v>
      </c>
      <c r="AH278" s="76">
        <v>25</v>
      </c>
      <c r="AI278" s="76">
        <v>40</v>
      </c>
      <c r="AJ278" s="76">
        <v>1</v>
      </c>
      <c r="AK278" s="76">
        <v>0</v>
      </c>
      <c r="AL278" s="76">
        <v>3</v>
      </c>
      <c r="AM278" s="76">
        <v>0</v>
      </c>
      <c r="AN278" s="76">
        <v>0</v>
      </c>
      <c r="AO278" s="76">
        <v>441</v>
      </c>
      <c r="AP278" s="202" t="s">
        <v>153</v>
      </c>
      <c r="AQ278" s="202" t="s">
        <v>243</v>
      </c>
      <c r="AR278" s="202">
        <v>1.5</v>
      </c>
      <c r="AS278" s="202">
        <v>0.25</v>
      </c>
      <c r="AT278" s="202">
        <v>0.28599999999999998</v>
      </c>
      <c r="AU278" s="202">
        <v>0.53600000000000003</v>
      </c>
      <c r="AV278" s="202">
        <v>4.5</v>
      </c>
      <c r="AW278" s="202">
        <v>4.5</v>
      </c>
      <c r="AX278" s="202">
        <v>4.5</v>
      </c>
      <c r="AY278" s="202">
        <v>1</v>
      </c>
      <c r="AZ278" s="202">
        <v>13</v>
      </c>
    </row>
    <row r="279" spans="1:52" x14ac:dyDescent="0.2">
      <c r="A279" s="76">
        <v>17</v>
      </c>
      <c r="B279" s="41" t="s">
        <v>764</v>
      </c>
      <c r="C279" s="76" t="s">
        <v>153</v>
      </c>
      <c r="D279" s="76">
        <v>3</v>
      </c>
      <c r="E279" s="76">
        <v>1</v>
      </c>
      <c r="F279" s="76">
        <v>4.53</v>
      </c>
      <c r="G279" s="76">
        <v>35</v>
      </c>
      <c r="H279" s="76">
        <v>0</v>
      </c>
      <c r="I279" s="76">
        <v>0</v>
      </c>
      <c r="J279" s="76">
        <v>0</v>
      </c>
      <c r="K279" s="76">
        <v>0</v>
      </c>
      <c r="L279" s="76">
        <v>1</v>
      </c>
      <c r="M279" s="76">
        <v>47.2</v>
      </c>
      <c r="N279" s="76">
        <v>37</v>
      </c>
      <c r="O279" s="76">
        <v>24</v>
      </c>
      <c r="P279" s="76">
        <v>24</v>
      </c>
      <c r="Q279" s="76">
        <v>6</v>
      </c>
      <c r="R279" s="76">
        <v>17</v>
      </c>
      <c r="S279" s="76">
        <v>2</v>
      </c>
      <c r="T279" s="76">
        <v>54</v>
      </c>
      <c r="U279" s="76">
        <v>193</v>
      </c>
      <c r="V279" s="76">
        <v>47.2</v>
      </c>
      <c r="W279" s="76">
        <v>0.216</v>
      </c>
      <c r="X279" s="76">
        <v>1.1299999999999999</v>
      </c>
      <c r="Y279" s="76"/>
      <c r="Z279" s="76">
        <v>17</v>
      </c>
      <c r="AA279" t="s">
        <v>764</v>
      </c>
      <c r="AB279" s="76" t="s">
        <v>153</v>
      </c>
      <c r="AC279" s="76">
        <v>0</v>
      </c>
      <c r="AD279" s="76">
        <v>2</v>
      </c>
      <c r="AE279" s="76">
        <v>11</v>
      </c>
      <c r="AF279" s="76">
        <v>2</v>
      </c>
      <c r="AG279" s="76">
        <v>3</v>
      </c>
      <c r="AH279" s="76">
        <v>62</v>
      </c>
      <c r="AI279" s="76">
        <v>23</v>
      </c>
      <c r="AJ279" s="76">
        <v>3</v>
      </c>
      <c r="AK279" s="76">
        <v>0</v>
      </c>
      <c r="AL279" s="76">
        <v>2</v>
      </c>
      <c r="AM279" s="76">
        <v>1</v>
      </c>
      <c r="AN279" s="76">
        <v>1</v>
      </c>
      <c r="AO279" s="76">
        <v>731</v>
      </c>
      <c r="AP279" s="202" t="s">
        <v>153</v>
      </c>
      <c r="AQ279" s="202">
        <v>0.33300000000000002</v>
      </c>
      <c r="AR279" s="202">
        <v>1.42</v>
      </c>
      <c r="AS279" s="202">
        <v>0.35499999999999998</v>
      </c>
      <c r="AT279" s="202">
        <v>0.53100000000000003</v>
      </c>
      <c r="AU279" s="202">
        <v>0.88600000000000001</v>
      </c>
      <c r="AV279" s="202">
        <v>5.4</v>
      </c>
      <c r="AW279" s="202">
        <v>1.1599999999999999</v>
      </c>
      <c r="AX279" s="202">
        <v>12.34</v>
      </c>
      <c r="AY279" s="202">
        <v>4.67</v>
      </c>
      <c r="AZ279" s="202">
        <v>15.58</v>
      </c>
    </row>
    <row r="280" spans="1:52" x14ac:dyDescent="0.2">
      <c r="A280" s="76">
        <v>21</v>
      </c>
      <c r="B280" t="s">
        <v>480</v>
      </c>
      <c r="C280" s="76" t="s">
        <v>153</v>
      </c>
      <c r="D280" s="76">
        <v>2</v>
      </c>
      <c r="E280" s="76">
        <v>4</v>
      </c>
      <c r="F280" s="76">
        <v>6.14</v>
      </c>
      <c r="G280" s="76">
        <v>9</v>
      </c>
      <c r="H280" s="76">
        <v>7</v>
      </c>
      <c r="I280" s="76">
        <v>0</v>
      </c>
      <c r="J280" s="76">
        <v>0</v>
      </c>
      <c r="K280" s="76">
        <v>0</v>
      </c>
      <c r="L280" s="76">
        <v>0</v>
      </c>
      <c r="M280" s="76">
        <v>44</v>
      </c>
      <c r="N280" s="76">
        <v>56</v>
      </c>
      <c r="O280" s="76">
        <v>31</v>
      </c>
      <c r="P280" s="76">
        <v>30</v>
      </c>
      <c r="Q280" s="76">
        <v>4</v>
      </c>
      <c r="R280" s="76">
        <v>15</v>
      </c>
      <c r="S280" s="76">
        <v>0</v>
      </c>
      <c r="T280" s="76">
        <v>23</v>
      </c>
      <c r="U280" s="76">
        <v>199</v>
      </c>
      <c r="V280" s="76">
        <v>44</v>
      </c>
      <c r="W280" s="76">
        <v>0.30599999999999999</v>
      </c>
      <c r="X280" s="76">
        <v>1.61</v>
      </c>
      <c r="Y280" s="76"/>
      <c r="Z280" s="76">
        <v>21</v>
      </c>
      <c r="AA280" t="s">
        <v>480</v>
      </c>
      <c r="AB280" s="76" t="s">
        <v>153</v>
      </c>
      <c r="AC280" s="76">
        <v>1</v>
      </c>
      <c r="AD280" s="76">
        <v>0</v>
      </c>
      <c r="AE280" s="76">
        <v>0</v>
      </c>
      <c r="AF280" s="76">
        <v>0</v>
      </c>
      <c r="AG280" s="76">
        <v>5</v>
      </c>
      <c r="AH280" s="76">
        <v>46</v>
      </c>
      <c r="AI280" s="76">
        <v>58</v>
      </c>
      <c r="AJ280" s="76">
        <v>3</v>
      </c>
      <c r="AK280" s="76">
        <v>0</v>
      </c>
      <c r="AL280" s="76">
        <v>1</v>
      </c>
      <c r="AM280" s="76">
        <v>0</v>
      </c>
      <c r="AN280" s="76">
        <v>0</v>
      </c>
      <c r="AO280" s="76">
        <v>743</v>
      </c>
      <c r="AP280" s="202" t="s">
        <v>153</v>
      </c>
      <c r="AQ280" s="202" t="s">
        <v>243</v>
      </c>
      <c r="AR280" s="202">
        <v>1</v>
      </c>
      <c r="AS280" s="202">
        <v>0.69199999999999995</v>
      </c>
      <c r="AT280" s="202">
        <v>0.66700000000000004</v>
      </c>
      <c r="AU280" s="202">
        <v>1.359</v>
      </c>
      <c r="AV280" s="202">
        <v>13.5</v>
      </c>
      <c r="AW280" s="202">
        <v>20.25</v>
      </c>
      <c r="AX280" s="202">
        <v>33.75</v>
      </c>
      <c r="AY280" s="202">
        <v>0.67</v>
      </c>
      <c r="AZ280" s="202">
        <v>36</v>
      </c>
    </row>
    <row r="281" spans="1:52" x14ac:dyDescent="0.2">
      <c r="A281" s="76">
        <v>8</v>
      </c>
      <c r="B281" s="41" t="s">
        <v>597</v>
      </c>
      <c r="C281" s="76" t="s">
        <v>153</v>
      </c>
      <c r="D281" s="76">
        <v>2</v>
      </c>
      <c r="E281" s="76">
        <v>3</v>
      </c>
      <c r="F281" s="76">
        <v>3.23</v>
      </c>
      <c r="G281" s="76">
        <v>44</v>
      </c>
      <c r="H281" s="76">
        <v>0</v>
      </c>
      <c r="I281" s="76">
        <v>0</v>
      </c>
      <c r="J281" s="76">
        <v>0</v>
      </c>
      <c r="K281" s="76">
        <v>4</v>
      </c>
      <c r="L281" s="76">
        <v>6</v>
      </c>
      <c r="M281" s="76">
        <v>39</v>
      </c>
      <c r="N281" s="76">
        <v>33</v>
      </c>
      <c r="O281" s="76">
        <v>14</v>
      </c>
      <c r="P281" s="76">
        <v>14</v>
      </c>
      <c r="Q281" s="76">
        <v>6</v>
      </c>
      <c r="R281" s="76">
        <v>8</v>
      </c>
      <c r="S281" s="76">
        <v>2</v>
      </c>
      <c r="T281" s="76">
        <v>45</v>
      </c>
      <c r="U281" s="76">
        <v>155</v>
      </c>
      <c r="V281" s="76">
        <v>39</v>
      </c>
      <c r="W281" s="76">
        <v>0.23100000000000001</v>
      </c>
      <c r="X281" s="76">
        <v>1.05</v>
      </c>
      <c r="Y281" s="76"/>
      <c r="Z281" s="76">
        <v>8</v>
      </c>
      <c r="AA281" t="s">
        <v>597</v>
      </c>
      <c r="AB281" s="76" t="s">
        <v>153</v>
      </c>
      <c r="AC281" s="76">
        <v>0</v>
      </c>
      <c r="AD281" s="76">
        <v>2</v>
      </c>
      <c r="AE281" s="76">
        <v>13</v>
      </c>
      <c r="AF281" s="76">
        <v>10</v>
      </c>
      <c r="AG281" s="76">
        <v>1</v>
      </c>
      <c r="AH281" s="76">
        <v>20</v>
      </c>
      <c r="AI281" s="76">
        <v>49</v>
      </c>
      <c r="AJ281" s="76">
        <v>1</v>
      </c>
      <c r="AK281" s="76">
        <v>0</v>
      </c>
      <c r="AL281" s="76">
        <v>0</v>
      </c>
      <c r="AM281" s="76">
        <v>1</v>
      </c>
      <c r="AN281" s="76">
        <v>1</v>
      </c>
      <c r="AO281" s="76">
        <v>595</v>
      </c>
      <c r="AP281" s="202" t="s">
        <v>153</v>
      </c>
      <c r="AQ281" s="202">
        <v>0.66700000000000004</v>
      </c>
      <c r="AR281" s="202">
        <v>1.4</v>
      </c>
      <c r="AS281" s="202">
        <v>0.27300000000000002</v>
      </c>
      <c r="AT281" s="202">
        <v>0.316</v>
      </c>
      <c r="AU281" s="202">
        <v>0.59</v>
      </c>
      <c r="AV281" s="202">
        <v>7.31</v>
      </c>
      <c r="AW281" s="202">
        <v>2.5499999999999998</v>
      </c>
      <c r="AX281" s="202">
        <v>7.18</v>
      </c>
      <c r="AY281" s="202">
        <v>2.86</v>
      </c>
      <c r="AZ281" s="202">
        <v>14.8</v>
      </c>
    </row>
    <row r="282" spans="1:52" x14ac:dyDescent="0.2">
      <c r="A282" s="76">
        <v>5</v>
      </c>
      <c r="B282" s="41" t="s">
        <v>1202</v>
      </c>
      <c r="C282" s="76" t="s">
        <v>153</v>
      </c>
      <c r="D282" s="76">
        <v>5</v>
      </c>
      <c r="E282" s="76">
        <v>5</v>
      </c>
      <c r="F282" s="76">
        <v>2.42</v>
      </c>
      <c r="G282" s="76">
        <v>70</v>
      </c>
      <c r="H282" s="76">
        <v>0</v>
      </c>
      <c r="I282" s="76">
        <v>0</v>
      </c>
      <c r="J282" s="76">
        <v>0</v>
      </c>
      <c r="K282" s="76">
        <v>3</v>
      </c>
      <c r="L282" s="76">
        <v>6</v>
      </c>
      <c r="M282" s="76">
        <v>74.099999999999994</v>
      </c>
      <c r="N282" s="76">
        <v>50</v>
      </c>
      <c r="O282" s="76">
        <v>23</v>
      </c>
      <c r="P282" s="76">
        <v>20</v>
      </c>
      <c r="Q282" s="76">
        <v>10</v>
      </c>
      <c r="R282" s="76">
        <v>15</v>
      </c>
      <c r="S282" s="76">
        <v>4</v>
      </c>
      <c r="T282" s="76">
        <v>73</v>
      </c>
      <c r="U282" s="76">
        <v>290</v>
      </c>
      <c r="V282" s="76">
        <v>74.099999999999994</v>
      </c>
      <c r="W282" s="76">
        <v>0.186</v>
      </c>
      <c r="X282" s="76">
        <v>0.87</v>
      </c>
      <c r="Y282" s="76"/>
      <c r="Z282" s="76">
        <v>5</v>
      </c>
      <c r="AA282" t="s">
        <v>1202</v>
      </c>
      <c r="AB282" s="76" t="s">
        <v>153</v>
      </c>
      <c r="AC282" s="76">
        <v>1</v>
      </c>
      <c r="AD282" s="76">
        <v>4</v>
      </c>
      <c r="AE282" s="76">
        <v>9</v>
      </c>
      <c r="AF282" s="76">
        <v>15</v>
      </c>
      <c r="AG282" s="76">
        <v>2</v>
      </c>
      <c r="AH282" s="76">
        <v>53</v>
      </c>
      <c r="AI282" s="76">
        <v>98</v>
      </c>
      <c r="AJ282" s="76">
        <v>6</v>
      </c>
      <c r="AK282" s="76">
        <v>0</v>
      </c>
      <c r="AL282" s="76">
        <v>2</v>
      </c>
      <c r="AM282" s="76">
        <v>1</v>
      </c>
      <c r="AN282" s="76">
        <v>0</v>
      </c>
      <c r="AO282" s="76">
        <v>1217</v>
      </c>
      <c r="AP282" s="202" t="s">
        <v>153</v>
      </c>
      <c r="AQ282" s="202">
        <v>0.5</v>
      </c>
      <c r="AR282" s="202">
        <v>0.83</v>
      </c>
      <c r="AS282" s="202">
        <v>0.34100000000000003</v>
      </c>
      <c r="AT282" s="202">
        <v>0.47499999999999998</v>
      </c>
      <c r="AU282" s="202">
        <v>0.81599999999999995</v>
      </c>
      <c r="AV282" s="202">
        <v>7.35</v>
      </c>
      <c r="AW282" s="202">
        <v>3.59</v>
      </c>
      <c r="AX282" s="202">
        <v>9.4</v>
      </c>
      <c r="AY282" s="202">
        <v>2.0499999999999998</v>
      </c>
      <c r="AZ282" s="202">
        <v>17.07</v>
      </c>
    </row>
    <row r="283" spans="1:52" x14ac:dyDescent="0.2">
      <c r="A283" s="76">
        <v>13</v>
      </c>
      <c r="B283" s="41" t="s">
        <v>829</v>
      </c>
      <c r="C283" s="76" t="s">
        <v>153</v>
      </c>
      <c r="D283" s="76">
        <v>10</v>
      </c>
      <c r="E283" s="76">
        <v>11</v>
      </c>
      <c r="F283" s="76">
        <v>4.1100000000000003</v>
      </c>
      <c r="G283" s="76">
        <v>31</v>
      </c>
      <c r="H283" s="76">
        <v>31</v>
      </c>
      <c r="I283" s="76">
        <v>2</v>
      </c>
      <c r="J283" s="76">
        <v>1</v>
      </c>
      <c r="K283" s="76">
        <v>0</v>
      </c>
      <c r="L283" s="76">
        <v>0</v>
      </c>
      <c r="M283" s="76">
        <v>186</v>
      </c>
      <c r="N283" s="76">
        <v>196</v>
      </c>
      <c r="O283" s="76">
        <v>87</v>
      </c>
      <c r="P283" s="76">
        <v>85</v>
      </c>
      <c r="Q283" s="76">
        <v>22</v>
      </c>
      <c r="R283" s="76">
        <v>47</v>
      </c>
      <c r="S283" s="76">
        <v>2</v>
      </c>
      <c r="T283" s="76">
        <v>108</v>
      </c>
      <c r="U283" s="76">
        <v>786</v>
      </c>
      <c r="V283" s="76">
        <v>186</v>
      </c>
      <c r="W283" s="76">
        <v>0.27100000000000002</v>
      </c>
      <c r="X283" s="76">
        <v>1.31</v>
      </c>
      <c r="Y283" s="76"/>
      <c r="Z283" s="76">
        <v>13</v>
      </c>
      <c r="AA283" t="s">
        <v>829</v>
      </c>
      <c r="AB283" s="76" t="s">
        <v>153</v>
      </c>
      <c r="AC283" s="76">
        <v>7</v>
      </c>
      <c r="AD283" s="76">
        <v>2</v>
      </c>
      <c r="AE283" s="76">
        <v>0</v>
      </c>
      <c r="AF283" s="76">
        <v>0</v>
      </c>
      <c r="AG283" s="76">
        <v>19</v>
      </c>
      <c r="AH283" s="76">
        <v>260</v>
      </c>
      <c r="AI283" s="76">
        <v>167</v>
      </c>
      <c r="AJ283" s="76">
        <v>2</v>
      </c>
      <c r="AK283" s="76">
        <v>0</v>
      </c>
      <c r="AL283" s="76">
        <v>7</v>
      </c>
      <c r="AM283" s="76">
        <v>2</v>
      </c>
      <c r="AN283" s="76">
        <v>2</v>
      </c>
      <c r="AO283" s="76">
        <v>2832</v>
      </c>
      <c r="AP283" s="202" t="s">
        <v>153</v>
      </c>
      <c r="AQ283" s="202" t="s">
        <v>243</v>
      </c>
      <c r="AR283" s="202">
        <v>0.44</v>
      </c>
      <c r="AS283" s="202">
        <v>0.39100000000000001</v>
      </c>
      <c r="AT283" s="202">
        <v>0.52400000000000002</v>
      </c>
      <c r="AU283" s="202">
        <v>0.91500000000000004</v>
      </c>
      <c r="AV283" s="202">
        <v>1.8</v>
      </c>
      <c r="AW283" s="202">
        <v>1.8</v>
      </c>
      <c r="AX283" s="202">
        <v>12.6</v>
      </c>
      <c r="AY283" s="202">
        <v>1</v>
      </c>
      <c r="AZ283" s="202">
        <v>15.6</v>
      </c>
    </row>
    <row r="284" spans="1:52" x14ac:dyDescent="0.2">
      <c r="A284" s="76">
        <v>18</v>
      </c>
      <c r="B284" s="41" t="s">
        <v>596</v>
      </c>
      <c r="C284" s="76" t="s">
        <v>153</v>
      </c>
      <c r="D284" s="76">
        <v>5</v>
      </c>
      <c r="E284" s="76">
        <v>11</v>
      </c>
      <c r="F284" s="76">
        <v>5.69</v>
      </c>
      <c r="G284" s="76">
        <v>22</v>
      </c>
      <c r="H284" s="76">
        <v>22</v>
      </c>
      <c r="I284" s="76">
        <v>0</v>
      </c>
      <c r="J284" s="76">
        <v>0</v>
      </c>
      <c r="K284" s="76">
        <v>0</v>
      </c>
      <c r="L284" s="76">
        <v>0</v>
      </c>
      <c r="M284" s="76">
        <v>117</v>
      </c>
      <c r="N284" s="76">
        <v>133</v>
      </c>
      <c r="O284" s="76">
        <v>80</v>
      </c>
      <c r="P284" s="76">
        <v>74</v>
      </c>
      <c r="Q284" s="76">
        <v>18</v>
      </c>
      <c r="R284" s="76">
        <v>42</v>
      </c>
      <c r="S284" s="76">
        <v>0</v>
      </c>
      <c r="T284" s="76">
        <v>94</v>
      </c>
      <c r="U284" s="76">
        <v>517</v>
      </c>
      <c r="V284" s="76">
        <v>117</v>
      </c>
      <c r="W284" s="76">
        <v>0.28599999999999998</v>
      </c>
      <c r="X284" s="76">
        <v>1.5</v>
      </c>
      <c r="Y284" s="76"/>
      <c r="Z284" s="76">
        <v>18</v>
      </c>
      <c r="AA284" t="s">
        <v>596</v>
      </c>
      <c r="AB284" s="76" t="s">
        <v>153</v>
      </c>
      <c r="AC284" s="76">
        <v>2</v>
      </c>
      <c r="AD284" s="76">
        <v>0</v>
      </c>
      <c r="AE284" s="76">
        <v>0</v>
      </c>
      <c r="AF284" s="76">
        <v>0</v>
      </c>
      <c r="AG284" s="76">
        <v>9</v>
      </c>
      <c r="AH284" s="76">
        <v>153</v>
      </c>
      <c r="AI284" s="76">
        <v>92</v>
      </c>
      <c r="AJ284" s="76">
        <v>15</v>
      </c>
      <c r="AK284" s="76">
        <v>0</v>
      </c>
      <c r="AL284" s="76">
        <v>4</v>
      </c>
      <c r="AM284" s="76">
        <v>1</v>
      </c>
      <c r="AN284" s="76">
        <v>0</v>
      </c>
      <c r="AO284" s="76">
        <v>1947</v>
      </c>
      <c r="AP284" s="202" t="s">
        <v>153</v>
      </c>
      <c r="AQ284" s="202">
        <v>0.45500000000000002</v>
      </c>
      <c r="AR284" s="202">
        <v>0.93</v>
      </c>
      <c r="AS284" s="202">
        <v>0.29699999999999999</v>
      </c>
      <c r="AT284" s="202">
        <v>0.35399999999999998</v>
      </c>
      <c r="AU284" s="202">
        <v>0.65100000000000002</v>
      </c>
      <c r="AV284" s="202">
        <v>8.58</v>
      </c>
      <c r="AW284" s="202">
        <v>3.24</v>
      </c>
      <c r="AX284" s="202">
        <v>7.43</v>
      </c>
      <c r="AY284" s="202">
        <v>2.65</v>
      </c>
      <c r="AZ284" s="202">
        <v>16.77</v>
      </c>
    </row>
    <row r="285" spans="1:52" x14ac:dyDescent="0.2">
      <c r="A285" s="76">
        <v>19</v>
      </c>
      <c r="B285" s="41" t="s">
        <v>776</v>
      </c>
      <c r="C285" s="76" t="s">
        <v>153</v>
      </c>
      <c r="D285" s="76">
        <v>2</v>
      </c>
      <c r="E285" s="76">
        <v>4</v>
      </c>
      <c r="F285" s="76">
        <v>6.02</v>
      </c>
      <c r="G285" s="76">
        <v>9</v>
      </c>
      <c r="H285" s="76">
        <v>9</v>
      </c>
      <c r="I285" s="76">
        <v>0</v>
      </c>
      <c r="J285" s="76">
        <v>0</v>
      </c>
      <c r="K285" s="76">
        <v>0</v>
      </c>
      <c r="L285" s="76">
        <v>0</v>
      </c>
      <c r="M285" s="76">
        <v>46.1</v>
      </c>
      <c r="N285" s="76">
        <v>57</v>
      </c>
      <c r="O285" s="76">
        <v>32</v>
      </c>
      <c r="P285" s="76">
        <v>31</v>
      </c>
      <c r="Q285" s="76">
        <v>8</v>
      </c>
      <c r="R285" s="76">
        <v>19</v>
      </c>
      <c r="S285" s="76">
        <v>1</v>
      </c>
      <c r="T285" s="76">
        <v>23</v>
      </c>
      <c r="U285" s="76">
        <v>203</v>
      </c>
      <c r="V285" s="76">
        <v>46.1</v>
      </c>
      <c r="W285" s="76">
        <v>0.313</v>
      </c>
      <c r="X285" s="76">
        <v>1.64</v>
      </c>
      <c r="Y285" s="76"/>
      <c r="Z285" s="76">
        <v>19</v>
      </c>
      <c r="AA285" t="s">
        <v>776</v>
      </c>
      <c r="AB285" s="76" t="s">
        <v>153</v>
      </c>
      <c r="AC285" s="76">
        <v>0</v>
      </c>
      <c r="AD285" s="76">
        <v>1</v>
      </c>
      <c r="AE285" s="76">
        <v>0</v>
      </c>
      <c r="AF285" s="76">
        <v>0</v>
      </c>
      <c r="AG285" s="76">
        <v>10</v>
      </c>
      <c r="AH285" s="76">
        <v>64</v>
      </c>
      <c r="AI285" s="76">
        <v>40</v>
      </c>
      <c r="AJ285" s="76">
        <v>2</v>
      </c>
      <c r="AK285" s="76">
        <v>0</v>
      </c>
      <c r="AL285" s="76">
        <v>7</v>
      </c>
      <c r="AM285" s="76">
        <v>0</v>
      </c>
      <c r="AN285" s="76">
        <v>0</v>
      </c>
      <c r="AO285" s="76">
        <v>712</v>
      </c>
      <c r="AP285" s="202" t="s">
        <v>153</v>
      </c>
      <c r="AQ285" s="202">
        <v>0.66700000000000004</v>
      </c>
      <c r="AR285" s="202">
        <v>0.98</v>
      </c>
      <c r="AS285" s="202">
        <v>0.28199999999999997</v>
      </c>
      <c r="AT285" s="202">
        <v>0.307</v>
      </c>
      <c r="AU285" s="202">
        <v>0.58899999999999997</v>
      </c>
      <c r="AV285" s="202">
        <v>9.9700000000000006</v>
      </c>
      <c r="AW285" s="202">
        <v>3.68</v>
      </c>
      <c r="AX285" s="202">
        <v>6.6</v>
      </c>
      <c r="AY285" s="202">
        <v>2.71</v>
      </c>
      <c r="AZ285" s="202">
        <v>16.79</v>
      </c>
    </row>
    <row r="286" spans="1:52" x14ac:dyDescent="0.2">
      <c r="A286" s="76">
        <v>10</v>
      </c>
      <c r="B286" s="41" t="s">
        <v>580</v>
      </c>
      <c r="C286" s="76" t="s">
        <v>153</v>
      </c>
      <c r="D286" s="76">
        <v>0</v>
      </c>
      <c r="E286" s="76">
        <v>4</v>
      </c>
      <c r="F286" s="76">
        <v>3.76</v>
      </c>
      <c r="G286" s="76">
        <v>53</v>
      </c>
      <c r="H286" s="76">
        <v>0</v>
      </c>
      <c r="I286" s="76">
        <v>0</v>
      </c>
      <c r="J286" s="76">
        <v>0</v>
      </c>
      <c r="K286" s="76">
        <v>0</v>
      </c>
      <c r="L286" s="76">
        <v>1</v>
      </c>
      <c r="M286" s="76">
        <v>64.2</v>
      </c>
      <c r="N286" s="76">
        <v>69</v>
      </c>
      <c r="O286" s="76">
        <v>31</v>
      </c>
      <c r="P286" s="76">
        <v>27</v>
      </c>
      <c r="Q286" s="76">
        <v>6</v>
      </c>
      <c r="R286" s="76">
        <v>14</v>
      </c>
      <c r="S286" s="76">
        <v>3</v>
      </c>
      <c r="T286" s="76">
        <v>71</v>
      </c>
      <c r="U286" s="76">
        <v>275</v>
      </c>
      <c r="V286" s="76">
        <v>64.2</v>
      </c>
      <c r="W286" s="76">
        <v>0.27</v>
      </c>
      <c r="X286" s="76">
        <v>1.28</v>
      </c>
      <c r="Y286" s="76"/>
      <c r="Z286" s="76">
        <v>10</v>
      </c>
      <c r="AA286" t="s">
        <v>580</v>
      </c>
      <c r="AB286" s="76" t="s">
        <v>153</v>
      </c>
      <c r="AC286" s="76">
        <v>1</v>
      </c>
      <c r="AD286" s="76">
        <v>3</v>
      </c>
      <c r="AE286" s="76">
        <v>10</v>
      </c>
      <c r="AF286" s="76">
        <v>10</v>
      </c>
      <c r="AG286" s="76">
        <v>6</v>
      </c>
      <c r="AH286" s="76">
        <v>55</v>
      </c>
      <c r="AI286" s="76">
        <v>65</v>
      </c>
      <c r="AJ286" s="76">
        <v>3</v>
      </c>
      <c r="AK286" s="76">
        <v>0</v>
      </c>
      <c r="AL286" s="76">
        <v>10</v>
      </c>
      <c r="AM286" s="76">
        <v>1</v>
      </c>
      <c r="AN286" s="76">
        <v>0</v>
      </c>
      <c r="AO286" s="76">
        <v>1081</v>
      </c>
      <c r="AP286" s="202" t="s">
        <v>153</v>
      </c>
      <c r="AQ286" s="202">
        <v>0.5</v>
      </c>
      <c r="AR286" s="202">
        <v>1.0900000000000001</v>
      </c>
      <c r="AS286" s="202">
        <v>0.27900000000000003</v>
      </c>
      <c r="AT286" s="202">
        <v>0.316</v>
      </c>
      <c r="AU286" s="202">
        <v>0.59599999999999997</v>
      </c>
      <c r="AV286" s="202">
        <v>8.2899999999999991</v>
      </c>
      <c r="AW286" s="202">
        <v>2.87</v>
      </c>
      <c r="AX286" s="202">
        <v>6.89</v>
      </c>
      <c r="AY286" s="202">
        <v>2.89</v>
      </c>
      <c r="AZ286" s="202">
        <v>15.53</v>
      </c>
    </row>
    <row r="287" spans="1:52" x14ac:dyDescent="0.2">
      <c r="A287" s="76">
        <v>4</v>
      </c>
      <c r="B287" t="s">
        <v>532</v>
      </c>
      <c r="C287" s="76" t="s">
        <v>153</v>
      </c>
      <c r="D287" s="76">
        <v>9</v>
      </c>
      <c r="E287" s="76">
        <v>3</v>
      </c>
      <c r="F287" s="76">
        <v>2.25</v>
      </c>
      <c r="G287" s="76">
        <v>14</v>
      </c>
      <c r="H287" s="76">
        <v>14</v>
      </c>
      <c r="I287" s="76">
        <v>0</v>
      </c>
      <c r="J287" s="76">
        <v>0</v>
      </c>
      <c r="K287" s="76">
        <v>0</v>
      </c>
      <c r="L287" s="76">
        <v>0</v>
      </c>
      <c r="M287" s="76">
        <v>76</v>
      </c>
      <c r="N287" s="76">
        <v>55</v>
      </c>
      <c r="O287" s="76">
        <v>22</v>
      </c>
      <c r="P287" s="76">
        <v>19</v>
      </c>
      <c r="Q287" s="76">
        <v>2</v>
      </c>
      <c r="R287" s="76">
        <v>28</v>
      </c>
      <c r="S287" s="76">
        <v>0</v>
      </c>
      <c r="T287" s="76">
        <v>90</v>
      </c>
      <c r="U287" s="76">
        <v>311</v>
      </c>
      <c r="V287" s="76">
        <v>76</v>
      </c>
      <c r="W287" s="76">
        <v>0.20100000000000001</v>
      </c>
      <c r="X287" s="76">
        <v>1.0900000000000001</v>
      </c>
      <c r="Y287" s="76"/>
      <c r="Z287" s="76">
        <v>4</v>
      </c>
      <c r="AA287" t="s">
        <v>532</v>
      </c>
      <c r="AB287" s="76" t="s">
        <v>153</v>
      </c>
      <c r="AC287" s="76">
        <v>8</v>
      </c>
      <c r="AD287" s="76">
        <v>0</v>
      </c>
      <c r="AE287" s="76">
        <v>0</v>
      </c>
      <c r="AF287" s="76">
        <v>0</v>
      </c>
      <c r="AG287" s="76">
        <v>8</v>
      </c>
      <c r="AH287" s="76">
        <v>70</v>
      </c>
      <c r="AI287" s="76">
        <v>60</v>
      </c>
      <c r="AJ287" s="76">
        <v>0</v>
      </c>
      <c r="AK287" s="76">
        <v>0</v>
      </c>
      <c r="AL287" s="76">
        <v>6</v>
      </c>
      <c r="AM287" s="76">
        <v>2</v>
      </c>
      <c r="AN287" s="76">
        <v>1</v>
      </c>
      <c r="AO287" s="76">
        <v>1308</v>
      </c>
      <c r="AP287" s="202" t="s">
        <v>153</v>
      </c>
      <c r="AQ287" s="202">
        <v>1</v>
      </c>
      <c r="AR287" s="202">
        <v>0.56000000000000005</v>
      </c>
      <c r="AS287" s="202">
        <v>0.29799999999999999</v>
      </c>
      <c r="AT287" s="202">
        <v>0.35299999999999998</v>
      </c>
      <c r="AU287" s="202">
        <v>0.65100000000000002</v>
      </c>
      <c r="AV287" s="202">
        <v>9.8800000000000008</v>
      </c>
      <c r="AW287" s="202">
        <v>3.29</v>
      </c>
      <c r="AX287" s="202">
        <v>7.9</v>
      </c>
      <c r="AY287" s="202">
        <v>3</v>
      </c>
      <c r="AZ287" s="202">
        <v>18.59</v>
      </c>
    </row>
    <row r="288" spans="1:52" x14ac:dyDescent="0.2">
      <c r="A288" s="76">
        <v>1</v>
      </c>
      <c r="B288" t="s">
        <v>1363</v>
      </c>
      <c r="C288" s="76" t="s">
        <v>153</v>
      </c>
      <c r="D288" s="76">
        <v>0</v>
      </c>
      <c r="E288" s="76">
        <v>0</v>
      </c>
      <c r="F288" s="76">
        <v>0</v>
      </c>
      <c r="G288" s="76">
        <v>1</v>
      </c>
      <c r="H288" s="76">
        <v>0</v>
      </c>
      <c r="I288" s="76">
        <v>0</v>
      </c>
      <c r="J288" s="76">
        <v>0</v>
      </c>
      <c r="K288" s="76">
        <v>0</v>
      </c>
      <c r="L288" s="76">
        <v>0</v>
      </c>
      <c r="M288" s="76">
        <v>1</v>
      </c>
      <c r="N288" s="76">
        <v>1</v>
      </c>
      <c r="O288" s="76">
        <v>0</v>
      </c>
      <c r="P288" s="76">
        <v>0</v>
      </c>
      <c r="Q288" s="76">
        <v>0</v>
      </c>
      <c r="R288" s="76">
        <v>1</v>
      </c>
      <c r="S288" s="76">
        <v>0</v>
      </c>
      <c r="T288" s="76">
        <v>0</v>
      </c>
      <c r="U288" s="76">
        <v>5</v>
      </c>
      <c r="V288" s="76">
        <v>1</v>
      </c>
      <c r="W288" s="76">
        <v>0.25</v>
      </c>
      <c r="X288" s="76">
        <v>2</v>
      </c>
      <c r="Y288" s="76"/>
      <c r="Z288" s="76">
        <v>1</v>
      </c>
      <c r="AA288" t="s">
        <v>1363</v>
      </c>
      <c r="AB288" s="76" t="s">
        <v>153</v>
      </c>
      <c r="AC288" s="76">
        <v>0</v>
      </c>
      <c r="AD288" s="76">
        <v>0</v>
      </c>
      <c r="AE288" s="76">
        <v>1</v>
      </c>
      <c r="AF288" s="76">
        <v>0</v>
      </c>
      <c r="AG288" s="76">
        <v>0</v>
      </c>
      <c r="AH288" s="76">
        <v>0</v>
      </c>
      <c r="AI288" s="76">
        <v>3</v>
      </c>
      <c r="AJ288" s="76">
        <v>0</v>
      </c>
      <c r="AK288" s="76">
        <v>0</v>
      </c>
      <c r="AL288" s="76">
        <v>0</v>
      </c>
      <c r="AM288" s="76">
        <v>0</v>
      </c>
      <c r="AN288" s="76">
        <v>0</v>
      </c>
      <c r="AO288" s="76">
        <v>16</v>
      </c>
      <c r="AP288" s="202" t="s">
        <v>153</v>
      </c>
      <c r="AQ288" s="202">
        <v>0</v>
      </c>
      <c r="AR288" s="202">
        <v>0.67</v>
      </c>
      <c r="AS288" s="202">
        <v>0.435</v>
      </c>
      <c r="AT288" s="202">
        <v>0.45</v>
      </c>
      <c r="AU288" s="202">
        <v>0.88500000000000001</v>
      </c>
      <c r="AV288" s="202">
        <v>6.23</v>
      </c>
      <c r="AW288" s="202">
        <v>6.23</v>
      </c>
      <c r="AX288" s="202">
        <v>14.54</v>
      </c>
      <c r="AY288" s="202">
        <v>1</v>
      </c>
      <c r="AZ288" s="202">
        <v>19.149999999999999</v>
      </c>
    </row>
    <row r="289" spans="1:52" x14ac:dyDescent="0.2">
      <c r="A289" s="76">
        <v>9</v>
      </c>
      <c r="B289" s="41" t="s">
        <v>1186</v>
      </c>
      <c r="C289" s="76" t="s">
        <v>153</v>
      </c>
      <c r="D289" s="76">
        <v>6</v>
      </c>
      <c r="E289" s="76">
        <v>7</v>
      </c>
      <c r="F289" s="76">
        <v>3.62</v>
      </c>
      <c r="G289" s="76">
        <v>63</v>
      </c>
      <c r="H289" s="76">
        <v>0</v>
      </c>
      <c r="I289" s="76">
        <v>0</v>
      </c>
      <c r="J289" s="76">
        <v>0</v>
      </c>
      <c r="K289" s="76">
        <v>30</v>
      </c>
      <c r="L289" s="76">
        <v>37</v>
      </c>
      <c r="M289" s="76">
        <v>64.2</v>
      </c>
      <c r="N289" s="76">
        <v>63</v>
      </c>
      <c r="O289" s="76">
        <v>27</v>
      </c>
      <c r="P289" s="76">
        <v>26</v>
      </c>
      <c r="Q289" s="76">
        <v>7</v>
      </c>
      <c r="R289" s="76">
        <v>20</v>
      </c>
      <c r="S289" s="76">
        <v>3</v>
      </c>
      <c r="T289" s="76">
        <v>49</v>
      </c>
      <c r="U289" s="76">
        <v>270</v>
      </c>
      <c r="V289" s="76">
        <v>64.2</v>
      </c>
      <c r="W289" s="76">
        <v>0.25700000000000001</v>
      </c>
      <c r="X289" s="76">
        <v>1.28</v>
      </c>
      <c r="Y289" s="76"/>
      <c r="Z289" s="76">
        <v>9</v>
      </c>
      <c r="AA289" t="s">
        <v>1186</v>
      </c>
      <c r="AB289" s="76" t="s">
        <v>153</v>
      </c>
      <c r="AC289" s="76">
        <v>2</v>
      </c>
      <c r="AD289" s="76">
        <v>3</v>
      </c>
      <c r="AE289" s="76">
        <v>53</v>
      </c>
      <c r="AF289" s="76">
        <v>3</v>
      </c>
      <c r="AG289" s="76">
        <v>8</v>
      </c>
      <c r="AH289" s="76">
        <v>71</v>
      </c>
      <c r="AI289" s="76">
        <v>65</v>
      </c>
      <c r="AJ289" s="76">
        <v>4</v>
      </c>
      <c r="AK289" s="76">
        <v>1</v>
      </c>
      <c r="AL289" s="76">
        <v>8</v>
      </c>
      <c r="AM289" s="76">
        <v>1</v>
      </c>
      <c r="AN289" s="76">
        <v>0</v>
      </c>
      <c r="AO289" s="76">
        <v>1002</v>
      </c>
      <c r="AP289" s="202" t="s">
        <v>153</v>
      </c>
      <c r="AQ289" s="202">
        <v>0.5</v>
      </c>
      <c r="AR289" s="202">
        <v>1.87</v>
      </c>
      <c r="AS289" s="202">
        <v>0.29899999999999999</v>
      </c>
      <c r="AT289" s="202">
        <v>0.32400000000000001</v>
      </c>
      <c r="AU289" s="202">
        <v>0.623</v>
      </c>
      <c r="AV289" s="202">
        <v>5.96</v>
      </c>
      <c r="AW289" s="202">
        <v>2.33</v>
      </c>
      <c r="AX289" s="202">
        <v>8.19</v>
      </c>
      <c r="AY289" s="202">
        <v>2.56</v>
      </c>
      <c r="AZ289" s="202">
        <v>15.84</v>
      </c>
    </row>
    <row r="290" spans="1:52" x14ac:dyDescent="0.2">
      <c r="A290" s="76">
        <v>11</v>
      </c>
      <c r="B290" s="41" t="s">
        <v>1366</v>
      </c>
      <c r="C290" s="76" t="s">
        <v>153</v>
      </c>
      <c r="D290" s="76">
        <v>7</v>
      </c>
      <c r="E290" s="76">
        <v>9</v>
      </c>
      <c r="F290" s="76">
        <v>3.86</v>
      </c>
      <c r="G290" s="76">
        <v>25</v>
      </c>
      <c r="H290" s="76">
        <v>24</v>
      </c>
      <c r="I290" s="76">
        <v>0</v>
      </c>
      <c r="J290" s="76">
        <v>0</v>
      </c>
      <c r="K290" s="76">
        <v>0</v>
      </c>
      <c r="L290" s="76">
        <v>0</v>
      </c>
      <c r="M290" s="76">
        <v>144.19999999999999</v>
      </c>
      <c r="N290" s="76">
        <v>135</v>
      </c>
      <c r="O290" s="76">
        <v>65</v>
      </c>
      <c r="P290" s="76">
        <v>62</v>
      </c>
      <c r="Q290" s="76">
        <v>20</v>
      </c>
      <c r="R290" s="76">
        <v>37</v>
      </c>
      <c r="S290" s="76">
        <v>1</v>
      </c>
      <c r="T290" s="76">
        <v>124</v>
      </c>
      <c r="U290" s="76">
        <v>594</v>
      </c>
      <c r="V290" s="76">
        <v>144.19999999999999</v>
      </c>
      <c r="W290" s="76">
        <v>0.248</v>
      </c>
      <c r="X290" s="76">
        <v>1.19</v>
      </c>
      <c r="Y290" s="76"/>
      <c r="Z290" s="76">
        <v>11</v>
      </c>
      <c r="AA290" t="s">
        <v>1366</v>
      </c>
      <c r="AB290" s="76" t="s">
        <v>153</v>
      </c>
      <c r="AC290" s="76">
        <v>4</v>
      </c>
      <c r="AD290" s="76">
        <v>1</v>
      </c>
      <c r="AE290" s="76">
        <v>0</v>
      </c>
      <c r="AF290" s="76">
        <v>0</v>
      </c>
      <c r="AG290" s="76">
        <v>13</v>
      </c>
      <c r="AH290" s="76">
        <v>140</v>
      </c>
      <c r="AI290" s="76">
        <v>154</v>
      </c>
      <c r="AJ290" s="76">
        <v>3</v>
      </c>
      <c r="AK290" s="76">
        <v>0</v>
      </c>
      <c r="AL290" s="76">
        <v>3</v>
      </c>
      <c r="AM290" s="76">
        <v>4</v>
      </c>
      <c r="AN290" s="76">
        <v>3</v>
      </c>
      <c r="AO290" s="76">
        <v>2169</v>
      </c>
      <c r="AP290" s="202" t="s">
        <v>153</v>
      </c>
      <c r="AQ290" s="202">
        <v>0</v>
      </c>
      <c r="AR290" s="202">
        <v>1.04</v>
      </c>
      <c r="AS290" s="202">
        <v>0.34200000000000003</v>
      </c>
      <c r="AT290" s="202">
        <v>0.437</v>
      </c>
      <c r="AU290" s="202">
        <v>0.77900000000000003</v>
      </c>
      <c r="AV290" s="202">
        <v>6.41</v>
      </c>
      <c r="AW290" s="202">
        <v>3.04</v>
      </c>
      <c r="AX290" s="202">
        <v>10.130000000000001</v>
      </c>
      <c r="AY290" s="202">
        <v>2.11</v>
      </c>
      <c r="AZ290" s="202">
        <v>15.98</v>
      </c>
    </row>
    <row r="291" spans="1:52" x14ac:dyDescent="0.2">
      <c r="A291" s="76">
        <v>22</v>
      </c>
      <c r="B291" s="41" t="s">
        <v>1369</v>
      </c>
      <c r="C291" s="76" t="s">
        <v>153</v>
      </c>
      <c r="D291" s="76">
        <v>2</v>
      </c>
      <c r="E291" s="76">
        <v>9</v>
      </c>
      <c r="F291" s="76">
        <v>6.5</v>
      </c>
      <c r="G291" s="76">
        <v>14</v>
      </c>
      <c r="H291" s="76">
        <v>14</v>
      </c>
      <c r="I291" s="76">
        <v>0</v>
      </c>
      <c r="J291" s="76">
        <v>0</v>
      </c>
      <c r="K291" s="76">
        <v>0</v>
      </c>
      <c r="L291" s="76">
        <v>0</v>
      </c>
      <c r="M291" s="76">
        <v>72</v>
      </c>
      <c r="N291" s="76">
        <v>83</v>
      </c>
      <c r="O291" s="76">
        <v>54</v>
      </c>
      <c r="P291" s="76">
        <v>52</v>
      </c>
      <c r="Q291" s="76">
        <v>9</v>
      </c>
      <c r="R291" s="76">
        <v>33</v>
      </c>
      <c r="S291" s="76">
        <v>0</v>
      </c>
      <c r="T291" s="76">
        <v>71</v>
      </c>
      <c r="U291" s="76">
        <v>332</v>
      </c>
      <c r="V291" s="76">
        <v>72</v>
      </c>
      <c r="W291" s="76">
        <v>0.28399999999999997</v>
      </c>
      <c r="X291" s="76">
        <v>1.61</v>
      </c>
      <c r="Y291" s="76"/>
      <c r="Z291" s="76">
        <v>22</v>
      </c>
      <c r="AA291" t="s">
        <v>1369</v>
      </c>
      <c r="AB291" s="76" t="s">
        <v>153</v>
      </c>
      <c r="AC291" s="76">
        <v>4</v>
      </c>
      <c r="AD291" s="76">
        <v>0</v>
      </c>
      <c r="AE291" s="76">
        <v>0</v>
      </c>
      <c r="AF291" s="76">
        <v>0</v>
      </c>
      <c r="AG291" s="76">
        <v>3</v>
      </c>
      <c r="AH291" s="76">
        <v>70</v>
      </c>
      <c r="AI291" s="76">
        <v>71</v>
      </c>
      <c r="AJ291" s="76">
        <v>5</v>
      </c>
      <c r="AK291" s="76">
        <v>0</v>
      </c>
      <c r="AL291" s="76">
        <v>1</v>
      </c>
      <c r="AM291" s="76">
        <v>2</v>
      </c>
      <c r="AN291" s="76">
        <v>0</v>
      </c>
      <c r="AO291" s="76">
        <v>1309</v>
      </c>
      <c r="AP291" s="202" t="s">
        <v>153</v>
      </c>
      <c r="AQ291" s="202">
        <v>0.5</v>
      </c>
      <c r="AR291" s="202">
        <v>0.51</v>
      </c>
      <c r="AS291" s="202">
        <v>0.28799999999999998</v>
      </c>
      <c r="AT291" s="202">
        <v>0.39</v>
      </c>
      <c r="AU291" s="202">
        <v>0.67900000000000005</v>
      </c>
      <c r="AV291" s="202">
        <v>7.22</v>
      </c>
      <c r="AW291" s="202">
        <v>3.77</v>
      </c>
      <c r="AX291" s="202">
        <v>6.91</v>
      </c>
      <c r="AY291" s="202">
        <v>1.92</v>
      </c>
      <c r="AZ291" s="202">
        <v>17.059999999999999</v>
      </c>
    </row>
    <row r="292" spans="1:52" x14ac:dyDescent="0.2">
      <c r="A292" s="76">
        <v>15</v>
      </c>
      <c r="B292" s="41" t="s">
        <v>1367</v>
      </c>
      <c r="C292" s="76" t="s">
        <v>153</v>
      </c>
      <c r="D292" s="76">
        <v>2</v>
      </c>
      <c r="E292" s="76">
        <v>4</v>
      </c>
      <c r="F292" s="76">
        <v>4.24</v>
      </c>
      <c r="G292" s="76">
        <v>24</v>
      </c>
      <c r="H292" s="76">
        <v>6</v>
      </c>
      <c r="I292" s="76">
        <v>0</v>
      </c>
      <c r="J292" s="76">
        <v>0</v>
      </c>
      <c r="K292" s="76">
        <v>2</v>
      </c>
      <c r="L292" s="76">
        <v>3</v>
      </c>
      <c r="M292" s="76">
        <v>70</v>
      </c>
      <c r="N292" s="76">
        <v>72</v>
      </c>
      <c r="O292" s="76">
        <v>35</v>
      </c>
      <c r="P292" s="76">
        <v>33</v>
      </c>
      <c r="Q292" s="76">
        <v>9</v>
      </c>
      <c r="R292" s="76">
        <v>6</v>
      </c>
      <c r="S292" s="76">
        <v>0</v>
      </c>
      <c r="T292" s="76">
        <v>27</v>
      </c>
      <c r="U292" s="76">
        <v>281</v>
      </c>
      <c r="V292" s="76">
        <v>70</v>
      </c>
      <c r="W292" s="76">
        <v>0.26500000000000001</v>
      </c>
      <c r="X292" s="76">
        <v>1.1100000000000001</v>
      </c>
      <c r="Y292" s="76"/>
      <c r="Z292" s="76">
        <v>15</v>
      </c>
      <c r="AA292" t="s">
        <v>1367</v>
      </c>
      <c r="AB292" s="76" t="s">
        <v>153</v>
      </c>
      <c r="AC292" s="76">
        <v>1</v>
      </c>
      <c r="AD292" s="76">
        <v>0</v>
      </c>
      <c r="AE292" s="76">
        <v>7</v>
      </c>
      <c r="AF292" s="76">
        <v>0</v>
      </c>
      <c r="AG292" s="76">
        <v>6</v>
      </c>
      <c r="AH292" s="76">
        <v>104</v>
      </c>
      <c r="AI292" s="76">
        <v>71</v>
      </c>
      <c r="AJ292" s="76">
        <v>2</v>
      </c>
      <c r="AK292" s="76">
        <v>1</v>
      </c>
      <c r="AL292" s="76">
        <v>4</v>
      </c>
      <c r="AM292" s="76">
        <v>0</v>
      </c>
      <c r="AN292" s="76">
        <v>0</v>
      </c>
      <c r="AO292" s="76">
        <v>945</v>
      </c>
      <c r="AP292" s="202" t="s">
        <v>153</v>
      </c>
      <c r="AQ292" s="202">
        <v>0.33300000000000002</v>
      </c>
      <c r="AR292" s="202">
        <v>0.6</v>
      </c>
      <c r="AS292" s="202">
        <v>0.35299999999999998</v>
      </c>
      <c r="AT292" s="202">
        <v>0.44</v>
      </c>
      <c r="AU292" s="202">
        <v>0.79300000000000004</v>
      </c>
      <c r="AV292" s="202">
        <v>4.66</v>
      </c>
      <c r="AW292" s="202">
        <v>3.72</v>
      </c>
      <c r="AX292" s="202">
        <v>10.86</v>
      </c>
      <c r="AY292" s="202">
        <v>1.25</v>
      </c>
      <c r="AZ292" s="202">
        <v>17.21</v>
      </c>
    </row>
    <row r="293" spans="1:52" x14ac:dyDescent="0.2">
      <c r="A293" s="76">
        <v>27</v>
      </c>
      <c r="B293" t="s">
        <v>1373</v>
      </c>
      <c r="C293" s="76" t="s">
        <v>153</v>
      </c>
      <c r="D293" s="76">
        <v>1</v>
      </c>
      <c r="E293" s="76">
        <v>3</v>
      </c>
      <c r="F293" s="76">
        <v>11.47</v>
      </c>
      <c r="G293" s="76">
        <v>7</v>
      </c>
      <c r="H293" s="76">
        <v>5</v>
      </c>
      <c r="I293" s="76">
        <v>0</v>
      </c>
      <c r="J293" s="76">
        <v>0</v>
      </c>
      <c r="K293" s="76">
        <v>0</v>
      </c>
      <c r="L293" s="76">
        <v>0</v>
      </c>
      <c r="M293" s="76">
        <v>24.1</v>
      </c>
      <c r="N293" s="76">
        <v>48</v>
      </c>
      <c r="O293" s="76">
        <v>31</v>
      </c>
      <c r="P293" s="76">
        <v>31</v>
      </c>
      <c r="Q293" s="76">
        <v>12</v>
      </c>
      <c r="R293" s="76">
        <v>7</v>
      </c>
      <c r="S293" s="76">
        <v>0</v>
      </c>
      <c r="T293" s="76">
        <v>17</v>
      </c>
      <c r="U293" s="76">
        <v>128</v>
      </c>
      <c r="V293" s="76">
        <v>24.1</v>
      </c>
      <c r="W293" s="76">
        <v>0.40699999999999997</v>
      </c>
      <c r="X293" s="76">
        <v>2.2599999999999998</v>
      </c>
      <c r="Y293" s="76"/>
      <c r="Z293" s="76">
        <v>27</v>
      </c>
      <c r="AA293" t="s">
        <v>1373</v>
      </c>
      <c r="AB293" s="76" t="s">
        <v>153</v>
      </c>
      <c r="AC293" s="76">
        <v>1</v>
      </c>
      <c r="AD293" s="76">
        <v>0</v>
      </c>
      <c r="AE293" s="76">
        <v>2</v>
      </c>
      <c r="AF293" s="76">
        <v>0</v>
      </c>
      <c r="AG293" s="76">
        <v>1</v>
      </c>
      <c r="AH293" s="76">
        <v>15</v>
      </c>
      <c r="AI293" s="76">
        <v>40</v>
      </c>
      <c r="AJ293" s="76">
        <v>1</v>
      </c>
      <c r="AK293" s="76">
        <v>0</v>
      </c>
      <c r="AL293" s="76">
        <v>1</v>
      </c>
      <c r="AM293" s="76">
        <v>1</v>
      </c>
      <c r="AN293" s="76">
        <v>1</v>
      </c>
      <c r="AO293" s="76">
        <v>485</v>
      </c>
      <c r="AP293" s="202" t="s">
        <v>154</v>
      </c>
      <c r="AQ293" s="202">
        <v>0.111</v>
      </c>
      <c r="AR293" s="202">
        <v>0.96</v>
      </c>
      <c r="AS293" s="202">
        <v>0.32600000000000001</v>
      </c>
      <c r="AT293" s="202">
        <v>0.49199999999999999</v>
      </c>
      <c r="AU293" s="202">
        <v>0.81799999999999995</v>
      </c>
      <c r="AV293" s="202">
        <v>8.4700000000000006</v>
      </c>
      <c r="AW293" s="202">
        <v>3</v>
      </c>
      <c r="AX293" s="202">
        <v>9.35</v>
      </c>
      <c r="AY293" s="202">
        <v>2.82</v>
      </c>
      <c r="AZ293" s="202">
        <v>16.16</v>
      </c>
    </row>
    <row r="294" spans="1:52" x14ac:dyDescent="0.2">
      <c r="A294" s="76">
        <v>1</v>
      </c>
      <c r="B294" t="s">
        <v>1364</v>
      </c>
      <c r="C294" s="76" t="s">
        <v>153</v>
      </c>
      <c r="D294" s="76">
        <v>0</v>
      </c>
      <c r="E294" s="76">
        <v>0</v>
      </c>
      <c r="F294" s="76">
        <v>0</v>
      </c>
      <c r="G294" s="76">
        <v>1</v>
      </c>
      <c r="H294" s="76">
        <v>0</v>
      </c>
      <c r="I294" s="76">
        <v>0</v>
      </c>
      <c r="J294" s="76">
        <v>0</v>
      </c>
      <c r="K294" s="76">
        <v>0</v>
      </c>
      <c r="L294" s="76">
        <v>0</v>
      </c>
      <c r="M294" s="76">
        <v>0.2</v>
      </c>
      <c r="N294" s="76">
        <v>0</v>
      </c>
      <c r="O294" s="76">
        <v>0</v>
      </c>
      <c r="P294" s="76">
        <v>0</v>
      </c>
      <c r="Q294" s="76">
        <v>0</v>
      </c>
      <c r="R294" s="76">
        <v>0</v>
      </c>
      <c r="S294" s="76">
        <v>0</v>
      </c>
      <c r="T294" s="76">
        <v>1</v>
      </c>
      <c r="U294" s="76">
        <v>2</v>
      </c>
      <c r="V294" s="76">
        <v>0.2</v>
      </c>
      <c r="W294" s="76">
        <v>0</v>
      </c>
      <c r="X294" s="76">
        <v>0</v>
      </c>
      <c r="Y294" s="76"/>
      <c r="Z294" s="76">
        <v>1</v>
      </c>
      <c r="AA294" t="s">
        <v>1364</v>
      </c>
      <c r="AB294" s="76" t="s">
        <v>153</v>
      </c>
      <c r="AC294" s="76">
        <v>0</v>
      </c>
      <c r="AD294" s="76">
        <v>0</v>
      </c>
      <c r="AE294" s="76">
        <v>1</v>
      </c>
      <c r="AF294" s="76">
        <v>0</v>
      </c>
      <c r="AG294" s="76">
        <v>0</v>
      </c>
      <c r="AH294" s="76">
        <v>0</v>
      </c>
      <c r="AI294" s="76">
        <v>1</v>
      </c>
      <c r="AJ294" s="76">
        <v>0</v>
      </c>
      <c r="AK294" s="76">
        <v>0</v>
      </c>
      <c r="AL294" s="76">
        <v>0</v>
      </c>
      <c r="AM294" s="76">
        <v>0</v>
      </c>
      <c r="AN294" s="76">
        <v>0</v>
      </c>
      <c r="AO294" s="76">
        <v>10</v>
      </c>
      <c r="AP294" s="202" t="s">
        <v>153</v>
      </c>
      <c r="AQ294" s="202" t="s">
        <v>243</v>
      </c>
      <c r="AR294" s="202">
        <v>1.83</v>
      </c>
      <c r="AS294" s="202">
        <v>0.34399999999999997</v>
      </c>
      <c r="AT294" s="202">
        <v>0.31</v>
      </c>
      <c r="AU294" s="202">
        <v>0.65400000000000003</v>
      </c>
      <c r="AV294" s="202">
        <v>4.7</v>
      </c>
      <c r="AW294" s="202">
        <v>3.52</v>
      </c>
      <c r="AX294" s="202">
        <v>9.39</v>
      </c>
      <c r="AY294" s="202">
        <v>1.33</v>
      </c>
      <c r="AZ294" s="202">
        <v>16.43</v>
      </c>
    </row>
    <row r="295" spans="1:52" x14ac:dyDescent="0.2">
      <c r="A295" s="76">
        <v>14</v>
      </c>
      <c r="B295" s="41" t="s">
        <v>400</v>
      </c>
      <c r="C295" s="76" t="s">
        <v>153</v>
      </c>
      <c r="D295" s="76">
        <v>2</v>
      </c>
      <c r="E295" s="76">
        <v>0</v>
      </c>
      <c r="F295" s="76">
        <v>4.2</v>
      </c>
      <c r="G295" s="76">
        <v>34</v>
      </c>
      <c r="H295" s="76">
        <v>0</v>
      </c>
      <c r="I295" s="76">
        <v>0</v>
      </c>
      <c r="J295" s="76">
        <v>0</v>
      </c>
      <c r="K295" s="76">
        <v>0</v>
      </c>
      <c r="L295" s="76">
        <v>0</v>
      </c>
      <c r="M295" s="76">
        <v>40.200000000000003</v>
      </c>
      <c r="N295" s="76">
        <v>30</v>
      </c>
      <c r="O295" s="76">
        <v>19</v>
      </c>
      <c r="P295" s="76">
        <v>19</v>
      </c>
      <c r="Q295" s="76">
        <v>3</v>
      </c>
      <c r="R295" s="76">
        <v>17</v>
      </c>
      <c r="S295" s="76">
        <v>0</v>
      </c>
      <c r="T295" s="76">
        <v>37</v>
      </c>
      <c r="U295" s="76">
        <v>163</v>
      </c>
      <c r="V295" s="76">
        <v>40.200000000000003</v>
      </c>
      <c r="W295" s="76">
        <v>0.21</v>
      </c>
      <c r="X295" s="76">
        <v>1.1599999999999999</v>
      </c>
      <c r="Y295" s="76"/>
      <c r="Z295" s="76">
        <v>14</v>
      </c>
      <c r="AA295" t="s">
        <v>400</v>
      </c>
      <c r="AB295" s="76" t="s">
        <v>153</v>
      </c>
      <c r="AC295" s="76">
        <v>1</v>
      </c>
      <c r="AD295" s="76">
        <v>0</v>
      </c>
      <c r="AE295" s="76">
        <v>4</v>
      </c>
      <c r="AF295" s="76">
        <v>5</v>
      </c>
      <c r="AG295" s="76">
        <v>5</v>
      </c>
      <c r="AH295" s="76">
        <v>30</v>
      </c>
      <c r="AI295" s="76">
        <v>48</v>
      </c>
      <c r="AJ295" s="76">
        <v>2</v>
      </c>
      <c r="AK295" s="76">
        <v>0</v>
      </c>
      <c r="AL295" s="76">
        <v>0</v>
      </c>
      <c r="AM295" s="76">
        <v>1</v>
      </c>
      <c r="AN295" s="76">
        <v>0</v>
      </c>
      <c r="AO295" s="76">
        <v>660</v>
      </c>
      <c r="AP295" s="202" t="s">
        <v>153</v>
      </c>
      <c r="AQ295" s="202">
        <v>0.33300000000000002</v>
      </c>
      <c r="AR295" s="202">
        <v>0.79</v>
      </c>
      <c r="AS295" s="202">
        <v>0.29899999999999999</v>
      </c>
      <c r="AT295" s="202">
        <v>0.47</v>
      </c>
      <c r="AU295" s="202">
        <v>0.76900000000000002</v>
      </c>
      <c r="AV295" s="202">
        <v>5.88</v>
      </c>
      <c r="AW295" s="202">
        <v>1.07</v>
      </c>
      <c r="AX295" s="202">
        <v>9.89</v>
      </c>
      <c r="AY295" s="202">
        <v>5.5</v>
      </c>
      <c r="AZ295" s="202">
        <v>14.61</v>
      </c>
    </row>
    <row r="296" spans="1:52" x14ac:dyDescent="0.2">
      <c r="A296" s="76">
        <v>7</v>
      </c>
      <c r="B296" t="s">
        <v>471</v>
      </c>
      <c r="C296" s="76" t="s">
        <v>153</v>
      </c>
      <c r="D296" s="76">
        <v>1</v>
      </c>
      <c r="E296" s="76">
        <v>0</v>
      </c>
      <c r="F296" s="76">
        <v>3</v>
      </c>
      <c r="G296" s="76">
        <v>56</v>
      </c>
      <c r="H296" s="76">
        <v>0</v>
      </c>
      <c r="I296" s="76">
        <v>0</v>
      </c>
      <c r="J296" s="76">
        <v>0</v>
      </c>
      <c r="K296" s="76">
        <v>0</v>
      </c>
      <c r="L296" s="76">
        <v>1</v>
      </c>
      <c r="M296" s="76">
        <v>36</v>
      </c>
      <c r="N296" s="76">
        <v>38</v>
      </c>
      <c r="O296" s="76">
        <v>14</v>
      </c>
      <c r="P296" s="76">
        <v>12</v>
      </c>
      <c r="Q296" s="76">
        <v>1</v>
      </c>
      <c r="R296" s="76">
        <v>24</v>
      </c>
      <c r="S296" s="76">
        <v>6</v>
      </c>
      <c r="T296" s="76">
        <v>37</v>
      </c>
      <c r="U296" s="76">
        <v>169</v>
      </c>
      <c r="V296" s="76">
        <v>36</v>
      </c>
      <c r="W296" s="76">
        <v>0.26600000000000001</v>
      </c>
      <c r="X296" s="76">
        <v>1.72</v>
      </c>
      <c r="Y296" s="76"/>
      <c r="Z296" s="76">
        <v>7</v>
      </c>
      <c r="AA296" t="s">
        <v>471</v>
      </c>
      <c r="AB296" s="76" t="s">
        <v>153</v>
      </c>
      <c r="AC296" s="76">
        <v>2</v>
      </c>
      <c r="AD296" s="76">
        <v>6</v>
      </c>
      <c r="AE296" s="76">
        <v>15</v>
      </c>
      <c r="AF296" s="76">
        <v>6</v>
      </c>
      <c r="AG296" s="76">
        <v>5</v>
      </c>
      <c r="AH296" s="76">
        <v>53</v>
      </c>
      <c r="AI296" s="76">
        <v>15</v>
      </c>
      <c r="AJ296" s="76">
        <v>5</v>
      </c>
      <c r="AK296" s="76">
        <v>0</v>
      </c>
      <c r="AL296" s="76">
        <v>3</v>
      </c>
      <c r="AM296" s="76">
        <v>0</v>
      </c>
      <c r="AN296" s="76">
        <v>0</v>
      </c>
      <c r="AO296" s="76">
        <v>668</v>
      </c>
      <c r="AP296" s="202" t="s">
        <v>153</v>
      </c>
      <c r="AQ296" s="202">
        <v>0.4</v>
      </c>
      <c r="AR296" s="202">
        <v>1.44</v>
      </c>
      <c r="AS296" s="202">
        <v>0.33700000000000002</v>
      </c>
      <c r="AT296" s="202">
        <v>0.42299999999999999</v>
      </c>
      <c r="AU296" s="202">
        <v>0.76100000000000001</v>
      </c>
      <c r="AV296" s="202">
        <v>5.99</v>
      </c>
      <c r="AW296" s="202">
        <v>2.96</v>
      </c>
      <c r="AX296" s="202">
        <v>9.8000000000000007</v>
      </c>
      <c r="AY296" s="202">
        <v>2.0299999999999998</v>
      </c>
      <c r="AZ296" s="202">
        <v>16.41</v>
      </c>
    </row>
    <row r="297" spans="1:52" x14ac:dyDescent="0.2">
      <c r="A297" s="76">
        <v>26</v>
      </c>
      <c r="B297" t="s">
        <v>1372</v>
      </c>
      <c r="C297" s="76" t="s">
        <v>153</v>
      </c>
      <c r="D297" s="76">
        <v>0</v>
      </c>
      <c r="E297" s="76">
        <v>0</v>
      </c>
      <c r="F297" s="76">
        <v>10.8</v>
      </c>
      <c r="G297" s="76">
        <v>5</v>
      </c>
      <c r="H297" s="76">
        <v>0</v>
      </c>
      <c r="I297" s="76">
        <v>0</v>
      </c>
      <c r="J297" s="76">
        <v>0</v>
      </c>
      <c r="K297" s="76">
        <v>0</v>
      </c>
      <c r="L297" s="76">
        <v>0</v>
      </c>
      <c r="M297" s="76">
        <v>6.2</v>
      </c>
      <c r="N297" s="76">
        <v>9</v>
      </c>
      <c r="O297" s="76">
        <v>8</v>
      </c>
      <c r="P297" s="76">
        <v>8</v>
      </c>
      <c r="Q297" s="76">
        <v>0</v>
      </c>
      <c r="R297" s="76">
        <v>6</v>
      </c>
      <c r="S297" s="76">
        <v>0</v>
      </c>
      <c r="T297" s="76">
        <v>6</v>
      </c>
      <c r="U297" s="76">
        <v>35</v>
      </c>
      <c r="V297" s="76">
        <v>6.2</v>
      </c>
      <c r="W297" s="76">
        <v>0.32100000000000001</v>
      </c>
      <c r="X297" s="76">
        <v>2.25</v>
      </c>
      <c r="Y297" s="76"/>
      <c r="Z297" s="76">
        <v>26</v>
      </c>
      <c r="AA297" t="s">
        <v>1372</v>
      </c>
      <c r="AB297" s="76" t="s">
        <v>153</v>
      </c>
      <c r="AC297" s="76">
        <v>0</v>
      </c>
      <c r="AD297" s="76">
        <v>0</v>
      </c>
      <c r="AE297" s="76">
        <v>3</v>
      </c>
      <c r="AF297" s="76">
        <v>0</v>
      </c>
      <c r="AG297" s="76">
        <v>0</v>
      </c>
      <c r="AH297" s="76">
        <v>6</v>
      </c>
      <c r="AI297" s="76">
        <v>8</v>
      </c>
      <c r="AJ297" s="76">
        <v>0</v>
      </c>
      <c r="AK297" s="76">
        <v>0</v>
      </c>
      <c r="AL297" s="76">
        <v>0</v>
      </c>
      <c r="AM297" s="76">
        <v>0</v>
      </c>
      <c r="AN297" s="76">
        <v>0</v>
      </c>
      <c r="AO297" s="76">
        <v>148</v>
      </c>
      <c r="AP297" s="202" t="s">
        <v>154</v>
      </c>
      <c r="AQ297" s="202">
        <v>0.38500000000000001</v>
      </c>
      <c r="AR297" s="202">
        <v>1.02</v>
      </c>
      <c r="AS297" s="202">
        <v>0.32500000000000001</v>
      </c>
      <c r="AT297" s="202">
        <v>0.40500000000000003</v>
      </c>
      <c r="AU297" s="202">
        <v>0.73</v>
      </c>
      <c r="AV297" s="202">
        <v>7.57</v>
      </c>
      <c r="AW297" s="202">
        <v>3.43</v>
      </c>
      <c r="AX297" s="202">
        <v>8.27</v>
      </c>
      <c r="AY297" s="202">
        <v>2.2000000000000002</v>
      </c>
      <c r="AZ297" s="202">
        <v>15.97</v>
      </c>
    </row>
    <row r="298" spans="1:52" x14ac:dyDescent="0.2">
      <c r="A298" s="76">
        <v>6</v>
      </c>
      <c r="B298" t="s">
        <v>798</v>
      </c>
      <c r="C298" s="76" t="s">
        <v>153</v>
      </c>
      <c r="D298" s="76">
        <v>0</v>
      </c>
      <c r="E298" s="76">
        <v>0</v>
      </c>
      <c r="F298" s="76">
        <v>2.92</v>
      </c>
      <c r="G298" s="76">
        <v>13</v>
      </c>
      <c r="H298" s="76">
        <v>0</v>
      </c>
      <c r="I298" s="76">
        <v>0</v>
      </c>
      <c r="J298" s="76">
        <v>0</v>
      </c>
      <c r="K298" s="76">
        <v>0</v>
      </c>
      <c r="L298" s="76">
        <v>0</v>
      </c>
      <c r="M298" s="76">
        <v>24.2</v>
      </c>
      <c r="N298" s="76">
        <v>14</v>
      </c>
      <c r="O298" s="76">
        <v>9</v>
      </c>
      <c r="P298" s="76">
        <v>8</v>
      </c>
      <c r="Q298" s="76">
        <v>2</v>
      </c>
      <c r="R298" s="76">
        <v>13</v>
      </c>
      <c r="S298" s="76">
        <v>0</v>
      </c>
      <c r="T298" s="76">
        <v>29</v>
      </c>
      <c r="U298" s="76">
        <v>100</v>
      </c>
      <c r="V298" s="76">
        <v>24.2</v>
      </c>
      <c r="W298" s="76">
        <v>0.16500000000000001</v>
      </c>
      <c r="X298" s="76">
        <v>1.0900000000000001</v>
      </c>
      <c r="Y298" s="76"/>
      <c r="Z298" s="76">
        <v>6</v>
      </c>
      <c r="AA298" t="s">
        <v>798</v>
      </c>
      <c r="AB298" s="76" t="s">
        <v>153</v>
      </c>
      <c r="AC298" s="76">
        <v>0</v>
      </c>
      <c r="AD298" s="76">
        <v>0</v>
      </c>
      <c r="AE298" s="76">
        <v>8</v>
      </c>
      <c r="AF298" s="76">
        <v>0</v>
      </c>
      <c r="AG298" s="76">
        <v>1</v>
      </c>
      <c r="AH298" s="76">
        <v>22</v>
      </c>
      <c r="AI298" s="76">
        <v>22</v>
      </c>
      <c r="AJ298" s="76">
        <v>0</v>
      </c>
      <c r="AK298" s="76">
        <v>0</v>
      </c>
      <c r="AL298" s="76">
        <v>1</v>
      </c>
      <c r="AM298" s="76">
        <v>1</v>
      </c>
      <c r="AN298" s="76">
        <v>0</v>
      </c>
      <c r="AO298" s="76">
        <v>439</v>
      </c>
      <c r="AP298" s="202" t="s">
        <v>153</v>
      </c>
      <c r="AQ298" s="202">
        <v>0.33300000000000002</v>
      </c>
      <c r="AR298" s="202">
        <v>0.88</v>
      </c>
      <c r="AS298" s="202">
        <v>0.27300000000000002</v>
      </c>
      <c r="AT298" s="202">
        <v>0.441</v>
      </c>
      <c r="AU298" s="202">
        <v>0.71299999999999997</v>
      </c>
      <c r="AV298" s="202">
        <v>8.4700000000000006</v>
      </c>
      <c r="AW298" s="202">
        <v>3.18</v>
      </c>
      <c r="AX298" s="202">
        <v>6.35</v>
      </c>
      <c r="AY298" s="202">
        <v>2.67</v>
      </c>
      <c r="AZ298" s="202">
        <v>14.94</v>
      </c>
    </row>
    <row r="299" spans="1:52" s="143" customFormat="1" x14ac:dyDescent="0.2">
      <c r="A299" s="76">
        <v>23</v>
      </c>
      <c r="B299" s="41" t="s">
        <v>458</v>
      </c>
      <c r="C299" s="76" t="s">
        <v>153</v>
      </c>
      <c r="D299" s="76">
        <v>0</v>
      </c>
      <c r="E299" s="76">
        <v>5</v>
      </c>
      <c r="F299" s="76">
        <v>6.98</v>
      </c>
      <c r="G299" s="76">
        <v>9</v>
      </c>
      <c r="H299" s="76">
        <v>9</v>
      </c>
      <c r="I299" s="76">
        <v>0</v>
      </c>
      <c r="J299" s="76">
        <v>0</v>
      </c>
      <c r="K299" s="76">
        <v>0</v>
      </c>
      <c r="L299" s="76">
        <v>0</v>
      </c>
      <c r="M299" s="76">
        <v>38.200000000000003</v>
      </c>
      <c r="N299" s="76">
        <v>55</v>
      </c>
      <c r="O299" s="76">
        <v>32</v>
      </c>
      <c r="P299" s="76">
        <v>30</v>
      </c>
      <c r="Q299" s="76">
        <v>8</v>
      </c>
      <c r="R299" s="76">
        <v>21</v>
      </c>
      <c r="S299" s="76">
        <v>2</v>
      </c>
      <c r="T299" s="76">
        <v>22</v>
      </c>
      <c r="U299" s="76">
        <v>197</v>
      </c>
      <c r="V299" s="76">
        <v>38.200000000000003</v>
      </c>
      <c r="W299" s="76">
        <v>0.32700000000000001</v>
      </c>
      <c r="X299" s="76">
        <v>1.97</v>
      </c>
      <c r="Y299" s="76"/>
      <c r="Z299" s="76">
        <v>23</v>
      </c>
      <c r="AA299" t="s">
        <v>458</v>
      </c>
      <c r="AB299" s="76" t="s">
        <v>153</v>
      </c>
      <c r="AC299" s="76">
        <v>5</v>
      </c>
      <c r="AD299" s="76">
        <v>2</v>
      </c>
      <c r="AE299" s="76">
        <v>0</v>
      </c>
      <c r="AF299" s="76">
        <v>0</v>
      </c>
      <c r="AG299" s="76">
        <v>3</v>
      </c>
      <c r="AH299" s="76">
        <v>40</v>
      </c>
      <c r="AI299" s="76">
        <v>54</v>
      </c>
      <c r="AJ299" s="76">
        <v>1</v>
      </c>
      <c r="AK299" s="76">
        <v>0</v>
      </c>
      <c r="AL299" s="76">
        <v>3</v>
      </c>
      <c r="AM299" s="76">
        <v>2</v>
      </c>
      <c r="AN299" s="76">
        <v>2</v>
      </c>
      <c r="AO299" s="76">
        <v>735</v>
      </c>
      <c r="AP299" s="202" t="s">
        <v>153</v>
      </c>
      <c r="AQ299" s="202" t="s">
        <v>243</v>
      </c>
      <c r="AR299" s="202">
        <v>0.89</v>
      </c>
      <c r="AS299" s="202">
        <v>0.48599999999999999</v>
      </c>
      <c r="AT299" s="202">
        <v>0.83899999999999997</v>
      </c>
      <c r="AU299" s="202">
        <v>1.325</v>
      </c>
      <c r="AV299" s="202">
        <v>2.57</v>
      </c>
      <c r="AW299" s="202">
        <v>7.71</v>
      </c>
      <c r="AX299" s="202">
        <v>15.43</v>
      </c>
      <c r="AY299" s="202">
        <v>0.33</v>
      </c>
      <c r="AZ299" s="202">
        <v>21.43</v>
      </c>
    </row>
    <row r="300" spans="1:52" x14ac:dyDescent="0.2">
      <c r="A300" s="76">
        <v>16</v>
      </c>
      <c r="B300" s="41" t="s">
        <v>1368</v>
      </c>
      <c r="C300" s="76" t="s">
        <v>153</v>
      </c>
      <c r="D300" s="76">
        <v>1</v>
      </c>
      <c r="E300" s="76">
        <v>1</v>
      </c>
      <c r="F300" s="76">
        <v>4.3099999999999996</v>
      </c>
      <c r="G300" s="76">
        <v>24</v>
      </c>
      <c r="H300" s="76">
        <v>6</v>
      </c>
      <c r="I300" s="76">
        <v>0</v>
      </c>
      <c r="J300" s="76">
        <v>0</v>
      </c>
      <c r="K300" s="76">
        <v>0</v>
      </c>
      <c r="L300" s="76">
        <v>0</v>
      </c>
      <c r="M300" s="76">
        <v>56.1</v>
      </c>
      <c r="N300" s="76">
        <v>56</v>
      </c>
      <c r="O300" s="76">
        <v>30</v>
      </c>
      <c r="P300" s="76">
        <v>27</v>
      </c>
      <c r="Q300" s="76">
        <v>5</v>
      </c>
      <c r="R300" s="76">
        <v>13</v>
      </c>
      <c r="S300" s="76">
        <v>1</v>
      </c>
      <c r="T300" s="76">
        <v>55</v>
      </c>
      <c r="U300" s="76">
        <v>238</v>
      </c>
      <c r="V300" s="76">
        <v>56.1</v>
      </c>
      <c r="W300" s="76">
        <v>0.255</v>
      </c>
      <c r="X300" s="76">
        <v>1.22</v>
      </c>
      <c r="Y300" s="76"/>
      <c r="Z300" s="76">
        <v>16</v>
      </c>
      <c r="AA300" t="s">
        <v>1368</v>
      </c>
      <c r="AB300" s="76" t="s">
        <v>153</v>
      </c>
      <c r="AC300" s="76">
        <v>3</v>
      </c>
      <c r="AD300" s="76">
        <v>1</v>
      </c>
      <c r="AE300" s="76">
        <v>7</v>
      </c>
      <c r="AF300" s="76">
        <v>0</v>
      </c>
      <c r="AG300" s="76">
        <v>3</v>
      </c>
      <c r="AH300" s="76">
        <v>66</v>
      </c>
      <c r="AI300" s="76">
        <v>45</v>
      </c>
      <c r="AJ300" s="76">
        <v>2</v>
      </c>
      <c r="AK300" s="76">
        <v>0</v>
      </c>
      <c r="AL300" s="76">
        <v>1</v>
      </c>
      <c r="AM300" s="76">
        <v>1</v>
      </c>
      <c r="AN300" s="76">
        <v>0</v>
      </c>
      <c r="AO300" s="76">
        <v>929</v>
      </c>
      <c r="AP300" s="202" t="s">
        <v>153</v>
      </c>
      <c r="AQ300" s="202">
        <v>0.33300000000000002</v>
      </c>
      <c r="AR300" s="202">
        <v>2.64</v>
      </c>
      <c r="AS300" s="202">
        <v>0.39600000000000002</v>
      </c>
      <c r="AT300" s="202">
        <v>0.43</v>
      </c>
      <c r="AU300" s="202">
        <v>0.82599999999999996</v>
      </c>
      <c r="AV300" s="202">
        <v>6.33</v>
      </c>
      <c r="AW300" s="202">
        <v>5.48</v>
      </c>
      <c r="AX300" s="202">
        <v>12.23</v>
      </c>
      <c r="AY300" s="202">
        <v>1.1499999999999999</v>
      </c>
      <c r="AZ300" s="202">
        <v>17.63</v>
      </c>
    </row>
    <row r="301" spans="1:52" x14ac:dyDescent="0.2">
      <c r="A301" s="76">
        <v>25</v>
      </c>
      <c r="B301" t="s">
        <v>1371</v>
      </c>
      <c r="C301" s="76" t="s">
        <v>153</v>
      </c>
      <c r="D301" s="76">
        <v>0</v>
      </c>
      <c r="E301" s="76">
        <v>0</v>
      </c>
      <c r="F301" s="76">
        <v>9.9499999999999993</v>
      </c>
      <c r="G301" s="76">
        <v>8</v>
      </c>
      <c r="H301" s="76">
        <v>0</v>
      </c>
      <c r="I301" s="76">
        <v>0</v>
      </c>
      <c r="J301" s="76">
        <v>0</v>
      </c>
      <c r="K301" s="76">
        <v>0</v>
      </c>
      <c r="L301" s="76">
        <v>0</v>
      </c>
      <c r="M301" s="76">
        <v>12.2</v>
      </c>
      <c r="N301" s="76">
        <v>18</v>
      </c>
      <c r="O301" s="76">
        <v>15</v>
      </c>
      <c r="P301" s="76">
        <v>14</v>
      </c>
      <c r="Q301" s="76">
        <v>3</v>
      </c>
      <c r="R301" s="76">
        <v>9</v>
      </c>
      <c r="S301" s="76">
        <v>0</v>
      </c>
      <c r="T301" s="76">
        <v>12</v>
      </c>
      <c r="U301" s="76">
        <v>64</v>
      </c>
      <c r="V301" s="76">
        <v>12.2</v>
      </c>
      <c r="W301" s="76">
        <v>0.32700000000000001</v>
      </c>
      <c r="X301" s="76">
        <v>2.13</v>
      </c>
      <c r="Y301" s="76"/>
      <c r="Z301" s="76">
        <v>25</v>
      </c>
      <c r="AA301" t="s">
        <v>1371</v>
      </c>
      <c r="AB301" s="76" t="s">
        <v>153</v>
      </c>
      <c r="AC301" s="76">
        <v>0</v>
      </c>
      <c r="AD301" s="76">
        <v>0</v>
      </c>
      <c r="AE301" s="76">
        <v>3</v>
      </c>
      <c r="AF301" s="76">
        <v>0</v>
      </c>
      <c r="AG301" s="76">
        <v>0</v>
      </c>
      <c r="AH301" s="76">
        <v>10</v>
      </c>
      <c r="AI301" s="76">
        <v>15</v>
      </c>
      <c r="AJ301" s="76">
        <v>2</v>
      </c>
      <c r="AK301" s="76">
        <v>0</v>
      </c>
      <c r="AL301" s="76">
        <v>1</v>
      </c>
      <c r="AM301" s="76">
        <v>0</v>
      </c>
      <c r="AN301" s="76">
        <v>0</v>
      </c>
      <c r="AO301" s="76">
        <v>272</v>
      </c>
      <c r="AP301" s="202" t="s">
        <v>154</v>
      </c>
      <c r="AQ301" s="202">
        <v>0.66700000000000004</v>
      </c>
      <c r="AR301" s="202">
        <v>0.89</v>
      </c>
      <c r="AS301" s="202">
        <v>0.34200000000000003</v>
      </c>
      <c r="AT301" s="202">
        <v>0.45700000000000002</v>
      </c>
      <c r="AU301" s="202">
        <v>0.79900000000000004</v>
      </c>
      <c r="AV301" s="202">
        <v>4.18</v>
      </c>
      <c r="AW301" s="202">
        <v>3.04</v>
      </c>
      <c r="AX301" s="202">
        <v>9.32</v>
      </c>
      <c r="AY301" s="202">
        <v>1.38</v>
      </c>
      <c r="AZ301" s="202">
        <v>14.77</v>
      </c>
    </row>
    <row r="302" spans="1:52" x14ac:dyDescent="0.2">
      <c r="A302" s="225" t="s">
        <v>105</v>
      </c>
      <c r="B302" s="225" t="s">
        <v>106</v>
      </c>
      <c r="C302" s="225" t="s">
        <v>157</v>
      </c>
      <c r="D302" s="225" t="s">
        <v>85</v>
      </c>
      <c r="E302" s="225" t="s">
        <v>86</v>
      </c>
      <c r="F302" s="225" t="s">
        <v>107</v>
      </c>
      <c r="G302" s="225" t="s">
        <v>108</v>
      </c>
      <c r="H302" s="225" t="s">
        <v>88</v>
      </c>
      <c r="I302" s="225" t="s">
        <v>89</v>
      </c>
      <c r="J302" s="225" t="s">
        <v>1073</v>
      </c>
      <c r="K302" s="225" t="s">
        <v>90</v>
      </c>
      <c r="L302" s="225" t="s">
        <v>158</v>
      </c>
      <c r="M302" s="225" t="s">
        <v>91</v>
      </c>
      <c r="N302" s="225" t="s">
        <v>92</v>
      </c>
      <c r="O302" s="225" t="s">
        <v>93</v>
      </c>
      <c r="P302" s="225" t="s">
        <v>94</v>
      </c>
      <c r="Q302" s="225" t="s">
        <v>95</v>
      </c>
      <c r="R302" s="225" t="s">
        <v>96</v>
      </c>
      <c r="S302" s="225" t="s">
        <v>98</v>
      </c>
      <c r="T302" s="225" t="s">
        <v>97</v>
      </c>
      <c r="U302" s="225" t="s">
        <v>109</v>
      </c>
      <c r="V302" s="225" t="s">
        <v>91</v>
      </c>
      <c r="W302" s="225" t="s">
        <v>1071</v>
      </c>
      <c r="X302" s="225" t="s">
        <v>1072</v>
      </c>
      <c r="Y302" s="225"/>
      <c r="Z302" s="225" t="s">
        <v>105</v>
      </c>
      <c r="AA302" s="225" t="s">
        <v>106</v>
      </c>
      <c r="AB302" s="225" t="s">
        <v>157</v>
      </c>
      <c r="AC302" s="225" t="s">
        <v>1074</v>
      </c>
      <c r="AD302" s="225" t="s">
        <v>98</v>
      </c>
      <c r="AE302" s="225" t="s">
        <v>1075</v>
      </c>
      <c r="AF302" s="225" t="s">
        <v>1076</v>
      </c>
      <c r="AG302" s="225" t="s">
        <v>1077</v>
      </c>
      <c r="AH302" s="225" t="s">
        <v>1066</v>
      </c>
      <c r="AI302" s="225" t="s">
        <v>1067</v>
      </c>
      <c r="AJ302" s="225" t="s">
        <v>1078</v>
      </c>
      <c r="AK302" s="225" t="s">
        <v>1079</v>
      </c>
      <c r="AL302" s="225" t="s">
        <v>1057</v>
      </c>
      <c r="AM302" s="225" t="s">
        <v>1058</v>
      </c>
      <c r="AN302" s="225" t="s">
        <v>1080</v>
      </c>
      <c r="AO302" s="225" t="s">
        <v>1069</v>
      </c>
      <c r="AP302" s="202" t="s">
        <v>154</v>
      </c>
      <c r="AQ302" s="202">
        <v>0.5</v>
      </c>
      <c r="AR302" s="202">
        <v>1.1299999999999999</v>
      </c>
      <c r="AS302" s="202">
        <v>0.19800000000000001</v>
      </c>
      <c r="AT302" s="202">
        <v>0.216</v>
      </c>
      <c r="AU302" s="202">
        <v>0.41399999999999998</v>
      </c>
      <c r="AV302" s="202">
        <v>7.06</v>
      </c>
      <c r="AW302" s="202">
        <v>2.08</v>
      </c>
      <c r="AX302" s="202">
        <v>3.74</v>
      </c>
      <c r="AY302" s="202">
        <v>3.4</v>
      </c>
      <c r="AZ302" s="202">
        <v>13.89</v>
      </c>
    </row>
    <row r="303" spans="1:52" x14ac:dyDescent="0.2">
      <c r="A303" s="76">
        <v>5</v>
      </c>
      <c r="B303" s="41" t="s">
        <v>1375</v>
      </c>
      <c r="C303" s="76" t="s">
        <v>154</v>
      </c>
      <c r="D303" s="76">
        <v>0</v>
      </c>
      <c r="E303" s="76">
        <v>0</v>
      </c>
      <c r="F303" s="76">
        <v>0.73</v>
      </c>
      <c r="G303" s="76">
        <v>15</v>
      </c>
      <c r="H303" s="76">
        <v>0</v>
      </c>
      <c r="I303" s="76">
        <v>0</v>
      </c>
      <c r="J303" s="76">
        <v>0</v>
      </c>
      <c r="K303" s="76">
        <v>0</v>
      </c>
      <c r="L303" s="76">
        <v>1</v>
      </c>
      <c r="M303" s="76">
        <v>12.1</v>
      </c>
      <c r="N303" s="76">
        <v>11</v>
      </c>
      <c r="O303" s="76">
        <v>1</v>
      </c>
      <c r="P303" s="76">
        <v>1</v>
      </c>
      <c r="Q303" s="76">
        <v>0</v>
      </c>
      <c r="R303" s="76">
        <v>1</v>
      </c>
      <c r="S303" s="76">
        <v>0</v>
      </c>
      <c r="T303" s="76">
        <v>10</v>
      </c>
      <c r="U303" s="76">
        <v>48</v>
      </c>
      <c r="V303" s="76">
        <v>12.1</v>
      </c>
      <c r="W303" s="76">
        <v>0.24399999999999999</v>
      </c>
      <c r="X303" s="76">
        <v>0.97</v>
      </c>
      <c r="Y303" s="76"/>
      <c r="Z303" s="76">
        <v>5</v>
      </c>
      <c r="AA303" t="s">
        <v>1375</v>
      </c>
      <c r="AB303" s="76" t="s">
        <v>154</v>
      </c>
      <c r="AC303" s="76">
        <v>1</v>
      </c>
      <c r="AD303" s="76">
        <v>0</v>
      </c>
      <c r="AE303" s="76">
        <v>7</v>
      </c>
      <c r="AF303" s="76">
        <v>1</v>
      </c>
      <c r="AG303" s="76">
        <v>1</v>
      </c>
      <c r="AH303" s="76">
        <v>16</v>
      </c>
      <c r="AI303" s="76">
        <v>9</v>
      </c>
      <c r="AJ303" s="76">
        <v>1</v>
      </c>
      <c r="AK303" s="76">
        <v>0</v>
      </c>
      <c r="AL303" s="76">
        <v>2</v>
      </c>
      <c r="AM303" s="76">
        <v>0</v>
      </c>
      <c r="AN303" s="76">
        <v>0</v>
      </c>
      <c r="AO303" s="76">
        <v>172</v>
      </c>
      <c r="AP303" s="202" t="s">
        <v>154</v>
      </c>
      <c r="AQ303" s="202">
        <v>0.66700000000000004</v>
      </c>
      <c r="AR303" s="202">
        <v>0.78</v>
      </c>
      <c r="AS303" s="202">
        <v>0.29699999999999999</v>
      </c>
      <c r="AT303" s="202">
        <v>0.375</v>
      </c>
      <c r="AU303" s="202">
        <v>0.67200000000000004</v>
      </c>
      <c r="AV303" s="202">
        <v>7.63</v>
      </c>
      <c r="AW303" s="202">
        <v>4.1100000000000003</v>
      </c>
      <c r="AX303" s="202">
        <v>7.04</v>
      </c>
      <c r="AY303" s="202">
        <v>1.86</v>
      </c>
      <c r="AZ303" s="202">
        <v>16.63</v>
      </c>
    </row>
    <row r="304" spans="1:52" x14ac:dyDescent="0.2">
      <c r="A304" s="76">
        <v>1</v>
      </c>
      <c r="B304" t="s">
        <v>1176</v>
      </c>
      <c r="C304" s="76" t="s">
        <v>154</v>
      </c>
      <c r="D304" s="76">
        <v>0</v>
      </c>
      <c r="E304" s="76">
        <v>0</v>
      </c>
      <c r="F304" s="76">
        <v>0</v>
      </c>
      <c r="G304" s="76">
        <v>1</v>
      </c>
      <c r="H304" s="76">
        <v>0</v>
      </c>
      <c r="I304" s="76">
        <v>0</v>
      </c>
      <c r="J304" s="76">
        <v>0</v>
      </c>
      <c r="K304" s="76">
        <v>0</v>
      </c>
      <c r="L304" s="76">
        <v>0</v>
      </c>
      <c r="M304" s="76">
        <v>0.2</v>
      </c>
      <c r="N304" s="76">
        <v>1</v>
      </c>
      <c r="O304" s="76">
        <v>0</v>
      </c>
      <c r="P304" s="76">
        <v>0</v>
      </c>
      <c r="Q304" s="76">
        <v>0</v>
      </c>
      <c r="R304" s="76">
        <v>1</v>
      </c>
      <c r="S304" s="76">
        <v>0</v>
      </c>
      <c r="T304" s="76">
        <v>0</v>
      </c>
      <c r="U304" s="76">
        <v>4</v>
      </c>
      <c r="V304" s="76">
        <v>0.2</v>
      </c>
      <c r="W304" s="76">
        <v>0.33300000000000002</v>
      </c>
      <c r="X304" s="76">
        <v>3</v>
      </c>
      <c r="Y304" s="76"/>
      <c r="Z304" s="76">
        <v>1</v>
      </c>
      <c r="AA304" t="s">
        <v>1176</v>
      </c>
      <c r="AB304" s="76" t="s">
        <v>154</v>
      </c>
      <c r="AC304" s="76">
        <v>0</v>
      </c>
      <c r="AD304" s="76">
        <v>0</v>
      </c>
      <c r="AE304" s="76">
        <v>0</v>
      </c>
      <c r="AF304" s="76">
        <v>1</v>
      </c>
      <c r="AG304" s="76">
        <v>0</v>
      </c>
      <c r="AH304" s="76">
        <v>0</v>
      </c>
      <c r="AI304" s="76">
        <v>2</v>
      </c>
      <c r="AJ304" s="76">
        <v>0</v>
      </c>
      <c r="AK304" s="76">
        <v>0</v>
      </c>
      <c r="AL304" s="76">
        <v>0</v>
      </c>
      <c r="AM304" s="76">
        <v>0</v>
      </c>
      <c r="AN304" s="76">
        <v>0</v>
      </c>
      <c r="AO304" s="76">
        <v>10</v>
      </c>
      <c r="AP304" s="202" t="s">
        <v>154</v>
      </c>
      <c r="AQ304" s="202">
        <v>0</v>
      </c>
      <c r="AR304" s="202">
        <v>1.45</v>
      </c>
      <c r="AS304" s="202">
        <v>0.41699999999999998</v>
      </c>
      <c r="AT304" s="202">
        <v>0.53400000000000003</v>
      </c>
      <c r="AU304" s="202">
        <v>0.95099999999999996</v>
      </c>
      <c r="AV304" s="202">
        <v>7.43</v>
      </c>
      <c r="AW304" s="202">
        <v>4.3899999999999997</v>
      </c>
      <c r="AX304" s="202">
        <v>11.48</v>
      </c>
      <c r="AY304" s="202">
        <v>1.69</v>
      </c>
      <c r="AZ304" s="202">
        <v>17.21</v>
      </c>
    </row>
    <row r="305" spans="1:52" x14ac:dyDescent="0.2">
      <c r="A305" s="76">
        <v>26</v>
      </c>
      <c r="B305" t="s">
        <v>535</v>
      </c>
      <c r="C305" s="76" t="s">
        <v>154</v>
      </c>
      <c r="D305" s="76">
        <v>1</v>
      </c>
      <c r="E305" s="76">
        <v>1</v>
      </c>
      <c r="F305" s="76">
        <v>5.18</v>
      </c>
      <c r="G305" s="76">
        <v>26</v>
      </c>
      <c r="H305" s="76">
        <v>0</v>
      </c>
      <c r="I305" s="76">
        <v>0</v>
      </c>
      <c r="J305" s="76">
        <v>0</v>
      </c>
      <c r="K305" s="76">
        <v>0</v>
      </c>
      <c r="L305" s="76">
        <v>2</v>
      </c>
      <c r="M305" s="76">
        <v>24.1</v>
      </c>
      <c r="N305" s="76">
        <v>20</v>
      </c>
      <c r="O305" s="76">
        <v>16</v>
      </c>
      <c r="P305" s="76">
        <v>14</v>
      </c>
      <c r="Q305" s="76">
        <v>4</v>
      </c>
      <c r="R305" s="76">
        <v>15</v>
      </c>
      <c r="S305" s="76">
        <v>1</v>
      </c>
      <c r="T305" s="76">
        <v>28</v>
      </c>
      <c r="U305" s="76">
        <v>111</v>
      </c>
      <c r="V305" s="76">
        <v>24.1</v>
      </c>
      <c r="W305" s="76">
        <v>0.215</v>
      </c>
      <c r="X305" s="76">
        <v>1.44</v>
      </c>
      <c r="Y305" s="76"/>
      <c r="Z305" s="76">
        <v>26</v>
      </c>
      <c r="AA305" t="s">
        <v>535</v>
      </c>
      <c r="AB305" s="76" t="s">
        <v>154</v>
      </c>
      <c r="AC305" s="76">
        <v>1</v>
      </c>
      <c r="AD305" s="76">
        <v>1</v>
      </c>
      <c r="AE305" s="76">
        <v>2</v>
      </c>
      <c r="AF305" s="76">
        <v>8</v>
      </c>
      <c r="AG305" s="76">
        <v>0</v>
      </c>
      <c r="AH305" s="76">
        <v>20</v>
      </c>
      <c r="AI305" s="76">
        <v>27</v>
      </c>
      <c r="AJ305" s="76">
        <v>1</v>
      </c>
      <c r="AK305" s="76">
        <v>0</v>
      </c>
      <c r="AL305" s="76">
        <v>0</v>
      </c>
      <c r="AM305" s="76">
        <v>1</v>
      </c>
      <c r="AN305" s="76">
        <v>0</v>
      </c>
      <c r="AO305" s="76">
        <v>463</v>
      </c>
      <c r="AP305" s="202" t="s">
        <v>144</v>
      </c>
      <c r="AQ305" s="202">
        <v>0.375</v>
      </c>
      <c r="AR305" s="202">
        <v>0.95</v>
      </c>
      <c r="AS305" s="202">
        <v>0.317</v>
      </c>
      <c r="AT305" s="202">
        <v>0.41099999999999998</v>
      </c>
      <c r="AU305" s="202">
        <v>0.72799999999999998</v>
      </c>
      <c r="AV305" s="202">
        <v>6.72</v>
      </c>
      <c r="AW305" s="202">
        <v>2.4700000000000002</v>
      </c>
      <c r="AX305" s="202">
        <v>9.4600000000000009</v>
      </c>
      <c r="AY305" s="202">
        <v>2.72</v>
      </c>
      <c r="AZ305" s="202">
        <v>16.57</v>
      </c>
    </row>
    <row r="306" spans="1:52" x14ac:dyDescent="0.2">
      <c r="A306" s="76">
        <v>14</v>
      </c>
      <c r="B306" s="41" t="s">
        <v>389</v>
      </c>
      <c r="C306" s="76" t="s">
        <v>154</v>
      </c>
      <c r="D306" s="76">
        <v>1</v>
      </c>
      <c r="E306" s="76">
        <v>1</v>
      </c>
      <c r="F306" s="76">
        <v>3.66</v>
      </c>
      <c r="G306" s="76">
        <v>18</v>
      </c>
      <c r="H306" s="76">
        <v>0</v>
      </c>
      <c r="I306" s="76">
        <v>0</v>
      </c>
      <c r="J306" s="76">
        <v>0</v>
      </c>
      <c r="K306" s="76">
        <v>0</v>
      </c>
      <c r="L306" s="76">
        <v>1</v>
      </c>
      <c r="M306" s="76">
        <v>19.2</v>
      </c>
      <c r="N306" s="76">
        <v>21</v>
      </c>
      <c r="O306" s="76">
        <v>14</v>
      </c>
      <c r="P306" s="76">
        <v>8</v>
      </c>
      <c r="Q306" s="76">
        <v>3</v>
      </c>
      <c r="R306" s="76">
        <v>11</v>
      </c>
      <c r="S306" s="76">
        <v>1</v>
      </c>
      <c r="T306" s="76">
        <v>18</v>
      </c>
      <c r="U306" s="76">
        <v>93</v>
      </c>
      <c r="V306" s="76">
        <v>19.2</v>
      </c>
      <c r="W306" s="76">
        <v>0.26300000000000001</v>
      </c>
      <c r="X306" s="76">
        <v>1.63</v>
      </c>
      <c r="Y306" s="76"/>
      <c r="Z306" s="76">
        <v>14</v>
      </c>
      <c r="AA306" t="s">
        <v>389</v>
      </c>
      <c r="AB306" s="76" t="s">
        <v>154</v>
      </c>
      <c r="AC306" s="76">
        <v>1</v>
      </c>
      <c r="AD306" s="76">
        <v>1</v>
      </c>
      <c r="AE306" s="76">
        <v>2</v>
      </c>
      <c r="AF306" s="76">
        <v>6</v>
      </c>
      <c r="AG306" s="76">
        <v>1</v>
      </c>
      <c r="AH306" s="76">
        <v>18</v>
      </c>
      <c r="AI306" s="76">
        <v>24</v>
      </c>
      <c r="AJ306" s="76">
        <v>1</v>
      </c>
      <c r="AK306" s="76">
        <v>0</v>
      </c>
      <c r="AL306" s="76">
        <v>2</v>
      </c>
      <c r="AM306" s="76">
        <v>0</v>
      </c>
      <c r="AN306" s="76">
        <v>0</v>
      </c>
      <c r="AO306" s="76">
        <v>368</v>
      </c>
      <c r="AP306" s="202" t="s">
        <v>154</v>
      </c>
      <c r="AQ306" s="202">
        <v>0.42899999999999999</v>
      </c>
      <c r="AR306" s="202">
        <v>1.1599999999999999</v>
      </c>
      <c r="AS306" s="202">
        <v>0.32300000000000001</v>
      </c>
      <c r="AT306" s="202">
        <v>0.38100000000000001</v>
      </c>
      <c r="AU306" s="202">
        <v>0.70399999999999996</v>
      </c>
      <c r="AV306" s="202">
        <v>7.52</v>
      </c>
      <c r="AW306" s="202">
        <v>3.9</v>
      </c>
      <c r="AX306" s="202">
        <v>9</v>
      </c>
      <c r="AY306" s="202">
        <v>1.93</v>
      </c>
      <c r="AZ306" s="202">
        <v>16.579999999999998</v>
      </c>
    </row>
    <row r="307" spans="1:52" x14ac:dyDescent="0.2">
      <c r="A307" s="76">
        <v>8</v>
      </c>
      <c r="B307" s="41" t="s">
        <v>386</v>
      </c>
      <c r="C307" s="76" t="s">
        <v>154</v>
      </c>
      <c r="D307" s="76">
        <v>4</v>
      </c>
      <c r="E307" s="76">
        <v>6</v>
      </c>
      <c r="F307" s="76">
        <v>2.81</v>
      </c>
      <c r="G307" s="76">
        <v>62</v>
      </c>
      <c r="H307" s="76">
        <v>0</v>
      </c>
      <c r="I307" s="76">
        <v>0</v>
      </c>
      <c r="J307" s="76">
        <v>0</v>
      </c>
      <c r="K307" s="76">
        <v>25</v>
      </c>
      <c r="L307" s="76">
        <v>32</v>
      </c>
      <c r="M307" s="76">
        <v>64</v>
      </c>
      <c r="N307" s="76">
        <v>44</v>
      </c>
      <c r="O307" s="76">
        <v>21</v>
      </c>
      <c r="P307" s="76">
        <v>20</v>
      </c>
      <c r="Q307" s="76">
        <v>8</v>
      </c>
      <c r="R307" s="76">
        <v>21</v>
      </c>
      <c r="S307" s="76">
        <v>2</v>
      </c>
      <c r="T307" s="76">
        <v>76</v>
      </c>
      <c r="U307" s="76">
        <v>258</v>
      </c>
      <c r="V307" s="76">
        <v>64</v>
      </c>
      <c r="W307" s="76">
        <v>0.19</v>
      </c>
      <c r="X307" s="76">
        <v>1.02</v>
      </c>
      <c r="Y307" s="76"/>
      <c r="Z307" s="76">
        <v>8</v>
      </c>
      <c r="AA307" t="s">
        <v>386</v>
      </c>
      <c r="AB307" s="76" t="s">
        <v>154</v>
      </c>
      <c r="AC307" s="76">
        <v>4</v>
      </c>
      <c r="AD307" s="76">
        <v>2</v>
      </c>
      <c r="AE307" s="76">
        <v>40</v>
      </c>
      <c r="AF307" s="76">
        <v>9</v>
      </c>
      <c r="AG307" s="76">
        <v>2</v>
      </c>
      <c r="AH307" s="76">
        <v>57</v>
      </c>
      <c r="AI307" s="76">
        <v>56</v>
      </c>
      <c r="AJ307" s="76">
        <v>4</v>
      </c>
      <c r="AK307" s="76">
        <v>0</v>
      </c>
      <c r="AL307" s="76">
        <v>4</v>
      </c>
      <c r="AM307" s="76">
        <v>2</v>
      </c>
      <c r="AN307" s="76">
        <v>0</v>
      </c>
      <c r="AO307" s="76">
        <v>1076</v>
      </c>
      <c r="AP307" s="202" t="s">
        <v>154</v>
      </c>
      <c r="AQ307" s="202" t="s">
        <v>243</v>
      </c>
      <c r="AR307" s="202">
        <v>1</v>
      </c>
      <c r="AS307" s="202">
        <v>0.25</v>
      </c>
      <c r="AT307" s="202">
        <v>0</v>
      </c>
      <c r="AU307" s="202">
        <v>0.25</v>
      </c>
      <c r="AV307" s="202">
        <v>7.71</v>
      </c>
      <c r="AW307" s="202">
        <v>7.71</v>
      </c>
      <c r="AX307" s="202">
        <v>0</v>
      </c>
      <c r="AY307" s="202">
        <v>1</v>
      </c>
      <c r="AZ307" s="202">
        <v>14.14</v>
      </c>
    </row>
    <row r="308" spans="1:52" x14ac:dyDescent="0.2">
      <c r="A308" s="76">
        <v>7</v>
      </c>
      <c r="B308" s="41" t="s">
        <v>1376</v>
      </c>
      <c r="C308" s="76" t="s">
        <v>154</v>
      </c>
      <c r="D308" s="76">
        <v>0</v>
      </c>
      <c r="E308" s="76">
        <v>4</v>
      </c>
      <c r="F308" s="76">
        <v>2.79</v>
      </c>
      <c r="G308" s="76">
        <v>49</v>
      </c>
      <c r="H308" s="76">
        <v>0</v>
      </c>
      <c r="I308" s="76">
        <v>0</v>
      </c>
      <c r="J308" s="76">
        <v>0</v>
      </c>
      <c r="K308" s="76">
        <v>18</v>
      </c>
      <c r="L308" s="76">
        <v>21</v>
      </c>
      <c r="M308" s="76">
        <v>51.2</v>
      </c>
      <c r="N308" s="76">
        <v>45</v>
      </c>
      <c r="O308" s="76">
        <v>16</v>
      </c>
      <c r="P308" s="76">
        <v>16</v>
      </c>
      <c r="Q308" s="76">
        <v>5</v>
      </c>
      <c r="R308" s="76">
        <v>15</v>
      </c>
      <c r="S308" s="76">
        <v>2</v>
      </c>
      <c r="T308" s="76">
        <v>88</v>
      </c>
      <c r="U308" s="76">
        <v>217</v>
      </c>
      <c r="V308" s="76">
        <v>51.2</v>
      </c>
      <c r="W308" s="76">
        <v>0.22600000000000001</v>
      </c>
      <c r="X308" s="76">
        <v>1.1599999999999999</v>
      </c>
      <c r="Y308" s="76"/>
      <c r="Z308" s="76">
        <v>7</v>
      </c>
      <c r="AA308" t="s">
        <v>1376</v>
      </c>
      <c r="AB308" s="76" t="s">
        <v>154</v>
      </c>
      <c r="AC308" s="76">
        <v>3</v>
      </c>
      <c r="AD308" s="76">
        <v>2</v>
      </c>
      <c r="AE308" s="76">
        <v>23</v>
      </c>
      <c r="AF308" s="76">
        <v>13</v>
      </c>
      <c r="AG308" s="76">
        <v>1</v>
      </c>
      <c r="AH308" s="76">
        <v>35</v>
      </c>
      <c r="AI308" s="76">
        <v>31</v>
      </c>
      <c r="AJ308" s="76">
        <v>6</v>
      </c>
      <c r="AK308" s="76">
        <v>1</v>
      </c>
      <c r="AL308" s="76">
        <v>4</v>
      </c>
      <c r="AM308" s="76">
        <v>0</v>
      </c>
      <c r="AN308" s="76">
        <v>0</v>
      </c>
      <c r="AO308" s="76">
        <v>831</v>
      </c>
      <c r="AP308" s="202" t="s">
        <v>154</v>
      </c>
      <c r="AQ308" s="202">
        <v>0</v>
      </c>
      <c r="AR308" s="202">
        <v>0.8</v>
      </c>
      <c r="AS308" s="202">
        <v>0.29899999999999999</v>
      </c>
      <c r="AT308" s="202">
        <v>0.30299999999999999</v>
      </c>
      <c r="AU308" s="202">
        <v>0.60199999999999998</v>
      </c>
      <c r="AV308" s="202">
        <v>11.75</v>
      </c>
      <c r="AW308" s="202">
        <v>2.75</v>
      </c>
      <c r="AX308" s="202">
        <v>7.75</v>
      </c>
      <c r="AY308" s="202">
        <v>4.2699999999999996</v>
      </c>
      <c r="AZ308" s="202">
        <v>15.44</v>
      </c>
    </row>
    <row r="309" spans="1:52" x14ac:dyDescent="0.2">
      <c r="A309" s="76">
        <v>23</v>
      </c>
      <c r="B309" t="s">
        <v>1207</v>
      </c>
      <c r="C309" s="76" t="s">
        <v>154</v>
      </c>
      <c r="D309" s="76">
        <v>0</v>
      </c>
      <c r="E309" s="76">
        <v>0</v>
      </c>
      <c r="F309" s="76">
        <v>4.91</v>
      </c>
      <c r="G309" s="76">
        <v>5</v>
      </c>
      <c r="H309" s="76">
        <v>0</v>
      </c>
      <c r="I309" s="76">
        <v>0</v>
      </c>
      <c r="J309" s="76">
        <v>0</v>
      </c>
      <c r="K309" s="76">
        <v>0</v>
      </c>
      <c r="L309" s="76">
        <v>0</v>
      </c>
      <c r="M309" s="76">
        <v>7.1</v>
      </c>
      <c r="N309" s="76">
        <v>8</v>
      </c>
      <c r="O309" s="76">
        <v>6</v>
      </c>
      <c r="P309" s="76">
        <v>4</v>
      </c>
      <c r="Q309" s="76">
        <v>0</v>
      </c>
      <c r="R309" s="76">
        <v>4</v>
      </c>
      <c r="S309" s="76">
        <v>0</v>
      </c>
      <c r="T309" s="76">
        <v>5</v>
      </c>
      <c r="U309" s="76">
        <v>34</v>
      </c>
      <c r="V309" s="76">
        <v>7.1</v>
      </c>
      <c r="W309" s="76">
        <v>0.27600000000000002</v>
      </c>
      <c r="X309" s="76">
        <v>1.64</v>
      </c>
      <c r="Y309" s="76"/>
      <c r="Z309" s="76">
        <v>23</v>
      </c>
      <c r="AA309" t="s">
        <v>1207</v>
      </c>
      <c r="AB309" s="76" t="s">
        <v>154</v>
      </c>
      <c r="AC309" s="76">
        <v>0</v>
      </c>
      <c r="AD309" s="76">
        <v>0</v>
      </c>
      <c r="AE309" s="76">
        <v>0</v>
      </c>
      <c r="AF309" s="76">
        <v>0</v>
      </c>
      <c r="AG309" s="76">
        <v>0</v>
      </c>
      <c r="AH309" s="76">
        <v>8</v>
      </c>
      <c r="AI309" s="76">
        <v>9</v>
      </c>
      <c r="AJ309" s="76">
        <v>0</v>
      </c>
      <c r="AK309" s="76">
        <v>0</v>
      </c>
      <c r="AL309" s="76">
        <v>2</v>
      </c>
      <c r="AM309" s="76">
        <v>1</v>
      </c>
      <c r="AN309" s="76">
        <v>0</v>
      </c>
      <c r="AO309" s="76">
        <v>120</v>
      </c>
      <c r="AP309" s="202" t="s">
        <v>154</v>
      </c>
      <c r="AQ309" s="202">
        <v>0.5</v>
      </c>
      <c r="AR309" s="202">
        <v>0.92</v>
      </c>
      <c r="AS309" s="202">
        <v>0.33200000000000002</v>
      </c>
      <c r="AT309" s="202">
        <v>0.36399999999999999</v>
      </c>
      <c r="AU309" s="202">
        <v>0.69599999999999995</v>
      </c>
      <c r="AV309" s="202">
        <v>8.7100000000000009</v>
      </c>
      <c r="AW309" s="202">
        <v>4.21</v>
      </c>
      <c r="AX309" s="202">
        <v>8.1300000000000008</v>
      </c>
      <c r="AY309" s="202">
        <v>2.0699999999999998</v>
      </c>
      <c r="AZ309" s="202">
        <v>17.21</v>
      </c>
    </row>
    <row r="310" spans="1:52" x14ac:dyDescent="0.2">
      <c r="A310" s="76">
        <v>17</v>
      </c>
      <c r="B310" s="41" t="s">
        <v>607</v>
      </c>
      <c r="C310" s="76" t="s">
        <v>154</v>
      </c>
      <c r="D310" s="76">
        <v>11</v>
      </c>
      <c r="E310" s="76">
        <v>8</v>
      </c>
      <c r="F310" s="76">
        <v>3.82</v>
      </c>
      <c r="G310" s="76">
        <v>25</v>
      </c>
      <c r="H310" s="76">
        <v>25</v>
      </c>
      <c r="I310" s="76">
        <v>0</v>
      </c>
      <c r="J310" s="76">
        <v>0</v>
      </c>
      <c r="K310" s="76">
        <v>0</v>
      </c>
      <c r="L310" s="76">
        <v>0</v>
      </c>
      <c r="M310" s="76">
        <v>153.1</v>
      </c>
      <c r="N310" s="76">
        <v>138</v>
      </c>
      <c r="O310" s="76">
        <v>76</v>
      </c>
      <c r="P310" s="76">
        <v>65</v>
      </c>
      <c r="Q310" s="76">
        <v>19</v>
      </c>
      <c r="R310" s="76">
        <v>65</v>
      </c>
      <c r="S310" s="76">
        <v>0</v>
      </c>
      <c r="T310" s="76">
        <v>122</v>
      </c>
      <c r="U310" s="76">
        <v>655</v>
      </c>
      <c r="V310" s="76">
        <v>153.1</v>
      </c>
      <c r="W310" s="76">
        <v>0.23899999999999999</v>
      </c>
      <c r="X310" s="76">
        <v>1.32</v>
      </c>
      <c r="Y310" s="76"/>
      <c r="Z310" s="76">
        <v>17</v>
      </c>
      <c r="AA310" t="s">
        <v>607</v>
      </c>
      <c r="AB310" s="76" t="s">
        <v>154</v>
      </c>
      <c r="AC310" s="76">
        <v>10</v>
      </c>
      <c r="AD310" s="76">
        <v>0</v>
      </c>
      <c r="AE310" s="76">
        <v>0</v>
      </c>
      <c r="AF310" s="76">
        <v>0</v>
      </c>
      <c r="AG310" s="76">
        <v>17</v>
      </c>
      <c r="AH310" s="76">
        <v>191</v>
      </c>
      <c r="AI310" s="76">
        <v>129</v>
      </c>
      <c r="AJ310" s="76">
        <v>6</v>
      </c>
      <c r="AK310" s="76">
        <v>0</v>
      </c>
      <c r="AL310" s="76">
        <v>16</v>
      </c>
      <c r="AM310" s="76">
        <v>4</v>
      </c>
      <c r="AN310" s="76">
        <v>3</v>
      </c>
      <c r="AO310" s="76">
        <v>2453</v>
      </c>
      <c r="AP310" s="202" t="s">
        <v>154</v>
      </c>
      <c r="AQ310" s="202">
        <v>0.66700000000000004</v>
      </c>
      <c r="AR310" s="202">
        <v>0.53</v>
      </c>
      <c r="AS310" s="202">
        <v>0.44</v>
      </c>
      <c r="AT310" s="202">
        <v>0.53700000000000003</v>
      </c>
      <c r="AU310" s="202">
        <v>0.97699999999999998</v>
      </c>
      <c r="AV310" s="202">
        <v>10.050000000000001</v>
      </c>
      <c r="AW310" s="202">
        <v>5.0199999999999996</v>
      </c>
      <c r="AX310" s="202">
        <v>15.7</v>
      </c>
      <c r="AY310" s="202">
        <v>2</v>
      </c>
      <c r="AZ310" s="202">
        <v>22.19</v>
      </c>
    </row>
    <row r="311" spans="1:52" x14ac:dyDescent="0.2">
      <c r="A311" s="76">
        <v>19</v>
      </c>
      <c r="B311" s="41" t="s">
        <v>606</v>
      </c>
      <c r="C311" s="76" t="s">
        <v>154</v>
      </c>
      <c r="D311" s="76">
        <v>16</v>
      </c>
      <c r="E311" s="76">
        <v>12</v>
      </c>
      <c r="F311" s="76">
        <v>4.12</v>
      </c>
      <c r="G311" s="76">
        <v>33</v>
      </c>
      <c r="H311" s="76">
        <v>33</v>
      </c>
      <c r="I311" s="76">
        <v>0</v>
      </c>
      <c r="J311" s="76">
        <v>0</v>
      </c>
      <c r="K311" s="76">
        <v>0</v>
      </c>
      <c r="L311" s="76">
        <v>0</v>
      </c>
      <c r="M311" s="76">
        <v>199</v>
      </c>
      <c r="N311" s="76">
        <v>218</v>
      </c>
      <c r="O311" s="76">
        <v>95</v>
      </c>
      <c r="P311" s="76">
        <v>91</v>
      </c>
      <c r="Q311" s="76">
        <v>28</v>
      </c>
      <c r="R311" s="76">
        <v>46</v>
      </c>
      <c r="S311" s="76">
        <v>3</v>
      </c>
      <c r="T311" s="76">
        <v>147</v>
      </c>
      <c r="U311" s="76">
        <v>836</v>
      </c>
      <c r="V311" s="76">
        <v>199</v>
      </c>
      <c r="W311" s="76">
        <v>0.28199999999999997</v>
      </c>
      <c r="X311" s="76">
        <v>1.33</v>
      </c>
      <c r="Y311" s="76"/>
      <c r="Z311" s="76">
        <v>19</v>
      </c>
      <c r="AA311" t="s">
        <v>606</v>
      </c>
      <c r="AB311" s="76" t="s">
        <v>154</v>
      </c>
      <c r="AC311" s="76">
        <v>5</v>
      </c>
      <c r="AD311" s="76">
        <v>3</v>
      </c>
      <c r="AE311" s="76">
        <v>0</v>
      </c>
      <c r="AF311" s="76">
        <v>0</v>
      </c>
      <c r="AG311" s="76">
        <v>25</v>
      </c>
      <c r="AH311" s="76">
        <v>196</v>
      </c>
      <c r="AI311" s="76">
        <v>224</v>
      </c>
      <c r="AJ311" s="76">
        <v>4</v>
      </c>
      <c r="AK311" s="76">
        <v>0</v>
      </c>
      <c r="AL311" s="76">
        <v>8</v>
      </c>
      <c r="AM311" s="76">
        <v>4</v>
      </c>
      <c r="AN311" s="76">
        <v>1</v>
      </c>
      <c r="AO311" s="76">
        <v>2981</v>
      </c>
      <c r="AP311" s="202" t="s">
        <v>154</v>
      </c>
      <c r="AQ311" s="202">
        <v>0</v>
      </c>
      <c r="AR311" s="202">
        <v>1.5</v>
      </c>
      <c r="AS311" s="202">
        <v>0.40200000000000002</v>
      </c>
      <c r="AT311" s="202">
        <v>0.52300000000000002</v>
      </c>
      <c r="AU311" s="202">
        <v>0.92500000000000004</v>
      </c>
      <c r="AV311" s="202">
        <v>7.56</v>
      </c>
      <c r="AW311" s="202">
        <v>2.88</v>
      </c>
      <c r="AX311" s="202">
        <v>13.32</v>
      </c>
      <c r="AY311" s="202">
        <v>2.63</v>
      </c>
      <c r="AZ311" s="202">
        <v>18.079999999999998</v>
      </c>
    </row>
    <row r="312" spans="1:52" x14ac:dyDescent="0.2">
      <c r="A312" s="76">
        <v>21</v>
      </c>
      <c r="B312" s="41" t="s">
        <v>1172</v>
      </c>
      <c r="C312" s="76" t="s">
        <v>154</v>
      </c>
      <c r="D312" s="76">
        <v>1</v>
      </c>
      <c r="E312" s="76">
        <v>0</v>
      </c>
      <c r="F312" s="76">
        <v>4.32</v>
      </c>
      <c r="G312" s="76">
        <v>16</v>
      </c>
      <c r="H312" s="76">
        <v>0</v>
      </c>
      <c r="I312" s="76">
        <v>0</v>
      </c>
      <c r="J312" s="76">
        <v>0</v>
      </c>
      <c r="K312" s="76">
        <v>0</v>
      </c>
      <c r="L312" s="76">
        <v>0</v>
      </c>
      <c r="M312" s="76">
        <v>16.2</v>
      </c>
      <c r="N312" s="76">
        <v>13</v>
      </c>
      <c r="O312" s="76">
        <v>8</v>
      </c>
      <c r="P312" s="76">
        <v>8</v>
      </c>
      <c r="Q312" s="76">
        <v>3</v>
      </c>
      <c r="R312" s="76">
        <v>11</v>
      </c>
      <c r="S312" s="76">
        <v>0</v>
      </c>
      <c r="T312" s="76">
        <v>17</v>
      </c>
      <c r="U312" s="76">
        <v>75</v>
      </c>
      <c r="V312" s="76">
        <v>16.2</v>
      </c>
      <c r="W312" s="76">
        <v>0.20599999999999999</v>
      </c>
      <c r="X312" s="76">
        <v>1.44</v>
      </c>
      <c r="Y312" s="76"/>
      <c r="Z312" s="76">
        <v>21</v>
      </c>
      <c r="AA312" t="s">
        <v>1172</v>
      </c>
      <c r="AB312" s="76" t="s">
        <v>154</v>
      </c>
      <c r="AC312" s="76">
        <v>0</v>
      </c>
      <c r="AD312" s="76">
        <v>0</v>
      </c>
      <c r="AE312" s="76">
        <v>12</v>
      </c>
      <c r="AF312" s="76">
        <v>1</v>
      </c>
      <c r="AG312" s="76">
        <v>0</v>
      </c>
      <c r="AH312" s="76">
        <v>9</v>
      </c>
      <c r="AI312" s="76">
        <v>25</v>
      </c>
      <c r="AJ312" s="76">
        <v>1</v>
      </c>
      <c r="AK312" s="76">
        <v>0</v>
      </c>
      <c r="AL312" s="76">
        <v>1</v>
      </c>
      <c r="AM312" s="76">
        <v>0</v>
      </c>
      <c r="AN312" s="76">
        <v>0</v>
      </c>
      <c r="AO312" s="76">
        <v>301</v>
      </c>
      <c r="AP312" s="202" t="s">
        <v>154</v>
      </c>
      <c r="AQ312" s="202" t="s">
        <v>243</v>
      </c>
      <c r="AR312" s="202">
        <v>0.67</v>
      </c>
      <c r="AS312" s="202">
        <v>0.54500000000000004</v>
      </c>
      <c r="AT312" s="202">
        <v>0.90900000000000003</v>
      </c>
      <c r="AU312" s="202">
        <v>1.4550000000000001</v>
      </c>
      <c r="AV312" s="202">
        <v>0</v>
      </c>
      <c r="AW312" s="202">
        <v>0</v>
      </c>
      <c r="AX312" s="202">
        <v>27</v>
      </c>
      <c r="AY312" s="202" t="s">
        <v>243</v>
      </c>
      <c r="AZ312" s="202">
        <v>13</v>
      </c>
    </row>
    <row r="313" spans="1:52" x14ac:dyDescent="0.2">
      <c r="A313" s="76">
        <v>25</v>
      </c>
      <c r="B313" s="41" t="s">
        <v>484</v>
      </c>
      <c r="C313" s="76" t="s">
        <v>154</v>
      </c>
      <c r="D313" s="76">
        <v>6</v>
      </c>
      <c r="E313" s="76">
        <v>2</v>
      </c>
      <c r="F313" s="76">
        <v>5.15</v>
      </c>
      <c r="G313" s="76">
        <v>22</v>
      </c>
      <c r="H313" s="76">
        <v>15</v>
      </c>
      <c r="I313" s="76">
        <v>0</v>
      </c>
      <c r="J313" s="76">
        <v>0</v>
      </c>
      <c r="K313" s="76">
        <v>1</v>
      </c>
      <c r="L313" s="76">
        <v>1</v>
      </c>
      <c r="M313" s="76">
        <v>94.1</v>
      </c>
      <c r="N313" s="76">
        <v>95</v>
      </c>
      <c r="O313" s="76">
        <v>55</v>
      </c>
      <c r="P313" s="76">
        <v>54</v>
      </c>
      <c r="Q313" s="76">
        <v>11</v>
      </c>
      <c r="R313" s="76">
        <v>45</v>
      </c>
      <c r="S313" s="76">
        <v>1</v>
      </c>
      <c r="T313" s="76">
        <v>101</v>
      </c>
      <c r="U313" s="76">
        <v>417</v>
      </c>
      <c r="V313" s="76">
        <v>94.1</v>
      </c>
      <c r="W313" s="76">
        <v>0.25900000000000001</v>
      </c>
      <c r="X313" s="76">
        <v>1.48</v>
      </c>
      <c r="Y313" s="76"/>
      <c r="Z313" s="76">
        <v>25</v>
      </c>
      <c r="AA313" t="s">
        <v>484</v>
      </c>
      <c r="AB313" s="76" t="s">
        <v>154</v>
      </c>
      <c r="AC313" s="76">
        <v>3</v>
      </c>
      <c r="AD313" s="76">
        <v>1</v>
      </c>
      <c r="AE313" s="76">
        <v>2</v>
      </c>
      <c r="AF313" s="76">
        <v>0</v>
      </c>
      <c r="AG313" s="76">
        <v>5</v>
      </c>
      <c r="AH313" s="76">
        <v>77</v>
      </c>
      <c r="AI313" s="76">
        <v>96</v>
      </c>
      <c r="AJ313" s="76">
        <v>5</v>
      </c>
      <c r="AK313" s="76">
        <v>1</v>
      </c>
      <c r="AL313" s="76">
        <v>12</v>
      </c>
      <c r="AM313" s="76">
        <v>2</v>
      </c>
      <c r="AN313" s="76">
        <v>0</v>
      </c>
      <c r="AO313" s="76">
        <v>1679</v>
      </c>
      <c r="AP313" s="102" t="s">
        <v>157</v>
      </c>
      <c r="AQ313" s="102" t="s">
        <v>1081</v>
      </c>
      <c r="AR313" s="102" t="s">
        <v>1068</v>
      </c>
      <c r="AS313" s="102" t="s">
        <v>1059</v>
      </c>
      <c r="AT313" s="102" t="s">
        <v>1060</v>
      </c>
      <c r="AU313" s="102" t="s">
        <v>1061</v>
      </c>
      <c r="AV313" s="102" t="s">
        <v>1092</v>
      </c>
      <c r="AW313" s="102" t="s">
        <v>1093</v>
      </c>
      <c r="AX313" s="102" t="s">
        <v>1094</v>
      </c>
      <c r="AY313" s="102" t="s">
        <v>1095</v>
      </c>
      <c r="AZ313" s="102" t="s">
        <v>1096</v>
      </c>
    </row>
    <row r="314" spans="1:52" x14ac:dyDescent="0.2">
      <c r="A314" s="76">
        <v>22</v>
      </c>
      <c r="B314" t="s">
        <v>1377</v>
      </c>
      <c r="C314" s="76" t="s">
        <v>154</v>
      </c>
      <c r="D314" s="76">
        <v>3</v>
      </c>
      <c r="E314" s="76">
        <v>0</v>
      </c>
      <c r="F314" s="76">
        <v>4.5</v>
      </c>
      <c r="G314" s="76">
        <v>11</v>
      </c>
      <c r="H314" s="76">
        <v>8</v>
      </c>
      <c r="I314" s="76">
        <v>0</v>
      </c>
      <c r="J314" s="76">
        <v>0</v>
      </c>
      <c r="K314" s="76">
        <v>1</v>
      </c>
      <c r="L314" s="76">
        <v>1</v>
      </c>
      <c r="M314" s="76">
        <v>50</v>
      </c>
      <c r="N314" s="76">
        <v>52</v>
      </c>
      <c r="O314" s="76">
        <v>27</v>
      </c>
      <c r="P314" s="76">
        <v>25</v>
      </c>
      <c r="Q314" s="76">
        <v>14</v>
      </c>
      <c r="R314" s="76">
        <v>9</v>
      </c>
      <c r="S314" s="76">
        <v>0</v>
      </c>
      <c r="T314" s="76">
        <v>41</v>
      </c>
      <c r="U314" s="76">
        <v>208</v>
      </c>
      <c r="V314" s="76">
        <v>50</v>
      </c>
      <c r="W314" s="76">
        <v>0.26100000000000001</v>
      </c>
      <c r="X314" s="76">
        <v>1.22</v>
      </c>
      <c r="Y314" s="76"/>
      <c r="Z314" s="76">
        <v>22</v>
      </c>
      <c r="AA314" t="s">
        <v>1377</v>
      </c>
      <c r="AB314" s="76" t="s">
        <v>154</v>
      </c>
      <c r="AC314" s="76">
        <v>0</v>
      </c>
      <c r="AD314" s="76">
        <v>0</v>
      </c>
      <c r="AE314" s="76">
        <v>3</v>
      </c>
      <c r="AF314" s="76">
        <v>0</v>
      </c>
      <c r="AG314" s="76">
        <v>4</v>
      </c>
      <c r="AH314" s="76">
        <v>45</v>
      </c>
      <c r="AI314" s="76">
        <v>61</v>
      </c>
      <c r="AJ314" s="76">
        <v>0</v>
      </c>
      <c r="AK314" s="76">
        <v>0</v>
      </c>
      <c r="AL314" s="76">
        <v>0</v>
      </c>
      <c r="AM314" s="76">
        <v>1</v>
      </c>
      <c r="AN314" s="76">
        <v>0</v>
      </c>
      <c r="AO314" s="76">
        <v>771</v>
      </c>
      <c r="AP314" s="202" t="s">
        <v>154</v>
      </c>
      <c r="AQ314" s="202">
        <v>0.57899999999999996</v>
      </c>
      <c r="AR314" s="202">
        <v>0.83</v>
      </c>
      <c r="AS314" s="202">
        <v>0.30199999999999999</v>
      </c>
      <c r="AT314" s="202">
        <v>0.41499999999999998</v>
      </c>
      <c r="AU314" s="202">
        <v>0.71699999999999997</v>
      </c>
      <c r="AV314" s="202">
        <v>8.33</v>
      </c>
      <c r="AW314" s="202">
        <v>2.12</v>
      </c>
      <c r="AX314" s="202">
        <v>8.65</v>
      </c>
      <c r="AY314" s="202">
        <v>3.93</v>
      </c>
      <c r="AZ314" s="202">
        <v>15.5</v>
      </c>
    </row>
    <row r="315" spans="1:52" x14ac:dyDescent="0.2">
      <c r="A315" s="76">
        <v>18</v>
      </c>
      <c r="B315" t="s">
        <v>761</v>
      </c>
      <c r="C315" s="76" t="s">
        <v>154</v>
      </c>
      <c r="D315" s="76">
        <v>1</v>
      </c>
      <c r="E315" s="76">
        <v>2</v>
      </c>
      <c r="F315" s="76">
        <v>3.86</v>
      </c>
      <c r="G315" s="76">
        <v>9</v>
      </c>
      <c r="H315" s="76">
        <v>2</v>
      </c>
      <c r="I315" s="76">
        <v>0</v>
      </c>
      <c r="J315" s="76">
        <v>0</v>
      </c>
      <c r="K315" s="76">
        <v>0</v>
      </c>
      <c r="L315" s="76">
        <v>0</v>
      </c>
      <c r="M315" s="76">
        <v>25.2</v>
      </c>
      <c r="N315" s="76">
        <v>28</v>
      </c>
      <c r="O315" s="76">
        <v>11</v>
      </c>
      <c r="P315" s="76">
        <v>11</v>
      </c>
      <c r="Q315" s="76">
        <v>5</v>
      </c>
      <c r="R315" s="76">
        <v>9</v>
      </c>
      <c r="S315" s="76">
        <v>0</v>
      </c>
      <c r="T315" s="76">
        <v>15</v>
      </c>
      <c r="U315" s="76">
        <v>107</v>
      </c>
      <c r="V315" s="76">
        <v>25.2</v>
      </c>
      <c r="W315" s="76">
        <v>0.29799999999999999</v>
      </c>
      <c r="X315" s="76">
        <v>1.44</v>
      </c>
      <c r="Y315" s="76"/>
      <c r="Z315" s="76">
        <v>18</v>
      </c>
      <c r="AA315" t="s">
        <v>761</v>
      </c>
      <c r="AB315" s="76" t="s">
        <v>154</v>
      </c>
      <c r="AC315" s="76">
        <v>1</v>
      </c>
      <c r="AD315" s="76">
        <v>0</v>
      </c>
      <c r="AE315" s="76">
        <v>3</v>
      </c>
      <c r="AF315" s="76">
        <v>0</v>
      </c>
      <c r="AG315" s="76">
        <v>4</v>
      </c>
      <c r="AH315" s="76">
        <v>29</v>
      </c>
      <c r="AI315" s="76">
        <v>25</v>
      </c>
      <c r="AJ315" s="76">
        <v>0</v>
      </c>
      <c r="AK315" s="76">
        <v>0</v>
      </c>
      <c r="AL315" s="76">
        <v>0</v>
      </c>
      <c r="AM315" s="76">
        <v>2</v>
      </c>
      <c r="AN315" s="76">
        <v>0</v>
      </c>
      <c r="AO315" s="76">
        <v>400</v>
      </c>
      <c r="AP315" s="202" t="s">
        <v>154</v>
      </c>
      <c r="AQ315" s="202">
        <v>0.5</v>
      </c>
      <c r="AR315" s="202">
        <v>1.64</v>
      </c>
      <c r="AS315" s="202">
        <v>0.35799999999999998</v>
      </c>
      <c r="AT315" s="202">
        <v>0.46200000000000002</v>
      </c>
      <c r="AU315" s="202">
        <v>0.82</v>
      </c>
      <c r="AV315" s="202">
        <v>7.64</v>
      </c>
      <c r="AW315" s="202">
        <v>4.4400000000000004</v>
      </c>
      <c r="AX315" s="202">
        <v>9.06</v>
      </c>
      <c r="AY315" s="202">
        <v>1.72</v>
      </c>
      <c r="AZ315" s="202">
        <v>17.59</v>
      </c>
    </row>
    <row r="316" spans="1:52" x14ac:dyDescent="0.2">
      <c r="A316" s="76">
        <v>24</v>
      </c>
      <c r="B316" t="s">
        <v>323</v>
      </c>
      <c r="C316" s="76" t="s">
        <v>154</v>
      </c>
      <c r="D316" s="76">
        <v>7</v>
      </c>
      <c r="E316" s="76">
        <v>8</v>
      </c>
      <c r="F316" s="76">
        <v>4.9800000000000004</v>
      </c>
      <c r="G316" s="76">
        <v>19</v>
      </c>
      <c r="H316" s="76">
        <v>19</v>
      </c>
      <c r="I316" s="76">
        <v>1</v>
      </c>
      <c r="J316" s="76">
        <v>1</v>
      </c>
      <c r="K316" s="76">
        <v>0</v>
      </c>
      <c r="L316" s="76">
        <v>0</v>
      </c>
      <c r="M316" s="76">
        <v>112</v>
      </c>
      <c r="N316" s="76">
        <v>117</v>
      </c>
      <c r="O316" s="76">
        <v>62</v>
      </c>
      <c r="P316" s="76">
        <v>62</v>
      </c>
      <c r="Q316" s="76">
        <v>18</v>
      </c>
      <c r="R316" s="76">
        <v>34</v>
      </c>
      <c r="S316" s="76">
        <v>1</v>
      </c>
      <c r="T316" s="76">
        <v>82</v>
      </c>
      <c r="U316" s="76">
        <v>469</v>
      </c>
      <c r="V316" s="76">
        <v>112</v>
      </c>
      <c r="W316" s="76">
        <v>0.27400000000000002</v>
      </c>
      <c r="X316" s="76">
        <v>1.35</v>
      </c>
      <c r="Y316" s="76"/>
      <c r="Z316" s="76">
        <v>24</v>
      </c>
      <c r="AA316" t="s">
        <v>323</v>
      </c>
      <c r="AB316" s="76" t="s">
        <v>154</v>
      </c>
      <c r="AC316" s="76">
        <v>3</v>
      </c>
      <c r="AD316" s="76">
        <v>1</v>
      </c>
      <c r="AE316" s="76">
        <v>0</v>
      </c>
      <c r="AF316" s="76">
        <v>0</v>
      </c>
      <c r="AG316" s="76">
        <v>16</v>
      </c>
      <c r="AH316" s="76">
        <v>129</v>
      </c>
      <c r="AI316" s="76">
        <v>104</v>
      </c>
      <c r="AJ316" s="76">
        <v>5</v>
      </c>
      <c r="AK316" s="76">
        <v>2</v>
      </c>
      <c r="AL316" s="76">
        <v>1</v>
      </c>
      <c r="AM316" s="76">
        <v>3</v>
      </c>
      <c r="AN316" s="76">
        <v>2</v>
      </c>
      <c r="AO316" s="76">
        <v>1774</v>
      </c>
      <c r="AP316" s="202" t="s">
        <v>154</v>
      </c>
      <c r="AQ316" s="202" t="s">
        <v>243</v>
      </c>
      <c r="AR316" s="202">
        <v>1</v>
      </c>
      <c r="AS316" s="202">
        <v>0.28899999999999998</v>
      </c>
      <c r="AT316" s="202">
        <v>0.33800000000000002</v>
      </c>
      <c r="AU316" s="202">
        <v>0.628</v>
      </c>
      <c r="AV316" s="202">
        <v>11.78</v>
      </c>
      <c r="AW316" s="202">
        <v>1.47</v>
      </c>
      <c r="AX316" s="202">
        <v>8.35</v>
      </c>
      <c r="AY316" s="202">
        <v>8</v>
      </c>
      <c r="AZ316" s="202">
        <v>14.95</v>
      </c>
    </row>
    <row r="317" spans="1:52" x14ac:dyDescent="0.2">
      <c r="A317" s="76">
        <v>12</v>
      </c>
      <c r="B317" s="41" t="s">
        <v>1303</v>
      </c>
      <c r="C317" s="76" t="s">
        <v>154</v>
      </c>
      <c r="D317" s="76">
        <v>5</v>
      </c>
      <c r="E317" s="76">
        <v>2</v>
      </c>
      <c r="F317" s="76">
        <v>3.54</v>
      </c>
      <c r="G317" s="76">
        <v>11</v>
      </c>
      <c r="H317" s="76">
        <v>10</v>
      </c>
      <c r="I317" s="76">
        <v>0</v>
      </c>
      <c r="J317" s="76">
        <v>0</v>
      </c>
      <c r="K317" s="76">
        <v>0</v>
      </c>
      <c r="L317" s="76">
        <v>0</v>
      </c>
      <c r="M317" s="76">
        <v>56</v>
      </c>
      <c r="N317" s="76">
        <v>43</v>
      </c>
      <c r="O317" s="76">
        <v>25</v>
      </c>
      <c r="P317" s="76">
        <v>22</v>
      </c>
      <c r="Q317" s="76">
        <v>12</v>
      </c>
      <c r="R317" s="76">
        <v>18</v>
      </c>
      <c r="S317" s="76">
        <v>0</v>
      </c>
      <c r="T317" s="76">
        <v>40</v>
      </c>
      <c r="U317" s="76">
        <v>221</v>
      </c>
      <c r="V317" s="76">
        <v>56</v>
      </c>
      <c r="W317" s="76">
        <v>0.214</v>
      </c>
      <c r="X317" s="76">
        <v>1.0900000000000001</v>
      </c>
      <c r="Y317" s="76"/>
      <c r="Z317" s="76">
        <v>12</v>
      </c>
      <c r="AA317" t="s">
        <v>1303</v>
      </c>
      <c r="AB317" s="76" t="s">
        <v>154</v>
      </c>
      <c r="AC317" s="76">
        <v>0</v>
      </c>
      <c r="AD317" s="76">
        <v>0</v>
      </c>
      <c r="AE317" s="76">
        <v>1</v>
      </c>
      <c r="AF317" s="76">
        <v>0</v>
      </c>
      <c r="AG317" s="76">
        <v>5</v>
      </c>
      <c r="AH317" s="76">
        <v>39</v>
      </c>
      <c r="AI317" s="76">
        <v>81</v>
      </c>
      <c r="AJ317" s="76">
        <v>2</v>
      </c>
      <c r="AK317" s="76">
        <v>0</v>
      </c>
      <c r="AL317" s="76">
        <v>0</v>
      </c>
      <c r="AM317" s="76">
        <v>1</v>
      </c>
      <c r="AN317" s="76">
        <v>1</v>
      </c>
      <c r="AO317" s="76">
        <v>858</v>
      </c>
      <c r="AP317" s="202" t="s">
        <v>154</v>
      </c>
      <c r="AQ317" s="202">
        <v>1</v>
      </c>
      <c r="AR317" s="202">
        <v>1.1100000000000001</v>
      </c>
      <c r="AS317" s="202">
        <v>0.373</v>
      </c>
      <c r="AT317" s="202">
        <v>0.40400000000000003</v>
      </c>
      <c r="AU317" s="202">
        <v>0.77700000000000002</v>
      </c>
      <c r="AV317" s="202">
        <v>2.57</v>
      </c>
      <c r="AW317" s="202">
        <v>5.14</v>
      </c>
      <c r="AX317" s="202">
        <v>10.29</v>
      </c>
      <c r="AY317" s="202">
        <v>0.5</v>
      </c>
      <c r="AZ317" s="202">
        <v>17.07</v>
      </c>
    </row>
    <row r="318" spans="1:52" x14ac:dyDescent="0.2">
      <c r="A318" s="76">
        <v>6</v>
      </c>
      <c r="B318" t="s">
        <v>1206</v>
      </c>
      <c r="C318" s="76" t="s">
        <v>154</v>
      </c>
      <c r="D318" s="76">
        <v>3</v>
      </c>
      <c r="E318" s="76">
        <v>4</v>
      </c>
      <c r="F318" s="76">
        <v>2.34</v>
      </c>
      <c r="G318" s="76">
        <v>32</v>
      </c>
      <c r="H318" s="76">
        <v>2</v>
      </c>
      <c r="I318" s="76">
        <v>0</v>
      </c>
      <c r="J318" s="76">
        <v>0</v>
      </c>
      <c r="K318" s="76">
        <v>0</v>
      </c>
      <c r="L318" s="76">
        <v>0</v>
      </c>
      <c r="M318" s="76">
        <v>61.2</v>
      </c>
      <c r="N318" s="76">
        <v>49</v>
      </c>
      <c r="O318" s="76">
        <v>18</v>
      </c>
      <c r="P318" s="76">
        <v>16</v>
      </c>
      <c r="Q318" s="76">
        <v>3</v>
      </c>
      <c r="R318" s="76">
        <v>18</v>
      </c>
      <c r="S318" s="76">
        <v>2</v>
      </c>
      <c r="T318" s="76">
        <v>54</v>
      </c>
      <c r="U318" s="76">
        <v>250</v>
      </c>
      <c r="V318" s="76">
        <v>61.2</v>
      </c>
      <c r="W318" s="76">
        <v>0.22</v>
      </c>
      <c r="X318" s="76">
        <v>1.0900000000000001</v>
      </c>
      <c r="Y318" s="76"/>
      <c r="Z318" s="76">
        <v>6</v>
      </c>
      <c r="AA318" t="s">
        <v>1206</v>
      </c>
      <c r="AB318" s="76" t="s">
        <v>154</v>
      </c>
      <c r="AC318" s="76">
        <v>6</v>
      </c>
      <c r="AD318" s="76">
        <v>2</v>
      </c>
      <c r="AE318" s="76">
        <v>13</v>
      </c>
      <c r="AF318" s="76">
        <v>3</v>
      </c>
      <c r="AG318" s="76">
        <v>8</v>
      </c>
      <c r="AH318" s="76">
        <v>83</v>
      </c>
      <c r="AI318" s="76">
        <v>40</v>
      </c>
      <c r="AJ318" s="76">
        <v>5</v>
      </c>
      <c r="AK318" s="76">
        <v>0</v>
      </c>
      <c r="AL318" s="76">
        <v>1</v>
      </c>
      <c r="AM318" s="76">
        <v>2</v>
      </c>
      <c r="AN318" s="76">
        <v>0</v>
      </c>
      <c r="AO318" s="76">
        <v>888</v>
      </c>
      <c r="AP318" s="202" t="s">
        <v>154</v>
      </c>
      <c r="AQ318" s="202">
        <v>0</v>
      </c>
      <c r="AR318" s="202">
        <v>1.08</v>
      </c>
      <c r="AS318" s="202">
        <v>0.37</v>
      </c>
      <c r="AT318" s="202">
        <v>0.4</v>
      </c>
      <c r="AU318" s="202">
        <v>0.77</v>
      </c>
      <c r="AV318" s="202">
        <v>5.56</v>
      </c>
      <c r="AW318" s="202">
        <v>7.15</v>
      </c>
      <c r="AX318" s="202">
        <v>8.74</v>
      </c>
      <c r="AY318" s="202">
        <v>0.78</v>
      </c>
      <c r="AZ318" s="202">
        <v>18.97</v>
      </c>
    </row>
    <row r="319" spans="1:52" x14ac:dyDescent="0.2">
      <c r="A319" s="76">
        <v>11</v>
      </c>
      <c r="B319" s="41" t="s">
        <v>583</v>
      </c>
      <c r="C319" s="76" t="s">
        <v>154</v>
      </c>
      <c r="D319" s="76">
        <v>1</v>
      </c>
      <c r="E319" s="76">
        <v>1</v>
      </c>
      <c r="F319" s="76">
        <v>3.53</v>
      </c>
      <c r="G319" s="76">
        <v>55</v>
      </c>
      <c r="H319" s="76">
        <v>1</v>
      </c>
      <c r="I319" s="76">
        <v>0</v>
      </c>
      <c r="J319" s="76">
        <v>0</v>
      </c>
      <c r="K319" s="76">
        <v>0</v>
      </c>
      <c r="L319" s="76">
        <v>2</v>
      </c>
      <c r="M319" s="76">
        <v>58.2</v>
      </c>
      <c r="N319" s="76">
        <v>67</v>
      </c>
      <c r="O319" s="76">
        <v>23</v>
      </c>
      <c r="P319" s="76">
        <v>23</v>
      </c>
      <c r="Q319" s="76">
        <v>11</v>
      </c>
      <c r="R319" s="76">
        <v>11</v>
      </c>
      <c r="S319" s="76">
        <v>2</v>
      </c>
      <c r="T319" s="76">
        <v>51</v>
      </c>
      <c r="U319" s="76">
        <v>247</v>
      </c>
      <c r="V319" s="76">
        <v>58.2</v>
      </c>
      <c r="W319" s="76">
        <v>0.28899999999999998</v>
      </c>
      <c r="X319" s="76">
        <v>1.33</v>
      </c>
      <c r="Y319" s="76"/>
      <c r="Z319" s="76">
        <v>11</v>
      </c>
      <c r="AA319" t="s">
        <v>583</v>
      </c>
      <c r="AB319" s="76" t="s">
        <v>154</v>
      </c>
      <c r="AC319" s="76">
        <v>2</v>
      </c>
      <c r="AD319" s="76">
        <v>2</v>
      </c>
      <c r="AE319" s="76">
        <v>14</v>
      </c>
      <c r="AF319" s="76">
        <v>12</v>
      </c>
      <c r="AG319" s="76">
        <v>4</v>
      </c>
      <c r="AH319" s="76">
        <v>51</v>
      </c>
      <c r="AI319" s="76">
        <v>65</v>
      </c>
      <c r="AJ319" s="76">
        <v>0</v>
      </c>
      <c r="AK319" s="76">
        <v>2</v>
      </c>
      <c r="AL319" s="76">
        <v>2</v>
      </c>
      <c r="AM319" s="76">
        <v>2</v>
      </c>
      <c r="AN319" s="76">
        <v>1</v>
      </c>
      <c r="AO319" s="76">
        <v>938</v>
      </c>
      <c r="AP319" s="202" t="s">
        <v>154</v>
      </c>
      <c r="AQ319" s="202">
        <v>0.2</v>
      </c>
      <c r="AR319" s="202">
        <v>0.95</v>
      </c>
      <c r="AS319" s="202">
        <v>0.32200000000000001</v>
      </c>
      <c r="AT319" s="202">
        <v>0.49299999999999999</v>
      </c>
      <c r="AU319" s="202">
        <v>0.81499999999999995</v>
      </c>
      <c r="AV319" s="202">
        <v>7.47</v>
      </c>
      <c r="AW319" s="202">
        <v>2.0499999999999998</v>
      </c>
      <c r="AX319" s="202">
        <v>9.64</v>
      </c>
      <c r="AY319" s="202">
        <v>3.65</v>
      </c>
      <c r="AZ319" s="202">
        <v>16.34</v>
      </c>
    </row>
    <row r="320" spans="1:52" x14ac:dyDescent="0.2">
      <c r="A320" s="76">
        <v>1</v>
      </c>
      <c r="B320" t="s">
        <v>1359</v>
      </c>
      <c r="C320" s="76" t="s">
        <v>154</v>
      </c>
      <c r="D320" s="76">
        <v>0</v>
      </c>
      <c r="E320" s="76">
        <v>0</v>
      </c>
      <c r="F320" s="76">
        <v>0</v>
      </c>
      <c r="G320" s="76">
        <v>1</v>
      </c>
      <c r="H320" s="76">
        <v>0</v>
      </c>
      <c r="I320" s="76">
        <v>0</v>
      </c>
      <c r="J320" s="76">
        <v>0</v>
      </c>
      <c r="K320" s="76">
        <v>0</v>
      </c>
      <c r="L320" s="76">
        <v>0</v>
      </c>
      <c r="M320" s="76">
        <v>1</v>
      </c>
      <c r="N320" s="76">
        <v>1</v>
      </c>
      <c r="O320" s="76">
        <v>0</v>
      </c>
      <c r="P320" s="76">
        <v>0</v>
      </c>
      <c r="Q320" s="76">
        <v>0</v>
      </c>
      <c r="R320" s="76">
        <v>1</v>
      </c>
      <c r="S320" s="76">
        <v>0</v>
      </c>
      <c r="T320" s="76">
        <v>0</v>
      </c>
      <c r="U320" s="76">
        <v>5</v>
      </c>
      <c r="V320" s="76">
        <v>1</v>
      </c>
      <c r="W320" s="76">
        <v>0.25</v>
      </c>
      <c r="X320" s="76">
        <v>2</v>
      </c>
      <c r="Y320" s="76"/>
      <c r="Z320" s="76">
        <v>1</v>
      </c>
      <c r="AA320" t="s">
        <v>1359</v>
      </c>
      <c r="AB320" s="76" t="s">
        <v>154</v>
      </c>
      <c r="AC320" s="76">
        <v>0</v>
      </c>
      <c r="AD320" s="76">
        <v>0</v>
      </c>
      <c r="AE320" s="76">
        <v>0</v>
      </c>
      <c r="AF320" s="76">
        <v>0</v>
      </c>
      <c r="AG320" s="76">
        <v>0</v>
      </c>
      <c r="AH320" s="76">
        <v>2</v>
      </c>
      <c r="AI320" s="76">
        <v>1</v>
      </c>
      <c r="AJ320" s="76">
        <v>0</v>
      </c>
      <c r="AK320" s="76">
        <v>0</v>
      </c>
      <c r="AL320" s="76">
        <v>0</v>
      </c>
      <c r="AM320" s="76">
        <v>0</v>
      </c>
      <c r="AN320" s="76">
        <v>0</v>
      </c>
      <c r="AO320" s="76">
        <v>26</v>
      </c>
      <c r="AP320" s="202" t="s">
        <v>154</v>
      </c>
      <c r="AQ320" s="202">
        <v>0.4</v>
      </c>
      <c r="AR320" s="202">
        <v>0.91</v>
      </c>
      <c r="AS320" s="202">
        <v>0.33200000000000002</v>
      </c>
      <c r="AT320" s="202">
        <v>0.432</v>
      </c>
      <c r="AU320" s="202">
        <v>0.76400000000000001</v>
      </c>
      <c r="AV320" s="202">
        <v>6.79</v>
      </c>
      <c r="AW320" s="202">
        <v>2.65</v>
      </c>
      <c r="AX320" s="202">
        <v>10.02</v>
      </c>
      <c r="AY320" s="202">
        <v>2.56</v>
      </c>
      <c r="AZ320" s="202">
        <v>17.03</v>
      </c>
    </row>
    <row r="321" spans="1:52" x14ac:dyDescent="0.2">
      <c r="A321" s="76">
        <v>16</v>
      </c>
      <c r="B321" s="41" t="s">
        <v>605</v>
      </c>
      <c r="C321" s="76" t="s">
        <v>154</v>
      </c>
      <c r="D321" s="76">
        <v>6</v>
      </c>
      <c r="E321" s="76">
        <v>7</v>
      </c>
      <c r="F321" s="76">
        <v>3.79</v>
      </c>
      <c r="G321" s="76">
        <v>20</v>
      </c>
      <c r="H321" s="76">
        <v>20</v>
      </c>
      <c r="I321" s="76">
        <v>0</v>
      </c>
      <c r="J321" s="76">
        <v>0</v>
      </c>
      <c r="K321" s="76">
        <v>0</v>
      </c>
      <c r="L321" s="76">
        <v>0</v>
      </c>
      <c r="M321" s="76">
        <v>121</v>
      </c>
      <c r="N321" s="76">
        <v>134</v>
      </c>
      <c r="O321" s="76">
        <v>62</v>
      </c>
      <c r="P321" s="76">
        <v>51</v>
      </c>
      <c r="Q321" s="76">
        <v>9</v>
      </c>
      <c r="R321" s="76">
        <v>24</v>
      </c>
      <c r="S321" s="76">
        <v>3</v>
      </c>
      <c r="T321" s="76">
        <v>117</v>
      </c>
      <c r="U321" s="76">
        <v>511</v>
      </c>
      <c r="V321" s="76">
        <v>121</v>
      </c>
      <c r="W321" s="76">
        <v>0.27900000000000003</v>
      </c>
      <c r="X321" s="76">
        <v>1.31</v>
      </c>
      <c r="Y321" s="76"/>
      <c r="Z321" s="76">
        <v>16</v>
      </c>
      <c r="AA321" t="s">
        <v>605</v>
      </c>
      <c r="AB321" s="76" t="s">
        <v>154</v>
      </c>
      <c r="AC321" s="76">
        <v>1</v>
      </c>
      <c r="AD321" s="76">
        <v>3</v>
      </c>
      <c r="AE321" s="76">
        <v>0</v>
      </c>
      <c r="AF321" s="76">
        <v>0</v>
      </c>
      <c r="AG321" s="76">
        <v>17</v>
      </c>
      <c r="AH321" s="76">
        <v>126</v>
      </c>
      <c r="AI321" s="76">
        <v>109</v>
      </c>
      <c r="AJ321" s="76">
        <v>5</v>
      </c>
      <c r="AK321" s="76">
        <v>0</v>
      </c>
      <c r="AL321" s="76">
        <v>3</v>
      </c>
      <c r="AM321" s="76">
        <v>1</v>
      </c>
      <c r="AN321" s="76">
        <v>0</v>
      </c>
      <c r="AO321" s="76">
        <v>1950</v>
      </c>
      <c r="AP321" s="202" t="s">
        <v>154</v>
      </c>
      <c r="AQ321" s="202">
        <v>1</v>
      </c>
      <c r="AR321" s="202">
        <v>1</v>
      </c>
      <c r="AS321" s="202">
        <v>0.53100000000000003</v>
      </c>
      <c r="AT321" s="202">
        <v>0.66700000000000004</v>
      </c>
      <c r="AU321" s="202">
        <v>1.198</v>
      </c>
      <c r="AV321" s="202">
        <v>5.79</v>
      </c>
      <c r="AW321" s="202">
        <v>11.57</v>
      </c>
      <c r="AX321" s="202">
        <v>17.36</v>
      </c>
      <c r="AY321" s="202">
        <v>0.5</v>
      </c>
      <c r="AZ321" s="202">
        <v>28.07</v>
      </c>
    </row>
    <row r="322" spans="1:52" x14ac:dyDescent="0.2">
      <c r="A322" s="76">
        <v>27</v>
      </c>
      <c r="B322" t="s">
        <v>630</v>
      </c>
      <c r="C322" s="76" t="s">
        <v>154</v>
      </c>
      <c r="D322" s="76">
        <v>1</v>
      </c>
      <c r="E322" s="76">
        <v>0</v>
      </c>
      <c r="F322" s="76">
        <v>5.4</v>
      </c>
      <c r="G322" s="76">
        <v>26</v>
      </c>
      <c r="H322" s="76">
        <v>0</v>
      </c>
      <c r="I322" s="76">
        <v>0</v>
      </c>
      <c r="J322" s="76">
        <v>0</v>
      </c>
      <c r="K322" s="76">
        <v>0</v>
      </c>
      <c r="L322" s="76">
        <v>2</v>
      </c>
      <c r="M322" s="76">
        <v>23.1</v>
      </c>
      <c r="N322" s="76">
        <v>24</v>
      </c>
      <c r="O322" s="76">
        <v>14</v>
      </c>
      <c r="P322" s="76">
        <v>14</v>
      </c>
      <c r="Q322" s="76">
        <v>7</v>
      </c>
      <c r="R322" s="76">
        <v>7</v>
      </c>
      <c r="S322" s="76">
        <v>0</v>
      </c>
      <c r="T322" s="76">
        <v>28</v>
      </c>
      <c r="U322" s="76">
        <v>100</v>
      </c>
      <c r="V322" s="76">
        <v>23.1</v>
      </c>
      <c r="W322" s="76">
        <v>0.26100000000000001</v>
      </c>
      <c r="X322" s="76">
        <v>1.33</v>
      </c>
      <c r="Y322" s="76"/>
      <c r="Z322" s="76">
        <v>27</v>
      </c>
      <c r="AA322" t="s">
        <v>630</v>
      </c>
      <c r="AB322" s="76" t="s">
        <v>154</v>
      </c>
      <c r="AC322" s="76">
        <v>0</v>
      </c>
      <c r="AD322" s="76">
        <v>0</v>
      </c>
      <c r="AE322" s="76">
        <v>5</v>
      </c>
      <c r="AF322" s="76">
        <v>11</v>
      </c>
      <c r="AG322" s="76">
        <v>0</v>
      </c>
      <c r="AH322" s="76">
        <v>10</v>
      </c>
      <c r="AI322" s="76">
        <v>31</v>
      </c>
      <c r="AJ322" s="76">
        <v>0</v>
      </c>
      <c r="AK322" s="76">
        <v>0</v>
      </c>
      <c r="AL322" s="76">
        <v>2</v>
      </c>
      <c r="AM322" s="76">
        <v>1</v>
      </c>
      <c r="AN322" s="76">
        <v>1</v>
      </c>
      <c r="AO322" s="76">
        <v>412</v>
      </c>
      <c r="AP322" s="202" t="s">
        <v>144</v>
      </c>
      <c r="AQ322" s="202">
        <v>0.48</v>
      </c>
      <c r="AR322" s="202">
        <v>0.99</v>
      </c>
      <c r="AS322" s="202">
        <v>0.28199999999999997</v>
      </c>
      <c r="AT322" s="202">
        <v>0.33100000000000002</v>
      </c>
      <c r="AU322" s="202">
        <v>0.61299999999999999</v>
      </c>
      <c r="AV322" s="202">
        <v>10.7</v>
      </c>
      <c r="AW322" s="202">
        <v>2.8</v>
      </c>
      <c r="AX322" s="202">
        <v>7.43</v>
      </c>
      <c r="AY322" s="202">
        <v>3.82</v>
      </c>
      <c r="AZ322" s="202">
        <v>16.27</v>
      </c>
    </row>
    <row r="323" spans="1:52" x14ac:dyDescent="0.2">
      <c r="A323" s="76">
        <v>31</v>
      </c>
      <c r="B323" t="s">
        <v>779</v>
      </c>
      <c r="C323" s="76" t="s">
        <v>154</v>
      </c>
      <c r="D323" s="76">
        <v>2</v>
      </c>
      <c r="E323" s="76">
        <v>0</v>
      </c>
      <c r="F323" s="76">
        <v>8.44</v>
      </c>
      <c r="G323" s="76">
        <v>4</v>
      </c>
      <c r="H323" s="76">
        <v>0</v>
      </c>
      <c r="I323" s="76">
        <v>0</v>
      </c>
      <c r="J323" s="76">
        <v>0</v>
      </c>
      <c r="K323" s="76">
        <v>0</v>
      </c>
      <c r="L323" s="76">
        <v>0</v>
      </c>
      <c r="M323" s="76">
        <v>5.0999999999999996</v>
      </c>
      <c r="N323" s="76">
        <v>7</v>
      </c>
      <c r="O323" s="76">
        <v>5</v>
      </c>
      <c r="P323" s="76">
        <v>5</v>
      </c>
      <c r="Q323" s="76">
        <v>1</v>
      </c>
      <c r="R323" s="76">
        <v>2</v>
      </c>
      <c r="S323" s="76">
        <v>0</v>
      </c>
      <c r="T323" s="76">
        <v>2</v>
      </c>
      <c r="U323" s="76">
        <v>28</v>
      </c>
      <c r="V323" s="76">
        <v>5.0999999999999996</v>
      </c>
      <c r="W323" s="76">
        <v>0.29199999999999998</v>
      </c>
      <c r="X323" s="76">
        <v>1.69</v>
      </c>
      <c r="Y323" s="76"/>
      <c r="Z323" s="76">
        <v>31</v>
      </c>
      <c r="AA323" t="s">
        <v>779</v>
      </c>
      <c r="AB323" s="76" t="s">
        <v>154</v>
      </c>
      <c r="AC323" s="76">
        <v>1</v>
      </c>
      <c r="AD323" s="76">
        <v>0</v>
      </c>
      <c r="AE323" s="76">
        <v>1</v>
      </c>
      <c r="AF323" s="76">
        <v>0</v>
      </c>
      <c r="AG323" s="76">
        <v>0</v>
      </c>
      <c r="AH323" s="76">
        <v>14</v>
      </c>
      <c r="AI323" s="76">
        <v>2</v>
      </c>
      <c r="AJ323" s="76">
        <v>1</v>
      </c>
      <c r="AK323" s="76">
        <v>0</v>
      </c>
      <c r="AL323" s="76">
        <v>0</v>
      </c>
      <c r="AM323" s="76">
        <v>0</v>
      </c>
      <c r="AN323" s="76">
        <v>0</v>
      </c>
      <c r="AO323" s="76">
        <v>89</v>
      </c>
      <c r="AP323" s="202" t="s">
        <v>144</v>
      </c>
      <c r="AQ323" s="202">
        <v>0.75</v>
      </c>
      <c r="AR323" s="202">
        <v>0.72</v>
      </c>
      <c r="AS323" s="202">
        <v>0.28999999999999998</v>
      </c>
      <c r="AT323" s="202">
        <v>0.39500000000000002</v>
      </c>
      <c r="AU323" s="202">
        <v>0.68500000000000005</v>
      </c>
      <c r="AV323" s="202">
        <v>6.94</v>
      </c>
      <c r="AW323" s="202">
        <v>3.86</v>
      </c>
      <c r="AX323" s="202">
        <v>6.17</v>
      </c>
      <c r="AY323" s="202">
        <v>1.8</v>
      </c>
      <c r="AZ323" s="202">
        <v>14.83</v>
      </c>
    </row>
    <row r="324" spans="1:52" x14ac:dyDescent="0.2">
      <c r="A324" s="76">
        <v>29</v>
      </c>
      <c r="B324" t="s">
        <v>1210</v>
      </c>
      <c r="C324" s="76" t="s">
        <v>154</v>
      </c>
      <c r="D324" s="76">
        <v>1</v>
      </c>
      <c r="E324" s="76">
        <v>0</v>
      </c>
      <c r="F324" s="76">
        <v>7.71</v>
      </c>
      <c r="G324" s="76">
        <v>11</v>
      </c>
      <c r="H324" s="76">
        <v>0</v>
      </c>
      <c r="I324" s="76">
        <v>0</v>
      </c>
      <c r="J324" s="76">
        <v>0</v>
      </c>
      <c r="K324" s="76">
        <v>0</v>
      </c>
      <c r="L324" s="76">
        <v>0</v>
      </c>
      <c r="M324" s="76">
        <v>9.1</v>
      </c>
      <c r="N324" s="76">
        <v>12</v>
      </c>
      <c r="O324" s="76">
        <v>8</v>
      </c>
      <c r="P324" s="76">
        <v>8</v>
      </c>
      <c r="Q324" s="76">
        <v>2</v>
      </c>
      <c r="R324" s="76">
        <v>7</v>
      </c>
      <c r="S324" s="76">
        <v>1</v>
      </c>
      <c r="T324" s="76">
        <v>6</v>
      </c>
      <c r="U324" s="76">
        <v>47</v>
      </c>
      <c r="V324" s="76">
        <v>9.1</v>
      </c>
      <c r="W324" s="76">
        <v>0.3</v>
      </c>
      <c r="X324" s="76">
        <v>2.04</v>
      </c>
      <c r="Y324" s="76"/>
      <c r="Z324" s="76">
        <v>29</v>
      </c>
      <c r="AA324" t="s">
        <v>1210</v>
      </c>
      <c r="AB324" s="76" t="s">
        <v>154</v>
      </c>
      <c r="AC324" s="76">
        <v>0</v>
      </c>
      <c r="AD324" s="76">
        <v>1</v>
      </c>
      <c r="AE324" s="76">
        <v>6</v>
      </c>
      <c r="AF324" s="76">
        <v>0</v>
      </c>
      <c r="AG324" s="76">
        <v>0</v>
      </c>
      <c r="AH324" s="76">
        <v>12</v>
      </c>
      <c r="AI324" s="76">
        <v>10</v>
      </c>
      <c r="AJ324" s="76">
        <v>1</v>
      </c>
      <c r="AK324" s="76">
        <v>0</v>
      </c>
      <c r="AL324" s="76">
        <v>0</v>
      </c>
      <c r="AM324" s="76">
        <v>1</v>
      </c>
      <c r="AN324" s="76">
        <v>0</v>
      </c>
      <c r="AO324" s="76">
        <v>191</v>
      </c>
      <c r="AP324" s="202" t="s">
        <v>144</v>
      </c>
      <c r="AQ324" s="202" t="s">
        <v>243</v>
      </c>
      <c r="AR324" s="202">
        <v>8</v>
      </c>
      <c r="AS324" s="202">
        <v>0.33300000000000002</v>
      </c>
      <c r="AT324" s="202">
        <v>0.34399999999999997</v>
      </c>
      <c r="AU324" s="202">
        <v>0.67700000000000005</v>
      </c>
      <c r="AV324" s="202">
        <v>6.75</v>
      </c>
      <c r="AW324" s="202">
        <v>4.5</v>
      </c>
      <c r="AX324" s="202">
        <v>9</v>
      </c>
      <c r="AY324" s="202">
        <v>1.5</v>
      </c>
      <c r="AZ324" s="202">
        <v>19.13</v>
      </c>
    </row>
    <row r="325" spans="1:52" x14ac:dyDescent="0.2">
      <c r="A325" s="76">
        <v>29</v>
      </c>
      <c r="B325" t="s">
        <v>1378</v>
      </c>
      <c r="C325" s="76" t="s">
        <v>154</v>
      </c>
      <c r="D325" s="76">
        <v>0</v>
      </c>
      <c r="E325" s="76">
        <v>1</v>
      </c>
      <c r="F325" s="76">
        <v>7.71</v>
      </c>
      <c r="G325" s="76">
        <v>1</v>
      </c>
      <c r="H325" s="76">
        <v>1</v>
      </c>
      <c r="I325" s="76">
        <v>0</v>
      </c>
      <c r="J325" s="76">
        <v>0</v>
      </c>
      <c r="K325" s="76">
        <v>0</v>
      </c>
      <c r="L325" s="76">
        <v>0</v>
      </c>
      <c r="M325" s="76">
        <v>4.2</v>
      </c>
      <c r="N325" s="76">
        <v>8</v>
      </c>
      <c r="O325" s="76">
        <v>4</v>
      </c>
      <c r="P325" s="76">
        <v>4</v>
      </c>
      <c r="Q325" s="76">
        <v>2</v>
      </c>
      <c r="R325" s="76">
        <v>1</v>
      </c>
      <c r="S325" s="76">
        <v>0</v>
      </c>
      <c r="T325" s="76">
        <v>2</v>
      </c>
      <c r="U325" s="76">
        <v>21</v>
      </c>
      <c r="V325" s="76">
        <v>4.2</v>
      </c>
      <c r="W325" s="76">
        <v>0.4</v>
      </c>
      <c r="X325" s="76">
        <v>1.93</v>
      </c>
      <c r="Y325" s="76"/>
      <c r="Z325" s="76">
        <v>29</v>
      </c>
      <c r="AA325" t="s">
        <v>1378</v>
      </c>
      <c r="AB325" s="76" t="s">
        <v>154</v>
      </c>
      <c r="AC325" s="76">
        <v>0</v>
      </c>
      <c r="AD325" s="76">
        <v>0</v>
      </c>
      <c r="AE325" s="76">
        <v>0</v>
      </c>
      <c r="AF325" s="76">
        <v>0</v>
      </c>
      <c r="AG325" s="76">
        <v>2</v>
      </c>
      <c r="AH325" s="76">
        <v>4</v>
      </c>
      <c r="AI325" s="76">
        <v>6</v>
      </c>
      <c r="AJ325" s="76">
        <v>0</v>
      </c>
      <c r="AK325" s="76">
        <v>0</v>
      </c>
      <c r="AL325" s="76">
        <v>0</v>
      </c>
      <c r="AM325" s="76">
        <v>0</v>
      </c>
      <c r="AN325" s="76">
        <v>0</v>
      </c>
      <c r="AO325" s="76">
        <v>85</v>
      </c>
      <c r="AP325" s="202" t="s">
        <v>144</v>
      </c>
      <c r="AQ325" s="202" t="s">
        <v>243</v>
      </c>
      <c r="AR325" s="202">
        <v>0.5</v>
      </c>
      <c r="AS325" s="202">
        <v>0.46700000000000003</v>
      </c>
      <c r="AT325" s="202">
        <v>0.78600000000000003</v>
      </c>
      <c r="AU325" s="202">
        <v>1.252</v>
      </c>
      <c r="AV325" s="202">
        <v>6.75</v>
      </c>
      <c r="AW325" s="202">
        <v>3.38</v>
      </c>
      <c r="AX325" s="202">
        <v>20.25</v>
      </c>
      <c r="AY325" s="202">
        <v>2</v>
      </c>
      <c r="AZ325" s="202">
        <v>24</v>
      </c>
    </row>
    <row r="326" spans="1:52" x14ac:dyDescent="0.2">
      <c r="A326" s="76">
        <v>1</v>
      </c>
      <c r="B326" t="s">
        <v>1374</v>
      </c>
      <c r="C326" s="76" t="s">
        <v>154</v>
      </c>
      <c r="D326" s="76">
        <v>0</v>
      </c>
      <c r="E326" s="76">
        <v>0</v>
      </c>
      <c r="F326" s="76">
        <v>0</v>
      </c>
      <c r="G326" s="76">
        <v>1</v>
      </c>
      <c r="H326" s="76">
        <v>0</v>
      </c>
      <c r="I326" s="76">
        <v>0</v>
      </c>
      <c r="J326" s="76">
        <v>0</v>
      </c>
      <c r="K326" s="76">
        <v>0</v>
      </c>
      <c r="L326" s="76">
        <v>0</v>
      </c>
      <c r="M326" s="76">
        <v>1</v>
      </c>
      <c r="N326" s="76">
        <v>0</v>
      </c>
      <c r="O326" s="76">
        <v>0</v>
      </c>
      <c r="P326" s="76">
        <v>0</v>
      </c>
      <c r="Q326" s="76">
        <v>0</v>
      </c>
      <c r="R326" s="76">
        <v>0</v>
      </c>
      <c r="S326" s="76">
        <v>0</v>
      </c>
      <c r="T326" s="76">
        <v>0</v>
      </c>
      <c r="U326" s="76">
        <v>3</v>
      </c>
      <c r="V326" s="76">
        <v>1</v>
      </c>
      <c r="W326" s="76">
        <v>0</v>
      </c>
      <c r="X326" s="76">
        <v>0</v>
      </c>
      <c r="Y326" s="76"/>
      <c r="Z326" s="76">
        <v>1</v>
      </c>
      <c r="AA326" t="s">
        <v>1374</v>
      </c>
      <c r="AB326" s="76" t="s">
        <v>154</v>
      </c>
      <c r="AC326" s="76">
        <v>0</v>
      </c>
      <c r="AD326" s="76">
        <v>0</v>
      </c>
      <c r="AE326" s="76">
        <v>1</v>
      </c>
      <c r="AF326" s="76">
        <v>0</v>
      </c>
      <c r="AG326" s="76">
        <v>0</v>
      </c>
      <c r="AH326" s="76">
        <v>2</v>
      </c>
      <c r="AI326" s="76">
        <v>1</v>
      </c>
      <c r="AJ326" s="76">
        <v>0</v>
      </c>
      <c r="AK326" s="76">
        <v>0</v>
      </c>
      <c r="AL326" s="76">
        <v>0</v>
      </c>
      <c r="AM326" s="76">
        <v>0</v>
      </c>
      <c r="AN326" s="76">
        <v>0</v>
      </c>
      <c r="AO326" s="76">
        <v>8</v>
      </c>
      <c r="AP326" s="202" t="s">
        <v>154</v>
      </c>
      <c r="AQ326" s="202">
        <v>0.66700000000000004</v>
      </c>
      <c r="AR326" s="202">
        <v>1.74</v>
      </c>
      <c r="AS326" s="202">
        <v>0.30099999999999999</v>
      </c>
      <c r="AT326" s="202">
        <v>0.38100000000000001</v>
      </c>
      <c r="AU326" s="202">
        <v>0.68200000000000005</v>
      </c>
      <c r="AV326" s="202">
        <v>8.52</v>
      </c>
      <c r="AW326" s="202">
        <v>2.59</v>
      </c>
      <c r="AX326" s="202">
        <v>8.0299999999999994</v>
      </c>
      <c r="AY326" s="202">
        <v>3.29</v>
      </c>
      <c r="AZ326" s="202">
        <v>15.07</v>
      </c>
    </row>
    <row r="327" spans="1:52" x14ac:dyDescent="0.2">
      <c r="A327" s="76">
        <v>1</v>
      </c>
      <c r="B327" t="s">
        <v>603</v>
      </c>
      <c r="C327" s="76" t="s">
        <v>154</v>
      </c>
      <c r="D327" s="76">
        <v>0</v>
      </c>
      <c r="E327" s="76">
        <v>0</v>
      </c>
      <c r="F327" s="76">
        <v>0</v>
      </c>
      <c r="G327" s="76">
        <v>12</v>
      </c>
      <c r="H327" s="76">
        <v>0</v>
      </c>
      <c r="I327" s="76">
        <v>0</v>
      </c>
      <c r="J327" s="76">
        <v>0</v>
      </c>
      <c r="K327" s="76">
        <v>0</v>
      </c>
      <c r="L327" s="76">
        <v>0</v>
      </c>
      <c r="M327" s="76">
        <v>14</v>
      </c>
      <c r="N327" s="76">
        <v>5</v>
      </c>
      <c r="O327" s="76">
        <v>0</v>
      </c>
      <c r="P327" s="76">
        <v>0</v>
      </c>
      <c r="Q327" s="76">
        <v>0</v>
      </c>
      <c r="R327" s="76">
        <v>2</v>
      </c>
      <c r="S327" s="76">
        <v>1</v>
      </c>
      <c r="T327" s="76">
        <v>15</v>
      </c>
      <c r="U327" s="76">
        <v>49</v>
      </c>
      <c r="V327" s="76">
        <v>14</v>
      </c>
      <c r="W327" s="76">
        <v>0.111</v>
      </c>
      <c r="X327" s="76">
        <v>0.5</v>
      </c>
      <c r="Y327" s="76"/>
      <c r="Z327" s="76">
        <v>1</v>
      </c>
      <c r="AA327" t="s">
        <v>603</v>
      </c>
      <c r="AB327" s="76" t="s">
        <v>154</v>
      </c>
      <c r="AC327" s="76">
        <v>1</v>
      </c>
      <c r="AD327" s="76">
        <v>1</v>
      </c>
      <c r="AE327" s="76">
        <v>0</v>
      </c>
      <c r="AF327" s="76">
        <v>3</v>
      </c>
      <c r="AG327" s="76">
        <v>1</v>
      </c>
      <c r="AH327" s="76">
        <v>8</v>
      </c>
      <c r="AI327" s="76">
        <v>18</v>
      </c>
      <c r="AJ327" s="76">
        <v>0</v>
      </c>
      <c r="AK327" s="76">
        <v>0</v>
      </c>
      <c r="AL327" s="76">
        <v>1</v>
      </c>
      <c r="AM327" s="76">
        <v>0</v>
      </c>
      <c r="AN327" s="76">
        <v>0</v>
      </c>
      <c r="AO327" s="76">
        <v>190</v>
      </c>
      <c r="AP327" s="202" t="s">
        <v>154</v>
      </c>
      <c r="AQ327" s="202">
        <v>0.64300000000000002</v>
      </c>
      <c r="AR327" s="202">
        <v>1.46</v>
      </c>
      <c r="AS327" s="202">
        <v>0.27100000000000002</v>
      </c>
      <c r="AT327" s="202">
        <v>0.40200000000000002</v>
      </c>
      <c r="AU327" s="202">
        <v>0.67400000000000004</v>
      </c>
      <c r="AV327" s="202">
        <v>7.7</v>
      </c>
      <c r="AW327" s="202">
        <v>1.46</v>
      </c>
      <c r="AX327" s="202">
        <v>8.1199999999999992</v>
      </c>
      <c r="AY327" s="202">
        <v>5.29</v>
      </c>
      <c r="AZ327" s="202">
        <v>14.41</v>
      </c>
    </row>
    <row r="328" spans="1:52" x14ac:dyDescent="0.2">
      <c r="A328" s="76">
        <v>10</v>
      </c>
      <c r="B328" s="41" t="s">
        <v>481</v>
      </c>
      <c r="C328" s="76" t="s">
        <v>154</v>
      </c>
      <c r="D328" s="76">
        <v>3</v>
      </c>
      <c r="E328" s="76">
        <v>0</v>
      </c>
      <c r="F328" s="76">
        <v>3.44</v>
      </c>
      <c r="G328" s="76">
        <v>19</v>
      </c>
      <c r="H328" s="76">
        <v>0</v>
      </c>
      <c r="I328" s="76">
        <v>0</v>
      </c>
      <c r="J328" s="76">
        <v>0</v>
      </c>
      <c r="K328" s="76">
        <v>0</v>
      </c>
      <c r="L328" s="76">
        <v>0</v>
      </c>
      <c r="M328" s="76">
        <v>18.100000000000001</v>
      </c>
      <c r="N328" s="76">
        <v>13</v>
      </c>
      <c r="O328" s="76">
        <v>7</v>
      </c>
      <c r="P328" s="76">
        <v>7</v>
      </c>
      <c r="Q328" s="76">
        <v>1</v>
      </c>
      <c r="R328" s="76">
        <v>3</v>
      </c>
      <c r="S328" s="76">
        <v>0</v>
      </c>
      <c r="T328" s="76">
        <v>16</v>
      </c>
      <c r="U328" s="76">
        <v>72</v>
      </c>
      <c r="V328" s="76">
        <v>18.100000000000001</v>
      </c>
      <c r="W328" s="76">
        <v>0.191</v>
      </c>
      <c r="X328" s="76">
        <v>0.87</v>
      </c>
      <c r="Y328" s="76"/>
      <c r="Z328" s="76">
        <v>10</v>
      </c>
      <c r="AA328" t="s">
        <v>481</v>
      </c>
      <c r="AB328" s="76" t="s">
        <v>154</v>
      </c>
      <c r="AC328" s="76">
        <v>1</v>
      </c>
      <c r="AD328" s="76">
        <v>0</v>
      </c>
      <c r="AE328" s="76">
        <v>1</v>
      </c>
      <c r="AF328" s="76">
        <v>2</v>
      </c>
      <c r="AG328" s="76">
        <v>1</v>
      </c>
      <c r="AH328" s="76">
        <v>21</v>
      </c>
      <c r="AI328" s="76">
        <v>18</v>
      </c>
      <c r="AJ328" s="76">
        <v>0</v>
      </c>
      <c r="AK328" s="76">
        <v>0</v>
      </c>
      <c r="AL328" s="76">
        <v>1</v>
      </c>
      <c r="AM328" s="76">
        <v>0</v>
      </c>
      <c r="AN328" s="76">
        <v>0</v>
      </c>
      <c r="AO328" s="76">
        <v>282</v>
      </c>
      <c r="AP328" s="202" t="s">
        <v>154</v>
      </c>
      <c r="AQ328" s="202">
        <v>0.4</v>
      </c>
      <c r="AR328" s="202">
        <v>1.53</v>
      </c>
      <c r="AS328" s="202">
        <v>0.33800000000000002</v>
      </c>
      <c r="AT328" s="202">
        <v>0.41599999999999998</v>
      </c>
      <c r="AU328" s="202">
        <v>0.754</v>
      </c>
      <c r="AV328" s="202">
        <v>6.4</v>
      </c>
      <c r="AW328" s="202">
        <v>3.7</v>
      </c>
      <c r="AX328" s="202">
        <v>9.1999999999999993</v>
      </c>
      <c r="AY328" s="202">
        <v>1.73</v>
      </c>
      <c r="AZ328" s="202">
        <v>16.14</v>
      </c>
    </row>
    <row r="329" spans="1:52" x14ac:dyDescent="0.2">
      <c r="A329" s="76">
        <v>28</v>
      </c>
      <c r="B329" t="s">
        <v>1204</v>
      </c>
      <c r="C329" s="76" t="s">
        <v>154</v>
      </c>
      <c r="D329" s="76">
        <v>0</v>
      </c>
      <c r="E329" s="76">
        <v>0</v>
      </c>
      <c r="F329" s="76">
        <v>6.08</v>
      </c>
      <c r="G329" s="76">
        <v>7</v>
      </c>
      <c r="H329" s="76">
        <v>0</v>
      </c>
      <c r="I329" s="76">
        <v>0</v>
      </c>
      <c r="J329" s="76">
        <v>0</v>
      </c>
      <c r="K329" s="76">
        <v>0</v>
      </c>
      <c r="L329" s="76">
        <v>0</v>
      </c>
      <c r="M329" s="76">
        <v>13.1</v>
      </c>
      <c r="N329" s="76">
        <v>13</v>
      </c>
      <c r="O329" s="76">
        <v>10</v>
      </c>
      <c r="P329" s="76">
        <v>9</v>
      </c>
      <c r="Q329" s="76">
        <v>4</v>
      </c>
      <c r="R329" s="76">
        <v>7</v>
      </c>
      <c r="S329" s="76">
        <v>1</v>
      </c>
      <c r="T329" s="76">
        <v>12</v>
      </c>
      <c r="U329" s="76">
        <v>58</v>
      </c>
      <c r="V329" s="76">
        <v>13.1</v>
      </c>
      <c r="W329" s="76">
        <v>0.26500000000000001</v>
      </c>
      <c r="X329" s="76">
        <v>1.5</v>
      </c>
      <c r="Y329" s="76"/>
      <c r="Z329" s="76">
        <v>28</v>
      </c>
      <c r="AA329" t="s">
        <v>1204</v>
      </c>
      <c r="AB329" s="76" t="s">
        <v>154</v>
      </c>
      <c r="AC329" s="76">
        <v>1</v>
      </c>
      <c r="AD329" s="76">
        <v>1</v>
      </c>
      <c r="AE329" s="76">
        <v>4</v>
      </c>
      <c r="AF329" s="76">
        <v>0</v>
      </c>
      <c r="AG329" s="76">
        <v>3</v>
      </c>
      <c r="AH329" s="76">
        <v>12</v>
      </c>
      <c r="AI329" s="76">
        <v>13</v>
      </c>
      <c r="AJ329" s="76">
        <v>0</v>
      </c>
      <c r="AK329" s="76">
        <v>0</v>
      </c>
      <c r="AL329" s="76">
        <v>0</v>
      </c>
      <c r="AM329" s="76">
        <v>0</v>
      </c>
      <c r="AN329" s="76">
        <v>0</v>
      </c>
      <c r="AO329" s="76">
        <v>236</v>
      </c>
      <c r="AP329" s="202" t="s">
        <v>144</v>
      </c>
      <c r="AQ329" s="202" t="s">
        <v>243</v>
      </c>
      <c r="AR329" s="202">
        <v>0.44</v>
      </c>
      <c r="AS329" s="202">
        <v>0.38100000000000001</v>
      </c>
      <c r="AT329" s="202">
        <v>0.46700000000000003</v>
      </c>
      <c r="AU329" s="202">
        <v>0.84799999999999998</v>
      </c>
      <c r="AV329" s="202">
        <v>0</v>
      </c>
      <c r="AW329" s="202">
        <v>8.31</v>
      </c>
      <c r="AX329" s="202">
        <v>6.23</v>
      </c>
      <c r="AY329" s="202">
        <v>0</v>
      </c>
      <c r="AZ329" s="202">
        <v>20.54</v>
      </c>
    </row>
    <row r="330" spans="1:52" x14ac:dyDescent="0.2">
      <c r="A330" s="76">
        <v>15</v>
      </c>
      <c r="B330" s="41" t="s">
        <v>438</v>
      </c>
      <c r="C330" s="76" t="s">
        <v>154</v>
      </c>
      <c r="D330" s="76">
        <v>4</v>
      </c>
      <c r="E330" s="76">
        <v>4</v>
      </c>
      <c r="F330" s="76">
        <v>3.73</v>
      </c>
      <c r="G330" s="76">
        <v>60</v>
      </c>
      <c r="H330" s="76">
        <v>0</v>
      </c>
      <c r="I330" s="76">
        <v>0</v>
      </c>
      <c r="J330" s="76">
        <v>0</v>
      </c>
      <c r="K330" s="76">
        <v>3</v>
      </c>
      <c r="L330" s="76">
        <v>9</v>
      </c>
      <c r="M330" s="76">
        <v>60.1</v>
      </c>
      <c r="N330" s="76">
        <v>53</v>
      </c>
      <c r="O330" s="76">
        <v>26</v>
      </c>
      <c r="P330" s="76">
        <v>25</v>
      </c>
      <c r="Q330" s="76">
        <v>11</v>
      </c>
      <c r="R330" s="76">
        <v>15</v>
      </c>
      <c r="S330" s="76">
        <v>5</v>
      </c>
      <c r="T330" s="76">
        <v>65</v>
      </c>
      <c r="U330" s="76">
        <v>247</v>
      </c>
      <c r="V330" s="76">
        <v>60.1</v>
      </c>
      <c r="W330" s="76">
        <v>0.23100000000000001</v>
      </c>
      <c r="X330" s="76">
        <v>1.1299999999999999</v>
      </c>
      <c r="Y330" s="76"/>
      <c r="Z330" s="76">
        <v>15</v>
      </c>
      <c r="AA330" t="s">
        <v>438</v>
      </c>
      <c r="AB330" s="76" t="s">
        <v>154</v>
      </c>
      <c r="AC330" s="76">
        <v>1</v>
      </c>
      <c r="AD330" s="76">
        <v>5</v>
      </c>
      <c r="AE330" s="76">
        <v>15</v>
      </c>
      <c r="AF330" s="76">
        <v>17</v>
      </c>
      <c r="AG330" s="76">
        <v>4</v>
      </c>
      <c r="AH330" s="76">
        <v>43</v>
      </c>
      <c r="AI330" s="76">
        <v>70</v>
      </c>
      <c r="AJ330" s="76">
        <v>0</v>
      </c>
      <c r="AK330" s="76">
        <v>0</v>
      </c>
      <c r="AL330" s="76">
        <v>1</v>
      </c>
      <c r="AM330" s="76">
        <v>0</v>
      </c>
      <c r="AN330" s="76">
        <v>0</v>
      </c>
      <c r="AO330" s="76">
        <v>935</v>
      </c>
      <c r="AP330" s="202" t="s">
        <v>154</v>
      </c>
      <c r="AQ330" s="202">
        <v>0</v>
      </c>
      <c r="AR330" s="202">
        <v>0.18</v>
      </c>
      <c r="AS330" s="202">
        <v>0.41899999999999998</v>
      </c>
      <c r="AT330" s="202">
        <v>0.54300000000000004</v>
      </c>
      <c r="AU330" s="202">
        <v>0.96099999999999997</v>
      </c>
      <c r="AV330" s="202">
        <v>5.4</v>
      </c>
      <c r="AW330" s="202">
        <v>7.56</v>
      </c>
      <c r="AX330" s="202">
        <v>10.8</v>
      </c>
      <c r="AY330" s="202">
        <v>0.71</v>
      </c>
      <c r="AZ330" s="202">
        <v>21.36</v>
      </c>
    </row>
    <row r="331" spans="1:52" x14ac:dyDescent="0.2">
      <c r="A331" s="76">
        <v>20</v>
      </c>
      <c r="B331" s="41" t="s">
        <v>608</v>
      </c>
      <c r="C331" s="76" t="s">
        <v>154</v>
      </c>
      <c r="D331" s="76">
        <v>8</v>
      </c>
      <c r="E331" s="76">
        <v>11</v>
      </c>
      <c r="F331" s="76">
        <v>4.22</v>
      </c>
      <c r="G331" s="76">
        <v>25</v>
      </c>
      <c r="H331" s="76">
        <v>25</v>
      </c>
      <c r="I331" s="76">
        <v>1</v>
      </c>
      <c r="J331" s="76">
        <v>1</v>
      </c>
      <c r="K331" s="76">
        <v>0</v>
      </c>
      <c r="L331" s="76">
        <v>0</v>
      </c>
      <c r="M331" s="76">
        <v>134.1</v>
      </c>
      <c r="N331" s="76">
        <v>129</v>
      </c>
      <c r="O331" s="76">
        <v>75</v>
      </c>
      <c r="P331" s="76">
        <v>63</v>
      </c>
      <c r="Q331" s="76">
        <v>27</v>
      </c>
      <c r="R331" s="76">
        <v>37</v>
      </c>
      <c r="S331" s="76">
        <v>2</v>
      </c>
      <c r="T331" s="76">
        <v>119</v>
      </c>
      <c r="U331" s="76">
        <v>573</v>
      </c>
      <c r="V331" s="76">
        <v>134.1</v>
      </c>
      <c r="W331" s="76">
        <v>0.247</v>
      </c>
      <c r="X331" s="76">
        <v>1.24</v>
      </c>
      <c r="Y331" s="76"/>
      <c r="Z331" s="76">
        <v>20</v>
      </c>
      <c r="AA331" t="s">
        <v>608</v>
      </c>
      <c r="AB331" s="76" t="s">
        <v>154</v>
      </c>
      <c r="AC331" s="76">
        <v>8</v>
      </c>
      <c r="AD331" s="76">
        <v>2</v>
      </c>
      <c r="AE331" s="76">
        <v>0</v>
      </c>
      <c r="AF331" s="76">
        <v>0</v>
      </c>
      <c r="AG331" s="76">
        <v>8</v>
      </c>
      <c r="AH331" s="76">
        <v>143</v>
      </c>
      <c r="AI331" s="76">
        <v>137</v>
      </c>
      <c r="AJ331" s="76">
        <v>4</v>
      </c>
      <c r="AK331" s="76">
        <v>1</v>
      </c>
      <c r="AL331" s="76">
        <v>16</v>
      </c>
      <c r="AM331" s="76">
        <v>1</v>
      </c>
      <c r="AN331" s="76">
        <v>0</v>
      </c>
      <c r="AO331" s="76">
        <v>2311</v>
      </c>
      <c r="AP331" s="202" t="s">
        <v>154</v>
      </c>
      <c r="AQ331" s="202">
        <v>0.28599999999999998</v>
      </c>
      <c r="AR331" s="202">
        <v>2.68</v>
      </c>
      <c r="AS331" s="202">
        <v>0.27800000000000002</v>
      </c>
      <c r="AT331" s="202">
        <v>0.26200000000000001</v>
      </c>
      <c r="AU331" s="202">
        <v>0.53900000000000003</v>
      </c>
      <c r="AV331" s="202">
        <v>11.83</v>
      </c>
      <c r="AW331" s="202">
        <v>2.83</v>
      </c>
      <c r="AX331" s="202">
        <v>6.3</v>
      </c>
      <c r="AY331" s="202">
        <v>4.18</v>
      </c>
      <c r="AZ331" s="202">
        <v>15.26</v>
      </c>
    </row>
    <row r="332" spans="1:52" x14ac:dyDescent="0.2">
      <c r="A332" s="76">
        <v>32</v>
      </c>
      <c r="B332" t="s">
        <v>781</v>
      </c>
      <c r="C332" s="76" t="s">
        <v>154</v>
      </c>
      <c r="D332" s="76">
        <v>0</v>
      </c>
      <c r="E332" s="76">
        <v>1</v>
      </c>
      <c r="F332" s="76">
        <v>10.8</v>
      </c>
      <c r="G332" s="76">
        <v>1</v>
      </c>
      <c r="H332" s="76">
        <v>1</v>
      </c>
      <c r="I332" s="76">
        <v>0</v>
      </c>
      <c r="J332" s="76">
        <v>0</v>
      </c>
      <c r="K332" s="76">
        <v>0</v>
      </c>
      <c r="L332" s="76">
        <v>0</v>
      </c>
      <c r="M332" s="76">
        <v>5</v>
      </c>
      <c r="N332" s="76">
        <v>9</v>
      </c>
      <c r="O332" s="76">
        <v>6</v>
      </c>
      <c r="P332" s="76">
        <v>6</v>
      </c>
      <c r="Q332" s="76">
        <v>1</v>
      </c>
      <c r="R332" s="76">
        <v>0</v>
      </c>
      <c r="S332" s="76">
        <v>0</v>
      </c>
      <c r="T332" s="76">
        <v>3</v>
      </c>
      <c r="U332" s="76">
        <v>23</v>
      </c>
      <c r="V332" s="76">
        <v>5</v>
      </c>
      <c r="W332" s="76">
        <v>0.39100000000000001</v>
      </c>
      <c r="X332" s="76">
        <v>1.8</v>
      </c>
      <c r="Y332" s="76"/>
      <c r="Z332" s="76">
        <v>32</v>
      </c>
      <c r="AA332" t="s">
        <v>781</v>
      </c>
      <c r="AB332" s="76" t="s">
        <v>154</v>
      </c>
      <c r="AC332" s="76">
        <v>0</v>
      </c>
      <c r="AD332" s="76">
        <v>0</v>
      </c>
      <c r="AE332" s="76">
        <v>0</v>
      </c>
      <c r="AF332" s="76">
        <v>0</v>
      </c>
      <c r="AG332" s="76">
        <v>1</v>
      </c>
      <c r="AH332" s="76">
        <v>8</v>
      </c>
      <c r="AI332" s="76">
        <v>3</v>
      </c>
      <c r="AJ332" s="76">
        <v>0</v>
      </c>
      <c r="AK332" s="76">
        <v>0</v>
      </c>
      <c r="AL332" s="76">
        <v>0</v>
      </c>
      <c r="AM332" s="76">
        <v>0</v>
      </c>
      <c r="AN332" s="76">
        <v>0</v>
      </c>
      <c r="AO332" s="76">
        <v>88</v>
      </c>
      <c r="AP332" s="202" t="s">
        <v>144</v>
      </c>
      <c r="AQ332" s="202">
        <v>0.28599999999999998</v>
      </c>
      <c r="AR332" s="202">
        <v>0.7</v>
      </c>
      <c r="AS332" s="202">
        <v>0.32700000000000001</v>
      </c>
      <c r="AT332" s="202">
        <v>0.376</v>
      </c>
      <c r="AU332" s="202">
        <v>0.70299999999999996</v>
      </c>
      <c r="AV332" s="202">
        <v>10.57</v>
      </c>
      <c r="AW332" s="202">
        <v>4.57</v>
      </c>
      <c r="AX332" s="202">
        <v>7.71</v>
      </c>
      <c r="AY332" s="202">
        <v>2.31</v>
      </c>
      <c r="AZ332" s="202">
        <v>18.100000000000001</v>
      </c>
    </row>
    <row r="333" spans="1:52" x14ac:dyDescent="0.2">
      <c r="A333" s="76">
        <v>13</v>
      </c>
      <c r="B333" s="41" t="s">
        <v>610</v>
      </c>
      <c r="C333" s="76" t="s">
        <v>154</v>
      </c>
      <c r="D333" s="76">
        <v>0</v>
      </c>
      <c r="E333" s="76">
        <v>1</v>
      </c>
      <c r="F333" s="76">
        <v>3.6</v>
      </c>
      <c r="G333" s="76">
        <v>29</v>
      </c>
      <c r="H333" s="76">
        <v>0</v>
      </c>
      <c r="I333" s="76">
        <v>0</v>
      </c>
      <c r="J333" s="76">
        <v>0</v>
      </c>
      <c r="K333" s="76">
        <v>1</v>
      </c>
      <c r="L333" s="76">
        <v>2</v>
      </c>
      <c r="M333" s="76">
        <v>25</v>
      </c>
      <c r="N333" s="76">
        <v>22</v>
      </c>
      <c r="O333" s="76">
        <v>10</v>
      </c>
      <c r="P333" s="76">
        <v>10</v>
      </c>
      <c r="Q333" s="76">
        <v>4</v>
      </c>
      <c r="R333" s="76">
        <v>10</v>
      </c>
      <c r="S333" s="76">
        <v>0</v>
      </c>
      <c r="T333" s="76">
        <v>17</v>
      </c>
      <c r="U333" s="76">
        <v>100</v>
      </c>
      <c r="V333" s="76">
        <v>25</v>
      </c>
      <c r="W333" s="76">
        <v>0.24399999999999999</v>
      </c>
      <c r="X333" s="76">
        <v>1.28</v>
      </c>
      <c r="Y333" s="76"/>
      <c r="Z333" s="76">
        <v>13</v>
      </c>
      <c r="AA333" t="s">
        <v>610</v>
      </c>
      <c r="AB333" s="76" t="s">
        <v>154</v>
      </c>
      <c r="AC333" s="76">
        <v>0</v>
      </c>
      <c r="AD333" s="76">
        <v>0</v>
      </c>
      <c r="AE333" s="76">
        <v>2</v>
      </c>
      <c r="AF333" s="76">
        <v>9</v>
      </c>
      <c r="AG333" s="76">
        <v>4</v>
      </c>
      <c r="AH333" s="76">
        <v>30</v>
      </c>
      <c r="AI333" s="76">
        <v>21</v>
      </c>
      <c r="AJ333" s="76">
        <v>0</v>
      </c>
      <c r="AK333" s="76">
        <v>0</v>
      </c>
      <c r="AL333" s="76">
        <v>2</v>
      </c>
      <c r="AM333" s="76">
        <v>2</v>
      </c>
      <c r="AN333" s="76">
        <v>0</v>
      </c>
      <c r="AO333" s="76">
        <v>405</v>
      </c>
      <c r="AP333" s="202" t="s">
        <v>154</v>
      </c>
      <c r="AQ333" s="202">
        <v>0.5</v>
      </c>
      <c r="AR333" s="202">
        <v>1.55</v>
      </c>
      <c r="AS333" s="202">
        <v>0.46</v>
      </c>
      <c r="AT333" s="202">
        <v>0.59599999999999997</v>
      </c>
      <c r="AU333" s="202">
        <v>1.056</v>
      </c>
      <c r="AV333" s="202">
        <v>5.4</v>
      </c>
      <c r="AW333" s="202">
        <v>6.75</v>
      </c>
      <c r="AX333" s="202">
        <v>12.15</v>
      </c>
      <c r="AY333" s="202">
        <v>0.8</v>
      </c>
      <c r="AZ333" s="202">
        <v>16.43</v>
      </c>
    </row>
    <row r="334" spans="1:52" x14ac:dyDescent="0.2">
      <c r="A334" s="76">
        <v>9</v>
      </c>
      <c r="B334" t="s">
        <v>1205</v>
      </c>
      <c r="C334" s="76" t="s">
        <v>154</v>
      </c>
      <c r="D334" s="76">
        <v>1</v>
      </c>
      <c r="E334" s="76">
        <v>0</v>
      </c>
      <c r="F334" s="76">
        <v>3.29</v>
      </c>
      <c r="G334" s="76">
        <v>12</v>
      </c>
      <c r="H334" s="76">
        <v>0</v>
      </c>
      <c r="I334" s="76">
        <v>0</v>
      </c>
      <c r="J334" s="76">
        <v>0</v>
      </c>
      <c r="K334" s="76">
        <v>0</v>
      </c>
      <c r="L334" s="76">
        <v>0</v>
      </c>
      <c r="M334" s="76">
        <v>13.2</v>
      </c>
      <c r="N334" s="76">
        <v>10</v>
      </c>
      <c r="O334" s="76">
        <v>6</v>
      </c>
      <c r="P334" s="76">
        <v>5</v>
      </c>
      <c r="Q334" s="76">
        <v>0</v>
      </c>
      <c r="R334" s="76">
        <v>10</v>
      </c>
      <c r="S334" s="76">
        <v>2</v>
      </c>
      <c r="T334" s="76">
        <v>21</v>
      </c>
      <c r="U334" s="76">
        <v>60</v>
      </c>
      <c r="V334" s="76">
        <v>13.2</v>
      </c>
      <c r="W334" s="76">
        <v>0.20799999999999999</v>
      </c>
      <c r="X334" s="76">
        <v>1.46</v>
      </c>
      <c r="Y334" s="76"/>
      <c r="Z334" s="76">
        <v>9</v>
      </c>
      <c r="AA334" t="s">
        <v>1205</v>
      </c>
      <c r="AB334" s="76" t="s">
        <v>154</v>
      </c>
      <c r="AC334" s="76">
        <v>1</v>
      </c>
      <c r="AD334" s="76">
        <v>2</v>
      </c>
      <c r="AE334" s="76">
        <v>3</v>
      </c>
      <c r="AF334" s="76">
        <v>1</v>
      </c>
      <c r="AG334" s="76">
        <v>1</v>
      </c>
      <c r="AH334" s="76">
        <v>9</v>
      </c>
      <c r="AI334" s="76">
        <v>9</v>
      </c>
      <c r="AJ334" s="76">
        <v>0</v>
      </c>
      <c r="AK334" s="76">
        <v>0</v>
      </c>
      <c r="AL334" s="76">
        <v>0</v>
      </c>
      <c r="AM334" s="76">
        <v>1</v>
      </c>
      <c r="AN334" s="76">
        <v>0</v>
      </c>
      <c r="AO334" s="76">
        <v>252</v>
      </c>
      <c r="AP334" s="202" t="s">
        <v>154</v>
      </c>
      <c r="AQ334" s="202">
        <v>1</v>
      </c>
      <c r="AR334" s="202">
        <v>0.69</v>
      </c>
      <c r="AS334" s="202">
        <v>0.33300000000000002</v>
      </c>
      <c r="AT334" s="202">
        <v>0.42599999999999999</v>
      </c>
      <c r="AU334" s="202">
        <v>0.75900000000000001</v>
      </c>
      <c r="AV334" s="202">
        <v>6.75</v>
      </c>
      <c r="AW334" s="202">
        <v>5.25</v>
      </c>
      <c r="AX334" s="202">
        <v>8.25</v>
      </c>
      <c r="AY334" s="202">
        <v>1.29</v>
      </c>
      <c r="AZ334" s="202">
        <v>17.579999999999998</v>
      </c>
    </row>
    <row r="335" spans="1:52" s="143" customFormat="1" x14ac:dyDescent="0.2">
      <c r="A335" s="225" t="s">
        <v>105</v>
      </c>
      <c r="B335" s="225" t="s">
        <v>106</v>
      </c>
      <c r="C335" s="225" t="s">
        <v>157</v>
      </c>
      <c r="D335" s="225" t="s">
        <v>85</v>
      </c>
      <c r="E335" s="225" t="s">
        <v>86</v>
      </c>
      <c r="F335" s="225" t="s">
        <v>107</v>
      </c>
      <c r="G335" s="225" t="s">
        <v>108</v>
      </c>
      <c r="H335" s="225" t="s">
        <v>88</v>
      </c>
      <c r="I335" s="225" t="s">
        <v>89</v>
      </c>
      <c r="J335" s="225" t="s">
        <v>1073</v>
      </c>
      <c r="K335" s="225" t="s">
        <v>90</v>
      </c>
      <c r="L335" s="225" t="s">
        <v>158</v>
      </c>
      <c r="M335" s="225" t="s">
        <v>91</v>
      </c>
      <c r="N335" s="225" t="s">
        <v>92</v>
      </c>
      <c r="O335" s="225" t="s">
        <v>93</v>
      </c>
      <c r="P335" s="225" t="s">
        <v>94</v>
      </c>
      <c r="Q335" s="225" t="s">
        <v>95</v>
      </c>
      <c r="R335" s="225" t="s">
        <v>96</v>
      </c>
      <c r="S335" s="225" t="s">
        <v>98</v>
      </c>
      <c r="T335" s="225" t="s">
        <v>97</v>
      </c>
      <c r="U335" s="225" t="s">
        <v>109</v>
      </c>
      <c r="V335" s="225" t="s">
        <v>91</v>
      </c>
      <c r="W335" s="225" t="s">
        <v>1071</v>
      </c>
      <c r="X335" s="225" t="s">
        <v>1072</v>
      </c>
      <c r="Y335" s="225"/>
      <c r="Z335" s="225" t="s">
        <v>105</v>
      </c>
      <c r="AA335" s="225" t="s">
        <v>106</v>
      </c>
      <c r="AB335" s="225" t="s">
        <v>157</v>
      </c>
      <c r="AC335" s="225" t="s">
        <v>1074</v>
      </c>
      <c r="AD335" s="225" t="s">
        <v>98</v>
      </c>
      <c r="AE335" s="225" t="s">
        <v>1075</v>
      </c>
      <c r="AF335" s="225" t="s">
        <v>1076</v>
      </c>
      <c r="AG335" s="225" t="s">
        <v>1077</v>
      </c>
      <c r="AH335" s="225" t="s">
        <v>1066</v>
      </c>
      <c r="AI335" s="225" t="s">
        <v>1067</v>
      </c>
      <c r="AJ335" s="225" t="s">
        <v>1078</v>
      </c>
      <c r="AK335" s="225" t="s">
        <v>1079</v>
      </c>
      <c r="AL335" s="225" t="s">
        <v>1057</v>
      </c>
      <c r="AM335" s="225" t="s">
        <v>1058</v>
      </c>
      <c r="AN335" s="225" t="s">
        <v>1080</v>
      </c>
      <c r="AO335" s="225" t="s">
        <v>1069</v>
      </c>
      <c r="AP335" s="202" t="s">
        <v>144</v>
      </c>
      <c r="AQ335" s="202">
        <v>0.8</v>
      </c>
      <c r="AR335" s="202">
        <v>1.61</v>
      </c>
      <c r="AS335" s="202">
        <v>0.28699999999999998</v>
      </c>
      <c r="AT335" s="202">
        <v>0.30399999999999999</v>
      </c>
      <c r="AU335" s="202">
        <v>0.59199999999999997</v>
      </c>
      <c r="AV335" s="202">
        <v>9</v>
      </c>
      <c r="AW335" s="202">
        <v>2.5099999999999998</v>
      </c>
      <c r="AX335" s="202">
        <v>7.74</v>
      </c>
      <c r="AY335" s="202">
        <v>3.58</v>
      </c>
      <c r="AZ335" s="202">
        <v>15.79</v>
      </c>
    </row>
    <row r="336" spans="1:52" x14ac:dyDescent="0.2">
      <c r="A336" s="76">
        <v>17</v>
      </c>
      <c r="B336" s="41" t="s">
        <v>1211</v>
      </c>
      <c r="C336" s="76" t="s">
        <v>144</v>
      </c>
      <c r="D336" s="76">
        <v>8</v>
      </c>
      <c r="E336" s="76">
        <v>8</v>
      </c>
      <c r="F336" s="76">
        <v>4.37</v>
      </c>
      <c r="G336" s="76">
        <v>29</v>
      </c>
      <c r="H336" s="76">
        <v>19</v>
      </c>
      <c r="I336" s="76">
        <v>1</v>
      </c>
      <c r="J336" s="76">
        <v>1</v>
      </c>
      <c r="K336" s="76">
        <v>1</v>
      </c>
      <c r="L336" s="76">
        <v>1</v>
      </c>
      <c r="M336" s="76">
        <v>127.2</v>
      </c>
      <c r="N336" s="76">
        <v>131</v>
      </c>
      <c r="O336" s="76">
        <v>64</v>
      </c>
      <c r="P336" s="76">
        <v>62</v>
      </c>
      <c r="Q336" s="76">
        <v>17</v>
      </c>
      <c r="R336" s="76">
        <v>25</v>
      </c>
      <c r="S336" s="76">
        <v>1</v>
      </c>
      <c r="T336" s="76">
        <v>109</v>
      </c>
      <c r="U336" s="76">
        <v>527</v>
      </c>
      <c r="V336" s="76">
        <v>127.2</v>
      </c>
      <c r="W336" s="76">
        <v>0.26500000000000001</v>
      </c>
      <c r="X336" s="76">
        <v>1.22</v>
      </c>
      <c r="Y336" s="76"/>
      <c r="Z336" s="76">
        <v>17</v>
      </c>
      <c r="AA336" t="s">
        <v>1211</v>
      </c>
      <c r="AB336" s="76" t="s">
        <v>144</v>
      </c>
      <c r="AC336" s="76">
        <v>1</v>
      </c>
      <c r="AD336" s="76">
        <v>1</v>
      </c>
      <c r="AE336" s="76">
        <v>3</v>
      </c>
      <c r="AF336" s="76">
        <v>4</v>
      </c>
      <c r="AG336" s="76">
        <v>13</v>
      </c>
      <c r="AH336" s="76">
        <v>120</v>
      </c>
      <c r="AI336" s="76">
        <v>140</v>
      </c>
      <c r="AJ336" s="76">
        <v>3</v>
      </c>
      <c r="AK336" s="76">
        <v>4</v>
      </c>
      <c r="AL336" s="76">
        <v>16</v>
      </c>
      <c r="AM336" s="76">
        <v>1</v>
      </c>
      <c r="AN336" s="76">
        <v>0</v>
      </c>
      <c r="AO336" s="76">
        <v>1983</v>
      </c>
      <c r="AP336" s="202" t="s">
        <v>144</v>
      </c>
      <c r="AQ336" s="202">
        <v>0.71399999999999997</v>
      </c>
      <c r="AR336" s="202">
        <v>0.72</v>
      </c>
      <c r="AS336" s="202">
        <v>0.28799999999999998</v>
      </c>
      <c r="AT336" s="202">
        <v>0.41299999999999998</v>
      </c>
      <c r="AU336" s="202">
        <v>0.70099999999999996</v>
      </c>
      <c r="AV336" s="202">
        <v>10.4</v>
      </c>
      <c r="AW336" s="202">
        <v>2.7</v>
      </c>
      <c r="AX336" s="202">
        <v>7.83</v>
      </c>
      <c r="AY336" s="202">
        <v>3.85</v>
      </c>
      <c r="AZ336" s="202">
        <v>17.04</v>
      </c>
    </row>
    <row r="337" spans="1:52" x14ac:dyDescent="0.2">
      <c r="A337" s="76">
        <v>13</v>
      </c>
      <c r="B337" s="41" t="s">
        <v>626</v>
      </c>
      <c r="C337" s="76" t="s">
        <v>144</v>
      </c>
      <c r="D337" s="76">
        <v>9</v>
      </c>
      <c r="E337" s="76">
        <v>19</v>
      </c>
      <c r="F337" s="76">
        <v>4.0199999999999996</v>
      </c>
      <c r="G337" s="76">
        <v>33</v>
      </c>
      <c r="H337" s="76">
        <v>33</v>
      </c>
      <c r="I337" s="76">
        <v>0</v>
      </c>
      <c r="J337" s="76">
        <v>0</v>
      </c>
      <c r="K337" s="76">
        <v>0</v>
      </c>
      <c r="L337" s="76">
        <v>0</v>
      </c>
      <c r="M337" s="76">
        <v>201.1</v>
      </c>
      <c r="N337" s="76">
        <v>183</v>
      </c>
      <c r="O337" s="76">
        <v>100</v>
      </c>
      <c r="P337" s="76">
        <v>90</v>
      </c>
      <c r="Q337" s="76">
        <v>30</v>
      </c>
      <c r="R337" s="76">
        <v>67</v>
      </c>
      <c r="S337" s="76">
        <v>0</v>
      </c>
      <c r="T337" s="76">
        <v>233</v>
      </c>
      <c r="U337" s="76">
        <v>850</v>
      </c>
      <c r="V337" s="76">
        <v>201.1</v>
      </c>
      <c r="W337" s="76">
        <v>0.23799999999999999</v>
      </c>
      <c r="X337" s="76">
        <v>1.24</v>
      </c>
      <c r="Y337" s="76"/>
      <c r="Z337" s="76">
        <v>13</v>
      </c>
      <c r="AA337" t="s">
        <v>626</v>
      </c>
      <c r="AB337" s="76" t="s">
        <v>144</v>
      </c>
      <c r="AC337" s="76">
        <v>3</v>
      </c>
      <c r="AD337" s="76">
        <v>0</v>
      </c>
      <c r="AE337" s="76">
        <v>0</v>
      </c>
      <c r="AF337" s="76">
        <v>0</v>
      </c>
      <c r="AG337" s="76">
        <v>12</v>
      </c>
      <c r="AH337" s="76">
        <v>192</v>
      </c>
      <c r="AI337" s="76">
        <v>171</v>
      </c>
      <c r="AJ337" s="76">
        <v>11</v>
      </c>
      <c r="AK337" s="76">
        <v>0</v>
      </c>
      <c r="AL337" s="76">
        <v>13</v>
      </c>
      <c r="AM337" s="76">
        <v>5</v>
      </c>
      <c r="AN337" s="76">
        <v>1</v>
      </c>
      <c r="AO337" s="76">
        <v>3409</v>
      </c>
      <c r="AP337" s="202" t="s">
        <v>144</v>
      </c>
      <c r="AQ337" s="202">
        <v>0.5</v>
      </c>
      <c r="AR337" s="202">
        <v>0.83</v>
      </c>
      <c r="AS337" s="202">
        <v>0.28399999999999997</v>
      </c>
      <c r="AT337" s="202">
        <v>0.39600000000000002</v>
      </c>
      <c r="AU337" s="202">
        <v>0.68</v>
      </c>
      <c r="AV337" s="202">
        <v>7.97</v>
      </c>
      <c r="AW337" s="202">
        <v>2.44</v>
      </c>
      <c r="AX337" s="202">
        <v>7.92</v>
      </c>
      <c r="AY337" s="202">
        <v>3.26</v>
      </c>
      <c r="AZ337" s="202">
        <v>16.27</v>
      </c>
    </row>
    <row r="338" spans="1:52" x14ac:dyDescent="0.2">
      <c r="A338" s="76">
        <v>18</v>
      </c>
      <c r="B338" s="41" t="s">
        <v>441</v>
      </c>
      <c r="C338" s="76" t="s">
        <v>144</v>
      </c>
      <c r="D338" s="76">
        <v>4</v>
      </c>
      <c r="E338" s="76">
        <v>3</v>
      </c>
      <c r="F338" s="76">
        <v>4.8099999999999996</v>
      </c>
      <c r="G338" s="76">
        <v>27</v>
      </c>
      <c r="H338" s="76">
        <v>0</v>
      </c>
      <c r="I338" s="76">
        <v>0</v>
      </c>
      <c r="J338" s="76">
        <v>0</v>
      </c>
      <c r="K338" s="76">
        <v>0</v>
      </c>
      <c r="L338" s="76">
        <v>3</v>
      </c>
      <c r="M338" s="76">
        <v>24.1</v>
      </c>
      <c r="N338" s="76">
        <v>23</v>
      </c>
      <c r="O338" s="76">
        <v>13</v>
      </c>
      <c r="P338" s="76">
        <v>13</v>
      </c>
      <c r="Q338" s="76">
        <v>3</v>
      </c>
      <c r="R338" s="76">
        <v>19</v>
      </c>
      <c r="S338" s="76">
        <v>1</v>
      </c>
      <c r="T338" s="76">
        <v>22</v>
      </c>
      <c r="U338" s="76">
        <v>114</v>
      </c>
      <c r="V338" s="76">
        <v>24.1</v>
      </c>
      <c r="W338" s="76">
        <v>0.25</v>
      </c>
      <c r="X338" s="76">
        <v>1.73</v>
      </c>
      <c r="Y338" s="76"/>
      <c r="Z338" s="76">
        <v>18</v>
      </c>
      <c r="AA338" t="s">
        <v>441</v>
      </c>
      <c r="AB338" s="76" t="s">
        <v>144</v>
      </c>
      <c r="AC338" s="76">
        <v>2</v>
      </c>
      <c r="AD338" s="76">
        <v>1</v>
      </c>
      <c r="AE338" s="76">
        <v>3</v>
      </c>
      <c r="AF338" s="76">
        <v>7</v>
      </c>
      <c r="AG338" s="76">
        <v>1</v>
      </c>
      <c r="AH338" s="76">
        <v>21</v>
      </c>
      <c r="AI338" s="76">
        <v>27</v>
      </c>
      <c r="AJ338" s="76">
        <v>0</v>
      </c>
      <c r="AK338" s="76">
        <v>0</v>
      </c>
      <c r="AL338" s="76">
        <v>4</v>
      </c>
      <c r="AM338" s="76">
        <v>0</v>
      </c>
      <c r="AN338" s="76">
        <v>0</v>
      </c>
      <c r="AO338" s="76">
        <v>471</v>
      </c>
      <c r="AP338" s="202" t="s">
        <v>144</v>
      </c>
      <c r="AQ338" s="202" t="s">
        <v>243</v>
      </c>
      <c r="AR338" s="202">
        <v>0.83</v>
      </c>
      <c r="AS338" s="202">
        <v>0.375</v>
      </c>
      <c r="AT338" s="202">
        <v>0.4</v>
      </c>
      <c r="AU338" s="202">
        <v>0.77500000000000002</v>
      </c>
      <c r="AV338" s="202">
        <v>6.35</v>
      </c>
      <c r="AW338" s="202">
        <v>4.76</v>
      </c>
      <c r="AX338" s="202">
        <v>7.94</v>
      </c>
      <c r="AY338" s="202">
        <v>1.33</v>
      </c>
      <c r="AZ338" s="202">
        <v>16.940000000000001</v>
      </c>
    </row>
    <row r="339" spans="1:52" x14ac:dyDescent="0.2">
      <c r="A339" s="76">
        <v>10</v>
      </c>
      <c r="B339" s="41" t="s">
        <v>472</v>
      </c>
      <c r="C339" s="76" t="s">
        <v>144</v>
      </c>
      <c r="D339" s="76">
        <v>3</v>
      </c>
      <c r="E339" s="76">
        <v>4</v>
      </c>
      <c r="F339" s="76">
        <v>3.7</v>
      </c>
      <c r="G339" s="76">
        <v>54</v>
      </c>
      <c r="H339" s="76">
        <v>0</v>
      </c>
      <c r="I339" s="76">
        <v>0</v>
      </c>
      <c r="J339" s="76">
        <v>0</v>
      </c>
      <c r="K339" s="76">
        <v>0</v>
      </c>
      <c r="L339" s="76">
        <v>5</v>
      </c>
      <c r="M339" s="76">
        <v>41.1</v>
      </c>
      <c r="N339" s="76">
        <v>36</v>
      </c>
      <c r="O339" s="76">
        <v>17</v>
      </c>
      <c r="P339" s="76">
        <v>17</v>
      </c>
      <c r="Q339" s="76">
        <v>2</v>
      </c>
      <c r="R339" s="76">
        <v>13</v>
      </c>
      <c r="S339" s="76">
        <v>1</v>
      </c>
      <c r="T339" s="76">
        <v>43</v>
      </c>
      <c r="U339" s="76">
        <v>174</v>
      </c>
      <c r="V339" s="76">
        <v>41.1</v>
      </c>
      <c r="W339" s="76">
        <v>0.22900000000000001</v>
      </c>
      <c r="X339" s="76">
        <v>1.19</v>
      </c>
      <c r="Y339" s="76"/>
      <c r="Z339" s="76">
        <v>10</v>
      </c>
      <c r="AA339" t="s">
        <v>472</v>
      </c>
      <c r="AB339" s="76" t="s">
        <v>144</v>
      </c>
      <c r="AC339" s="76">
        <v>0</v>
      </c>
      <c r="AD339" s="76">
        <v>1</v>
      </c>
      <c r="AE339" s="76">
        <v>7</v>
      </c>
      <c r="AF339" s="76">
        <v>19</v>
      </c>
      <c r="AG339" s="76">
        <v>2</v>
      </c>
      <c r="AH339" s="76">
        <v>45</v>
      </c>
      <c r="AI339" s="76">
        <v>36</v>
      </c>
      <c r="AJ339" s="76">
        <v>3</v>
      </c>
      <c r="AK339" s="76">
        <v>0</v>
      </c>
      <c r="AL339" s="76">
        <v>1</v>
      </c>
      <c r="AM339" s="76">
        <v>0</v>
      </c>
      <c r="AN339" s="76">
        <v>0</v>
      </c>
      <c r="AO339" s="76">
        <v>692</v>
      </c>
      <c r="AP339" s="202" t="s">
        <v>144</v>
      </c>
      <c r="AQ339" s="202">
        <v>0.58299999999999996</v>
      </c>
      <c r="AR339" s="202">
        <v>0.87</v>
      </c>
      <c r="AS339" s="202">
        <v>0.312</v>
      </c>
      <c r="AT339" s="202">
        <v>0.38700000000000001</v>
      </c>
      <c r="AU339" s="202">
        <v>0.69899999999999995</v>
      </c>
      <c r="AV339" s="202">
        <v>8.8800000000000008</v>
      </c>
      <c r="AW339" s="202">
        <v>3.43</v>
      </c>
      <c r="AX339" s="202">
        <v>8.08</v>
      </c>
      <c r="AY339" s="202">
        <v>2.59</v>
      </c>
      <c r="AZ339" s="202">
        <v>16.61</v>
      </c>
    </row>
    <row r="340" spans="1:52" x14ac:dyDescent="0.2">
      <c r="A340" s="76">
        <v>24</v>
      </c>
      <c r="B340" t="s">
        <v>1387</v>
      </c>
      <c r="C340" s="76" t="s">
        <v>144</v>
      </c>
      <c r="D340" s="76">
        <v>1</v>
      </c>
      <c r="E340" s="76">
        <v>2</v>
      </c>
      <c r="F340" s="76">
        <v>8.59</v>
      </c>
      <c r="G340" s="76">
        <v>5</v>
      </c>
      <c r="H340" s="76">
        <v>5</v>
      </c>
      <c r="I340" s="76">
        <v>0</v>
      </c>
      <c r="J340" s="76">
        <v>0</v>
      </c>
      <c r="K340" s="76">
        <v>0</v>
      </c>
      <c r="L340" s="76">
        <v>0</v>
      </c>
      <c r="M340" s="76">
        <v>22</v>
      </c>
      <c r="N340" s="76">
        <v>32</v>
      </c>
      <c r="O340" s="76">
        <v>22</v>
      </c>
      <c r="P340" s="76">
        <v>21</v>
      </c>
      <c r="Q340" s="76">
        <v>5</v>
      </c>
      <c r="R340" s="76">
        <v>7</v>
      </c>
      <c r="S340" s="76">
        <v>0</v>
      </c>
      <c r="T340" s="76">
        <v>16</v>
      </c>
      <c r="U340" s="76">
        <v>104</v>
      </c>
      <c r="V340" s="76">
        <v>22</v>
      </c>
      <c r="W340" s="76">
        <v>0.33700000000000002</v>
      </c>
      <c r="X340" s="76">
        <v>1.77</v>
      </c>
      <c r="Y340" s="76"/>
      <c r="Z340" s="76">
        <v>24</v>
      </c>
      <c r="AA340" t="s">
        <v>1387</v>
      </c>
      <c r="AB340" s="76" t="s">
        <v>144</v>
      </c>
      <c r="AC340" s="76">
        <v>0</v>
      </c>
      <c r="AD340" s="76">
        <v>0</v>
      </c>
      <c r="AE340" s="76">
        <v>0</v>
      </c>
      <c r="AF340" s="76">
        <v>0</v>
      </c>
      <c r="AG340" s="76">
        <v>1</v>
      </c>
      <c r="AH340" s="76">
        <v>31</v>
      </c>
      <c r="AI340" s="76">
        <v>18</v>
      </c>
      <c r="AJ340" s="76">
        <v>0</v>
      </c>
      <c r="AK340" s="76">
        <v>0</v>
      </c>
      <c r="AL340" s="76">
        <v>1</v>
      </c>
      <c r="AM340" s="76">
        <v>1</v>
      </c>
      <c r="AN340" s="76">
        <v>0</v>
      </c>
      <c r="AO340" s="76">
        <v>386</v>
      </c>
      <c r="AP340" s="202" t="s">
        <v>155</v>
      </c>
      <c r="AQ340" s="202" t="s">
        <v>243</v>
      </c>
      <c r="AR340" s="202">
        <v>1.93</v>
      </c>
      <c r="AS340" s="202">
        <v>0.247</v>
      </c>
      <c r="AT340" s="202">
        <v>0.27300000000000002</v>
      </c>
      <c r="AU340" s="202">
        <v>0.52</v>
      </c>
      <c r="AV340" s="202">
        <v>8.31</v>
      </c>
      <c r="AW340" s="202">
        <v>2.91</v>
      </c>
      <c r="AX340" s="202">
        <v>5.4</v>
      </c>
      <c r="AY340" s="202">
        <v>2.86</v>
      </c>
      <c r="AZ340" s="202">
        <v>17.489999999999998</v>
      </c>
    </row>
    <row r="341" spans="1:52" x14ac:dyDescent="0.2">
      <c r="A341" s="76">
        <v>4</v>
      </c>
      <c r="B341" s="41" t="s">
        <v>625</v>
      </c>
      <c r="C341" s="76" t="s">
        <v>144</v>
      </c>
      <c r="D341" s="76">
        <v>2</v>
      </c>
      <c r="E341" s="76">
        <v>4</v>
      </c>
      <c r="F341" s="76">
        <v>1.91</v>
      </c>
      <c r="G341" s="76">
        <v>57</v>
      </c>
      <c r="H341" s="76">
        <v>0</v>
      </c>
      <c r="I341" s="76">
        <v>0</v>
      </c>
      <c r="J341" s="76">
        <v>0</v>
      </c>
      <c r="K341" s="76">
        <v>37</v>
      </c>
      <c r="L341" s="76">
        <v>40</v>
      </c>
      <c r="M341" s="76">
        <v>56.2</v>
      </c>
      <c r="N341" s="76">
        <v>43</v>
      </c>
      <c r="O341" s="76">
        <v>12</v>
      </c>
      <c r="P341" s="76">
        <v>12</v>
      </c>
      <c r="Q341" s="76">
        <v>6</v>
      </c>
      <c r="R341" s="76">
        <v>15</v>
      </c>
      <c r="S341" s="76">
        <v>1</v>
      </c>
      <c r="T341" s="76">
        <v>71</v>
      </c>
      <c r="U341" s="76">
        <v>226</v>
      </c>
      <c r="V341" s="76">
        <v>56.2</v>
      </c>
      <c r="W341" s="76">
        <v>0.20599999999999999</v>
      </c>
      <c r="X341" s="76">
        <v>1.02</v>
      </c>
      <c r="Y341" s="76"/>
      <c r="Z341" s="76">
        <v>4</v>
      </c>
      <c r="AA341" t="s">
        <v>625</v>
      </c>
      <c r="AB341" s="76" t="s">
        <v>144</v>
      </c>
      <c r="AC341" s="76">
        <v>2</v>
      </c>
      <c r="AD341" s="76">
        <v>1</v>
      </c>
      <c r="AE341" s="76">
        <v>48</v>
      </c>
      <c r="AF341" s="76">
        <v>1</v>
      </c>
      <c r="AG341" s="76">
        <v>5</v>
      </c>
      <c r="AH341" s="76">
        <v>51</v>
      </c>
      <c r="AI341" s="76">
        <v>44</v>
      </c>
      <c r="AJ341" s="76">
        <v>1</v>
      </c>
      <c r="AK341" s="76">
        <v>0</v>
      </c>
      <c r="AL341" s="76">
        <v>0</v>
      </c>
      <c r="AM341" s="76">
        <v>1</v>
      </c>
      <c r="AN341" s="76">
        <v>0</v>
      </c>
      <c r="AO341" s="76">
        <v>860</v>
      </c>
      <c r="AP341" s="202" t="s">
        <v>144</v>
      </c>
      <c r="AQ341" s="202" t="s">
        <v>243</v>
      </c>
      <c r="AR341" s="202">
        <v>0</v>
      </c>
      <c r="AS341" s="202">
        <v>0.57099999999999995</v>
      </c>
      <c r="AT341" s="202">
        <v>1.167</v>
      </c>
      <c r="AU341" s="202">
        <v>1.738</v>
      </c>
      <c r="AV341" s="202">
        <v>0</v>
      </c>
      <c r="AW341" s="202">
        <v>0</v>
      </c>
      <c r="AX341" s="202">
        <v>27</v>
      </c>
      <c r="AY341" s="202" t="s">
        <v>243</v>
      </c>
      <c r="AZ341" s="202">
        <v>17</v>
      </c>
    </row>
    <row r="342" spans="1:52" x14ac:dyDescent="0.2">
      <c r="A342" s="76">
        <v>25</v>
      </c>
      <c r="B342" s="41" t="s">
        <v>768</v>
      </c>
      <c r="C342" s="76" t="s">
        <v>144</v>
      </c>
      <c r="D342" s="76">
        <v>0</v>
      </c>
      <c r="E342" s="76">
        <v>1</v>
      </c>
      <c r="F342" s="76">
        <v>9</v>
      </c>
      <c r="G342" s="76">
        <v>33</v>
      </c>
      <c r="H342" s="76">
        <v>0</v>
      </c>
      <c r="I342" s="76">
        <v>0</v>
      </c>
      <c r="J342" s="76">
        <v>0</v>
      </c>
      <c r="K342" s="76">
        <v>0</v>
      </c>
      <c r="L342" s="76">
        <v>0</v>
      </c>
      <c r="M342" s="76">
        <v>23</v>
      </c>
      <c r="N342" s="76">
        <v>32</v>
      </c>
      <c r="O342" s="76">
        <v>23</v>
      </c>
      <c r="P342" s="76">
        <v>23</v>
      </c>
      <c r="Q342" s="76">
        <v>3</v>
      </c>
      <c r="R342" s="76">
        <v>19</v>
      </c>
      <c r="S342" s="76">
        <v>3</v>
      </c>
      <c r="T342" s="76">
        <v>21</v>
      </c>
      <c r="U342" s="76">
        <v>119</v>
      </c>
      <c r="V342" s="76">
        <v>23</v>
      </c>
      <c r="W342" s="76">
        <v>0.33300000000000002</v>
      </c>
      <c r="X342" s="76">
        <v>2.2200000000000002</v>
      </c>
      <c r="Y342" s="76"/>
      <c r="Z342" s="76">
        <v>25</v>
      </c>
      <c r="AA342" t="s">
        <v>768</v>
      </c>
      <c r="AB342" s="76" t="s">
        <v>144</v>
      </c>
      <c r="AC342" s="76">
        <v>3</v>
      </c>
      <c r="AD342" s="76">
        <v>3</v>
      </c>
      <c r="AE342" s="76">
        <v>8</v>
      </c>
      <c r="AF342" s="76">
        <v>3</v>
      </c>
      <c r="AG342" s="76">
        <v>3</v>
      </c>
      <c r="AH342" s="76">
        <v>26</v>
      </c>
      <c r="AI342" s="76">
        <v>18</v>
      </c>
      <c r="AJ342" s="76">
        <v>0</v>
      </c>
      <c r="AK342" s="76">
        <v>0</v>
      </c>
      <c r="AL342" s="76">
        <v>9</v>
      </c>
      <c r="AM342" s="76">
        <v>0</v>
      </c>
      <c r="AN342" s="76">
        <v>0</v>
      </c>
      <c r="AO342" s="76">
        <v>458</v>
      </c>
      <c r="AP342" s="202" t="s">
        <v>155</v>
      </c>
      <c r="AQ342" s="202">
        <v>0.66700000000000004</v>
      </c>
      <c r="AR342" s="202">
        <v>5.67</v>
      </c>
      <c r="AS342" s="202">
        <v>0.246</v>
      </c>
      <c r="AT342" s="202">
        <v>0.27400000000000002</v>
      </c>
      <c r="AU342" s="202">
        <v>0.52</v>
      </c>
      <c r="AV342" s="202">
        <v>8.6199999999999992</v>
      </c>
      <c r="AW342" s="202">
        <v>1.1499999999999999</v>
      </c>
      <c r="AX342" s="202">
        <v>6.89</v>
      </c>
      <c r="AY342" s="202">
        <v>7.5</v>
      </c>
      <c r="AZ342" s="202">
        <v>13.44</v>
      </c>
    </row>
    <row r="343" spans="1:52" x14ac:dyDescent="0.2">
      <c r="A343" s="76">
        <v>7</v>
      </c>
      <c r="B343" s="41" t="s">
        <v>611</v>
      </c>
      <c r="C343" s="76" t="s">
        <v>144</v>
      </c>
      <c r="D343" s="76">
        <v>1</v>
      </c>
      <c r="E343" s="76">
        <v>0</v>
      </c>
      <c r="F343" s="76">
        <v>3.06</v>
      </c>
      <c r="G343" s="76">
        <v>35</v>
      </c>
      <c r="H343" s="76">
        <v>0</v>
      </c>
      <c r="I343" s="76">
        <v>0</v>
      </c>
      <c r="J343" s="76">
        <v>0</v>
      </c>
      <c r="K343" s="76">
        <v>0</v>
      </c>
      <c r="L343" s="76">
        <v>1</v>
      </c>
      <c r="M343" s="76">
        <v>35.1</v>
      </c>
      <c r="N343" s="76">
        <v>33</v>
      </c>
      <c r="O343" s="76">
        <v>14</v>
      </c>
      <c r="P343" s="76">
        <v>12</v>
      </c>
      <c r="Q343" s="76">
        <v>8</v>
      </c>
      <c r="R343" s="76">
        <v>15</v>
      </c>
      <c r="S343" s="76">
        <v>1</v>
      </c>
      <c r="T343" s="76">
        <v>46</v>
      </c>
      <c r="U343" s="76">
        <v>158</v>
      </c>
      <c r="V343" s="76">
        <v>35.1</v>
      </c>
      <c r="W343" s="76">
        <v>0.24099999999999999</v>
      </c>
      <c r="X343" s="76">
        <v>1.36</v>
      </c>
      <c r="Y343" s="76"/>
      <c r="Z343" s="76">
        <v>7</v>
      </c>
      <c r="AA343" t="s">
        <v>611</v>
      </c>
      <c r="AB343" s="76" t="s">
        <v>144</v>
      </c>
      <c r="AC343" s="76">
        <v>4</v>
      </c>
      <c r="AD343" s="76">
        <v>1</v>
      </c>
      <c r="AE343" s="76">
        <v>11</v>
      </c>
      <c r="AF343" s="76">
        <v>7</v>
      </c>
      <c r="AG343" s="76">
        <v>1</v>
      </c>
      <c r="AH343" s="76">
        <v>29</v>
      </c>
      <c r="AI343" s="76">
        <v>31</v>
      </c>
      <c r="AJ343" s="76">
        <v>1</v>
      </c>
      <c r="AK343" s="76">
        <v>0</v>
      </c>
      <c r="AL343" s="76">
        <v>2</v>
      </c>
      <c r="AM343" s="76">
        <v>0</v>
      </c>
      <c r="AN343" s="76">
        <v>0</v>
      </c>
      <c r="AO343" s="76">
        <v>670</v>
      </c>
      <c r="AP343" s="202" t="s">
        <v>144</v>
      </c>
      <c r="AQ343" s="202">
        <v>0.25</v>
      </c>
      <c r="AR343" s="202">
        <v>0.6</v>
      </c>
      <c r="AS343" s="202">
        <v>0.30199999999999999</v>
      </c>
      <c r="AT343" s="202">
        <v>0.437</v>
      </c>
      <c r="AU343" s="202">
        <v>0.73899999999999999</v>
      </c>
      <c r="AV343" s="202">
        <v>6.71</v>
      </c>
      <c r="AW343" s="202">
        <v>2.29</v>
      </c>
      <c r="AX343" s="202">
        <v>8.39</v>
      </c>
      <c r="AY343" s="202">
        <v>2.93</v>
      </c>
      <c r="AZ343" s="202">
        <v>16.03</v>
      </c>
    </row>
    <row r="344" spans="1:52" x14ac:dyDescent="0.2">
      <c r="A344" s="76">
        <v>15</v>
      </c>
      <c r="B344" t="s">
        <v>1385</v>
      </c>
      <c r="C344" s="76" t="s">
        <v>144</v>
      </c>
      <c r="D344" s="76">
        <v>0</v>
      </c>
      <c r="E344" s="76">
        <v>1</v>
      </c>
      <c r="F344" s="76">
        <v>4.2</v>
      </c>
      <c r="G344" s="76">
        <v>12</v>
      </c>
      <c r="H344" s="76">
        <v>0</v>
      </c>
      <c r="I344" s="76">
        <v>0</v>
      </c>
      <c r="J344" s="76">
        <v>0</v>
      </c>
      <c r="K344" s="76">
        <v>0</v>
      </c>
      <c r="L344" s="76">
        <v>0</v>
      </c>
      <c r="M344" s="76">
        <v>15</v>
      </c>
      <c r="N344" s="76">
        <v>23</v>
      </c>
      <c r="O344" s="76">
        <v>8</v>
      </c>
      <c r="P344" s="76">
        <v>7</v>
      </c>
      <c r="Q344" s="76">
        <v>0</v>
      </c>
      <c r="R344" s="76">
        <v>5</v>
      </c>
      <c r="S344" s="76">
        <v>1</v>
      </c>
      <c r="T344" s="76">
        <v>14</v>
      </c>
      <c r="U344" s="76">
        <v>72</v>
      </c>
      <c r="V344" s="76">
        <v>15</v>
      </c>
      <c r="W344" s="76">
        <v>0.34799999999999998</v>
      </c>
      <c r="X344" s="76">
        <v>1.87</v>
      </c>
      <c r="Y344" s="76"/>
      <c r="Z344" s="76">
        <v>15</v>
      </c>
      <c r="AA344" t="s">
        <v>1385</v>
      </c>
      <c r="AB344" s="76" t="s">
        <v>144</v>
      </c>
      <c r="AC344" s="76">
        <v>0</v>
      </c>
      <c r="AD344" s="76">
        <v>1</v>
      </c>
      <c r="AE344" s="76">
        <v>4</v>
      </c>
      <c r="AF344" s="76">
        <v>0</v>
      </c>
      <c r="AG344" s="76">
        <v>3</v>
      </c>
      <c r="AH344" s="76">
        <v>18</v>
      </c>
      <c r="AI344" s="76">
        <v>12</v>
      </c>
      <c r="AJ344" s="76">
        <v>2</v>
      </c>
      <c r="AK344" s="76">
        <v>0</v>
      </c>
      <c r="AL344" s="76">
        <v>2</v>
      </c>
      <c r="AM344" s="76">
        <v>0</v>
      </c>
      <c r="AN344" s="76">
        <v>0</v>
      </c>
      <c r="AO344" s="76">
        <v>248</v>
      </c>
      <c r="AP344" s="202" t="s">
        <v>144</v>
      </c>
      <c r="AQ344" s="202">
        <v>1</v>
      </c>
      <c r="AR344" s="202">
        <v>0.94</v>
      </c>
      <c r="AS344" s="202">
        <v>0.36099999999999999</v>
      </c>
      <c r="AT344" s="202">
        <v>0.50900000000000001</v>
      </c>
      <c r="AU344" s="202">
        <v>0.87</v>
      </c>
      <c r="AV344" s="202">
        <v>4.3</v>
      </c>
      <c r="AW344" s="202">
        <v>4.3</v>
      </c>
      <c r="AX344" s="202">
        <v>9.1999999999999993</v>
      </c>
      <c r="AY344" s="202">
        <v>1</v>
      </c>
      <c r="AZ344" s="202">
        <v>17.25</v>
      </c>
    </row>
    <row r="345" spans="1:52" x14ac:dyDescent="0.2">
      <c r="A345" s="76">
        <v>3</v>
      </c>
      <c r="B345" t="s">
        <v>1381</v>
      </c>
      <c r="C345" s="76" t="s">
        <v>144</v>
      </c>
      <c r="D345" s="76">
        <v>0</v>
      </c>
      <c r="E345" s="76">
        <v>2</v>
      </c>
      <c r="F345" s="76">
        <v>1.35</v>
      </c>
      <c r="G345" s="76">
        <v>7</v>
      </c>
      <c r="H345" s="76">
        <v>0</v>
      </c>
      <c r="I345" s="76">
        <v>0</v>
      </c>
      <c r="J345" s="76">
        <v>0</v>
      </c>
      <c r="K345" s="76">
        <v>0</v>
      </c>
      <c r="L345" s="76">
        <v>0</v>
      </c>
      <c r="M345" s="76">
        <v>13.1</v>
      </c>
      <c r="N345" s="76">
        <v>9</v>
      </c>
      <c r="O345" s="76">
        <v>3</v>
      </c>
      <c r="P345" s="76">
        <v>2</v>
      </c>
      <c r="Q345" s="76">
        <v>1</v>
      </c>
      <c r="R345" s="76">
        <v>8</v>
      </c>
      <c r="S345" s="76">
        <v>0</v>
      </c>
      <c r="T345" s="76">
        <v>11</v>
      </c>
      <c r="U345" s="76">
        <v>54</v>
      </c>
      <c r="V345" s="76">
        <v>13.1</v>
      </c>
      <c r="W345" s="76">
        <v>0.19600000000000001</v>
      </c>
      <c r="X345" s="76">
        <v>1.28</v>
      </c>
      <c r="Y345" s="76"/>
      <c r="Z345" s="76">
        <v>3</v>
      </c>
      <c r="AA345" t="s">
        <v>1381</v>
      </c>
      <c r="AB345" s="76" t="s">
        <v>144</v>
      </c>
      <c r="AC345" s="76">
        <v>0</v>
      </c>
      <c r="AD345" s="76">
        <v>0</v>
      </c>
      <c r="AE345" s="76">
        <v>3</v>
      </c>
      <c r="AF345" s="76">
        <v>1</v>
      </c>
      <c r="AG345" s="76">
        <v>1</v>
      </c>
      <c r="AH345" s="76">
        <v>13</v>
      </c>
      <c r="AI345" s="76">
        <v>13</v>
      </c>
      <c r="AJ345" s="76">
        <v>0</v>
      </c>
      <c r="AK345" s="76">
        <v>0</v>
      </c>
      <c r="AL345" s="76">
        <v>0</v>
      </c>
      <c r="AM345" s="76">
        <v>0</v>
      </c>
      <c r="AN345" s="76">
        <v>2</v>
      </c>
      <c r="AO345" s="76">
        <v>222</v>
      </c>
      <c r="AP345" s="202" t="s">
        <v>144</v>
      </c>
      <c r="AQ345" s="202" t="s">
        <v>243</v>
      </c>
      <c r="AR345" s="202">
        <v>0.5</v>
      </c>
      <c r="AS345" s="202">
        <v>0.5</v>
      </c>
      <c r="AT345" s="202">
        <v>1</v>
      </c>
      <c r="AU345" s="202">
        <v>1.5</v>
      </c>
      <c r="AV345" s="202">
        <v>0</v>
      </c>
      <c r="AW345" s="202">
        <v>0</v>
      </c>
      <c r="AX345" s="202">
        <v>27</v>
      </c>
      <c r="AY345" s="202" t="s">
        <v>243</v>
      </c>
      <c r="AZ345" s="202">
        <v>17</v>
      </c>
    </row>
    <row r="346" spans="1:52" x14ac:dyDescent="0.2">
      <c r="A346" s="76">
        <v>16</v>
      </c>
      <c r="B346" s="41" t="s">
        <v>1386</v>
      </c>
      <c r="C346" s="76" t="s">
        <v>144</v>
      </c>
      <c r="D346" s="76">
        <v>1</v>
      </c>
      <c r="E346" s="76">
        <v>2</v>
      </c>
      <c r="F346" s="76">
        <v>4.3499999999999996</v>
      </c>
      <c r="G346" s="76">
        <v>37</v>
      </c>
      <c r="H346" s="76">
        <v>0</v>
      </c>
      <c r="I346" s="76">
        <v>0</v>
      </c>
      <c r="J346" s="76">
        <v>0</v>
      </c>
      <c r="K346" s="76">
        <v>1</v>
      </c>
      <c r="L346" s="76">
        <v>1</v>
      </c>
      <c r="M346" s="76">
        <v>39.1</v>
      </c>
      <c r="N346" s="76">
        <v>44</v>
      </c>
      <c r="O346" s="76">
        <v>20</v>
      </c>
      <c r="P346" s="76">
        <v>19</v>
      </c>
      <c r="Q346" s="76">
        <v>5</v>
      </c>
      <c r="R346" s="76">
        <v>11</v>
      </c>
      <c r="S346" s="76">
        <v>2</v>
      </c>
      <c r="T346" s="76">
        <v>33</v>
      </c>
      <c r="U346" s="76">
        <v>171</v>
      </c>
      <c r="V346" s="76">
        <v>39.1</v>
      </c>
      <c r="W346" s="76">
        <v>0.27700000000000002</v>
      </c>
      <c r="X346" s="76">
        <v>1.4</v>
      </c>
      <c r="Y346" s="76"/>
      <c r="Z346" s="76">
        <v>16</v>
      </c>
      <c r="AA346" t="s">
        <v>1386</v>
      </c>
      <c r="AB346" s="76" t="s">
        <v>144</v>
      </c>
      <c r="AC346" s="76">
        <v>0</v>
      </c>
      <c r="AD346" s="76">
        <v>2</v>
      </c>
      <c r="AE346" s="76">
        <v>14</v>
      </c>
      <c r="AF346" s="76">
        <v>2</v>
      </c>
      <c r="AG346" s="76">
        <v>4</v>
      </c>
      <c r="AH346" s="76">
        <v>43</v>
      </c>
      <c r="AI346" s="76">
        <v>40</v>
      </c>
      <c r="AJ346" s="76">
        <v>2</v>
      </c>
      <c r="AK346" s="76">
        <v>0</v>
      </c>
      <c r="AL346" s="76">
        <v>1</v>
      </c>
      <c r="AM346" s="76">
        <v>1</v>
      </c>
      <c r="AN346" s="76">
        <v>0</v>
      </c>
      <c r="AO346" s="76">
        <v>695</v>
      </c>
      <c r="AP346" s="202" t="s">
        <v>144</v>
      </c>
      <c r="AQ346" s="202">
        <v>0</v>
      </c>
      <c r="AR346" s="202">
        <v>0.78</v>
      </c>
      <c r="AS346" s="202">
        <v>0.374</v>
      </c>
      <c r="AT346" s="202">
        <v>0.42399999999999999</v>
      </c>
      <c r="AU346" s="202">
        <v>0.79800000000000004</v>
      </c>
      <c r="AV346" s="202">
        <v>9.3000000000000007</v>
      </c>
      <c r="AW346" s="202">
        <v>3.9</v>
      </c>
      <c r="AX346" s="202">
        <v>11.7</v>
      </c>
      <c r="AY346" s="202">
        <v>2.38</v>
      </c>
      <c r="AZ346" s="202">
        <v>19.93</v>
      </c>
    </row>
    <row r="347" spans="1:52" x14ac:dyDescent="0.2">
      <c r="A347" s="76">
        <v>22</v>
      </c>
      <c r="B347" s="41" t="s">
        <v>821</v>
      </c>
      <c r="C347" s="76" t="s">
        <v>144</v>
      </c>
      <c r="D347" s="76">
        <v>0</v>
      </c>
      <c r="E347" s="76">
        <v>2</v>
      </c>
      <c r="F347" s="76">
        <v>5.74</v>
      </c>
      <c r="G347" s="76">
        <v>27</v>
      </c>
      <c r="H347" s="76">
        <v>0</v>
      </c>
      <c r="I347" s="76">
        <v>0</v>
      </c>
      <c r="J347" s="76">
        <v>0</v>
      </c>
      <c r="K347" s="76">
        <v>0</v>
      </c>
      <c r="L347" s="76">
        <v>1</v>
      </c>
      <c r="M347" s="76">
        <v>26.2</v>
      </c>
      <c r="N347" s="76">
        <v>24</v>
      </c>
      <c r="O347" s="76">
        <v>17</v>
      </c>
      <c r="P347" s="76">
        <v>17</v>
      </c>
      <c r="Q347" s="76">
        <v>11</v>
      </c>
      <c r="R347" s="76">
        <v>9</v>
      </c>
      <c r="S347" s="76">
        <v>0</v>
      </c>
      <c r="T347" s="76">
        <v>23</v>
      </c>
      <c r="U347" s="76">
        <v>112</v>
      </c>
      <c r="V347" s="76">
        <v>26.2</v>
      </c>
      <c r="W347" s="76">
        <v>0.23799999999999999</v>
      </c>
      <c r="X347" s="76">
        <v>1.24</v>
      </c>
      <c r="Y347" s="76"/>
      <c r="Z347" s="76">
        <v>22</v>
      </c>
      <c r="AA347" t="s">
        <v>821</v>
      </c>
      <c r="AB347" s="76" t="s">
        <v>144</v>
      </c>
      <c r="AC347" s="76">
        <v>1</v>
      </c>
      <c r="AD347" s="76">
        <v>0</v>
      </c>
      <c r="AE347" s="76">
        <v>11</v>
      </c>
      <c r="AF347" s="76">
        <v>1</v>
      </c>
      <c r="AG347" s="76">
        <v>1</v>
      </c>
      <c r="AH347" s="76">
        <v>13</v>
      </c>
      <c r="AI347" s="76">
        <v>42</v>
      </c>
      <c r="AJ347" s="76">
        <v>3</v>
      </c>
      <c r="AK347" s="76">
        <v>0</v>
      </c>
      <c r="AL347" s="76">
        <v>2</v>
      </c>
      <c r="AM347" s="76">
        <v>1</v>
      </c>
      <c r="AN347" s="76">
        <v>0</v>
      </c>
      <c r="AO347" s="76">
        <v>465</v>
      </c>
      <c r="AP347" s="202" t="s">
        <v>155</v>
      </c>
      <c r="AQ347" s="202">
        <v>0.5</v>
      </c>
      <c r="AR347" s="202">
        <v>1.62</v>
      </c>
      <c r="AS347" s="202">
        <v>0.28799999999999998</v>
      </c>
      <c r="AT347" s="202">
        <v>0.47399999999999998</v>
      </c>
      <c r="AU347" s="202">
        <v>0.76200000000000001</v>
      </c>
      <c r="AV347" s="202">
        <v>7.47</v>
      </c>
      <c r="AW347" s="202">
        <v>3.45</v>
      </c>
      <c r="AX347" s="202">
        <v>6.89</v>
      </c>
      <c r="AY347" s="202">
        <v>2.17</v>
      </c>
      <c r="AZ347" s="202">
        <v>16.02</v>
      </c>
    </row>
    <row r="348" spans="1:52" x14ac:dyDescent="0.2">
      <c r="A348" s="76">
        <v>21</v>
      </c>
      <c r="B348" s="41" t="s">
        <v>567</v>
      </c>
      <c r="C348" s="76" t="s">
        <v>144</v>
      </c>
      <c r="D348" s="76">
        <v>0</v>
      </c>
      <c r="E348" s="76">
        <v>1</v>
      </c>
      <c r="F348" s="76">
        <v>5.68</v>
      </c>
      <c r="G348" s="76">
        <v>25</v>
      </c>
      <c r="H348" s="76">
        <v>0</v>
      </c>
      <c r="I348" s="76">
        <v>0</v>
      </c>
      <c r="J348" s="76">
        <v>0</v>
      </c>
      <c r="K348" s="76">
        <v>0</v>
      </c>
      <c r="L348" s="76">
        <v>0</v>
      </c>
      <c r="M348" s="76">
        <v>19</v>
      </c>
      <c r="N348" s="76">
        <v>20</v>
      </c>
      <c r="O348" s="76">
        <v>13</v>
      </c>
      <c r="P348" s="76">
        <v>12</v>
      </c>
      <c r="Q348" s="76">
        <v>5</v>
      </c>
      <c r="R348" s="76">
        <v>9</v>
      </c>
      <c r="S348" s="76">
        <v>1</v>
      </c>
      <c r="T348" s="76">
        <v>13</v>
      </c>
      <c r="U348" s="76">
        <v>83</v>
      </c>
      <c r="V348" s="76">
        <v>19</v>
      </c>
      <c r="W348" s="76">
        <v>0.28199999999999997</v>
      </c>
      <c r="X348" s="76">
        <v>1.53</v>
      </c>
      <c r="Y348" s="76"/>
      <c r="Z348" s="76">
        <v>21</v>
      </c>
      <c r="AA348" t="s">
        <v>567</v>
      </c>
      <c r="AB348" s="76" t="s">
        <v>144</v>
      </c>
      <c r="AC348" s="76">
        <v>0</v>
      </c>
      <c r="AD348" s="76">
        <v>1</v>
      </c>
      <c r="AE348" s="76">
        <v>5</v>
      </c>
      <c r="AF348" s="76">
        <v>3</v>
      </c>
      <c r="AG348" s="76">
        <v>3</v>
      </c>
      <c r="AH348" s="76">
        <v>14</v>
      </c>
      <c r="AI348" s="76">
        <v>27</v>
      </c>
      <c r="AJ348" s="76">
        <v>2</v>
      </c>
      <c r="AK348" s="76">
        <v>0</v>
      </c>
      <c r="AL348" s="76">
        <v>1</v>
      </c>
      <c r="AM348" s="76">
        <v>1</v>
      </c>
      <c r="AN348" s="76">
        <v>0</v>
      </c>
      <c r="AO348" s="76">
        <v>335</v>
      </c>
      <c r="AP348" s="202" t="s">
        <v>155</v>
      </c>
      <c r="AQ348" s="202" t="s">
        <v>243</v>
      </c>
      <c r="AR348" s="202">
        <v>1.33</v>
      </c>
      <c r="AS348" s="202">
        <v>0.32300000000000001</v>
      </c>
      <c r="AT348" s="202">
        <v>0.433</v>
      </c>
      <c r="AU348" s="202">
        <v>0.75600000000000001</v>
      </c>
      <c r="AV348" s="202">
        <v>6.33</v>
      </c>
      <c r="AW348" s="202">
        <v>2.81</v>
      </c>
      <c r="AX348" s="202">
        <v>9.2799999999999994</v>
      </c>
      <c r="AY348" s="202">
        <v>2.25</v>
      </c>
      <c r="AZ348" s="202">
        <v>16.39</v>
      </c>
    </row>
    <row r="349" spans="1:52" x14ac:dyDescent="0.2">
      <c r="A349" s="76">
        <v>5</v>
      </c>
      <c r="B349" t="s">
        <v>1382</v>
      </c>
      <c r="C349" s="76" t="s">
        <v>144</v>
      </c>
      <c r="D349" s="76">
        <v>0</v>
      </c>
      <c r="E349" s="76">
        <v>0</v>
      </c>
      <c r="F349" s="76">
        <v>2.4500000000000002</v>
      </c>
      <c r="G349" s="76">
        <v>3</v>
      </c>
      <c r="H349" s="76">
        <v>0</v>
      </c>
      <c r="I349" s="76">
        <v>0</v>
      </c>
      <c r="J349" s="76">
        <v>0</v>
      </c>
      <c r="K349" s="76">
        <v>0</v>
      </c>
      <c r="L349" s="76">
        <v>0</v>
      </c>
      <c r="M349" s="76">
        <v>3.2</v>
      </c>
      <c r="N349" s="76">
        <v>2</v>
      </c>
      <c r="O349" s="76">
        <v>1</v>
      </c>
      <c r="P349" s="76">
        <v>1</v>
      </c>
      <c r="Q349" s="76">
        <v>1</v>
      </c>
      <c r="R349" s="76">
        <v>0</v>
      </c>
      <c r="S349" s="76">
        <v>0</v>
      </c>
      <c r="T349" s="76">
        <v>3</v>
      </c>
      <c r="U349" s="76">
        <v>13</v>
      </c>
      <c r="V349" s="76">
        <v>3.2</v>
      </c>
      <c r="W349" s="76">
        <v>0.154</v>
      </c>
      <c r="X349" s="76">
        <v>0.55000000000000004</v>
      </c>
      <c r="Y349" s="76"/>
      <c r="Z349" s="76">
        <v>5</v>
      </c>
      <c r="AA349" t="s">
        <v>1382</v>
      </c>
      <c r="AB349" s="76" t="s">
        <v>144</v>
      </c>
      <c r="AC349" s="76">
        <v>0</v>
      </c>
      <c r="AD349" s="76">
        <v>0</v>
      </c>
      <c r="AE349" s="76">
        <v>2</v>
      </c>
      <c r="AF349" s="76">
        <v>0</v>
      </c>
      <c r="AG349" s="76">
        <v>0</v>
      </c>
      <c r="AH349" s="76">
        <v>7</v>
      </c>
      <c r="AI349" s="76">
        <v>1</v>
      </c>
      <c r="AJ349" s="76">
        <v>0</v>
      </c>
      <c r="AK349" s="76">
        <v>0</v>
      </c>
      <c r="AL349" s="76">
        <v>0</v>
      </c>
      <c r="AM349" s="76">
        <v>0</v>
      </c>
      <c r="AN349" s="76">
        <v>0</v>
      </c>
      <c r="AO349" s="76">
        <v>43</v>
      </c>
      <c r="AP349" s="202" t="s">
        <v>144</v>
      </c>
      <c r="AQ349" s="202">
        <v>1</v>
      </c>
      <c r="AR349" s="202">
        <v>0.44</v>
      </c>
      <c r="AS349" s="202">
        <v>0.32</v>
      </c>
      <c r="AT349" s="202">
        <v>0.47699999999999998</v>
      </c>
      <c r="AU349" s="202">
        <v>0.79700000000000004</v>
      </c>
      <c r="AV349" s="202">
        <v>7.33</v>
      </c>
      <c r="AW349" s="202">
        <v>4.24</v>
      </c>
      <c r="AX349" s="202">
        <v>7.71</v>
      </c>
      <c r="AY349" s="202">
        <v>1.73</v>
      </c>
      <c r="AZ349" s="202">
        <v>16.2</v>
      </c>
    </row>
    <row r="350" spans="1:52" x14ac:dyDescent="0.2">
      <c r="A350" s="76">
        <v>2</v>
      </c>
      <c r="B350" t="s">
        <v>1380</v>
      </c>
      <c r="C350" s="76" t="s">
        <v>144</v>
      </c>
      <c r="D350" s="76">
        <v>0</v>
      </c>
      <c r="E350" s="76">
        <v>0</v>
      </c>
      <c r="F350" s="76">
        <v>1</v>
      </c>
      <c r="G350" s="76">
        <v>4</v>
      </c>
      <c r="H350" s="76">
        <v>0</v>
      </c>
      <c r="I350" s="76">
        <v>0</v>
      </c>
      <c r="J350" s="76">
        <v>0</v>
      </c>
      <c r="K350" s="76">
        <v>0</v>
      </c>
      <c r="L350" s="76">
        <v>0</v>
      </c>
      <c r="M350" s="76">
        <v>9</v>
      </c>
      <c r="N350" s="76">
        <v>7</v>
      </c>
      <c r="O350" s="76">
        <v>1</v>
      </c>
      <c r="P350" s="76">
        <v>1</v>
      </c>
      <c r="Q350" s="76">
        <v>1</v>
      </c>
      <c r="R350" s="76">
        <v>9</v>
      </c>
      <c r="S350" s="76">
        <v>0</v>
      </c>
      <c r="T350" s="76">
        <v>6</v>
      </c>
      <c r="U350" s="76">
        <v>42</v>
      </c>
      <c r="V350" s="76">
        <v>9</v>
      </c>
      <c r="W350" s="76">
        <v>0.21199999999999999</v>
      </c>
      <c r="X350" s="76">
        <v>1.78</v>
      </c>
      <c r="Y350" s="76"/>
      <c r="Z350" s="76">
        <v>2</v>
      </c>
      <c r="AA350" t="s">
        <v>1380</v>
      </c>
      <c r="AB350" s="76" t="s">
        <v>144</v>
      </c>
      <c r="AC350" s="76">
        <v>0</v>
      </c>
      <c r="AD350" s="76">
        <v>0</v>
      </c>
      <c r="AE350" s="76">
        <v>0</v>
      </c>
      <c r="AF350" s="76">
        <v>0</v>
      </c>
      <c r="AG350" s="76">
        <v>0</v>
      </c>
      <c r="AH350" s="76">
        <v>9</v>
      </c>
      <c r="AI350" s="76">
        <v>11</v>
      </c>
      <c r="AJ350" s="76">
        <v>0</v>
      </c>
      <c r="AK350" s="76">
        <v>0</v>
      </c>
      <c r="AL350" s="76">
        <v>0</v>
      </c>
      <c r="AM350" s="76">
        <v>0</v>
      </c>
      <c r="AN350" s="76">
        <v>0</v>
      </c>
      <c r="AO350" s="76">
        <v>173</v>
      </c>
      <c r="AP350" s="202" t="s">
        <v>144</v>
      </c>
      <c r="AQ350" s="202">
        <v>1</v>
      </c>
      <c r="AR350" s="202">
        <v>9</v>
      </c>
      <c r="AS350" s="202">
        <v>0.222</v>
      </c>
      <c r="AT350" s="202">
        <v>0.188</v>
      </c>
      <c r="AU350" s="202">
        <v>0.41</v>
      </c>
      <c r="AV350" s="202">
        <v>7.94</v>
      </c>
      <c r="AW350" s="202">
        <v>3.18</v>
      </c>
      <c r="AX350" s="202">
        <v>3.18</v>
      </c>
      <c r="AY350" s="202">
        <v>2.5</v>
      </c>
      <c r="AZ350" s="202">
        <v>12.71</v>
      </c>
    </row>
    <row r="351" spans="1:52" x14ac:dyDescent="0.2">
      <c r="A351" s="76">
        <v>14</v>
      </c>
      <c r="B351" t="s">
        <v>627</v>
      </c>
      <c r="C351" s="76" t="s">
        <v>144</v>
      </c>
      <c r="D351" s="76">
        <v>7</v>
      </c>
      <c r="E351" s="76">
        <v>7</v>
      </c>
      <c r="F351" s="76">
        <v>4.08</v>
      </c>
      <c r="G351" s="76">
        <v>21</v>
      </c>
      <c r="H351" s="76">
        <v>21</v>
      </c>
      <c r="I351" s="76">
        <v>0</v>
      </c>
      <c r="J351" s="76">
        <v>0</v>
      </c>
      <c r="K351" s="76">
        <v>0</v>
      </c>
      <c r="L351" s="76">
        <v>0</v>
      </c>
      <c r="M351" s="76">
        <v>130</v>
      </c>
      <c r="N351" s="76">
        <v>125</v>
      </c>
      <c r="O351" s="76">
        <v>62</v>
      </c>
      <c r="P351" s="76">
        <v>59</v>
      </c>
      <c r="Q351" s="76">
        <v>20</v>
      </c>
      <c r="R351" s="76">
        <v>40</v>
      </c>
      <c r="S351" s="76">
        <v>0</v>
      </c>
      <c r="T351" s="76">
        <v>109</v>
      </c>
      <c r="U351" s="76">
        <v>549</v>
      </c>
      <c r="V351" s="76">
        <v>130</v>
      </c>
      <c r="W351" s="76">
        <v>0.251</v>
      </c>
      <c r="X351" s="76">
        <v>1.27</v>
      </c>
      <c r="Y351" s="76"/>
      <c r="Z351" s="76">
        <v>14</v>
      </c>
      <c r="AA351" t="s">
        <v>627</v>
      </c>
      <c r="AB351" s="76" t="s">
        <v>144</v>
      </c>
      <c r="AC351" s="76">
        <v>5</v>
      </c>
      <c r="AD351" s="76">
        <v>0</v>
      </c>
      <c r="AE351" s="76">
        <v>0</v>
      </c>
      <c r="AF351" s="76">
        <v>0</v>
      </c>
      <c r="AG351" s="76">
        <v>7</v>
      </c>
      <c r="AH351" s="76">
        <v>108</v>
      </c>
      <c r="AI351" s="76">
        <v>162</v>
      </c>
      <c r="AJ351" s="76">
        <v>3</v>
      </c>
      <c r="AK351" s="76">
        <v>1</v>
      </c>
      <c r="AL351" s="76">
        <v>2</v>
      </c>
      <c r="AM351" s="76">
        <v>4</v>
      </c>
      <c r="AN351" s="76">
        <v>1</v>
      </c>
      <c r="AO351" s="76">
        <v>2126</v>
      </c>
      <c r="AP351" s="202" t="s">
        <v>144</v>
      </c>
      <c r="AQ351" s="202">
        <v>0.64700000000000002</v>
      </c>
      <c r="AR351" s="202">
        <v>1.0900000000000001</v>
      </c>
      <c r="AS351" s="202">
        <v>0.29199999999999998</v>
      </c>
      <c r="AT351" s="202">
        <v>0.36299999999999999</v>
      </c>
      <c r="AU351" s="202">
        <v>0.65500000000000003</v>
      </c>
      <c r="AV351" s="202">
        <v>6.94</v>
      </c>
      <c r="AW351" s="202">
        <v>2.2000000000000002</v>
      </c>
      <c r="AX351" s="202">
        <v>7.99</v>
      </c>
      <c r="AY351" s="202">
        <v>3.15</v>
      </c>
      <c r="AZ351" s="202">
        <v>14.75</v>
      </c>
    </row>
    <row r="352" spans="1:52" x14ac:dyDescent="0.2">
      <c r="A352" s="76">
        <v>1</v>
      </c>
      <c r="B352" t="s">
        <v>1379</v>
      </c>
      <c r="C352" s="76" t="s">
        <v>144</v>
      </c>
      <c r="D352" s="76">
        <v>0</v>
      </c>
      <c r="E352" s="76">
        <v>0</v>
      </c>
      <c r="F352" s="76">
        <v>0</v>
      </c>
      <c r="G352" s="76">
        <v>1</v>
      </c>
      <c r="H352" s="76">
        <v>0</v>
      </c>
      <c r="I352" s="76">
        <v>0</v>
      </c>
      <c r="J352" s="76">
        <v>0</v>
      </c>
      <c r="K352" s="76">
        <v>0</v>
      </c>
      <c r="L352" s="76">
        <v>0</v>
      </c>
      <c r="M352" s="76">
        <v>0.1</v>
      </c>
      <c r="N352" s="76">
        <v>1</v>
      </c>
      <c r="O352" s="76">
        <v>0</v>
      </c>
      <c r="P352" s="76">
        <v>0</v>
      </c>
      <c r="Q352" s="76">
        <v>0</v>
      </c>
      <c r="R352" s="76">
        <v>0</v>
      </c>
      <c r="S352" s="76">
        <v>0</v>
      </c>
      <c r="T352" s="76">
        <v>0</v>
      </c>
      <c r="U352" s="76">
        <v>2</v>
      </c>
      <c r="V352" s="76">
        <v>0.1</v>
      </c>
      <c r="W352" s="76">
        <v>0.5</v>
      </c>
      <c r="X352" s="76">
        <v>3</v>
      </c>
      <c r="Y352" s="76"/>
      <c r="Z352" s="76">
        <v>1</v>
      </c>
      <c r="AA352" t="s">
        <v>1379</v>
      </c>
      <c r="AB352" s="76" t="s">
        <v>144</v>
      </c>
      <c r="AC352" s="76">
        <v>0</v>
      </c>
      <c r="AD352" s="76">
        <v>0</v>
      </c>
      <c r="AE352" s="76">
        <v>1</v>
      </c>
      <c r="AF352" s="76">
        <v>0</v>
      </c>
      <c r="AG352" s="76">
        <v>0</v>
      </c>
      <c r="AH352" s="76">
        <v>0</v>
      </c>
      <c r="AI352" s="76">
        <v>1</v>
      </c>
      <c r="AJ352" s="76">
        <v>0</v>
      </c>
      <c r="AK352" s="76">
        <v>0</v>
      </c>
      <c r="AL352" s="76">
        <v>0</v>
      </c>
      <c r="AM352" s="76">
        <v>0</v>
      </c>
      <c r="AN352" s="76">
        <v>0</v>
      </c>
      <c r="AO352" s="76">
        <v>6</v>
      </c>
      <c r="AP352" s="202" t="s">
        <v>144</v>
      </c>
      <c r="AQ352" s="202">
        <v>0.61499999999999999</v>
      </c>
      <c r="AR352" s="202">
        <v>0.78</v>
      </c>
      <c r="AS352" s="202">
        <v>0.32300000000000001</v>
      </c>
      <c r="AT352" s="202">
        <v>0.375</v>
      </c>
      <c r="AU352" s="202">
        <v>0.69799999999999995</v>
      </c>
      <c r="AV352" s="202">
        <v>7.22</v>
      </c>
      <c r="AW352" s="202">
        <v>2.54</v>
      </c>
      <c r="AX352" s="202">
        <v>9.19</v>
      </c>
      <c r="AY352" s="202">
        <v>2.84</v>
      </c>
      <c r="AZ352" s="202">
        <v>15.51</v>
      </c>
    </row>
    <row r="353" spans="1:52" x14ac:dyDescent="0.2">
      <c r="A353" s="76">
        <v>9</v>
      </c>
      <c r="B353" s="41" t="s">
        <v>631</v>
      </c>
      <c r="C353" s="76" t="s">
        <v>144</v>
      </c>
      <c r="D353" s="76">
        <v>10</v>
      </c>
      <c r="E353" s="76">
        <v>6</v>
      </c>
      <c r="F353" s="76">
        <v>3.69</v>
      </c>
      <c r="G353" s="76">
        <v>33</v>
      </c>
      <c r="H353" s="76">
        <v>33</v>
      </c>
      <c r="I353" s="76">
        <v>0</v>
      </c>
      <c r="J353" s="76">
        <v>0</v>
      </c>
      <c r="K353" s="76">
        <v>0</v>
      </c>
      <c r="L353" s="76">
        <v>0</v>
      </c>
      <c r="M353" s="76">
        <v>187.2</v>
      </c>
      <c r="N353" s="76">
        <v>170</v>
      </c>
      <c r="O353" s="76">
        <v>80</v>
      </c>
      <c r="P353" s="76">
        <v>77</v>
      </c>
      <c r="Q353" s="76">
        <v>29</v>
      </c>
      <c r="R353" s="76">
        <v>54</v>
      </c>
      <c r="S353" s="76">
        <v>3</v>
      </c>
      <c r="T353" s="76">
        <v>166</v>
      </c>
      <c r="U353" s="76">
        <v>773</v>
      </c>
      <c r="V353" s="76">
        <v>187.2</v>
      </c>
      <c r="W353" s="76">
        <v>0.24099999999999999</v>
      </c>
      <c r="X353" s="76">
        <v>1.19</v>
      </c>
      <c r="Y353" s="76"/>
      <c r="Z353" s="76">
        <v>9</v>
      </c>
      <c r="AA353" t="s">
        <v>631</v>
      </c>
      <c r="AB353" s="76" t="s">
        <v>144</v>
      </c>
      <c r="AC353" s="76">
        <v>4</v>
      </c>
      <c r="AD353" s="76">
        <v>3</v>
      </c>
      <c r="AE353" s="76">
        <v>0</v>
      </c>
      <c r="AF353" s="76">
        <v>0</v>
      </c>
      <c r="AG353" s="76">
        <v>14</v>
      </c>
      <c r="AH353" s="76">
        <v>156</v>
      </c>
      <c r="AI353" s="76">
        <v>223</v>
      </c>
      <c r="AJ353" s="76">
        <v>3</v>
      </c>
      <c r="AK353" s="76">
        <v>1</v>
      </c>
      <c r="AL353" s="76">
        <v>5</v>
      </c>
      <c r="AM353" s="76">
        <v>6</v>
      </c>
      <c r="AN353" s="76">
        <v>2</v>
      </c>
      <c r="AO353" s="76">
        <v>3308</v>
      </c>
      <c r="AP353" s="202" t="s">
        <v>144</v>
      </c>
      <c r="AQ353" s="202">
        <v>0.28599999999999998</v>
      </c>
      <c r="AR353" s="202">
        <v>1.1499999999999999</v>
      </c>
      <c r="AS353" s="202">
        <v>0.309</v>
      </c>
      <c r="AT353" s="202">
        <v>0.32700000000000001</v>
      </c>
      <c r="AU353" s="202">
        <v>0.63500000000000001</v>
      </c>
      <c r="AV353" s="202">
        <v>7.34</v>
      </c>
      <c r="AW353" s="202">
        <v>4.32</v>
      </c>
      <c r="AX353" s="202">
        <v>7.34</v>
      </c>
      <c r="AY353" s="202">
        <v>1.7</v>
      </c>
      <c r="AZ353" s="202">
        <v>17.14</v>
      </c>
    </row>
    <row r="354" spans="1:52" x14ac:dyDescent="0.2">
      <c r="A354" s="76">
        <v>11</v>
      </c>
      <c r="B354" s="41" t="s">
        <v>612</v>
      </c>
      <c r="C354" s="76" t="s">
        <v>144</v>
      </c>
      <c r="D354" s="76">
        <v>7</v>
      </c>
      <c r="E354" s="76">
        <v>11</v>
      </c>
      <c r="F354" s="76">
        <v>3.77</v>
      </c>
      <c r="G354" s="76">
        <v>64</v>
      </c>
      <c r="H354" s="76">
        <v>1</v>
      </c>
      <c r="I354" s="76">
        <v>0</v>
      </c>
      <c r="J354" s="76">
        <v>0</v>
      </c>
      <c r="K354" s="76">
        <v>2</v>
      </c>
      <c r="L354" s="76">
        <v>6</v>
      </c>
      <c r="M354" s="76">
        <v>90.2</v>
      </c>
      <c r="N354" s="76">
        <v>90</v>
      </c>
      <c r="O354" s="76">
        <v>39</v>
      </c>
      <c r="P354" s="76">
        <v>38</v>
      </c>
      <c r="Q354" s="76">
        <v>14</v>
      </c>
      <c r="R354" s="76">
        <v>26</v>
      </c>
      <c r="S354" s="76">
        <v>5</v>
      </c>
      <c r="T354" s="76">
        <v>63</v>
      </c>
      <c r="U354" s="76">
        <v>378</v>
      </c>
      <c r="V354" s="76">
        <v>90.2</v>
      </c>
      <c r="W354" s="76">
        <v>0.26500000000000001</v>
      </c>
      <c r="X354" s="76">
        <v>1.28</v>
      </c>
      <c r="Y354" s="76"/>
      <c r="Z354" s="76">
        <v>11</v>
      </c>
      <c r="AA354" t="s">
        <v>612</v>
      </c>
      <c r="AB354" s="76" t="s">
        <v>144</v>
      </c>
      <c r="AC354" s="76">
        <v>4</v>
      </c>
      <c r="AD354" s="76">
        <v>5</v>
      </c>
      <c r="AE354" s="76">
        <v>13</v>
      </c>
      <c r="AF354" s="76">
        <v>15</v>
      </c>
      <c r="AG354" s="76">
        <v>12</v>
      </c>
      <c r="AH354" s="76">
        <v>117</v>
      </c>
      <c r="AI354" s="76">
        <v>78</v>
      </c>
      <c r="AJ354" s="76">
        <v>7</v>
      </c>
      <c r="AK354" s="76">
        <v>0</v>
      </c>
      <c r="AL354" s="76">
        <v>7</v>
      </c>
      <c r="AM354" s="76">
        <v>1</v>
      </c>
      <c r="AN354" s="76">
        <v>0</v>
      </c>
      <c r="AO354" s="76">
        <v>1358</v>
      </c>
      <c r="AP354" s="202" t="s">
        <v>144</v>
      </c>
      <c r="AQ354" s="202">
        <v>0.33300000000000002</v>
      </c>
      <c r="AR354" s="202">
        <v>0.7</v>
      </c>
      <c r="AS354" s="202">
        <v>0.245</v>
      </c>
      <c r="AT354" s="202">
        <v>0.29899999999999999</v>
      </c>
      <c r="AU354" s="202">
        <v>0.54400000000000004</v>
      </c>
      <c r="AV354" s="202">
        <v>11.57</v>
      </c>
      <c r="AW354" s="202">
        <v>1.93</v>
      </c>
      <c r="AX354" s="202">
        <v>6.51</v>
      </c>
      <c r="AY354" s="202">
        <v>6</v>
      </c>
      <c r="AZ354" s="202">
        <v>16.61</v>
      </c>
    </row>
    <row r="355" spans="1:52" x14ac:dyDescent="0.2">
      <c r="A355" s="76">
        <v>23</v>
      </c>
      <c r="B355" s="41" t="s">
        <v>1212</v>
      </c>
      <c r="C355" s="76" t="s">
        <v>144</v>
      </c>
      <c r="D355" s="76">
        <v>2</v>
      </c>
      <c r="E355" s="76">
        <v>0</v>
      </c>
      <c r="F355" s="76">
        <v>5.91</v>
      </c>
      <c r="G355" s="76">
        <v>52</v>
      </c>
      <c r="H355" s="76">
        <v>0</v>
      </c>
      <c r="I355" s="76">
        <v>0</v>
      </c>
      <c r="J355" s="76">
        <v>0</v>
      </c>
      <c r="K355" s="76">
        <v>1</v>
      </c>
      <c r="L355" s="76">
        <v>2</v>
      </c>
      <c r="M355" s="76">
        <v>45.2</v>
      </c>
      <c r="N355" s="76">
        <v>42</v>
      </c>
      <c r="O355" s="76">
        <v>31</v>
      </c>
      <c r="P355" s="76">
        <v>30</v>
      </c>
      <c r="Q355" s="76">
        <v>7</v>
      </c>
      <c r="R355" s="76">
        <v>28</v>
      </c>
      <c r="S355" s="76">
        <v>1</v>
      </c>
      <c r="T355" s="76">
        <v>50</v>
      </c>
      <c r="U355" s="76">
        <v>204</v>
      </c>
      <c r="V355" s="76">
        <v>45.2</v>
      </c>
      <c r="W355" s="76">
        <v>0.24399999999999999</v>
      </c>
      <c r="X355" s="76">
        <v>1.53</v>
      </c>
      <c r="Y355" s="76"/>
      <c r="Z355" s="76">
        <v>23</v>
      </c>
      <c r="AA355" t="s">
        <v>1212</v>
      </c>
      <c r="AB355" s="76" t="s">
        <v>144</v>
      </c>
      <c r="AC355" s="76">
        <v>0</v>
      </c>
      <c r="AD355" s="76">
        <v>1</v>
      </c>
      <c r="AE355" s="76">
        <v>15</v>
      </c>
      <c r="AF355" s="76">
        <v>6</v>
      </c>
      <c r="AG355" s="76">
        <v>3</v>
      </c>
      <c r="AH355" s="76">
        <v>35</v>
      </c>
      <c r="AI355" s="76">
        <v>49</v>
      </c>
      <c r="AJ355" s="76">
        <v>1</v>
      </c>
      <c r="AK355" s="76">
        <v>0</v>
      </c>
      <c r="AL355" s="76">
        <v>1</v>
      </c>
      <c r="AM355" s="76">
        <v>0</v>
      </c>
      <c r="AN355" s="76">
        <v>0</v>
      </c>
      <c r="AO355" s="76">
        <v>811</v>
      </c>
      <c r="AP355" s="202" t="s">
        <v>155</v>
      </c>
      <c r="AQ355" s="202">
        <v>0</v>
      </c>
      <c r="AR355" s="202">
        <v>0.79</v>
      </c>
      <c r="AS355" s="202">
        <v>0.41099999999999998</v>
      </c>
      <c r="AT355" s="202">
        <v>0.57999999999999996</v>
      </c>
      <c r="AU355" s="202">
        <v>0.99099999999999999</v>
      </c>
      <c r="AV355" s="202">
        <v>5.86</v>
      </c>
      <c r="AW355" s="202">
        <v>4.1900000000000004</v>
      </c>
      <c r="AX355" s="202">
        <v>12.98</v>
      </c>
      <c r="AY355" s="202">
        <v>1.4</v>
      </c>
      <c r="AZ355" s="202">
        <v>19.399999999999999</v>
      </c>
    </row>
    <row r="356" spans="1:52" x14ac:dyDescent="0.2">
      <c r="A356" s="76">
        <v>19</v>
      </c>
      <c r="B356" s="41" t="s">
        <v>536</v>
      </c>
      <c r="C356" s="76" t="s">
        <v>144</v>
      </c>
      <c r="D356" s="76">
        <v>7</v>
      </c>
      <c r="E356" s="76">
        <v>12</v>
      </c>
      <c r="F356" s="76">
        <v>4.88</v>
      </c>
      <c r="G356" s="76">
        <v>30</v>
      </c>
      <c r="H356" s="76">
        <v>30</v>
      </c>
      <c r="I356" s="76">
        <v>0</v>
      </c>
      <c r="J356" s="76">
        <v>0</v>
      </c>
      <c r="K356" s="76">
        <v>0</v>
      </c>
      <c r="L356" s="76">
        <v>0</v>
      </c>
      <c r="M356" s="76">
        <v>175.1</v>
      </c>
      <c r="N356" s="76">
        <v>174</v>
      </c>
      <c r="O356" s="76">
        <v>103</v>
      </c>
      <c r="P356" s="76">
        <v>95</v>
      </c>
      <c r="Q356" s="76">
        <v>32</v>
      </c>
      <c r="R356" s="76">
        <v>49</v>
      </c>
      <c r="S356" s="76">
        <v>2</v>
      </c>
      <c r="T356" s="76">
        <v>167</v>
      </c>
      <c r="U356" s="76">
        <v>738</v>
      </c>
      <c r="V356" s="76">
        <v>175.1</v>
      </c>
      <c r="W356" s="76">
        <v>0.25900000000000001</v>
      </c>
      <c r="X356" s="76">
        <v>1.27</v>
      </c>
      <c r="Y356" s="76"/>
      <c r="Z356" s="76">
        <v>19</v>
      </c>
      <c r="AA356" t="s">
        <v>536</v>
      </c>
      <c r="AB356" s="76" t="s">
        <v>144</v>
      </c>
      <c r="AC356" s="76">
        <v>2</v>
      </c>
      <c r="AD356" s="76">
        <v>2</v>
      </c>
      <c r="AE356" s="76">
        <v>0</v>
      </c>
      <c r="AF356" s="76">
        <v>0</v>
      </c>
      <c r="AG356" s="76">
        <v>10</v>
      </c>
      <c r="AH356" s="76">
        <v>119</v>
      </c>
      <c r="AI356" s="76">
        <v>227</v>
      </c>
      <c r="AJ356" s="76">
        <v>10</v>
      </c>
      <c r="AK356" s="76">
        <v>0</v>
      </c>
      <c r="AL356" s="76">
        <v>14</v>
      </c>
      <c r="AM356" s="76">
        <v>4</v>
      </c>
      <c r="AN356" s="76">
        <v>1</v>
      </c>
      <c r="AO356" s="76">
        <v>2893</v>
      </c>
      <c r="AP356" s="202" t="s">
        <v>144</v>
      </c>
      <c r="AQ356" s="202">
        <v>1</v>
      </c>
      <c r="AR356" s="202">
        <v>0.6</v>
      </c>
      <c r="AS356" s="202">
        <v>0.33700000000000002</v>
      </c>
      <c r="AT356" s="202">
        <v>0.66700000000000004</v>
      </c>
      <c r="AU356" s="202">
        <v>1.004</v>
      </c>
      <c r="AV356" s="202">
        <v>9.3000000000000007</v>
      </c>
      <c r="AW356" s="202">
        <v>3.1</v>
      </c>
      <c r="AX356" s="202">
        <v>10.18</v>
      </c>
      <c r="AY356" s="202">
        <v>3</v>
      </c>
      <c r="AZ356" s="202">
        <v>20.07</v>
      </c>
    </row>
    <row r="357" spans="1:52" x14ac:dyDescent="0.2">
      <c r="A357" s="76">
        <v>8</v>
      </c>
      <c r="B357" s="41" t="s">
        <v>1383</v>
      </c>
      <c r="C357" s="76" t="s">
        <v>144</v>
      </c>
      <c r="D357" s="76">
        <v>6</v>
      </c>
      <c r="E357" s="76">
        <v>8</v>
      </c>
      <c r="F357" s="76">
        <v>3.54</v>
      </c>
      <c r="G357" s="76">
        <v>19</v>
      </c>
      <c r="H357" s="76">
        <v>19</v>
      </c>
      <c r="I357" s="76">
        <v>0</v>
      </c>
      <c r="J357" s="76">
        <v>0</v>
      </c>
      <c r="K357" s="76">
        <v>0</v>
      </c>
      <c r="L357" s="76">
        <v>0</v>
      </c>
      <c r="M357" s="76">
        <v>89</v>
      </c>
      <c r="N357" s="76">
        <v>93</v>
      </c>
      <c r="O357" s="76">
        <v>44</v>
      </c>
      <c r="P357" s="76">
        <v>35</v>
      </c>
      <c r="Q357" s="76">
        <v>5</v>
      </c>
      <c r="R357" s="76">
        <v>51</v>
      </c>
      <c r="S357" s="76">
        <v>0</v>
      </c>
      <c r="T357" s="76">
        <v>98</v>
      </c>
      <c r="U357" s="76">
        <v>401</v>
      </c>
      <c r="V357" s="76">
        <v>89</v>
      </c>
      <c r="W357" s="76">
        <v>0.26900000000000002</v>
      </c>
      <c r="X357" s="76">
        <v>1.62</v>
      </c>
      <c r="Y357" s="76"/>
      <c r="Z357" s="76">
        <v>8</v>
      </c>
      <c r="AA357" t="s">
        <v>1383</v>
      </c>
      <c r="AB357" s="76" t="s">
        <v>144</v>
      </c>
      <c r="AC357" s="76">
        <v>0</v>
      </c>
      <c r="AD357" s="76">
        <v>0</v>
      </c>
      <c r="AE357" s="76">
        <v>0</v>
      </c>
      <c r="AF357" s="76">
        <v>0</v>
      </c>
      <c r="AG357" s="76">
        <v>7</v>
      </c>
      <c r="AH357" s="76">
        <v>67</v>
      </c>
      <c r="AI357" s="76">
        <v>92</v>
      </c>
      <c r="AJ357" s="76">
        <v>6</v>
      </c>
      <c r="AK357" s="76">
        <v>1</v>
      </c>
      <c r="AL357" s="76">
        <v>5</v>
      </c>
      <c r="AM357" s="76">
        <v>3</v>
      </c>
      <c r="AN357" s="76">
        <v>1</v>
      </c>
      <c r="AO357" s="76">
        <v>1716</v>
      </c>
      <c r="AP357" s="202" t="s">
        <v>144</v>
      </c>
      <c r="AQ357" s="202" t="s">
        <v>243</v>
      </c>
      <c r="AR357" s="202">
        <v>0.83</v>
      </c>
      <c r="AS357" s="202">
        <v>0.30399999999999999</v>
      </c>
      <c r="AT357" s="202">
        <v>0.45</v>
      </c>
      <c r="AU357" s="202">
        <v>0.754</v>
      </c>
      <c r="AV357" s="202">
        <v>8.44</v>
      </c>
      <c r="AW357" s="202">
        <v>3.38</v>
      </c>
      <c r="AX357" s="202">
        <v>8.44</v>
      </c>
      <c r="AY357" s="202">
        <v>2.5</v>
      </c>
      <c r="AZ357" s="202">
        <v>16.309999999999999</v>
      </c>
    </row>
    <row r="358" spans="1:52" x14ac:dyDescent="0.2">
      <c r="A358" s="76">
        <v>12</v>
      </c>
      <c r="B358" t="s">
        <v>1384</v>
      </c>
      <c r="C358" s="76" t="s">
        <v>144</v>
      </c>
      <c r="D358" s="76">
        <v>0</v>
      </c>
      <c r="E358" s="76">
        <v>1</v>
      </c>
      <c r="F358" s="76">
        <v>3.93</v>
      </c>
      <c r="G358" s="76">
        <v>16</v>
      </c>
      <c r="H358" s="76">
        <v>0</v>
      </c>
      <c r="I358" s="76">
        <v>0</v>
      </c>
      <c r="J358" s="76">
        <v>0</v>
      </c>
      <c r="K358" s="76">
        <v>0</v>
      </c>
      <c r="L358" s="76">
        <v>0</v>
      </c>
      <c r="M358" s="76">
        <v>18.100000000000001</v>
      </c>
      <c r="N358" s="76">
        <v>18</v>
      </c>
      <c r="O358" s="76">
        <v>8</v>
      </c>
      <c r="P358" s="76">
        <v>8</v>
      </c>
      <c r="Q358" s="76">
        <v>1</v>
      </c>
      <c r="R358" s="76">
        <v>6</v>
      </c>
      <c r="S358" s="76">
        <v>1</v>
      </c>
      <c r="T358" s="76">
        <v>14</v>
      </c>
      <c r="U358" s="76">
        <v>75</v>
      </c>
      <c r="V358" s="76">
        <v>18.100000000000001</v>
      </c>
      <c r="W358" s="76">
        <v>0.27300000000000002</v>
      </c>
      <c r="X358" s="76">
        <v>1.31</v>
      </c>
      <c r="Y358" s="76"/>
      <c r="Z358" s="76">
        <v>12</v>
      </c>
      <c r="AA358" t="s">
        <v>1384</v>
      </c>
      <c r="AB358" s="76" t="s">
        <v>144</v>
      </c>
      <c r="AC358" s="76">
        <v>1</v>
      </c>
      <c r="AD358" s="76">
        <v>1</v>
      </c>
      <c r="AE358" s="76">
        <v>6</v>
      </c>
      <c r="AF358" s="76">
        <v>3</v>
      </c>
      <c r="AG358" s="76">
        <v>2</v>
      </c>
      <c r="AH358" s="76">
        <v>16</v>
      </c>
      <c r="AI358" s="76">
        <v>20</v>
      </c>
      <c r="AJ358" s="76">
        <v>0</v>
      </c>
      <c r="AK358" s="76">
        <v>0</v>
      </c>
      <c r="AL358" s="76">
        <v>0</v>
      </c>
      <c r="AM358" s="76">
        <v>1</v>
      </c>
      <c r="AN358" s="76">
        <v>0</v>
      </c>
      <c r="AO358" s="76">
        <v>259</v>
      </c>
      <c r="AP358" s="202" t="s">
        <v>144</v>
      </c>
      <c r="AQ358" s="202">
        <v>0.42899999999999999</v>
      </c>
      <c r="AR358" s="202">
        <v>0.82</v>
      </c>
      <c r="AS358" s="202">
        <v>0.36299999999999999</v>
      </c>
      <c r="AT358" s="202">
        <v>0.47599999999999998</v>
      </c>
      <c r="AU358" s="202">
        <v>0.83899999999999997</v>
      </c>
      <c r="AV358" s="202">
        <v>6.57</v>
      </c>
      <c r="AW358" s="202">
        <v>3.29</v>
      </c>
      <c r="AX358" s="202">
        <v>10.57</v>
      </c>
      <c r="AY358" s="202">
        <v>2</v>
      </c>
      <c r="AZ358" s="202">
        <v>16.760000000000002</v>
      </c>
    </row>
    <row r="359" spans="1:52" x14ac:dyDescent="0.2">
      <c r="A359" s="76">
        <v>20</v>
      </c>
      <c r="B359" t="s">
        <v>390</v>
      </c>
      <c r="C359" s="76" t="s">
        <v>144</v>
      </c>
      <c r="D359" s="76">
        <v>0</v>
      </c>
      <c r="E359" s="76">
        <v>0</v>
      </c>
      <c r="F359" s="76">
        <v>5.19</v>
      </c>
      <c r="G359" s="76">
        <v>18</v>
      </c>
      <c r="H359" s="76">
        <v>0</v>
      </c>
      <c r="I359" s="76">
        <v>0</v>
      </c>
      <c r="J359" s="76">
        <v>0</v>
      </c>
      <c r="K359" s="76">
        <v>0</v>
      </c>
      <c r="L359" s="76">
        <v>0</v>
      </c>
      <c r="M359" s="76">
        <v>17.100000000000001</v>
      </c>
      <c r="N359" s="76">
        <v>27</v>
      </c>
      <c r="O359" s="76">
        <v>11</v>
      </c>
      <c r="P359" s="76">
        <v>10</v>
      </c>
      <c r="Q359" s="76">
        <v>2</v>
      </c>
      <c r="R359" s="76">
        <v>3</v>
      </c>
      <c r="S359" s="76">
        <v>1</v>
      </c>
      <c r="T359" s="76">
        <v>11</v>
      </c>
      <c r="U359" s="76">
        <v>76</v>
      </c>
      <c r="V359" s="76">
        <v>17.100000000000001</v>
      </c>
      <c r="W359" s="76">
        <v>0.37</v>
      </c>
      <c r="X359" s="76">
        <v>1.73</v>
      </c>
      <c r="Y359" s="76"/>
      <c r="Z359" s="76">
        <v>20</v>
      </c>
      <c r="AA359" t="s">
        <v>390</v>
      </c>
      <c r="AB359" s="76" t="s">
        <v>144</v>
      </c>
      <c r="AC359" s="76">
        <v>0</v>
      </c>
      <c r="AD359" s="76">
        <v>1</v>
      </c>
      <c r="AE359" s="76">
        <v>7</v>
      </c>
      <c r="AF359" s="76">
        <v>0</v>
      </c>
      <c r="AG359" s="76">
        <v>4</v>
      </c>
      <c r="AH359" s="76">
        <v>18</v>
      </c>
      <c r="AI359" s="76">
        <v>17</v>
      </c>
      <c r="AJ359" s="76">
        <v>3</v>
      </c>
      <c r="AK359" s="76">
        <v>0</v>
      </c>
      <c r="AL359" s="76">
        <v>2</v>
      </c>
      <c r="AM359" s="76">
        <v>1</v>
      </c>
      <c r="AN359" s="76">
        <v>2</v>
      </c>
      <c r="AO359" s="76">
        <v>292</v>
      </c>
      <c r="AP359" s="102" t="s">
        <v>157</v>
      </c>
      <c r="AQ359" s="102" t="s">
        <v>1081</v>
      </c>
      <c r="AR359" s="102" t="s">
        <v>1068</v>
      </c>
      <c r="AS359" s="102" t="s">
        <v>1059</v>
      </c>
      <c r="AT359" s="102" t="s">
        <v>1060</v>
      </c>
      <c r="AU359" s="102" t="s">
        <v>1061</v>
      </c>
      <c r="AV359" s="102" t="s">
        <v>1092</v>
      </c>
      <c r="AW359" s="102" t="s">
        <v>1093</v>
      </c>
      <c r="AX359" s="102" t="s">
        <v>1094</v>
      </c>
      <c r="AY359" s="102" t="s">
        <v>1095</v>
      </c>
      <c r="AZ359" s="102" t="s">
        <v>1096</v>
      </c>
    </row>
    <row r="360" spans="1:52" x14ac:dyDescent="0.2">
      <c r="A360" s="76">
        <v>6</v>
      </c>
      <c r="B360" t="s">
        <v>817</v>
      </c>
      <c r="C360" s="76" t="s">
        <v>144</v>
      </c>
      <c r="D360" s="76">
        <v>0</v>
      </c>
      <c r="E360" s="76">
        <v>0</v>
      </c>
      <c r="F360" s="76">
        <v>2.5099999999999998</v>
      </c>
      <c r="G360" s="76">
        <v>5</v>
      </c>
      <c r="H360" s="76">
        <v>1</v>
      </c>
      <c r="I360" s="76">
        <v>0</v>
      </c>
      <c r="J360" s="76">
        <v>0</v>
      </c>
      <c r="K360" s="76">
        <v>0</v>
      </c>
      <c r="L360" s="76">
        <v>0</v>
      </c>
      <c r="M360" s="76">
        <v>14.1</v>
      </c>
      <c r="N360" s="76">
        <v>13</v>
      </c>
      <c r="O360" s="76">
        <v>7</v>
      </c>
      <c r="P360" s="76">
        <v>4</v>
      </c>
      <c r="Q360" s="76">
        <v>2</v>
      </c>
      <c r="R360" s="76">
        <v>3</v>
      </c>
      <c r="S360" s="76">
        <v>0</v>
      </c>
      <c r="T360" s="76">
        <v>15</v>
      </c>
      <c r="U360" s="76">
        <v>61</v>
      </c>
      <c r="V360" s="76">
        <v>14.1</v>
      </c>
      <c r="W360" s="76">
        <v>0.224</v>
      </c>
      <c r="X360" s="76">
        <v>1.1200000000000001</v>
      </c>
      <c r="Y360" s="76"/>
      <c r="Z360" s="76">
        <v>6</v>
      </c>
      <c r="AA360" t="s">
        <v>817</v>
      </c>
      <c r="AB360" s="76" t="s">
        <v>144</v>
      </c>
      <c r="AC360" s="76">
        <v>0</v>
      </c>
      <c r="AD360" s="76">
        <v>0</v>
      </c>
      <c r="AE360" s="76">
        <v>0</v>
      </c>
      <c r="AF360" s="76">
        <v>3</v>
      </c>
      <c r="AG360" s="76">
        <v>0</v>
      </c>
      <c r="AH360" s="76">
        <v>14</v>
      </c>
      <c r="AI360" s="76">
        <v>16</v>
      </c>
      <c r="AJ360" s="76">
        <v>0</v>
      </c>
      <c r="AK360" s="76">
        <v>0</v>
      </c>
      <c r="AL360" s="76">
        <v>3</v>
      </c>
      <c r="AM360" s="76">
        <v>0</v>
      </c>
      <c r="AN360" s="76">
        <v>0</v>
      </c>
      <c r="AO360" s="76">
        <v>238</v>
      </c>
      <c r="AP360" s="202" t="s">
        <v>144</v>
      </c>
      <c r="AQ360" s="202">
        <v>0.25</v>
      </c>
      <c r="AR360" s="202">
        <v>0.6</v>
      </c>
      <c r="AS360" s="202">
        <v>0.27400000000000002</v>
      </c>
      <c r="AT360" s="202">
        <v>0.31900000000000001</v>
      </c>
      <c r="AU360" s="202">
        <v>0.59399999999999997</v>
      </c>
      <c r="AV360" s="202">
        <v>8.15</v>
      </c>
      <c r="AW360" s="202">
        <v>3.48</v>
      </c>
      <c r="AX360" s="202">
        <v>6.01</v>
      </c>
      <c r="AY360" s="202">
        <v>2.35</v>
      </c>
      <c r="AZ360" s="202">
        <v>16.41</v>
      </c>
    </row>
    <row r="361" spans="1:52" x14ac:dyDescent="0.2">
      <c r="A361" s="225" t="s">
        <v>105</v>
      </c>
      <c r="B361" s="225" t="s">
        <v>106</v>
      </c>
      <c r="C361" s="225" t="s">
        <v>157</v>
      </c>
      <c r="D361" s="225" t="s">
        <v>85</v>
      </c>
      <c r="E361" s="225" t="s">
        <v>86</v>
      </c>
      <c r="F361" s="225" t="s">
        <v>107</v>
      </c>
      <c r="G361" s="225" t="s">
        <v>108</v>
      </c>
      <c r="H361" s="225" t="s">
        <v>88</v>
      </c>
      <c r="I361" s="225" t="s">
        <v>89</v>
      </c>
      <c r="J361" s="225" t="s">
        <v>1073</v>
      </c>
      <c r="K361" s="225" t="s">
        <v>90</v>
      </c>
      <c r="L361" s="225" t="s">
        <v>158</v>
      </c>
      <c r="M361" s="225" t="s">
        <v>91</v>
      </c>
      <c r="N361" s="225" t="s">
        <v>92</v>
      </c>
      <c r="O361" s="225" t="s">
        <v>93</v>
      </c>
      <c r="P361" s="225" t="s">
        <v>94</v>
      </c>
      <c r="Q361" s="225" t="s">
        <v>95</v>
      </c>
      <c r="R361" s="225" t="s">
        <v>96</v>
      </c>
      <c r="S361" s="225" t="s">
        <v>98</v>
      </c>
      <c r="T361" s="225" t="s">
        <v>97</v>
      </c>
      <c r="U361" s="225" t="s">
        <v>109</v>
      </c>
      <c r="V361" s="225" t="s">
        <v>91</v>
      </c>
      <c r="W361" s="225" t="s">
        <v>1071</v>
      </c>
      <c r="X361" s="225" t="s">
        <v>1072</v>
      </c>
      <c r="Y361" s="225"/>
      <c r="Z361" s="225" t="s">
        <v>105</v>
      </c>
      <c r="AA361" s="225" t="s">
        <v>106</v>
      </c>
      <c r="AB361" s="225" t="s">
        <v>157</v>
      </c>
      <c r="AC361" s="225" t="s">
        <v>1074</v>
      </c>
      <c r="AD361" s="225" t="s">
        <v>98</v>
      </c>
      <c r="AE361" s="225" t="s">
        <v>1075</v>
      </c>
      <c r="AF361" s="225" t="s">
        <v>1076</v>
      </c>
      <c r="AG361" s="225" t="s">
        <v>1077</v>
      </c>
      <c r="AH361" s="225" t="s">
        <v>1066</v>
      </c>
      <c r="AI361" s="225" t="s">
        <v>1067</v>
      </c>
      <c r="AJ361" s="225" t="s">
        <v>1078</v>
      </c>
      <c r="AK361" s="225" t="s">
        <v>1079</v>
      </c>
      <c r="AL361" s="225" t="s">
        <v>1057</v>
      </c>
      <c r="AM361" s="225" t="s">
        <v>1058</v>
      </c>
      <c r="AN361" s="225" t="s">
        <v>1080</v>
      </c>
      <c r="AO361" s="225" t="s">
        <v>1069</v>
      </c>
      <c r="AP361" s="202" t="s">
        <v>155</v>
      </c>
      <c r="AQ361" s="202" t="s">
        <v>243</v>
      </c>
      <c r="AR361" s="202">
        <v>0.22</v>
      </c>
      <c r="AS361" s="202">
        <v>0.45200000000000001</v>
      </c>
      <c r="AT361" s="202">
        <v>0.45500000000000002</v>
      </c>
      <c r="AU361" s="202">
        <v>0.90600000000000003</v>
      </c>
      <c r="AV361" s="202">
        <v>9</v>
      </c>
      <c r="AW361" s="202">
        <v>12</v>
      </c>
      <c r="AX361" s="202">
        <v>9</v>
      </c>
      <c r="AY361" s="202">
        <v>0.75</v>
      </c>
      <c r="AZ361" s="202">
        <v>23.67</v>
      </c>
    </row>
    <row r="362" spans="1:52" x14ac:dyDescent="0.2">
      <c r="A362" s="76">
        <v>23</v>
      </c>
      <c r="B362" s="41" t="s">
        <v>772</v>
      </c>
      <c r="C362" s="76" t="s">
        <v>155</v>
      </c>
      <c r="D362" s="76">
        <v>0</v>
      </c>
      <c r="E362" s="76">
        <v>0</v>
      </c>
      <c r="F362" s="76">
        <v>7.71</v>
      </c>
      <c r="G362" s="76">
        <v>10</v>
      </c>
      <c r="H362" s="76">
        <v>0</v>
      </c>
      <c r="I362" s="76">
        <v>0</v>
      </c>
      <c r="J362" s="76">
        <v>0</v>
      </c>
      <c r="K362" s="76">
        <v>0</v>
      </c>
      <c r="L362" s="76">
        <v>0</v>
      </c>
      <c r="M362" s="76">
        <v>11.2</v>
      </c>
      <c r="N362" s="76">
        <v>17</v>
      </c>
      <c r="O362" s="76">
        <v>11</v>
      </c>
      <c r="P362" s="76">
        <v>10</v>
      </c>
      <c r="Q362" s="76">
        <v>3</v>
      </c>
      <c r="R362" s="76">
        <v>2</v>
      </c>
      <c r="S362" s="76">
        <v>0</v>
      </c>
      <c r="T362" s="76">
        <v>13</v>
      </c>
      <c r="U362" s="76">
        <v>52</v>
      </c>
      <c r="V362" s="76">
        <v>11.2</v>
      </c>
      <c r="W362" s="76">
        <v>0.36199999999999999</v>
      </c>
      <c r="X362" s="76">
        <v>1.63</v>
      </c>
      <c r="Y362" s="76"/>
      <c r="Z362" s="76">
        <v>23</v>
      </c>
      <c r="AA362" t="s">
        <v>772</v>
      </c>
      <c r="AB362" s="76" t="s">
        <v>155</v>
      </c>
      <c r="AC362" s="76">
        <v>2</v>
      </c>
      <c r="AD362" s="76">
        <v>0</v>
      </c>
      <c r="AE362" s="76">
        <v>5</v>
      </c>
      <c r="AF362" s="76">
        <v>0</v>
      </c>
      <c r="AG362" s="76">
        <v>3</v>
      </c>
      <c r="AH362" s="76">
        <v>9</v>
      </c>
      <c r="AI362" s="76">
        <v>9</v>
      </c>
      <c r="AJ362" s="76">
        <v>1</v>
      </c>
      <c r="AK362" s="76">
        <v>0</v>
      </c>
      <c r="AL362" s="76">
        <v>0</v>
      </c>
      <c r="AM362" s="76">
        <v>1</v>
      </c>
      <c r="AN362" s="76">
        <v>0</v>
      </c>
      <c r="AO362" s="76">
        <v>202</v>
      </c>
      <c r="AP362" s="202" t="s">
        <v>155</v>
      </c>
      <c r="AQ362" s="202">
        <v>0.8</v>
      </c>
      <c r="AR362" s="202">
        <v>0.86</v>
      </c>
      <c r="AS362" s="202">
        <v>0.35199999999999998</v>
      </c>
      <c r="AT362" s="202">
        <v>0.42599999999999999</v>
      </c>
      <c r="AU362" s="202">
        <v>0.77800000000000002</v>
      </c>
      <c r="AV362" s="202">
        <v>7.51</v>
      </c>
      <c r="AW362" s="202">
        <v>5.4</v>
      </c>
      <c r="AX362" s="202">
        <v>8.69</v>
      </c>
      <c r="AY362" s="202">
        <v>1.39</v>
      </c>
      <c r="AZ362" s="202">
        <v>17.95</v>
      </c>
    </row>
    <row r="363" spans="1:52" x14ac:dyDescent="0.2">
      <c r="A363" s="76">
        <v>3</v>
      </c>
      <c r="B363" s="41" t="s">
        <v>1390</v>
      </c>
      <c r="C363" s="76" t="s">
        <v>155</v>
      </c>
      <c r="D363" s="76">
        <v>7</v>
      </c>
      <c r="E363" s="76">
        <v>3</v>
      </c>
      <c r="F363" s="76">
        <v>2.09</v>
      </c>
      <c r="G363" s="76">
        <v>53</v>
      </c>
      <c r="H363" s="76">
        <v>0</v>
      </c>
      <c r="I363" s="76">
        <v>0</v>
      </c>
      <c r="J363" s="76">
        <v>0</v>
      </c>
      <c r="K363" s="76">
        <v>0</v>
      </c>
      <c r="L363" s="76">
        <v>1</v>
      </c>
      <c r="M363" s="76">
        <v>60.1</v>
      </c>
      <c r="N363" s="76">
        <v>54</v>
      </c>
      <c r="O363" s="76">
        <v>16</v>
      </c>
      <c r="P363" s="76">
        <v>14</v>
      </c>
      <c r="Q363" s="76">
        <v>4</v>
      </c>
      <c r="R363" s="76">
        <v>16</v>
      </c>
      <c r="S363" s="76">
        <v>1</v>
      </c>
      <c r="T363" s="76">
        <v>49</v>
      </c>
      <c r="U363" s="76">
        <v>246</v>
      </c>
      <c r="V363" s="76">
        <v>60.1</v>
      </c>
      <c r="W363" s="76">
        <v>0.24199999999999999</v>
      </c>
      <c r="X363" s="76">
        <v>1.1599999999999999</v>
      </c>
      <c r="Y363" s="76"/>
      <c r="Z363" s="76">
        <v>3</v>
      </c>
      <c r="AA363" t="s">
        <v>1390</v>
      </c>
      <c r="AB363" s="76" t="s">
        <v>155</v>
      </c>
      <c r="AC363" s="76">
        <v>4</v>
      </c>
      <c r="AD363" s="76">
        <v>1</v>
      </c>
      <c r="AE363" s="76">
        <v>9</v>
      </c>
      <c r="AF363" s="76">
        <v>15</v>
      </c>
      <c r="AG363" s="76">
        <v>10</v>
      </c>
      <c r="AH363" s="76">
        <v>66</v>
      </c>
      <c r="AI363" s="76">
        <v>57</v>
      </c>
      <c r="AJ363" s="76">
        <v>6</v>
      </c>
      <c r="AK363" s="76">
        <v>0</v>
      </c>
      <c r="AL363" s="76">
        <v>3</v>
      </c>
      <c r="AM363" s="76">
        <v>1</v>
      </c>
      <c r="AN363" s="76">
        <v>0</v>
      </c>
      <c r="AO363" s="76">
        <v>921</v>
      </c>
      <c r="AP363" s="202" t="s">
        <v>155</v>
      </c>
      <c r="AQ363" s="202" t="s">
        <v>243</v>
      </c>
      <c r="AR363" s="202">
        <v>1.48</v>
      </c>
      <c r="AS363" s="202">
        <v>0.34499999999999997</v>
      </c>
      <c r="AT363" s="202">
        <v>0.33800000000000002</v>
      </c>
      <c r="AU363" s="202">
        <v>0.68300000000000005</v>
      </c>
      <c r="AV363" s="202">
        <v>9.39</v>
      </c>
      <c r="AW363" s="202">
        <v>5.87</v>
      </c>
      <c r="AX363" s="202">
        <v>7.28</v>
      </c>
      <c r="AY363" s="202">
        <v>1.6</v>
      </c>
      <c r="AZ363" s="202">
        <v>18.079999999999998</v>
      </c>
    </row>
    <row r="364" spans="1:52" x14ac:dyDescent="0.2">
      <c r="A364" s="76">
        <v>5</v>
      </c>
      <c r="B364" s="41" t="s">
        <v>1391</v>
      </c>
      <c r="C364" s="76" t="s">
        <v>155</v>
      </c>
      <c r="D364" s="76">
        <v>7</v>
      </c>
      <c r="E364" s="76">
        <v>2</v>
      </c>
      <c r="F364" s="76">
        <v>2.48</v>
      </c>
      <c r="G364" s="76">
        <v>58</v>
      </c>
      <c r="H364" s="76">
        <v>0</v>
      </c>
      <c r="I364" s="76">
        <v>0</v>
      </c>
      <c r="J364" s="76">
        <v>0</v>
      </c>
      <c r="K364" s="76">
        <v>1</v>
      </c>
      <c r="L364" s="76">
        <v>4</v>
      </c>
      <c r="M364" s="76">
        <v>61.2</v>
      </c>
      <c r="N364" s="76">
        <v>44</v>
      </c>
      <c r="O364" s="76">
        <v>18</v>
      </c>
      <c r="P364" s="76">
        <v>17</v>
      </c>
      <c r="Q364" s="76">
        <v>4</v>
      </c>
      <c r="R364" s="76">
        <v>14</v>
      </c>
      <c r="S364" s="76">
        <v>0</v>
      </c>
      <c r="T364" s="76">
        <v>61</v>
      </c>
      <c r="U364" s="76">
        <v>243</v>
      </c>
      <c r="V364" s="76">
        <v>61.2</v>
      </c>
      <c r="W364" s="76">
        <v>0.19600000000000001</v>
      </c>
      <c r="X364" s="76">
        <v>0.94</v>
      </c>
      <c r="Y364" s="76"/>
      <c r="Z364" s="76">
        <v>5</v>
      </c>
      <c r="AA364" t="s">
        <v>1391</v>
      </c>
      <c r="AB364" s="76" t="s">
        <v>155</v>
      </c>
      <c r="AC364" s="76">
        <v>1</v>
      </c>
      <c r="AD364" s="76">
        <v>0</v>
      </c>
      <c r="AE364" s="76">
        <v>15</v>
      </c>
      <c r="AF364" s="76">
        <v>22</v>
      </c>
      <c r="AG364" s="76">
        <v>3</v>
      </c>
      <c r="AH364" s="76">
        <v>63</v>
      </c>
      <c r="AI364" s="76">
        <v>60</v>
      </c>
      <c r="AJ364" s="76">
        <v>2</v>
      </c>
      <c r="AK364" s="76">
        <v>0</v>
      </c>
      <c r="AL364" s="76">
        <v>1</v>
      </c>
      <c r="AM364" s="76">
        <v>0</v>
      </c>
      <c r="AN364" s="76">
        <v>0</v>
      </c>
      <c r="AO364" s="76">
        <v>941</v>
      </c>
      <c r="AP364" s="202" t="s">
        <v>155</v>
      </c>
      <c r="AQ364" s="202">
        <v>0.54200000000000004</v>
      </c>
      <c r="AR364" s="202">
        <v>1.46</v>
      </c>
      <c r="AS364" s="202">
        <v>0.33100000000000002</v>
      </c>
      <c r="AT364" s="202">
        <v>0.39900000000000002</v>
      </c>
      <c r="AU364" s="202">
        <v>0.72899999999999998</v>
      </c>
      <c r="AV364" s="202">
        <v>5.91</v>
      </c>
      <c r="AW364" s="202">
        <v>3.32</v>
      </c>
      <c r="AX364" s="202">
        <v>9.42</v>
      </c>
      <c r="AY364" s="202">
        <v>1.78</v>
      </c>
      <c r="AZ364" s="202">
        <v>17.5</v>
      </c>
    </row>
    <row r="365" spans="1:52" x14ac:dyDescent="0.2">
      <c r="A365" s="76">
        <v>7</v>
      </c>
      <c r="B365" s="41" t="s">
        <v>825</v>
      </c>
      <c r="C365" s="76" t="s">
        <v>155</v>
      </c>
      <c r="D365" s="76">
        <v>4</v>
      </c>
      <c r="E365" s="76">
        <v>1</v>
      </c>
      <c r="F365" s="76">
        <v>2.79</v>
      </c>
      <c r="G365" s="76">
        <v>39</v>
      </c>
      <c r="H365" s="76">
        <v>0</v>
      </c>
      <c r="I365" s="76">
        <v>0</v>
      </c>
      <c r="J365" s="76">
        <v>0</v>
      </c>
      <c r="K365" s="76">
        <v>0</v>
      </c>
      <c r="L365" s="76">
        <v>0</v>
      </c>
      <c r="M365" s="76">
        <v>51.2</v>
      </c>
      <c r="N365" s="76">
        <v>55</v>
      </c>
      <c r="O365" s="76">
        <v>19</v>
      </c>
      <c r="P365" s="76">
        <v>16</v>
      </c>
      <c r="Q365" s="76">
        <v>2</v>
      </c>
      <c r="R365" s="76">
        <v>10</v>
      </c>
      <c r="S365" s="76">
        <v>0</v>
      </c>
      <c r="T365" s="76">
        <v>34</v>
      </c>
      <c r="U365" s="76">
        <v>217</v>
      </c>
      <c r="V365" s="76">
        <v>51.2</v>
      </c>
      <c r="W365" s="76">
        <v>0.27</v>
      </c>
      <c r="X365" s="76">
        <v>1.26</v>
      </c>
      <c r="Y365" s="76"/>
      <c r="Z365" s="76">
        <v>7</v>
      </c>
      <c r="AA365" t="s">
        <v>825</v>
      </c>
      <c r="AB365" s="76" t="s">
        <v>155</v>
      </c>
      <c r="AC365" s="76">
        <v>1</v>
      </c>
      <c r="AD365" s="76">
        <v>0</v>
      </c>
      <c r="AE365" s="76">
        <v>15</v>
      </c>
      <c r="AF365" s="76">
        <v>2</v>
      </c>
      <c r="AG365" s="76">
        <v>8</v>
      </c>
      <c r="AH365" s="76">
        <v>81</v>
      </c>
      <c r="AI365" s="76">
        <v>36</v>
      </c>
      <c r="AJ365" s="76">
        <v>0</v>
      </c>
      <c r="AK365" s="76">
        <v>0</v>
      </c>
      <c r="AL365" s="76">
        <v>0</v>
      </c>
      <c r="AM365" s="76">
        <v>0</v>
      </c>
      <c r="AN365" s="76">
        <v>0</v>
      </c>
      <c r="AO365" s="76">
        <v>789</v>
      </c>
      <c r="AP365" s="202" t="s">
        <v>155</v>
      </c>
      <c r="AQ365" s="202">
        <v>0.875</v>
      </c>
      <c r="AR365" s="202">
        <v>1.24</v>
      </c>
      <c r="AS365" s="202">
        <v>0.30399999999999999</v>
      </c>
      <c r="AT365" s="202">
        <v>0.40100000000000002</v>
      </c>
      <c r="AU365" s="202">
        <v>0.70499999999999996</v>
      </c>
      <c r="AV365" s="202">
        <v>8.39</v>
      </c>
      <c r="AW365" s="202">
        <v>2.4700000000000002</v>
      </c>
      <c r="AX365" s="202">
        <v>8.2799999999999994</v>
      </c>
      <c r="AY365" s="202">
        <v>3.39</v>
      </c>
      <c r="AZ365" s="202">
        <v>14.8</v>
      </c>
    </row>
    <row r="366" spans="1:52" x14ac:dyDescent="0.2">
      <c r="A366" s="76">
        <v>10</v>
      </c>
      <c r="B366" s="41" t="s">
        <v>1392</v>
      </c>
      <c r="C366" s="76" t="s">
        <v>155</v>
      </c>
      <c r="D366" s="76">
        <v>7</v>
      </c>
      <c r="E366" s="76">
        <v>5</v>
      </c>
      <c r="F366" s="76">
        <v>3.41</v>
      </c>
      <c r="G366" s="76">
        <v>17</v>
      </c>
      <c r="H366" s="76">
        <v>17</v>
      </c>
      <c r="I366" s="76">
        <v>0</v>
      </c>
      <c r="J366" s="76">
        <v>0</v>
      </c>
      <c r="K366" s="76">
        <v>0</v>
      </c>
      <c r="L366" s="76">
        <v>0</v>
      </c>
      <c r="M366" s="76">
        <v>100.1</v>
      </c>
      <c r="N366" s="76">
        <v>81</v>
      </c>
      <c r="O366" s="76">
        <v>43</v>
      </c>
      <c r="P366" s="76">
        <v>38</v>
      </c>
      <c r="Q366" s="76">
        <v>12</v>
      </c>
      <c r="R366" s="76">
        <v>31</v>
      </c>
      <c r="S366" s="76">
        <v>1</v>
      </c>
      <c r="T366" s="76">
        <v>132</v>
      </c>
      <c r="U366" s="76">
        <v>416</v>
      </c>
      <c r="V366" s="76">
        <v>100.1</v>
      </c>
      <c r="W366" s="76">
        <v>0.214</v>
      </c>
      <c r="X366" s="76">
        <v>1.1200000000000001</v>
      </c>
      <c r="Y366" s="76"/>
      <c r="Z366" s="76">
        <v>10</v>
      </c>
      <c r="AA366" t="s">
        <v>1392</v>
      </c>
      <c r="AB366" s="76" t="s">
        <v>155</v>
      </c>
      <c r="AC366" s="76">
        <v>3</v>
      </c>
      <c r="AD366" s="76">
        <v>1</v>
      </c>
      <c r="AE366" s="76">
        <v>0</v>
      </c>
      <c r="AF366" s="76">
        <v>0</v>
      </c>
      <c r="AG366" s="76">
        <v>3</v>
      </c>
      <c r="AH366" s="76">
        <v>75</v>
      </c>
      <c r="AI366" s="76">
        <v>94</v>
      </c>
      <c r="AJ366" s="76">
        <v>6</v>
      </c>
      <c r="AK366" s="76">
        <v>0</v>
      </c>
      <c r="AL366" s="76">
        <v>13</v>
      </c>
      <c r="AM366" s="76">
        <v>0</v>
      </c>
      <c r="AN366" s="76">
        <v>0</v>
      </c>
      <c r="AO366" s="76">
        <v>1579</v>
      </c>
      <c r="AP366" s="202" t="s">
        <v>155</v>
      </c>
      <c r="AQ366" s="202" t="s">
        <v>243</v>
      </c>
      <c r="AR366" s="202">
        <v>1.33</v>
      </c>
      <c r="AS366" s="202">
        <v>0.25900000000000001</v>
      </c>
      <c r="AT366" s="202">
        <v>0.36</v>
      </c>
      <c r="AU366" s="202">
        <v>0.61899999999999999</v>
      </c>
      <c r="AV366" s="202">
        <v>8.5299999999999994</v>
      </c>
      <c r="AW366" s="202">
        <v>2.84</v>
      </c>
      <c r="AX366" s="202">
        <v>7.11</v>
      </c>
      <c r="AY366" s="202">
        <v>3</v>
      </c>
      <c r="AZ366" s="202">
        <v>17.37</v>
      </c>
    </row>
    <row r="367" spans="1:52" x14ac:dyDescent="0.2">
      <c r="A367" s="76">
        <v>9</v>
      </c>
      <c r="B367" s="41" t="s">
        <v>419</v>
      </c>
      <c r="C367" s="76" t="s">
        <v>155</v>
      </c>
      <c r="D367" s="76">
        <v>4</v>
      </c>
      <c r="E367" s="76">
        <v>2</v>
      </c>
      <c r="F367" s="76">
        <v>3.4</v>
      </c>
      <c r="G367" s="76">
        <v>66</v>
      </c>
      <c r="H367" s="76">
        <v>0</v>
      </c>
      <c r="I367" s="76">
        <v>0</v>
      </c>
      <c r="J367" s="76">
        <v>0</v>
      </c>
      <c r="K367" s="76">
        <v>4</v>
      </c>
      <c r="L367" s="76">
        <v>5</v>
      </c>
      <c r="M367" s="76">
        <v>53</v>
      </c>
      <c r="N367" s="76">
        <v>36</v>
      </c>
      <c r="O367" s="76">
        <v>22</v>
      </c>
      <c r="P367" s="76">
        <v>20</v>
      </c>
      <c r="Q367" s="76">
        <v>4</v>
      </c>
      <c r="R367" s="76">
        <v>26</v>
      </c>
      <c r="S367" s="76">
        <v>1</v>
      </c>
      <c r="T367" s="76">
        <v>59</v>
      </c>
      <c r="U367" s="76">
        <v>221</v>
      </c>
      <c r="V367" s="76">
        <v>53</v>
      </c>
      <c r="W367" s="76">
        <v>0.189</v>
      </c>
      <c r="X367" s="76">
        <v>1.17</v>
      </c>
      <c r="Y367" s="76"/>
      <c r="Z367" s="76">
        <v>9</v>
      </c>
      <c r="AA367" t="s">
        <v>419</v>
      </c>
      <c r="AB367" s="76" t="s">
        <v>155</v>
      </c>
      <c r="AC367" s="76">
        <v>3</v>
      </c>
      <c r="AD367" s="76">
        <v>1</v>
      </c>
      <c r="AE367" s="76">
        <v>14</v>
      </c>
      <c r="AF367" s="76">
        <v>26</v>
      </c>
      <c r="AG367" s="76">
        <v>5</v>
      </c>
      <c r="AH367" s="76">
        <v>51</v>
      </c>
      <c r="AI367" s="76">
        <v>46</v>
      </c>
      <c r="AJ367" s="76">
        <v>3</v>
      </c>
      <c r="AK367" s="76">
        <v>0</v>
      </c>
      <c r="AL367" s="76">
        <v>0</v>
      </c>
      <c r="AM367" s="76">
        <v>0</v>
      </c>
      <c r="AN367" s="76">
        <v>0</v>
      </c>
      <c r="AO367" s="76">
        <v>932</v>
      </c>
      <c r="AP367" s="202" t="s">
        <v>155</v>
      </c>
      <c r="AQ367" s="202">
        <v>0.57099999999999995</v>
      </c>
      <c r="AR367" s="202">
        <v>1.1200000000000001</v>
      </c>
      <c r="AS367" s="202">
        <v>0.33500000000000002</v>
      </c>
      <c r="AT367" s="202">
        <v>0.49299999999999999</v>
      </c>
      <c r="AU367" s="202">
        <v>0.82799999999999996</v>
      </c>
      <c r="AV367" s="202">
        <v>6.29</v>
      </c>
      <c r="AW367" s="202">
        <v>2.61</v>
      </c>
      <c r="AX367" s="202">
        <v>9.0500000000000007</v>
      </c>
      <c r="AY367" s="202">
        <v>2.41</v>
      </c>
      <c r="AZ367" s="202">
        <v>15.49</v>
      </c>
    </row>
    <row r="368" spans="1:52" x14ac:dyDescent="0.2">
      <c r="A368" s="76">
        <v>4</v>
      </c>
      <c r="B368" s="41" t="s">
        <v>397</v>
      </c>
      <c r="C368" s="76" t="s">
        <v>155</v>
      </c>
      <c r="D368" s="76">
        <v>3</v>
      </c>
      <c r="E368" s="76">
        <v>2</v>
      </c>
      <c r="F368" s="76">
        <v>2.4300000000000002</v>
      </c>
      <c r="G368" s="76">
        <v>73</v>
      </c>
      <c r="H368" s="76">
        <v>0</v>
      </c>
      <c r="I368" s="76">
        <v>0</v>
      </c>
      <c r="J368" s="76">
        <v>0</v>
      </c>
      <c r="K368" s="76">
        <v>38</v>
      </c>
      <c r="L368" s="76">
        <v>43</v>
      </c>
      <c r="M368" s="76">
        <v>70.099999999999994</v>
      </c>
      <c r="N368" s="76">
        <v>63</v>
      </c>
      <c r="O368" s="76">
        <v>19</v>
      </c>
      <c r="P368" s="76">
        <v>19</v>
      </c>
      <c r="Q368" s="76">
        <v>5</v>
      </c>
      <c r="R368" s="76">
        <v>23</v>
      </c>
      <c r="S368" s="76">
        <v>0</v>
      </c>
      <c r="T368" s="76">
        <v>55</v>
      </c>
      <c r="U368" s="76">
        <v>285</v>
      </c>
      <c r="V368" s="76">
        <v>70.099999999999994</v>
      </c>
      <c r="W368" s="76">
        <v>0.24399999999999999</v>
      </c>
      <c r="X368" s="76">
        <v>1.22</v>
      </c>
      <c r="Y368" s="76"/>
      <c r="Z368" s="76">
        <v>4</v>
      </c>
      <c r="AA368" t="s">
        <v>397</v>
      </c>
      <c r="AB368" s="76" t="s">
        <v>155</v>
      </c>
      <c r="AC368" s="76">
        <v>3</v>
      </c>
      <c r="AD368" s="76">
        <v>0</v>
      </c>
      <c r="AE368" s="76">
        <v>53</v>
      </c>
      <c r="AF368" s="76">
        <v>10</v>
      </c>
      <c r="AG368" s="76">
        <v>12</v>
      </c>
      <c r="AH368" s="76">
        <v>103</v>
      </c>
      <c r="AI368" s="76">
        <v>38</v>
      </c>
      <c r="AJ368" s="76">
        <v>3</v>
      </c>
      <c r="AK368" s="76">
        <v>0</v>
      </c>
      <c r="AL368" s="76">
        <v>5</v>
      </c>
      <c r="AM368" s="76">
        <v>2</v>
      </c>
      <c r="AN368" s="76">
        <v>0</v>
      </c>
      <c r="AO368" s="76">
        <v>990</v>
      </c>
      <c r="AP368" s="202" t="s">
        <v>155</v>
      </c>
      <c r="AQ368" s="202" t="s">
        <v>243</v>
      </c>
      <c r="AR368" s="202">
        <v>0</v>
      </c>
      <c r="AS368" s="202">
        <v>0.375</v>
      </c>
      <c r="AT368" s="202">
        <v>0.71399999999999997</v>
      </c>
      <c r="AU368" s="202">
        <v>1.089</v>
      </c>
      <c r="AV368" s="202">
        <v>5.4</v>
      </c>
      <c r="AW368" s="202">
        <v>0</v>
      </c>
      <c r="AX368" s="202">
        <v>10.8</v>
      </c>
      <c r="AY368" s="202" t="s">
        <v>243</v>
      </c>
      <c r="AZ368" s="202">
        <v>15.6</v>
      </c>
    </row>
    <row r="369" spans="1:52" x14ac:dyDescent="0.2">
      <c r="A369" s="76">
        <v>21</v>
      </c>
      <c r="B369" t="s">
        <v>1214</v>
      </c>
      <c r="C369" s="76" t="s">
        <v>155</v>
      </c>
      <c r="D369" s="76">
        <v>0</v>
      </c>
      <c r="E369" s="76">
        <v>0</v>
      </c>
      <c r="F369" s="76">
        <v>6.75</v>
      </c>
      <c r="G369" s="76">
        <v>9</v>
      </c>
      <c r="H369" s="76">
        <v>0</v>
      </c>
      <c r="I369" s="76">
        <v>0</v>
      </c>
      <c r="J369" s="76">
        <v>0</v>
      </c>
      <c r="K369" s="76">
        <v>0</v>
      </c>
      <c r="L369" s="76">
        <v>0</v>
      </c>
      <c r="M369" s="76">
        <v>6.2</v>
      </c>
      <c r="N369" s="76">
        <v>8</v>
      </c>
      <c r="O369" s="76">
        <v>7</v>
      </c>
      <c r="P369" s="76">
        <v>5</v>
      </c>
      <c r="Q369" s="76">
        <v>3</v>
      </c>
      <c r="R369" s="76">
        <v>4</v>
      </c>
      <c r="S369" s="76">
        <v>1</v>
      </c>
      <c r="T369" s="76">
        <v>1</v>
      </c>
      <c r="U369" s="76">
        <v>32</v>
      </c>
      <c r="V369" s="76">
        <v>6.2</v>
      </c>
      <c r="W369" s="76">
        <v>0.28599999999999998</v>
      </c>
      <c r="X369" s="76">
        <v>1.8</v>
      </c>
      <c r="Y369" s="76"/>
      <c r="Z369" s="76">
        <v>21</v>
      </c>
      <c r="AA369" t="s">
        <v>1214</v>
      </c>
      <c r="AB369" s="76" t="s">
        <v>155</v>
      </c>
      <c r="AC369" s="76">
        <v>0</v>
      </c>
      <c r="AD369" s="76">
        <v>1</v>
      </c>
      <c r="AE369" s="76">
        <v>1</v>
      </c>
      <c r="AF369" s="76">
        <v>1</v>
      </c>
      <c r="AG369" s="76">
        <v>1</v>
      </c>
      <c r="AH369" s="76">
        <v>9</v>
      </c>
      <c r="AI369" s="76">
        <v>10</v>
      </c>
      <c r="AJ369" s="76">
        <v>2</v>
      </c>
      <c r="AK369" s="76">
        <v>0</v>
      </c>
      <c r="AL369" s="76">
        <v>0</v>
      </c>
      <c r="AM369" s="76">
        <v>0</v>
      </c>
      <c r="AN369" s="76">
        <v>0</v>
      </c>
      <c r="AO369" s="76">
        <v>123</v>
      </c>
      <c r="AP369" s="202" t="s">
        <v>155</v>
      </c>
      <c r="AQ369" s="202">
        <v>0.6</v>
      </c>
      <c r="AR369" s="202">
        <v>0.98</v>
      </c>
      <c r="AS369" s="202">
        <v>0.35299999999999998</v>
      </c>
      <c r="AT369" s="202">
        <v>0.441</v>
      </c>
      <c r="AU369" s="202">
        <v>0.79400000000000004</v>
      </c>
      <c r="AV369" s="202">
        <v>7.51</v>
      </c>
      <c r="AW369" s="202">
        <v>3.75</v>
      </c>
      <c r="AX369" s="202">
        <v>10.32</v>
      </c>
      <c r="AY369" s="202">
        <v>2</v>
      </c>
      <c r="AZ369" s="202">
        <v>18.46</v>
      </c>
    </row>
    <row r="370" spans="1:52" x14ac:dyDescent="0.2">
      <c r="A370" s="76">
        <v>24</v>
      </c>
      <c r="B370" t="s">
        <v>1216</v>
      </c>
      <c r="C370" s="76" t="s">
        <v>155</v>
      </c>
      <c r="D370" s="76">
        <v>0</v>
      </c>
      <c r="E370" s="76">
        <v>2</v>
      </c>
      <c r="F370" s="76">
        <v>8.7100000000000009</v>
      </c>
      <c r="G370" s="76">
        <v>3</v>
      </c>
      <c r="H370" s="76">
        <v>3</v>
      </c>
      <c r="I370" s="76">
        <v>0</v>
      </c>
      <c r="J370" s="76">
        <v>0</v>
      </c>
      <c r="K370" s="76">
        <v>0</v>
      </c>
      <c r="L370" s="76">
        <v>0</v>
      </c>
      <c r="M370" s="76">
        <v>10.1</v>
      </c>
      <c r="N370" s="76">
        <v>21</v>
      </c>
      <c r="O370" s="76">
        <v>13</v>
      </c>
      <c r="P370" s="76">
        <v>10</v>
      </c>
      <c r="Q370" s="76">
        <v>1</v>
      </c>
      <c r="R370" s="76">
        <v>9</v>
      </c>
      <c r="S370" s="76">
        <v>0</v>
      </c>
      <c r="T370" s="76">
        <v>7</v>
      </c>
      <c r="U370" s="76">
        <v>62</v>
      </c>
      <c r="V370" s="76">
        <v>10.1</v>
      </c>
      <c r="W370" s="76">
        <v>0.40400000000000003</v>
      </c>
      <c r="X370" s="76">
        <v>2.9</v>
      </c>
      <c r="Y370" s="76"/>
      <c r="Z370" s="76">
        <v>24</v>
      </c>
      <c r="AA370" t="s">
        <v>1216</v>
      </c>
      <c r="AB370" s="76" t="s">
        <v>155</v>
      </c>
      <c r="AC370" s="76">
        <v>0</v>
      </c>
      <c r="AD370" s="76">
        <v>0</v>
      </c>
      <c r="AE370" s="76">
        <v>0</v>
      </c>
      <c r="AF370" s="76">
        <v>0</v>
      </c>
      <c r="AG370" s="76">
        <v>1</v>
      </c>
      <c r="AH370" s="76">
        <v>12</v>
      </c>
      <c r="AI370" s="76">
        <v>13</v>
      </c>
      <c r="AJ370" s="76">
        <v>0</v>
      </c>
      <c r="AK370" s="76">
        <v>0</v>
      </c>
      <c r="AL370" s="76">
        <v>2</v>
      </c>
      <c r="AM370" s="76">
        <v>0</v>
      </c>
      <c r="AN370" s="76">
        <v>0</v>
      </c>
      <c r="AO370" s="76">
        <v>249</v>
      </c>
      <c r="AP370" s="202" t="s">
        <v>155</v>
      </c>
      <c r="AQ370" s="202">
        <v>0.6</v>
      </c>
      <c r="AR370" s="202">
        <v>0.96</v>
      </c>
      <c r="AS370" s="202">
        <v>0.28699999999999998</v>
      </c>
      <c r="AT370" s="202">
        <v>0.38800000000000001</v>
      </c>
      <c r="AU370" s="202">
        <v>0.67500000000000004</v>
      </c>
      <c r="AV370" s="202">
        <v>9.4600000000000009</v>
      </c>
      <c r="AW370" s="202">
        <v>2.12</v>
      </c>
      <c r="AX370" s="202">
        <v>8.2100000000000009</v>
      </c>
      <c r="AY370" s="202">
        <v>4.47</v>
      </c>
      <c r="AZ370" s="202">
        <v>16.16</v>
      </c>
    </row>
    <row r="371" spans="1:52" x14ac:dyDescent="0.2">
      <c r="A371" s="76">
        <v>15</v>
      </c>
      <c r="B371" s="41" t="s">
        <v>1393</v>
      </c>
      <c r="C371" s="76" t="s">
        <v>155</v>
      </c>
      <c r="D371" s="76">
        <v>7</v>
      </c>
      <c r="E371" s="76">
        <v>4</v>
      </c>
      <c r="F371" s="76">
        <v>5.07</v>
      </c>
      <c r="G371" s="76">
        <v>23</v>
      </c>
      <c r="H371" s="76">
        <v>23</v>
      </c>
      <c r="I371" s="76">
        <v>0</v>
      </c>
      <c r="J371" s="76">
        <v>0</v>
      </c>
      <c r="K371" s="76">
        <v>0</v>
      </c>
      <c r="L371" s="76">
        <v>0</v>
      </c>
      <c r="M371" s="76">
        <v>119</v>
      </c>
      <c r="N371" s="76">
        <v>116</v>
      </c>
      <c r="O371" s="76">
        <v>68</v>
      </c>
      <c r="P371" s="76">
        <v>67</v>
      </c>
      <c r="Q371" s="76">
        <v>28</v>
      </c>
      <c r="R371" s="76">
        <v>46</v>
      </c>
      <c r="S371" s="76">
        <v>1</v>
      </c>
      <c r="T371" s="76">
        <v>107</v>
      </c>
      <c r="U371" s="76">
        <v>509</v>
      </c>
      <c r="V371" s="76">
        <v>119</v>
      </c>
      <c r="W371" s="76">
        <v>0.25600000000000001</v>
      </c>
      <c r="X371" s="76">
        <v>1.36</v>
      </c>
      <c r="Y371" s="76"/>
      <c r="Z371" s="76">
        <v>15</v>
      </c>
      <c r="AA371" t="s">
        <v>1393</v>
      </c>
      <c r="AB371" s="76" t="s">
        <v>155</v>
      </c>
      <c r="AC371" s="76">
        <v>7</v>
      </c>
      <c r="AD371" s="76">
        <v>1</v>
      </c>
      <c r="AE371" s="76">
        <v>0</v>
      </c>
      <c r="AF371" s="76">
        <v>0</v>
      </c>
      <c r="AG371" s="76">
        <v>10</v>
      </c>
      <c r="AH371" s="76">
        <v>78</v>
      </c>
      <c r="AI371" s="76">
        <v>155</v>
      </c>
      <c r="AJ371" s="76">
        <v>0</v>
      </c>
      <c r="AK371" s="76">
        <v>1</v>
      </c>
      <c r="AL371" s="76">
        <v>4</v>
      </c>
      <c r="AM371" s="76">
        <v>5</v>
      </c>
      <c r="AN371" s="76">
        <v>0</v>
      </c>
      <c r="AO371" s="76">
        <v>2063</v>
      </c>
      <c r="AP371" s="202" t="s">
        <v>155</v>
      </c>
      <c r="AQ371" s="202">
        <v>0</v>
      </c>
      <c r="AR371" s="202">
        <v>0.24</v>
      </c>
      <c r="AS371" s="202">
        <v>0.38800000000000001</v>
      </c>
      <c r="AT371" s="202">
        <v>0.41499999999999998</v>
      </c>
      <c r="AU371" s="202">
        <v>0.80200000000000005</v>
      </c>
      <c r="AV371" s="202">
        <v>6.94</v>
      </c>
      <c r="AW371" s="202">
        <v>5.4</v>
      </c>
      <c r="AX371" s="202">
        <v>8.49</v>
      </c>
      <c r="AY371" s="202">
        <v>1.29</v>
      </c>
      <c r="AZ371" s="202">
        <v>17.66</v>
      </c>
    </row>
    <row r="372" spans="1:52" x14ac:dyDescent="0.2">
      <c r="A372" s="76">
        <v>8</v>
      </c>
      <c r="B372" s="41" t="s">
        <v>421</v>
      </c>
      <c r="C372" s="76" t="s">
        <v>155</v>
      </c>
      <c r="D372" s="76">
        <v>15</v>
      </c>
      <c r="E372" s="76">
        <v>5</v>
      </c>
      <c r="F372" s="76">
        <v>3.32</v>
      </c>
      <c r="G372" s="76">
        <v>32</v>
      </c>
      <c r="H372" s="76">
        <v>32</v>
      </c>
      <c r="I372" s="76">
        <v>0</v>
      </c>
      <c r="J372" s="76">
        <v>0</v>
      </c>
      <c r="K372" s="76">
        <v>0</v>
      </c>
      <c r="L372" s="76">
        <v>0</v>
      </c>
      <c r="M372" s="76">
        <v>200.2</v>
      </c>
      <c r="N372" s="76">
        <v>185</v>
      </c>
      <c r="O372" s="76">
        <v>83</v>
      </c>
      <c r="P372" s="76">
        <v>74</v>
      </c>
      <c r="Q372" s="76">
        <v>24</v>
      </c>
      <c r="R372" s="76">
        <v>77</v>
      </c>
      <c r="S372" s="76">
        <v>1</v>
      </c>
      <c r="T372" s="76">
        <v>200</v>
      </c>
      <c r="U372" s="76">
        <v>848</v>
      </c>
      <c r="V372" s="76">
        <v>200.2</v>
      </c>
      <c r="W372" s="76">
        <v>0.24299999999999999</v>
      </c>
      <c r="X372" s="76">
        <v>1.31</v>
      </c>
      <c r="Y372" s="76"/>
      <c r="Z372" s="76">
        <v>8</v>
      </c>
      <c r="AA372" t="s">
        <v>421</v>
      </c>
      <c r="AB372" s="76" t="s">
        <v>155</v>
      </c>
      <c r="AC372" s="76">
        <v>8</v>
      </c>
      <c r="AD372" s="76">
        <v>1</v>
      </c>
      <c r="AE372" s="76">
        <v>0</v>
      </c>
      <c r="AF372" s="76">
        <v>0</v>
      </c>
      <c r="AG372" s="76">
        <v>19</v>
      </c>
      <c r="AH372" s="76">
        <v>216</v>
      </c>
      <c r="AI372" s="76">
        <v>162</v>
      </c>
      <c r="AJ372" s="76">
        <v>4</v>
      </c>
      <c r="AK372" s="76">
        <v>1</v>
      </c>
      <c r="AL372" s="76">
        <v>23</v>
      </c>
      <c r="AM372" s="76">
        <v>5</v>
      </c>
      <c r="AN372" s="76">
        <v>3</v>
      </c>
      <c r="AO372" s="76">
        <v>3253</v>
      </c>
      <c r="AP372" s="202" t="s">
        <v>155</v>
      </c>
      <c r="AQ372" s="202">
        <v>0.33300000000000002</v>
      </c>
      <c r="AR372" s="202">
        <v>0.95</v>
      </c>
      <c r="AS372" s="202">
        <v>0.36199999999999999</v>
      </c>
      <c r="AT372" s="202">
        <v>0.51600000000000001</v>
      </c>
      <c r="AU372" s="202">
        <v>0.878</v>
      </c>
      <c r="AV372" s="202">
        <v>2.81</v>
      </c>
      <c r="AW372" s="202">
        <v>3.38</v>
      </c>
      <c r="AX372" s="202">
        <v>10.69</v>
      </c>
      <c r="AY372" s="202">
        <v>0.83</v>
      </c>
      <c r="AZ372" s="202">
        <v>16.940000000000001</v>
      </c>
    </row>
    <row r="373" spans="1:52" x14ac:dyDescent="0.2">
      <c r="A373" s="76">
        <v>18</v>
      </c>
      <c r="B373" t="s">
        <v>1394</v>
      </c>
      <c r="C373" s="76" t="s">
        <v>155</v>
      </c>
      <c r="D373" s="76">
        <v>1</v>
      </c>
      <c r="E373" s="76">
        <v>0</v>
      </c>
      <c r="F373" s="76">
        <v>5.6</v>
      </c>
      <c r="G373" s="76">
        <v>4</v>
      </c>
      <c r="H373" s="76">
        <v>4</v>
      </c>
      <c r="I373" s="76">
        <v>0</v>
      </c>
      <c r="J373" s="76">
        <v>0</v>
      </c>
      <c r="K373" s="76">
        <v>0</v>
      </c>
      <c r="L373" s="76">
        <v>0</v>
      </c>
      <c r="M373" s="76">
        <v>17.2</v>
      </c>
      <c r="N373" s="76">
        <v>21</v>
      </c>
      <c r="O373" s="76">
        <v>11</v>
      </c>
      <c r="P373" s="76">
        <v>11</v>
      </c>
      <c r="Q373" s="76">
        <v>3</v>
      </c>
      <c r="R373" s="76">
        <v>13</v>
      </c>
      <c r="S373" s="76">
        <v>0</v>
      </c>
      <c r="T373" s="76">
        <v>15</v>
      </c>
      <c r="U373" s="76">
        <v>84</v>
      </c>
      <c r="V373" s="76">
        <v>17.2</v>
      </c>
      <c r="W373" s="76">
        <v>0.309</v>
      </c>
      <c r="X373" s="76">
        <v>1.92</v>
      </c>
      <c r="Y373" s="76"/>
      <c r="Z373" s="76">
        <v>18</v>
      </c>
      <c r="AA373" t="s">
        <v>1394</v>
      </c>
      <c r="AB373" s="76" t="s">
        <v>155</v>
      </c>
      <c r="AC373" s="76">
        <v>1</v>
      </c>
      <c r="AD373" s="76">
        <v>0</v>
      </c>
      <c r="AE373" s="76">
        <v>0</v>
      </c>
      <c r="AF373" s="76">
        <v>0</v>
      </c>
      <c r="AG373" s="76">
        <v>3</v>
      </c>
      <c r="AH373" s="76">
        <v>20</v>
      </c>
      <c r="AI373" s="76">
        <v>14</v>
      </c>
      <c r="AJ373" s="76">
        <v>2</v>
      </c>
      <c r="AK373" s="76">
        <v>0</v>
      </c>
      <c r="AL373" s="76">
        <v>4</v>
      </c>
      <c r="AM373" s="76">
        <v>1</v>
      </c>
      <c r="AN373" s="76">
        <v>0</v>
      </c>
      <c r="AO373" s="76">
        <v>351</v>
      </c>
      <c r="AP373" s="202" t="s">
        <v>155</v>
      </c>
      <c r="AQ373" s="202">
        <v>0.33300000000000002</v>
      </c>
      <c r="AR373" s="202">
        <v>2.38</v>
      </c>
      <c r="AS373" s="202">
        <v>0.33700000000000002</v>
      </c>
      <c r="AT373" s="202">
        <v>0.39200000000000002</v>
      </c>
      <c r="AU373" s="202">
        <v>0.72899999999999998</v>
      </c>
      <c r="AV373" s="202">
        <v>5.49</v>
      </c>
      <c r="AW373" s="202">
        <v>2.75</v>
      </c>
      <c r="AX373" s="202">
        <v>10.07</v>
      </c>
      <c r="AY373" s="202">
        <v>2</v>
      </c>
      <c r="AZ373" s="202">
        <v>15.44</v>
      </c>
    </row>
    <row r="374" spans="1:52" x14ac:dyDescent="0.2">
      <c r="A374" s="76">
        <v>1</v>
      </c>
      <c r="B374" t="s">
        <v>1388</v>
      </c>
      <c r="C374" s="76" t="s">
        <v>155</v>
      </c>
      <c r="D374" s="76">
        <v>0</v>
      </c>
      <c r="E374" s="76">
        <v>0</v>
      </c>
      <c r="F374" s="76">
        <v>0</v>
      </c>
      <c r="G374" s="76">
        <v>1</v>
      </c>
      <c r="H374" s="76">
        <v>0</v>
      </c>
      <c r="I374" s="76">
        <v>0</v>
      </c>
      <c r="J374" s="76">
        <v>0</v>
      </c>
      <c r="K374" s="76">
        <v>0</v>
      </c>
      <c r="L374" s="76">
        <v>0</v>
      </c>
      <c r="M374" s="76">
        <v>1.1000000000000001</v>
      </c>
      <c r="N374" s="76">
        <v>0</v>
      </c>
      <c r="O374" s="76">
        <v>0</v>
      </c>
      <c r="P374" s="76">
        <v>0</v>
      </c>
      <c r="Q374" s="76">
        <v>0</v>
      </c>
      <c r="R374" s="76">
        <v>0</v>
      </c>
      <c r="S374" s="76">
        <v>0</v>
      </c>
      <c r="T374" s="76">
        <v>0</v>
      </c>
      <c r="U374" s="76">
        <v>4</v>
      </c>
      <c r="V374" s="76">
        <v>1.1000000000000001</v>
      </c>
      <c r="W374" s="76">
        <v>0</v>
      </c>
      <c r="X374" s="76">
        <v>0</v>
      </c>
      <c r="Y374" s="76"/>
      <c r="Z374" s="76">
        <v>1</v>
      </c>
      <c r="AA374" t="s">
        <v>1388</v>
      </c>
      <c r="AB374" s="76" t="s">
        <v>155</v>
      </c>
      <c r="AC374" s="76">
        <v>0</v>
      </c>
      <c r="AD374" s="76">
        <v>0</v>
      </c>
      <c r="AE374" s="76">
        <v>1</v>
      </c>
      <c r="AF374" s="76">
        <v>0</v>
      </c>
      <c r="AG374" s="76">
        <v>0</v>
      </c>
      <c r="AH374" s="76">
        <v>0</v>
      </c>
      <c r="AI374" s="76">
        <v>4</v>
      </c>
      <c r="AJ374" s="76">
        <v>0</v>
      </c>
      <c r="AK374" s="76">
        <v>0</v>
      </c>
      <c r="AL374" s="76">
        <v>0</v>
      </c>
      <c r="AM374" s="76">
        <v>0</v>
      </c>
      <c r="AN374" s="76">
        <v>0</v>
      </c>
      <c r="AO374" s="76">
        <v>18</v>
      </c>
      <c r="AP374" s="202" t="s">
        <v>155</v>
      </c>
      <c r="AQ374" s="202" t="s">
        <v>243</v>
      </c>
      <c r="AR374" s="202">
        <v>1.1100000000000001</v>
      </c>
      <c r="AS374" s="202">
        <v>0.27500000000000002</v>
      </c>
      <c r="AT374" s="202">
        <v>0.40500000000000003</v>
      </c>
      <c r="AU374" s="202">
        <v>0.68</v>
      </c>
      <c r="AV374" s="202">
        <v>9.31</v>
      </c>
      <c r="AW374" s="202">
        <v>2.79</v>
      </c>
      <c r="AX374" s="202">
        <v>7.45</v>
      </c>
      <c r="AY374" s="202">
        <v>3.33</v>
      </c>
      <c r="AZ374" s="202">
        <v>16.239999999999998</v>
      </c>
    </row>
    <row r="375" spans="1:52" x14ac:dyDescent="0.2">
      <c r="A375" s="76">
        <v>14</v>
      </c>
      <c r="B375" s="41" t="s">
        <v>642</v>
      </c>
      <c r="C375" s="76" t="s">
        <v>155</v>
      </c>
      <c r="D375" s="76">
        <v>7</v>
      </c>
      <c r="E375" s="76">
        <v>9</v>
      </c>
      <c r="F375" s="76">
        <v>4.95</v>
      </c>
      <c r="G375" s="76">
        <v>22</v>
      </c>
      <c r="H375" s="76">
        <v>20</v>
      </c>
      <c r="I375" s="76">
        <v>0</v>
      </c>
      <c r="J375" s="76">
        <v>0</v>
      </c>
      <c r="K375" s="76">
        <v>0</v>
      </c>
      <c r="L375" s="76">
        <v>0</v>
      </c>
      <c r="M375" s="76">
        <v>107.1</v>
      </c>
      <c r="N375" s="76">
        <v>116</v>
      </c>
      <c r="O375" s="76">
        <v>62</v>
      </c>
      <c r="P375" s="76">
        <v>59</v>
      </c>
      <c r="Q375" s="76">
        <v>15</v>
      </c>
      <c r="R375" s="76">
        <v>35</v>
      </c>
      <c r="S375" s="76">
        <v>2</v>
      </c>
      <c r="T375" s="76">
        <v>67</v>
      </c>
      <c r="U375" s="76">
        <v>461</v>
      </c>
      <c r="V375" s="76">
        <v>107.1</v>
      </c>
      <c r="W375" s="76">
        <v>0.27600000000000002</v>
      </c>
      <c r="X375" s="76">
        <v>1.41</v>
      </c>
      <c r="Y375" s="76"/>
      <c r="Z375" s="76">
        <v>14</v>
      </c>
      <c r="AA375" t="s">
        <v>642</v>
      </c>
      <c r="AB375" s="76" t="s">
        <v>155</v>
      </c>
      <c r="AC375" s="76">
        <v>2</v>
      </c>
      <c r="AD375" s="76">
        <v>2</v>
      </c>
      <c r="AE375" s="76">
        <v>0</v>
      </c>
      <c r="AF375" s="76">
        <v>0</v>
      </c>
      <c r="AG375" s="76">
        <v>8</v>
      </c>
      <c r="AH375" s="76">
        <v>103</v>
      </c>
      <c r="AI375" s="76">
        <v>138</v>
      </c>
      <c r="AJ375" s="76">
        <v>2</v>
      </c>
      <c r="AK375" s="76">
        <v>0</v>
      </c>
      <c r="AL375" s="76">
        <v>3</v>
      </c>
      <c r="AM375" s="76">
        <v>3</v>
      </c>
      <c r="AN375" s="76">
        <v>0</v>
      </c>
      <c r="AO375" s="76">
        <v>1828</v>
      </c>
      <c r="AP375" s="202" t="s">
        <v>155</v>
      </c>
      <c r="AQ375" s="202">
        <v>0.5</v>
      </c>
      <c r="AR375" s="202">
        <v>1.05</v>
      </c>
      <c r="AS375" s="202">
        <v>0.34799999999999998</v>
      </c>
      <c r="AT375" s="202">
        <v>0.45</v>
      </c>
      <c r="AU375" s="202">
        <v>0.79900000000000004</v>
      </c>
      <c r="AV375" s="202">
        <v>5.54</v>
      </c>
      <c r="AW375" s="202">
        <v>3.31</v>
      </c>
      <c r="AX375" s="202">
        <v>9.7200000000000006</v>
      </c>
      <c r="AY375" s="202">
        <v>1.67</v>
      </c>
      <c r="AZ375" s="202">
        <v>16.95</v>
      </c>
    </row>
    <row r="376" spans="1:52" x14ac:dyDescent="0.2">
      <c r="A376" s="76">
        <v>25</v>
      </c>
      <c r="B376" t="s">
        <v>1395</v>
      </c>
      <c r="C376" s="76" t="s">
        <v>155</v>
      </c>
      <c r="D376" s="76">
        <v>0</v>
      </c>
      <c r="E376" s="76">
        <v>0</v>
      </c>
      <c r="F376" s="76">
        <v>9</v>
      </c>
      <c r="G376" s="76">
        <v>1</v>
      </c>
      <c r="H376" s="76">
        <v>0</v>
      </c>
      <c r="I376" s="76">
        <v>0</v>
      </c>
      <c r="J376" s="76">
        <v>0</v>
      </c>
      <c r="K376" s="76">
        <v>0</v>
      </c>
      <c r="L376" s="76">
        <v>0</v>
      </c>
      <c r="M376" s="76">
        <v>1</v>
      </c>
      <c r="N376" s="76">
        <v>1</v>
      </c>
      <c r="O376" s="76">
        <v>1</v>
      </c>
      <c r="P376" s="76">
        <v>1</v>
      </c>
      <c r="Q376" s="76">
        <v>1</v>
      </c>
      <c r="R376" s="76">
        <v>0</v>
      </c>
      <c r="S376" s="76">
        <v>0</v>
      </c>
      <c r="T376" s="76">
        <v>0</v>
      </c>
      <c r="U376" s="76">
        <v>4</v>
      </c>
      <c r="V376" s="76">
        <v>1</v>
      </c>
      <c r="W376" s="76">
        <v>0.25</v>
      </c>
      <c r="X376" s="76">
        <v>1</v>
      </c>
      <c r="Y376" s="76"/>
      <c r="Z376" s="76">
        <v>25</v>
      </c>
      <c r="AA376" t="s">
        <v>1395</v>
      </c>
      <c r="AB376" s="76" t="s">
        <v>155</v>
      </c>
      <c r="AC376" s="76">
        <v>0</v>
      </c>
      <c r="AD376" s="76">
        <v>0</v>
      </c>
      <c r="AE376" s="76">
        <v>1</v>
      </c>
      <c r="AF376" s="76">
        <v>0</v>
      </c>
      <c r="AG376" s="76">
        <v>0</v>
      </c>
      <c r="AH376" s="76">
        <v>1</v>
      </c>
      <c r="AI376" s="76">
        <v>2</v>
      </c>
      <c r="AJ376" s="76">
        <v>0</v>
      </c>
      <c r="AK376" s="76">
        <v>0</v>
      </c>
      <c r="AL376" s="76">
        <v>0</v>
      </c>
      <c r="AM376" s="76">
        <v>0</v>
      </c>
      <c r="AN376" s="76">
        <v>0</v>
      </c>
      <c r="AO376" s="76">
        <v>14</v>
      </c>
      <c r="AP376" s="202" t="s">
        <v>155</v>
      </c>
      <c r="AQ376" s="202">
        <v>0</v>
      </c>
      <c r="AR376" s="202">
        <v>2</v>
      </c>
      <c r="AS376" s="202">
        <v>0.35699999999999998</v>
      </c>
      <c r="AT376" s="202">
        <v>0.52800000000000002</v>
      </c>
      <c r="AU376" s="202">
        <v>0.88500000000000001</v>
      </c>
      <c r="AV376" s="202">
        <v>3</v>
      </c>
      <c r="AW376" s="202">
        <v>4</v>
      </c>
      <c r="AX376" s="202">
        <v>11</v>
      </c>
      <c r="AY376" s="202">
        <v>0.75</v>
      </c>
      <c r="AZ376" s="202">
        <v>18</v>
      </c>
    </row>
    <row r="377" spans="1:52" x14ac:dyDescent="0.2">
      <c r="A377" s="76">
        <v>27</v>
      </c>
      <c r="B377" t="s">
        <v>1217</v>
      </c>
      <c r="C377" s="76" t="s">
        <v>155</v>
      </c>
      <c r="D377" s="76">
        <v>0</v>
      </c>
      <c r="E377" s="76">
        <v>0</v>
      </c>
      <c r="F377" s="76">
        <v>10.8</v>
      </c>
      <c r="G377" s="76">
        <v>8</v>
      </c>
      <c r="H377" s="76">
        <v>0</v>
      </c>
      <c r="I377" s="76">
        <v>0</v>
      </c>
      <c r="J377" s="76">
        <v>0</v>
      </c>
      <c r="K377" s="76">
        <v>0</v>
      </c>
      <c r="L377" s="76">
        <v>0</v>
      </c>
      <c r="M377" s="76">
        <v>11.2</v>
      </c>
      <c r="N377" s="76">
        <v>22</v>
      </c>
      <c r="O377" s="76">
        <v>14</v>
      </c>
      <c r="P377" s="76">
        <v>14</v>
      </c>
      <c r="Q377" s="76">
        <v>4</v>
      </c>
      <c r="R377" s="76">
        <v>8</v>
      </c>
      <c r="S377" s="76">
        <v>0</v>
      </c>
      <c r="T377" s="76">
        <v>3</v>
      </c>
      <c r="U377" s="76">
        <v>62</v>
      </c>
      <c r="V377" s="76">
        <v>11.2</v>
      </c>
      <c r="W377" s="76">
        <v>0.41499999999999998</v>
      </c>
      <c r="X377" s="76">
        <v>2.57</v>
      </c>
      <c r="Y377" s="76"/>
      <c r="Z377" s="76">
        <v>27</v>
      </c>
      <c r="AA377" t="s">
        <v>1217</v>
      </c>
      <c r="AB377" s="76" t="s">
        <v>155</v>
      </c>
      <c r="AC377" s="76">
        <v>0</v>
      </c>
      <c r="AD377" s="76">
        <v>0</v>
      </c>
      <c r="AE377" s="76">
        <v>2</v>
      </c>
      <c r="AF377" s="76">
        <v>0</v>
      </c>
      <c r="AG377" s="76">
        <v>2</v>
      </c>
      <c r="AH377" s="76">
        <v>12</v>
      </c>
      <c r="AI377" s="76">
        <v>17</v>
      </c>
      <c r="AJ377" s="76">
        <v>0</v>
      </c>
      <c r="AK377" s="76">
        <v>0</v>
      </c>
      <c r="AL377" s="76">
        <v>1</v>
      </c>
      <c r="AM377" s="76">
        <v>1</v>
      </c>
      <c r="AN377" s="76">
        <v>0</v>
      </c>
      <c r="AO377" s="76">
        <v>242</v>
      </c>
      <c r="AP377" s="202" t="s">
        <v>156</v>
      </c>
      <c r="AQ377" s="202" t="s">
        <v>243</v>
      </c>
      <c r="AR377" s="202">
        <v>1.33</v>
      </c>
      <c r="AS377" s="202">
        <v>0.27300000000000002</v>
      </c>
      <c r="AT377" s="202">
        <v>0.44400000000000001</v>
      </c>
      <c r="AU377" s="202">
        <v>0.71699999999999997</v>
      </c>
      <c r="AV377" s="202">
        <v>3.38</v>
      </c>
      <c r="AW377" s="202">
        <v>6.75</v>
      </c>
      <c r="AX377" s="202">
        <v>3.38</v>
      </c>
      <c r="AY377" s="202">
        <v>0.5</v>
      </c>
      <c r="AZ377" s="202">
        <v>13.12</v>
      </c>
    </row>
    <row r="378" spans="1:52" x14ac:dyDescent="0.2">
      <c r="A378" s="76">
        <v>6</v>
      </c>
      <c r="B378" s="41" t="s">
        <v>615</v>
      </c>
      <c r="C378" s="76" t="s">
        <v>155</v>
      </c>
      <c r="D378" s="76">
        <v>1</v>
      </c>
      <c r="E378" s="76">
        <v>0</v>
      </c>
      <c r="F378" s="76">
        <v>2.7</v>
      </c>
      <c r="G378" s="76">
        <v>12</v>
      </c>
      <c r="H378" s="76">
        <v>0</v>
      </c>
      <c r="I378" s="76">
        <v>0</v>
      </c>
      <c r="J378" s="76">
        <v>0</v>
      </c>
      <c r="K378" s="76">
        <v>0</v>
      </c>
      <c r="L378" s="76">
        <v>0</v>
      </c>
      <c r="M378" s="76">
        <v>13.1</v>
      </c>
      <c r="N378" s="76">
        <v>10</v>
      </c>
      <c r="O378" s="76">
        <v>4</v>
      </c>
      <c r="P378" s="76">
        <v>4</v>
      </c>
      <c r="Q378" s="76">
        <v>0</v>
      </c>
      <c r="R378" s="76">
        <v>7</v>
      </c>
      <c r="S378" s="76">
        <v>0</v>
      </c>
      <c r="T378" s="76">
        <v>7</v>
      </c>
      <c r="U378" s="76">
        <v>51</v>
      </c>
      <c r="V378" s="76">
        <v>13.1</v>
      </c>
      <c r="W378" s="76">
        <v>0.22700000000000001</v>
      </c>
      <c r="X378" s="76">
        <v>1.28</v>
      </c>
      <c r="Y378" s="76"/>
      <c r="Z378" s="76">
        <v>6</v>
      </c>
      <c r="AA378" t="s">
        <v>615</v>
      </c>
      <c r="AB378" s="76" t="s">
        <v>155</v>
      </c>
      <c r="AC378" s="76">
        <v>0</v>
      </c>
      <c r="AD378" s="76">
        <v>0</v>
      </c>
      <c r="AE378" s="76">
        <v>1</v>
      </c>
      <c r="AF378" s="76">
        <v>6</v>
      </c>
      <c r="AG378" s="76">
        <v>5</v>
      </c>
      <c r="AH378" s="76">
        <v>22</v>
      </c>
      <c r="AI378" s="76">
        <v>5</v>
      </c>
      <c r="AJ378" s="76">
        <v>3</v>
      </c>
      <c r="AK378" s="76">
        <v>0</v>
      </c>
      <c r="AL378" s="76">
        <v>0</v>
      </c>
      <c r="AM378" s="76">
        <v>0</v>
      </c>
      <c r="AN378" s="76">
        <v>0</v>
      </c>
      <c r="AO378" s="76">
        <v>204</v>
      </c>
      <c r="AP378" s="202" t="s">
        <v>155</v>
      </c>
      <c r="AQ378" s="202">
        <v>0.4</v>
      </c>
      <c r="AR378" s="202">
        <v>1.21</v>
      </c>
      <c r="AS378" s="202">
        <v>0.30099999999999999</v>
      </c>
      <c r="AT378" s="202">
        <v>0.33100000000000002</v>
      </c>
      <c r="AU378" s="202">
        <v>0.63200000000000001</v>
      </c>
      <c r="AV378" s="202">
        <v>4.03</v>
      </c>
      <c r="AW378" s="202">
        <v>4.3</v>
      </c>
      <c r="AX378" s="202">
        <v>6.58</v>
      </c>
      <c r="AY378" s="202">
        <v>0.94</v>
      </c>
      <c r="AZ378" s="202">
        <v>15.64</v>
      </c>
    </row>
    <row r="379" spans="1:52" x14ac:dyDescent="0.2">
      <c r="A379" s="76">
        <v>20</v>
      </c>
      <c r="B379" s="41" t="s">
        <v>1213</v>
      </c>
      <c r="C379" s="76" t="s">
        <v>155</v>
      </c>
      <c r="D379" s="76">
        <v>5</v>
      </c>
      <c r="E379" s="76">
        <v>1</v>
      </c>
      <c r="F379" s="76">
        <v>6.09</v>
      </c>
      <c r="G379" s="76">
        <v>35</v>
      </c>
      <c r="H379" s="76">
        <v>0</v>
      </c>
      <c r="I379" s="76">
        <v>0</v>
      </c>
      <c r="J379" s="76">
        <v>0</v>
      </c>
      <c r="K379" s="76">
        <v>0</v>
      </c>
      <c r="L379" s="76">
        <v>1</v>
      </c>
      <c r="M379" s="76">
        <v>34</v>
      </c>
      <c r="N379" s="76">
        <v>30</v>
      </c>
      <c r="O379" s="76">
        <v>23</v>
      </c>
      <c r="P379" s="76">
        <v>23</v>
      </c>
      <c r="Q379" s="76">
        <v>6</v>
      </c>
      <c r="R379" s="76">
        <v>17</v>
      </c>
      <c r="S379" s="76">
        <v>0</v>
      </c>
      <c r="T379" s="76">
        <v>45</v>
      </c>
      <c r="U379" s="76">
        <v>150</v>
      </c>
      <c r="V379" s="76">
        <v>34</v>
      </c>
      <c r="W379" s="76">
        <v>0.23599999999999999</v>
      </c>
      <c r="X379" s="76">
        <v>1.38</v>
      </c>
      <c r="Y379" s="76"/>
      <c r="Z379" s="76">
        <v>20</v>
      </c>
      <c r="AA379" t="s">
        <v>1213</v>
      </c>
      <c r="AB379" s="76" t="s">
        <v>155</v>
      </c>
      <c r="AC379" s="76">
        <v>3</v>
      </c>
      <c r="AD379" s="76">
        <v>0</v>
      </c>
      <c r="AE379" s="76">
        <v>2</v>
      </c>
      <c r="AF379" s="76">
        <v>15</v>
      </c>
      <c r="AG379" s="76">
        <v>4</v>
      </c>
      <c r="AH379" s="76">
        <v>32</v>
      </c>
      <c r="AI379" s="76">
        <v>23</v>
      </c>
      <c r="AJ379" s="76">
        <v>2</v>
      </c>
      <c r="AK379" s="76">
        <v>1</v>
      </c>
      <c r="AL379" s="76">
        <v>1</v>
      </c>
      <c r="AM379" s="76">
        <v>1</v>
      </c>
      <c r="AN379" s="76">
        <v>0</v>
      </c>
      <c r="AO379" s="76">
        <v>632</v>
      </c>
      <c r="AP379" s="202" t="s">
        <v>155</v>
      </c>
      <c r="AQ379" s="202">
        <v>0</v>
      </c>
      <c r="AR379" s="202">
        <v>0.35</v>
      </c>
      <c r="AS379" s="202">
        <v>0.38</v>
      </c>
      <c r="AT379" s="202">
        <v>0.47499999999999998</v>
      </c>
      <c r="AU379" s="202">
        <v>0.85599999999999998</v>
      </c>
      <c r="AV379" s="202">
        <v>6.46</v>
      </c>
      <c r="AW379" s="202">
        <v>4.7</v>
      </c>
      <c r="AX379" s="202">
        <v>10.57</v>
      </c>
      <c r="AY379" s="202">
        <v>1.38</v>
      </c>
      <c r="AZ379" s="202">
        <v>19.11</v>
      </c>
    </row>
    <row r="380" spans="1:52" x14ac:dyDescent="0.2">
      <c r="A380" s="76">
        <v>16</v>
      </c>
      <c r="B380" t="s">
        <v>824</v>
      </c>
      <c r="C380" s="76" t="s">
        <v>155</v>
      </c>
      <c r="D380" s="76">
        <v>0</v>
      </c>
      <c r="E380" s="76">
        <v>1</v>
      </c>
      <c r="F380" s="76">
        <v>5.19</v>
      </c>
      <c r="G380" s="76">
        <v>8</v>
      </c>
      <c r="H380" s="76">
        <v>0</v>
      </c>
      <c r="I380" s="76">
        <v>0</v>
      </c>
      <c r="J380" s="76">
        <v>0</v>
      </c>
      <c r="K380" s="76">
        <v>0</v>
      </c>
      <c r="L380" s="76">
        <v>0</v>
      </c>
      <c r="M380" s="76">
        <v>8.1999999999999993</v>
      </c>
      <c r="N380" s="76">
        <v>8</v>
      </c>
      <c r="O380" s="76">
        <v>5</v>
      </c>
      <c r="P380" s="76">
        <v>5</v>
      </c>
      <c r="Q380" s="76">
        <v>2</v>
      </c>
      <c r="R380" s="76">
        <v>2</v>
      </c>
      <c r="S380" s="76">
        <v>0</v>
      </c>
      <c r="T380" s="76">
        <v>12</v>
      </c>
      <c r="U380" s="76">
        <v>35</v>
      </c>
      <c r="V380" s="76">
        <v>8.1999999999999993</v>
      </c>
      <c r="W380" s="76">
        <v>0.24199999999999999</v>
      </c>
      <c r="X380" s="76">
        <v>1.1499999999999999</v>
      </c>
      <c r="Y380" s="76"/>
      <c r="Z380" s="76">
        <v>16</v>
      </c>
      <c r="AA380" t="s">
        <v>824</v>
      </c>
      <c r="AB380" s="76" t="s">
        <v>155</v>
      </c>
      <c r="AC380" s="76">
        <v>0</v>
      </c>
      <c r="AD380" s="76">
        <v>0</v>
      </c>
      <c r="AE380" s="76">
        <v>5</v>
      </c>
      <c r="AF380" s="76">
        <v>0</v>
      </c>
      <c r="AG380" s="76">
        <v>1</v>
      </c>
      <c r="AH380" s="76">
        <v>5</v>
      </c>
      <c r="AI380" s="76">
        <v>8</v>
      </c>
      <c r="AJ380" s="76">
        <v>1</v>
      </c>
      <c r="AK380" s="76">
        <v>0</v>
      </c>
      <c r="AL380" s="76">
        <v>0</v>
      </c>
      <c r="AM380" s="76">
        <v>0</v>
      </c>
      <c r="AN380" s="76">
        <v>0</v>
      </c>
      <c r="AO380" s="76">
        <v>149</v>
      </c>
      <c r="AP380" s="202" t="s">
        <v>155</v>
      </c>
      <c r="AQ380" s="202">
        <v>0.75</v>
      </c>
      <c r="AR380" s="202">
        <v>0.81</v>
      </c>
      <c r="AS380" s="202">
        <v>0.32900000000000001</v>
      </c>
      <c r="AT380" s="202">
        <v>0.46800000000000003</v>
      </c>
      <c r="AU380" s="202">
        <v>0.79700000000000004</v>
      </c>
      <c r="AV380" s="202">
        <v>8.84</v>
      </c>
      <c r="AW380" s="202">
        <v>3.26</v>
      </c>
      <c r="AX380" s="202">
        <v>9.7799999999999994</v>
      </c>
      <c r="AY380" s="202">
        <v>2.71</v>
      </c>
      <c r="AZ380" s="202">
        <v>20.02</v>
      </c>
    </row>
    <row r="381" spans="1:52" x14ac:dyDescent="0.2">
      <c r="A381" s="76">
        <v>2</v>
      </c>
      <c r="B381" t="s">
        <v>1389</v>
      </c>
      <c r="C381" s="76" t="s">
        <v>155</v>
      </c>
      <c r="D381" s="76">
        <v>0</v>
      </c>
      <c r="E381" s="76">
        <v>0</v>
      </c>
      <c r="F381" s="76">
        <v>1.8</v>
      </c>
      <c r="G381" s="76">
        <v>12</v>
      </c>
      <c r="H381" s="76">
        <v>0</v>
      </c>
      <c r="I381" s="76">
        <v>0</v>
      </c>
      <c r="J381" s="76">
        <v>0</v>
      </c>
      <c r="K381" s="76">
        <v>0</v>
      </c>
      <c r="L381" s="76">
        <v>0</v>
      </c>
      <c r="M381" s="76">
        <v>15</v>
      </c>
      <c r="N381" s="76">
        <v>11</v>
      </c>
      <c r="O381" s="76">
        <v>4</v>
      </c>
      <c r="P381" s="76">
        <v>3</v>
      </c>
      <c r="Q381" s="76">
        <v>0</v>
      </c>
      <c r="R381" s="76">
        <v>13</v>
      </c>
      <c r="S381" s="76">
        <v>2</v>
      </c>
      <c r="T381" s="76">
        <v>15</v>
      </c>
      <c r="U381" s="76">
        <v>66</v>
      </c>
      <c r="V381" s="76">
        <v>15</v>
      </c>
      <c r="W381" s="76">
        <v>0.21199999999999999</v>
      </c>
      <c r="X381" s="76">
        <v>1.6</v>
      </c>
      <c r="Y381" s="76"/>
      <c r="Z381" s="76">
        <v>2</v>
      </c>
      <c r="AA381" t="s">
        <v>1389</v>
      </c>
      <c r="AB381" s="76" t="s">
        <v>155</v>
      </c>
      <c r="AC381" s="76">
        <v>0</v>
      </c>
      <c r="AD381" s="76">
        <v>2</v>
      </c>
      <c r="AE381" s="76">
        <v>5</v>
      </c>
      <c r="AF381" s="76">
        <v>0</v>
      </c>
      <c r="AG381" s="76">
        <v>3</v>
      </c>
      <c r="AH381" s="76">
        <v>11</v>
      </c>
      <c r="AI381" s="76">
        <v>16</v>
      </c>
      <c r="AJ381" s="76">
        <v>1</v>
      </c>
      <c r="AK381" s="76">
        <v>0</v>
      </c>
      <c r="AL381" s="76">
        <v>0</v>
      </c>
      <c r="AM381" s="76">
        <v>0</v>
      </c>
      <c r="AN381" s="76">
        <v>0</v>
      </c>
      <c r="AO381" s="76">
        <v>264</v>
      </c>
      <c r="AP381" s="202" t="s">
        <v>155</v>
      </c>
      <c r="AQ381" s="202">
        <v>0.33300000000000002</v>
      </c>
      <c r="AR381" s="202">
        <v>0.56000000000000005</v>
      </c>
      <c r="AS381" s="202">
        <v>0.36299999999999999</v>
      </c>
      <c r="AT381" s="202">
        <v>0.41499999999999998</v>
      </c>
      <c r="AU381" s="202">
        <v>0.77700000000000002</v>
      </c>
      <c r="AV381" s="202">
        <v>7.32</v>
      </c>
      <c r="AW381" s="202">
        <v>4.12</v>
      </c>
      <c r="AX381" s="202">
        <v>10.98</v>
      </c>
      <c r="AY381" s="202">
        <v>1.78</v>
      </c>
      <c r="AZ381" s="202">
        <v>18.809999999999999</v>
      </c>
    </row>
    <row r="382" spans="1:52" x14ac:dyDescent="0.2">
      <c r="A382" s="76">
        <v>11</v>
      </c>
      <c r="B382" s="41" t="s">
        <v>827</v>
      </c>
      <c r="C382" s="76" t="s">
        <v>155</v>
      </c>
      <c r="D382" s="76">
        <v>6</v>
      </c>
      <c r="E382" s="76">
        <v>5</v>
      </c>
      <c r="F382" s="76">
        <v>3.71</v>
      </c>
      <c r="G382" s="76">
        <v>19</v>
      </c>
      <c r="H382" s="76">
        <v>19</v>
      </c>
      <c r="I382" s="76">
        <v>1</v>
      </c>
      <c r="J382" s="76">
        <v>0</v>
      </c>
      <c r="K382" s="76">
        <v>0</v>
      </c>
      <c r="L382" s="76">
        <v>0</v>
      </c>
      <c r="M382" s="76">
        <v>116.1</v>
      </c>
      <c r="N382" s="76">
        <v>103</v>
      </c>
      <c r="O382" s="76">
        <v>53</v>
      </c>
      <c r="P382" s="76">
        <v>48</v>
      </c>
      <c r="Q382" s="76">
        <v>19</v>
      </c>
      <c r="R382" s="76">
        <v>28</v>
      </c>
      <c r="S382" s="76">
        <v>0</v>
      </c>
      <c r="T382" s="76">
        <v>73</v>
      </c>
      <c r="U382" s="76">
        <v>472</v>
      </c>
      <c r="V382" s="76">
        <v>116.1</v>
      </c>
      <c r="W382" s="76">
        <v>0.23599999999999999</v>
      </c>
      <c r="X382" s="76">
        <v>1.1299999999999999</v>
      </c>
      <c r="Y382" s="76"/>
      <c r="Z382" s="76">
        <v>11</v>
      </c>
      <c r="AA382" t="s">
        <v>827</v>
      </c>
      <c r="AB382" s="76" t="s">
        <v>155</v>
      </c>
      <c r="AC382" s="76">
        <v>3</v>
      </c>
      <c r="AD382" s="76">
        <v>0</v>
      </c>
      <c r="AE382" s="76">
        <v>0</v>
      </c>
      <c r="AF382" s="76">
        <v>0</v>
      </c>
      <c r="AG382" s="76">
        <v>9</v>
      </c>
      <c r="AH382" s="76">
        <v>107</v>
      </c>
      <c r="AI382" s="76">
        <v>158</v>
      </c>
      <c r="AJ382" s="76">
        <v>1</v>
      </c>
      <c r="AK382" s="76">
        <v>0</v>
      </c>
      <c r="AL382" s="76">
        <v>2</v>
      </c>
      <c r="AM382" s="76">
        <v>5</v>
      </c>
      <c r="AN382" s="76">
        <v>0</v>
      </c>
      <c r="AO382" s="76">
        <v>1750</v>
      </c>
      <c r="AP382" s="202" t="s">
        <v>155</v>
      </c>
      <c r="AQ382" s="202">
        <v>0.58299999999999996</v>
      </c>
      <c r="AR382" s="202">
        <v>1.33</v>
      </c>
      <c r="AS382" s="202">
        <v>0.28899999999999998</v>
      </c>
      <c r="AT382" s="202">
        <v>0.32600000000000001</v>
      </c>
      <c r="AU382" s="202">
        <v>0.61499999999999999</v>
      </c>
      <c r="AV382" s="202">
        <v>10.14</v>
      </c>
      <c r="AW382" s="202">
        <v>2.69</v>
      </c>
      <c r="AX382" s="202">
        <v>7.76</v>
      </c>
      <c r="AY382" s="202">
        <v>3.78</v>
      </c>
      <c r="AZ382" s="202">
        <v>17.09</v>
      </c>
    </row>
    <row r="383" spans="1:52" x14ac:dyDescent="0.2">
      <c r="A383" s="76">
        <v>28</v>
      </c>
      <c r="B383" t="s">
        <v>403</v>
      </c>
      <c r="C383" s="76" t="s">
        <v>155</v>
      </c>
      <c r="D383" s="76">
        <v>0</v>
      </c>
      <c r="E383" s="76">
        <v>2</v>
      </c>
      <c r="F383" s="76">
        <v>12.54</v>
      </c>
      <c r="G383" s="76">
        <v>2</v>
      </c>
      <c r="H383" s="76">
        <v>2</v>
      </c>
      <c r="I383" s="76">
        <v>0</v>
      </c>
      <c r="J383" s="76">
        <v>0</v>
      </c>
      <c r="K383" s="76">
        <v>0</v>
      </c>
      <c r="L383" s="76">
        <v>0</v>
      </c>
      <c r="M383" s="76">
        <v>9.1</v>
      </c>
      <c r="N383" s="76">
        <v>15</v>
      </c>
      <c r="O383" s="76">
        <v>13</v>
      </c>
      <c r="P383" s="76">
        <v>13</v>
      </c>
      <c r="Q383" s="76">
        <v>4</v>
      </c>
      <c r="R383" s="76">
        <v>5</v>
      </c>
      <c r="S383" s="76">
        <v>1</v>
      </c>
      <c r="T383" s="76">
        <v>3</v>
      </c>
      <c r="U383" s="76">
        <v>48</v>
      </c>
      <c r="V383" s="76">
        <v>9.1</v>
      </c>
      <c r="W383" s="76">
        <v>0.35699999999999998</v>
      </c>
      <c r="X383" s="76">
        <v>2.14</v>
      </c>
      <c r="Y383" s="76"/>
      <c r="Z383" s="76">
        <v>28</v>
      </c>
      <c r="AA383" t="s">
        <v>403</v>
      </c>
      <c r="AB383" s="76" t="s">
        <v>155</v>
      </c>
      <c r="AC383" s="76">
        <v>0</v>
      </c>
      <c r="AD383" s="76">
        <v>1</v>
      </c>
      <c r="AE383" s="76">
        <v>0</v>
      </c>
      <c r="AF383" s="76">
        <v>0</v>
      </c>
      <c r="AG383" s="76">
        <v>0</v>
      </c>
      <c r="AH383" s="76">
        <v>9</v>
      </c>
      <c r="AI383" s="76">
        <v>16</v>
      </c>
      <c r="AJ383" s="76">
        <v>0</v>
      </c>
      <c r="AK383" s="76">
        <v>0</v>
      </c>
      <c r="AL383" s="76">
        <v>1</v>
      </c>
      <c r="AM383" s="76">
        <v>0</v>
      </c>
      <c r="AN383" s="76">
        <v>0</v>
      </c>
      <c r="AO383" s="76">
        <v>188</v>
      </c>
      <c r="AP383" s="202" t="s">
        <v>156</v>
      </c>
      <c r="AQ383" s="202">
        <v>0</v>
      </c>
      <c r="AR383" s="202">
        <v>1.17</v>
      </c>
      <c r="AS383" s="202">
        <v>0.44400000000000001</v>
      </c>
      <c r="AT383" s="202">
        <v>0.88200000000000001</v>
      </c>
      <c r="AU383" s="202">
        <v>1.327</v>
      </c>
      <c r="AV383" s="202">
        <v>9.4499999999999993</v>
      </c>
      <c r="AW383" s="202">
        <v>1.35</v>
      </c>
      <c r="AX383" s="202">
        <v>20.25</v>
      </c>
      <c r="AY383" s="202">
        <v>7</v>
      </c>
      <c r="AZ383" s="202">
        <v>19.649999999999999</v>
      </c>
    </row>
    <row r="384" spans="1:52" x14ac:dyDescent="0.2">
      <c r="A384" s="76">
        <v>17</v>
      </c>
      <c r="B384" t="s">
        <v>826</v>
      </c>
      <c r="C384" s="76" t="s">
        <v>155</v>
      </c>
      <c r="D384" s="76">
        <v>2</v>
      </c>
      <c r="E384" s="76">
        <v>3</v>
      </c>
      <c r="F384" s="76">
        <v>5.59</v>
      </c>
      <c r="G384" s="76">
        <v>12</v>
      </c>
      <c r="H384" s="76">
        <v>5</v>
      </c>
      <c r="I384" s="76">
        <v>0</v>
      </c>
      <c r="J384" s="76">
        <v>0</v>
      </c>
      <c r="K384" s="76">
        <v>0</v>
      </c>
      <c r="L384" s="76">
        <v>0</v>
      </c>
      <c r="M384" s="76">
        <v>38.200000000000003</v>
      </c>
      <c r="N384" s="76">
        <v>45</v>
      </c>
      <c r="O384" s="76">
        <v>24</v>
      </c>
      <c r="P384" s="76">
        <v>24</v>
      </c>
      <c r="Q384" s="76">
        <v>8</v>
      </c>
      <c r="R384" s="76">
        <v>19</v>
      </c>
      <c r="S384" s="76">
        <v>1</v>
      </c>
      <c r="T384" s="76">
        <v>16</v>
      </c>
      <c r="U384" s="76">
        <v>179</v>
      </c>
      <c r="V384" s="76">
        <v>38.200000000000003</v>
      </c>
      <c r="W384" s="76">
        <v>0.28999999999999998</v>
      </c>
      <c r="X384" s="76">
        <v>1.66</v>
      </c>
      <c r="Y384" s="76"/>
      <c r="Z384" s="76">
        <v>17</v>
      </c>
      <c r="AA384" t="s">
        <v>826</v>
      </c>
      <c r="AB384" s="76" t="s">
        <v>155</v>
      </c>
      <c r="AC384" s="76">
        <v>5</v>
      </c>
      <c r="AD384" s="76">
        <v>1</v>
      </c>
      <c r="AE384" s="76">
        <v>2</v>
      </c>
      <c r="AF384" s="76">
        <v>0</v>
      </c>
      <c r="AG384" s="76">
        <v>8</v>
      </c>
      <c r="AH384" s="76">
        <v>52</v>
      </c>
      <c r="AI384" s="76">
        <v>42</v>
      </c>
      <c r="AJ384" s="76">
        <v>0</v>
      </c>
      <c r="AK384" s="76">
        <v>0</v>
      </c>
      <c r="AL384" s="76">
        <v>5</v>
      </c>
      <c r="AM384" s="76">
        <v>1</v>
      </c>
      <c r="AN384" s="76">
        <v>0</v>
      </c>
      <c r="AO384" s="76">
        <v>649</v>
      </c>
      <c r="AP384" s="202" t="s">
        <v>155</v>
      </c>
      <c r="AQ384" s="202">
        <v>0.5</v>
      </c>
      <c r="AR384" s="202">
        <v>1.05</v>
      </c>
      <c r="AS384" s="202">
        <v>0.37</v>
      </c>
      <c r="AT384" s="202">
        <v>0.5</v>
      </c>
      <c r="AU384" s="202">
        <v>0.87</v>
      </c>
      <c r="AV384" s="202">
        <v>10.5</v>
      </c>
      <c r="AW384" s="202">
        <v>4.5</v>
      </c>
      <c r="AX384" s="202">
        <v>9</v>
      </c>
      <c r="AY384" s="202">
        <v>2.33</v>
      </c>
      <c r="AZ384" s="202">
        <v>19.88</v>
      </c>
    </row>
    <row r="385" spans="1:52" x14ac:dyDescent="0.2">
      <c r="A385" s="76">
        <v>31</v>
      </c>
      <c r="B385" t="s">
        <v>1397</v>
      </c>
      <c r="C385" s="76" t="s">
        <v>155</v>
      </c>
      <c r="D385" s="76">
        <v>0</v>
      </c>
      <c r="E385" s="76">
        <v>0</v>
      </c>
      <c r="F385" s="76">
        <v>18</v>
      </c>
      <c r="G385" s="76">
        <v>2</v>
      </c>
      <c r="H385" s="76">
        <v>0</v>
      </c>
      <c r="I385" s="76">
        <v>0</v>
      </c>
      <c r="J385" s="76">
        <v>0</v>
      </c>
      <c r="K385" s="76">
        <v>0</v>
      </c>
      <c r="L385" s="76">
        <v>0</v>
      </c>
      <c r="M385" s="76">
        <v>3</v>
      </c>
      <c r="N385" s="76">
        <v>5</v>
      </c>
      <c r="O385" s="76">
        <v>6</v>
      </c>
      <c r="P385" s="76">
        <v>6</v>
      </c>
      <c r="Q385" s="76">
        <v>0</v>
      </c>
      <c r="R385" s="76">
        <v>2</v>
      </c>
      <c r="S385" s="76">
        <v>0</v>
      </c>
      <c r="T385" s="76">
        <v>0</v>
      </c>
      <c r="U385" s="76">
        <v>17</v>
      </c>
      <c r="V385" s="76">
        <v>3</v>
      </c>
      <c r="W385" s="76">
        <v>0.33300000000000002</v>
      </c>
      <c r="X385" s="76">
        <v>2.33</v>
      </c>
      <c r="Y385" s="76"/>
      <c r="Z385" s="76">
        <v>31</v>
      </c>
      <c r="AA385" t="s">
        <v>1397</v>
      </c>
      <c r="AB385" s="76" t="s">
        <v>155</v>
      </c>
      <c r="AC385" s="76">
        <v>0</v>
      </c>
      <c r="AD385" s="76">
        <v>0</v>
      </c>
      <c r="AE385" s="76">
        <v>0</v>
      </c>
      <c r="AF385" s="76">
        <v>0</v>
      </c>
      <c r="AG385" s="76">
        <v>0</v>
      </c>
      <c r="AH385" s="76">
        <v>3</v>
      </c>
      <c r="AI385" s="76">
        <v>7</v>
      </c>
      <c r="AJ385" s="76">
        <v>0</v>
      </c>
      <c r="AK385" s="76">
        <v>0</v>
      </c>
      <c r="AL385" s="76">
        <v>1</v>
      </c>
      <c r="AM385" s="76">
        <v>0</v>
      </c>
      <c r="AN385" s="76">
        <v>0</v>
      </c>
      <c r="AO385" s="76">
        <v>73</v>
      </c>
      <c r="AP385" s="202" t="s">
        <v>156</v>
      </c>
      <c r="AQ385" s="202">
        <v>0.5</v>
      </c>
      <c r="AR385" s="202">
        <v>1.37</v>
      </c>
      <c r="AS385" s="202">
        <v>0.254</v>
      </c>
      <c r="AT385" s="202">
        <v>0.308</v>
      </c>
      <c r="AU385" s="202">
        <v>0.56200000000000006</v>
      </c>
      <c r="AV385" s="202">
        <v>11.6</v>
      </c>
      <c r="AW385" s="202">
        <v>2.15</v>
      </c>
      <c r="AX385" s="202">
        <v>6.46</v>
      </c>
      <c r="AY385" s="202">
        <v>5.38</v>
      </c>
      <c r="AZ385" s="202">
        <v>15.15</v>
      </c>
    </row>
    <row r="386" spans="1:52" x14ac:dyDescent="0.2">
      <c r="A386" s="76">
        <v>13</v>
      </c>
      <c r="B386" s="41" t="s">
        <v>643</v>
      </c>
      <c r="C386" s="76" t="s">
        <v>155</v>
      </c>
      <c r="D386" s="76">
        <v>10</v>
      </c>
      <c r="E386" s="76">
        <v>11</v>
      </c>
      <c r="F386" s="76">
        <v>4.3899999999999997</v>
      </c>
      <c r="G386" s="76">
        <v>33</v>
      </c>
      <c r="H386" s="76">
        <v>33</v>
      </c>
      <c r="I386" s="76">
        <v>0</v>
      </c>
      <c r="J386" s="76">
        <v>0</v>
      </c>
      <c r="K386" s="76">
        <v>0</v>
      </c>
      <c r="L386" s="76">
        <v>0</v>
      </c>
      <c r="M386" s="76">
        <v>198.2</v>
      </c>
      <c r="N386" s="76">
        <v>205</v>
      </c>
      <c r="O386" s="76">
        <v>110</v>
      </c>
      <c r="P386" s="76">
        <v>97</v>
      </c>
      <c r="Q386" s="76">
        <v>18</v>
      </c>
      <c r="R386" s="76">
        <v>76</v>
      </c>
      <c r="S386" s="76">
        <v>0</v>
      </c>
      <c r="T386" s="76">
        <v>103</v>
      </c>
      <c r="U386" s="76">
        <v>855</v>
      </c>
      <c r="V386" s="76">
        <v>198.2</v>
      </c>
      <c r="W386" s="76">
        <v>0.27</v>
      </c>
      <c r="X386" s="76">
        <v>1.41</v>
      </c>
      <c r="Y386" s="76"/>
      <c r="Z386" s="76">
        <v>13</v>
      </c>
      <c r="AA386" t="s">
        <v>643</v>
      </c>
      <c r="AB386" s="76" t="s">
        <v>155</v>
      </c>
      <c r="AC386" s="76">
        <v>4</v>
      </c>
      <c r="AD386" s="76">
        <v>0</v>
      </c>
      <c r="AE386" s="76">
        <v>0</v>
      </c>
      <c r="AF386" s="76">
        <v>0</v>
      </c>
      <c r="AG386" s="76">
        <v>36</v>
      </c>
      <c r="AH386" s="76">
        <v>287</v>
      </c>
      <c r="AI386" s="76">
        <v>180</v>
      </c>
      <c r="AJ386" s="76">
        <v>3</v>
      </c>
      <c r="AK386" s="76">
        <v>2</v>
      </c>
      <c r="AL386" s="76">
        <v>8</v>
      </c>
      <c r="AM386" s="76">
        <v>3</v>
      </c>
      <c r="AN386" s="76">
        <v>0</v>
      </c>
      <c r="AO386" s="76">
        <v>3078</v>
      </c>
      <c r="AP386" s="202" t="s">
        <v>155</v>
      </c>
      <c r="AQ386" s="202">
        <v>0.65400000000000003</v>
      </c>
      <c r="AR386" s="202">
        <v>0.57999999999999996</v>
      </c>
      <c r="AS386" s="202">
        <v>0.308</v>
      </c>
      <c r="AT386" s="202">
        <v>0.43</v>
      </c>
      <c r="AU386" s="202">
        <v>0.73799999999999999</v>
      </c>
      <c r="AV386" s="202">
        <v>6.24</v>
      </c>
      <c r="AW386" s="202">
        <v>1.85</v>
      </c>
      <c r="AX386" s="202">
        <v>9.2799999999999994</v>
      </c>
      <c r="AY386" s="202">
        <v>3.38</v>
      </c>
      <c r="AZ386" s="202">
        <v>15.54</v>
      </c>
    </row>
    <row r="387" spans="1:52" x14ac:dyDescent="0.2">
      <c r="A387" s="76">
        <v>19</v>
      </c>
      <c r="B387" t="s">
        <v>633</v>
      </c>
      <c r="C387" s="76" t="s">
        <v>155</v>
      </c>
      <c r="D387" s="76">
        <v>3</v>
      </c>
      <c r="E387" s="76">
        <v>3</v>
      </c>
      <c r="F387" s="76">
        <v>6.04</v>
      </c>
      <c r="G387" s="76">
        <v>16</v>
      </c>
      <c r="H387" s="76">
        <v>4</v>
      </c>
      <c r="I387" s="76">
        <v>0</v>
      </c>
      <c r="J387" s="76">
        <v>0</v>
      </c>
      <c r="K387" s="76">
        <v>1</v>
      </c>
      <c r="L387" s="76">
        <v>1</v>
      </c>
      <c r="M387" s="76">
        <v>47.2</v>
      </c>
      <c r="N387" s="76">
        <v>60</v>
      </c>
      <c r="O387" s="76">
        <v>34</v>
      </c>
      <c r="P387" s="76">
        <v>32</v>
      </c>
      <c r="Q387" s="76">
        <v>12</v>
      </c>
      <c r="R387" s="76">
        <v>20</v>
      </c>
      <c r="S387" s="76">
        <v>1</v>
      </c>
      <c r="T387" s="76">
        <v>27</v>
      </c>
      <c r="U387" s="76">
        <v>212</v>
      </c>
      <c r="V387" s="76">
        <v>47.2</v>
      </c>
      <c r="W387" s="76">
        <v>0.31900000000000001</v>
      </c>
      <c r="X387" s="76">
        <v>1.68</v>
      </c>
      <c r="Y387" s="76"/>
      <c r="Z387" s="76">
        <v>19</v>
      </c>
      <c r="AA387" t="s">
        <v>633</v>
      </c>
      <c r="AB387" s="76" t="s">
        <v>155</v>
      </c>
      <c r="AC387" s="76">
        <v>1</v>
      </c>
      <c r="AD387" s="76">
        <v>1</v>
      </c>
      <c r="AE387" s="76">
        <v>2</v>
      </c>
      <c r="AF387" s="76">
        <v>0</v>
      </c>
      <c r="AG387" s="76">
        <v>10</v>
      </c>
      <c r="AH387" s="76">
        <v>54</v>
      </c>
      <c r="AI387" s="76">
        <v>50</v>
      </c>
      <c r="AJ387" s="76">
        <v>0</v>
      </c>
      <c r="AK387" s="76">
        <v>0</v>
      </c>
      <c r="AL387" s="76">
        <v>4</v>
      </c>
      <c r="AM387" s="76">
        <v>1</v>
      </c>
      <c r="AN387" s="76">
        <v>1</v>
      </c>
      <c r="AO387" s="76">
        <v>785</v>
      </c>
      <c r="AP387" s="202" t="s">
        <v>155</v>
      </c>
      <c r="AQ387" s="202">
        <v>0</v>
      </c>
      <c r="AR387" s="202">
        <v>1.08</v>
      </c>
      <c r="AS387" s="202">
        <v>0.311</v>
      </c>
      <c r="AT387" s="202">
        <v>0.34100000000000003</v>
      </c>
      <c r="AU387" s="202">
        <v>0.65300000000000002</v>
      </c>
      <c r="AV387" s="202">
        <v>5.56</v>
      </c>
      <c r="AW387" s="202">
        <v>2.38</v>
      </c>
      <c r="AX387" s="202">
        <v>8.74</v>
      </c>
      <c r="AY387" s="202">
        <v>2.33</v>
      </c>
      <c r="AZ387" s="202">
        <v>14.56</v>
      </c>
    </row>
    <row r="388" spans="1:52" x14ac:dyDescent="0.2">
      <c r="A388" s="76">
        <v>30</v>
      </c>
      <c r="B388" t="s">
        <v>789</v>
      </c>
      <c r="C388" s="76" t="s">
        <v>155</v>
      </c>
      <c r="D388" s="76">
        <v>1</v>
      </c>
      <c r="E388" s="76">
        <v>0</v>
      </c>
      <c r="F388" s="76">
        <v>17.18</v>
      </c>
      <c r="G388" s="76">
        <v>2</v>
      </c>
      <c r="H388" s="76">
        <v>0</v>
      </c>
      <c r="I388" s="76">
        <v>0</v>
      </c>
      <c r="J388" s="76">
        <v>0</v>
      </c>
      <c r="K388" s="76">
        <v>0</v>
      </c>
      <c r="L388" s="76">
        <v>0</v>
      </c>
      <c r="M388" s="76">
        <v>3.2</v>
      </c>
      <c r="N388" s="76">
        <v>2</v>
      </c>
      <c r="O388" s="76">
        <v>7</v>
      </c>
      <c r="P388" s="76">
        <v>7</v>
      </c>
      <c r="Q388" s="76">
        <v>1</v>
      </c>
      <c r="R388" s="76">
        <v>8</v>
      </c>
      <c r="S388" s="76">
        <v>0</v>
      </c>
      <c r="T388" s="76">
        <v>2</v>
      </c>
      <c r="U388" s="76">
        <v>21</v>
      </c>
      <c r="V388" s="76">
        <v>3.2</v>
      </c>
      <c r="W388" s="76">
        <v>0.16700000000000001</v>
      </c>
      <c r="X388" s="76">
        <v>2.73</v>
      </c>
      <c r="Y388" s="76"/>
      <c r="Z388" s="76">
        <v>30</v>
      </c>
      <c r="AA388" t="s">
        <v>789</v>
      </c>
      <c r="AB388" s="76" t="s">
        <v>155</v>
      </c>
      <c r="AC388" s="76">
        <v>0</v>
      </c>
      <c r="AD388" s="76">
        <v>0</v>
      </c>
      <c r="AE388" s="76">
        <v>0</v>
      </c>
      <c r="AF388" s="76">
        <v>0</v>
      </c>
      <c r="AG388" s="76">
        <v>0</v>
      </c>
      <c r="AH388" s="76">
        <v>4</v>
      </c>
      <c r="AI388" s="76">
        <v>5</v>
      </c>
      <c r="AJ388" s="76">
        <v>0</v>
      </c>
      <c r="AK388" s="76">
        <v>0</v>
      </c>
      <c r="AL388" s="76">
        <v>0</v>
      </c>
      <c r="AM388" s="76">
        <v>0</v>
      </c>
      <c r="AN388" s="76">
        <v>0</v>
      </c>
      <c r="AO388" s="76">
        <v>100</v>
      </c>
      <c r="AP388" s="202" t="s">
        <v>156</v>
      </c>
      <c r="AQ388" s="202">
        <v>0</v>
      </c>
      <c r="AR388" s="202">
        <v>0.5</v>
      </c>
      <c r="AS388" s="202">
        <v>0.36799999999999999</v>
      </c>
      <c r="AT388" s="202">
        <v>0.49</v>
      </c>
      <c r="AU388" s="202">
        <v>0.85799999999999998</v>
      </c>
      <c r="AV388" s="202">
        <v>8.76</v>
      </c>
      <c r="AW388" s="202">
        <v>4.38</v>
      </c>
      <c r="AX388" s="202">
        <v>10.95</v>
      </c>
      <c r="AY388" s="202">
        <v>2</v>
      </c>
      <c r="AZ388" s="202">
        <v>16.3</v>
      </c>
    </row>
    <row r="389" spans="1:52" s="143" customFormat="1" x14ac:dyDescent="0.2">
      <c r="A389" s="76">
        <v>29</v>
      </c>
      <c r="B389" t="s">
        <v>1396</v>
      </c>
      <c r="C389" s="76" t="s">
        <v>155</v>
      </c>
      <c r="D389" s="76">
        <v>0</v>
      </c>
      <c r="E389" s="76">
        <v>0</v>
      </c>
      <c r="F389" s="76">
        <v>14.73</v>
      </c>
      <c r="G389" s="76">
        <v>1</v>
      </c>
      <c r="H389" s="76">
        <v>0</v>
      </c>
      <c r="I389" s="76">
        <v>0</v>
      </c>
      <c r="J389" s="76">
        <v>0</v>
      </c>
      <c r="K389" s="76">
        <v>0</v>
      </c>
      <c r="L389" s="76">
        <v>0</v>
      </c>
      <c r="M389" s="76">
        <v>3.2</v>
      </c>
      <c r="N389" s="76">
        <v>10</v>
      </c>
      <c r="O389" s="76">
        <v>6</v>
      </c>
      <c r="P389" s="76">
        <v>6</v>
      </c>
      <c r="Q389" s="76">
        <v>3</v>
      </c>
      <c r="R389" s="76">
        <v>1</v>
      </c>
      <c r="S389" s="76">
        <v>0</v>
      </c>
      <c r="T389" s="76">
        <v>3</v>
      </c>
      <c r="U389" s="76">
        <v>22</v>
      </c>
      <c r="V389" s="76">
        <v>3.2</v>
      </c>
      <c r="W389" s="76">
        <v>0.47599999999999998</v>
      </c>
      <c r="X389" s="76">
        <v>3</v>
      </c>
      <c r="Y389" s="76"/>
      <c r="Z389" s="76">
        <v>29</v>
      </c>
      <c r="AA389" t="s">
        <v>1396</v>
      </c>
      <c r="AB389" s="76" t="s">
        <v>155</v>
      </c>
      <c r="AC389" s="76">
        <v>0</v>
      </c>
      <c r="AD389" s="76">
        <v>0</v>
      </c>
      <c r="AE389" s="76">
        <v>1</v>
      </c>
      <c r="AF389" s="76">
        <v>0</v>
      </c>
      <c r="AG389" s="76">
        <v>0</v>
      </c>
      <c r="AH389" s="76">
        <v>7</v>
      </c>
      <c r="AI389" s="76">
        <v>1</v>
      </c>
      <c r="AJ389" s="76">
        <v>0</v>
      </c>
      <c r="AK389" s="76">
        <v>0</v>
      </c>
      <c r="AL389" s="76">
        <v>0</v>
      </c>
      <c r="AM389" s="76">
        <v>0</v>
      </c>
      <c r="AN389" s="76">
        <v>0</v>
      </c>
      <c r="AO389" s="76">
        <v>82</v>
      </c>
      <c r="AP389" s="202" t="s">
        <v>156</v>
      </c>
      <c r="AQ389" s="202">
        <v>0.65200000000000002</v>
      </c>
      <c r="AR389" s="202">
        <v>1.19</v>
      </c>
      <c r="AS389" s="202">
        <v>0.311</v>
      </c>
      <c r="AT389" s="202">
        <v>0.44</v>
      </c>
      <c r="AU389" s="202">
        <v>0.751</v>
      </c>
      <c r="AV389" s="202">
        <v>4.12</v>
      </c>
      <c r="AW389" s="202">
        <v>1.49</v>
      </c>
      <c r="AX389" s="202">
        <v>9.69</v>
      </c>
      <c r="AY389" s="202">
        <v>2.76</v>
      </c>
      <c r="AZ389" s="202">
        <v>14.24</v>
      </c>
    </row>
    <row r="390" spans="1:52" x14ac:dyDescent="0.2">
      <c r="A390" s="76">
        <v>12</v>
      </c>
      <c r="B390" t="s">
        <v>639</v>
      </c>
      <c r="C390" s="76" t="s">
        <v>155</v>
      </c>
      <c r="D390" s="76">
        <v>1</v>
      </c>
      <c r="E390" s="76">
        <v>1</v>
      </c>
      <c r="F390" s="76">
        <v>4.1500000000000004</v>
      </c>
      <c r="G390" s="76">
        <v>10</v>
      </c>
      <c r="H390" s="76">
        <v>0</v>
      </c>
      <c r="I390" s="76">
        <v>0</v>
      </c>
      <c r="J390" s="76">
        <v>0</v>
      </c>
      <c r="K390" s="76">
        <v>1</v>
      </c>
      <c r="L390" s="76">
        <v>1</v>
      </c>
      <c r="M390" s="76">
        <v>8.1999999999999993</v>
      </c>
      <c r="N390" s="76">
        <v>6</v>
      </c>
      <c r="O390" s="76">
        <v>4</v>
      </c>
      <c r="P390" s="76">
        <v>4</v>
      </c>
      <c r="Q390" s="76">
        <v>0</v>
      </c>
      <c r="R390" s="76">
        <v>3</v>
      </c>
      <c r="S390" s="76">
        <v>1</v>
      </c>
      <c r="T390" s="76">
        <v>5</v>
      </c>
      <c r="U390" s="76">
        <v>35</v>
      </c>
      <c r="V390" s="76">
        <v>8.1999999999999993</v>
      </c>
      <c r="W390" s="76">
        <v>0.188</v>
      </c>
      <c r="X390" s="76">
        <v>1.04</v>
      </c>
      <c r="Y390" s="76"/>
      <c r="Z390" s="76">
        <v>12</v>
      </c>
      <c r="AA390" t="s">
        <v>639</v>
      </c>
      <c r="AB390" s="76" t="s">
        <v>155</v>
      </c>
      <c r="AC390" s="76">
        <v>0</v>
      </c>
      <c r="AD390" s="76">
        <v>1</v>
      </c>
      <c r="AE390" s="76">
        <v>5</v>
      </c>
      <c r="AF390" s="76">
        <v>2</v>
      </c>
      <c r="AG390" s="76">
        <v>0</v>
      </c>
      <c r="AH390" s="76">
        <v>10</v>
      </c>
      <c r="AI390" s="76">
        <v>11</v>
      </c>
      <c r="AJ390" s="76">
        <v>2</v>
      </c>
      <c r="AK390" s="76">
        <v>0</v>
      </c>
      <c r="AL390" s="76">
        <v>0</v>
      </c>
      <c r="AM390" s="76">
        <v>0</v>
      </c>
      <c r="AN390" s="76">
        <v>0</v>
      </c>
      <c r="AO390" s="76">
        <v>126</v>
      </c>
      <c r="AP390" s="202" t="s">
        <v>155</v>
      </c>
      <c r="AQ390" s="202">
        <v>1</v>
      </c>
      <c r="AR390" s="202">
        <v>0.95</v>
      </c>
      <c r="AS390" s="202">
        <v>0.38400000000000001</v>
      </c>
      <c r="AT390" s="202">
        <v>0.51300000000000001</v>
      </c>
      <c r="AU390" s="202">
        <v>0.89700000000000002</v>
      </c>
      <c r="AV390" s="202">
        <v>6.23</v>
      </c>
      <c r="AW390" s="202">
        <v>5.19</v>
      </c>
      <c r="AX390" s="202">
        <v>11.94</v>
      </c>
      <c r="AY390" s="202">
        <v>1.2</v>
      </c>
      <c r="AZ390" s="202">
        <v>20.079999999999998</v>
      </c>
    </row>
    <row r="391" spans="1:52" x14ac:dyDescent="0.2">
      <c r="A391" s="76">
        <v>22</v>
      </c>
      <c r="B391" s="41" t="s">
        <v>384</v>
      </c>
      <c r="C391" s="76" t="s">
        <v>155</v>
      </c>
      <c r="D391" s="76">
        <v>2</v>
      </c>
      <c r="E391" s="76">
        <v>2</v>
      </c>
      <c r="F391" s="76">
        <v>7.68</v>
      </c>
      <c r="G391" s="76">
        <v>37</v>
      </c>
      <c r="H391" s="76">
        <v>0</v>
      </c>
      <c r="I391" s="76">
        <v>0</v>
      </c>
      <c r="J391" s="76">
        <v>0</v>
      </c>
      <c r="K391" s="76">
        <v>11</v>
      </c>
      <c r="L391" s="76">
        <v>15</v>
      </c>
      <c r="M391" s="76">
        <v>36.1</v>
      </c>
      <c r="N391" s="76">
        <v>53</v>
      </c>
      <c r="O391" s="76">
        <v>32</v>
      </c>
      <c r="P391" s="76">
        <v>31</v>
      </c>
      <c r="Q391" s="76">
        <v>8</v>
      </c>
      <c r="R391" s="76">
        <v>10</v>
      </c>
      <c r="S391" s="76">
        <v>2</v>
      </c>
      <c r="T391" s="76">
        <v>29</v>
      </c>
      <c r="U391" s="76">
        <v>168</v>
      </c>
      <c r="V391" s="76">
        <v>36.1</v>
      </c>
      <c r="W391" s="76">
        <v>0.33800000000000002</v>
      </c>
      <c r="X391" s="76">
        <v>1.73</v>
      </c>
      <c r="Y391" s="76"/>
      <c r="Z391" s="76">
        <v>22</v>
      </c>
      <c r="AA391" t="s">
        <v>384</v>
      </c>
      <c r="AB391" s="76" t="s">
        <v>155</v>
      </c>
      <c r="AC391" s="76">
        <v>0</v>
      </c>
      <c r="AD391" s="76">
        <v>2</v>
      </c>
      <c r="AE391" s="76">
        <v>19</v>
      </c>
      <c r="AF391" s="76">
        <v>1</v>
      </c>
      <c r="AG391" s="76">
        <v>0</v>
      </c>
      <c r="AH391" s="76">
        <v>43</v>
      </c>
      <c r="AI391" s="76">
        <v>33</v>
      </c>
      <c r="AJ391" s="76">
        <v>1</v>
      </c>
      <c r="AK391" s="76">
        <v>0</v>
      </c>
      <c r="AL391" s="76">
        <v>1</v>
      </c>
      <c r="AM391" s="76">
        <v>3</v>
      </c>
      <c r="AN391" s="76">
        <v>1</v>
      </c>
      <c r="AO391" s="76">
        <v>659</v>
      </c>
      <c r="AP391" s="202" t="s">
        <v>155</v>
      </c>
      <c r="AQ391" s="202" t="s">
        <v>243</v>
      </c>
      <c r="AR391" s="202">
        <v>0.67</v>
      </c>
      <c r="AS391" s="202">
        <v>0.33300000000000002</v>
      </c>
      <c r="AT391" s="202">
        <v>1</v>
      </c>
      <c r="AU391" s="202">
        <v>1.333</v>
      </c>
      <c r="AV391" s="202">
        <v>4.5</v>
      </c>
      <c r="AW391" s="202">
        <v>4.5</v>
      </c>
      <c r="AX391" s="202">
        <v>9</v>
      </c>
      <c r="AY391" s="202">
        <v>1</v>
      </c>
      <c r="AZ391" s="202">
        <v>17.5</v>
      </c>
    </row>
    <row r="392" spans="1:52" x14ac:dyDescent="0.2">
      <c r="A392" s="76">
        <v>26</v>
      </c>
      <c r="B392" t="s">
        <v>610</v>
      </c>
      <c r="C392" s="76" t="s">
        <v>155</v>
      </c>
      <c r="D392" s="76">
        <v>2</v>
      </c>
      <c r="E392" s="76">
        <v>3</v>
      </c>
      <c r="F392" s="76">
        <v>10.55</v>
      </c>
      <c r="G392" s="76">
        <v>21</v>
      </c>
      <c r="H392" s="76">
        <v>0</v>
      </c>
      <c r="I392" s="76">
        <v>0</v>
      </c>
      <c r="J392" s="76">
        <v>0</v>
      </c>
      <c r="K392" s="76">
        <v>0</v>
      </c>
      <c r="L392" s="76">
        <v>2</v>
      </c>
      <c r="M392" s="76">
        <v>21.1</v>
      </c>
      <c r="N392" s="76">
        <v>38</v>
      </c>
      <c r="O392" s="76">
        <v>25</v>
      </c>
      <c r="P392" s="76">
        <v>25</v>
      </c>
      <c r="Q392" s="76">
        <v>7</v>
      </c>
      <c r="R392" s="76">
        <v>9</v>
      </c>
      <c r="S392" s="76">
        <v>0</v>
      </c>
      <c r="T392" s="76">
        <v>11</v>
      </c>
      <c r="U392" s="76">
        <v>109</v>
      </c>
      <c r="V392" s="76">
        <v>21.1</v>
      </c>
      <c r="W392" s="76">
        <v>0.39200000000000002</v>
      </c>
      <c r="X392" s="76">
        <v>2.2000000000000002</v>
      </c>
      <c r="Y392" s="76"/>
      <c r="Z392" s="76">
        <v>26</v>
      </c>
      <c r="AA392" t="s">
        <v>610</v>
      </c>
      <c r="AB392" s="76" t="s">
        <v>155</v>
      </c>
      <c r="AC392" s="76">
        <v>2</v>
      </c>
      <c r="AD392" s="76">
        <v>0</v>
      </c>
      <c r="AE392" s="76">
        <v>3</v>
      </c>
      <c r="AF392" s="76">
        <v>3</v>
      </c>
      <c r="AG392" s="76">
        <v>4</v>
      </c>
      <c r="AH392" s="76">
        <v>28</v>
      </c>
      <c r="AI392" s="76">
        <v>21</v>
      </c>
      <c r="AJ392" s="76">
        <v>0</v>
      </c>
      <c r="AK392" s="76">
        <v>0</v>
      </c>
      <c r="AL392" s="76">
        <v>0</v>
      </c>
      <c r="AM392" s="76">
        <v>0</v>
      </c>
      <c r="AN392" s="76">
        <v>0</v>
      </c>
      <c r="AO392" s="76">
        <v>403</v>
      </c>
      <c r="AP392" s="102" t="s">
        <v>157</v>
      </c>
      <c r="AQ392" s="102" t="s">
        <v>1081</v>
      </c>
      <c r="AR392" s="102" t="s">
        <v>1068</v>
      </c>
      <c r="AS392" s="102" t="s">
        <v>1059</v>
      </c>
      <c r="AT392" s="102" t="s">
        <v>1060</v>
      </c>
      <c r="AU392" s="102" t="s">
        <v>1061</v>
      </c>
      <c r="AV392" s="102" t="s">
        <v>1092</v>
      </c>
      <c r="AW392" s="102" t="s">
        <v>1093</v>
      </c>
      <c r="AX392" s="102" t="s">
        <v>1094</v>
      </c>
      <c r="AY392" s="102" t="s">
        <v>1095</v>
      </c>
      <c r="AZ392" s="102" t="s">
        <v>1096</v>
      </c>
    </row>
    <row r="393" spans="1:52" x14ac:dyDescent="0.2">
      <c r="A393" s="225" t="s">
        <v>105</v>
      </c>
      <c r="B393" s="225" t="s">
        <v>106</v>
      </c>
      <c r="C393" s="225" t="s">
        <v>157</v>
      </c>
      <c r="D393" s="225" t="s">
        <v>85</v>
      </c>
      <c r="E393" s="225" t="s">
        <v>86</v>
      </c>
      <c r="F393" s="225" t="s">
        <v>107</v>
      </c>
      <c r="G393" s="225" t="s">
        <v>108</v>
      </c>
      <c r="H393" s="225" t="s">
        <v>88</v>
      </c>
      <c r="I393" s="225" t="s">
        <v>89</v>
      </c>
      <c r="J393" s="225" t="s">
        <v>1073</v>
      </c>
      <c r="K393" s="225" t="s">
        <v>90</v>
      </c>
      <c r="L393" s="225" t="s">
        <v>158</v>
      </c>
      <c r="M393" s="225" t="s">
        <v>91</v>
      </c>
      <c r="N393" s="225" t="s">
        <v>92</v>
      </c>
      <c r="O393" s="225" t="s">
        <v>93</v>
      </c>
      <c r="P393" s="225" t="s">
        <v>94</v>
      </c>
      <c r="Q393" s="225" t="s">
        <v>95</v>
      </c>
      <c r="R393" s="225" t="s">
        <v>96</v>
      </c>
      <c r="S393" s="225" t="s">
        <v>98</v>
      </c>
      <c r="T393" s="225" t="s">
        <v>97</v>
      </c>
      <c r="U393" s="225" t="s">
        <v>109</v>
      </c>
      <c r="V393" s="225" t="s">
        <v>91</v>
      </c>
      <c r="W393" s="225" t="s">
        <v>1071</v>
      </c>
      <c r="X393" s="225" t="s">
        <v>1072</v>
      </c>
      <c r="Y393" s="225"/>
      <c r="Z393" s="225" t="s">
        <v>105</v>
      </c>
      <c r="AA393" s="225" t="s">
        <v>106</v>
      </c>
      <c r="AB393" s="225" t="s">
        <v>157</v>
      </c>
      <c r="AC393" s="225" t="s">
        <v>1074</v>
      </c>
      <c r="AD393" s="225" t="s">
        <v>98</v>
      </c>
      <c r="AE393" s="225" t="s">
        <v>1075</v>
      </c>
      <c r="AF393" s="225" t="s">
        <v>1076</v>
      </c>
      <c r="AG393" s="225" t="s">
        <v>1077</v>
      </c>
      <c r="AH393" s="225" t="s">
        <v>1066</v>
      </c>
      <c r="AI393" s="225" t="s">
        <v>1067</v>
      </c>
      <c r="AJ393" s="225" t="s">
        <v>1078</v>
      </c>
      <c r="AK393" s="225" t="s">
        <v>1079</v>
      </c>
      <c r="AL393" s="225" t="s">
        <v>1057</v>
      </c>
      <c r="AM393" s="225" t="s">
        <v>1058</v>
      </c>
      <c r="AN393" s="225" t="s">
        <v>1080</v>
      </c>
      <c r="AO393" s="225" t="s">
        <v>1069</v>
      </c>
      <c r="AP393" s="202" t="s">
        <v>156</v>
      </c>
      <c r="AQ393" s="202" t="s">
        <v>243</v>
      </c>
      <c r="AR393" s="202">
        <v>0.67</v>
      </c>
      <c r="AS393" s="202">
        <v>0.27300000000000002</v>
      </c>
      <c r="AT393" s="202">
        <v>0.44400000000000001</v>
      </c>
      <c r="AU393" s="202">
        <v>0.71699999999999997</v>
      </c>
      <c r="AV393" s="202">
        <v>10.130000000000001</v>
      </c>
      <c r="AW393" s="202">
        <v>6.75</v>
      </c>
      <c r="AX393" s="202">
        <v>3.38</v>
      </c>
      <c r="AY393" s="202">
        <v>1.5</v>
      </c>
      <c r="AZ393" s="202">
        <v>20.25</v>
      </c>
    </row>
    <row r="394" spans="1:52" x14ac:dyDescent="0.2">
      <c r="A394" s="76">
        <v>28</v>
      </c>
      <c r="B394" t="s">
        <v>1404</v>
      </c>
      <c r="C394" s="76" t="s">
        <v>156</v>
      </c>
      <c r="D394" s="76">
        <v>0</v>
      </c>
      <c r="E394" s="76">
        <v>0</v>
      </c>
      <c r="F394" s="76">
        <v>13.5</v>
      </c>
      <c r="G394" s="76">
        <v>1</v>
      </c>
      <c r="H394" s="76">
        <v>0</v>
      </c>
      <c r="I394" s="76">
        <v>0</v>
      </c>
      <c r="J394" s="76">
        <v>0</v>
      </c>
      <c r="K394" s="76">
        <v>0</v>
      </c>
      <c r="L394" s="76">
        <v>0</v>
      </c>
      <c r="M394" s="76">
        <v>2</v>
      </c>
      <c r="N394" s="76">
        <v>4</v>
      </c>
      <c r="O394" s="76">
        <v>3</v>
      </c>
      <c r="P394" s="76">
        <v>3</v>
      </c>
      <c r="Q394" s="76">
        <v>1</v>
      </c>
      <c r="R394" s="76">
        <v>1</v>
      </c>
      <c r="S394" s="76">
        <v>0</v>
      </c>
      <c r="T394" s="76">
        <v>1</v>
      </c>
      <c r="U394" s="76">
        <v>11</v>
      </c>
      <c r="V394" s="76">
        <v>2</v>
      </c>
      <c r="W394" s="76">
        <v>0.4</v>
      </c>
      <c r="X394" s="76">
        <v>2.5</v>
      </c>
      <c r="Y394" s="76"/>
      <c r="Z394" s="76">
        <v>28</v>
      </c>
      <c r="AA394" t="s">
        <v>1404</v>
      </c>
      <c r="AB394" s="76" t="s">
        <v>156</v>
      </c>
      <c r="AC394" s="76">
        <v>0</v>
      </c>
      <c r="AD394" s="76">
        <v>0</v>
      </c>
      <c r="AE394" s="76">
        <v>0</v>
      </c>
      <c r="AF394" s="76">
        <v>0</v>
      </c>
      <c r="AG394" s="76">
        <v>0</v>
      </c>
      <c r="AH394" s="76">
        <v>0</v>
      </c>
      <c r="AI394" s="76">
        <v>5</v>
      </c>
      <c r="AJ394" s="76">
        <v>0</v>
      </c>
      <c r="AK394" s="76">
        <v>0</v>
      </c>
      <c r="AL394" s="76">
        <v>0</v>
      </c>
      <c r="AM394" s="76">
        <v>0</v>
      </c>
      <c r="AN394" s="76">
        <v>0</v>
      </c>
      <c r="AO394" s="76">
        <v>42</v>
      </c>
      <c r="AP394" s="76">
        <v>0</v>
      </c>
      <c r="AQ394" s="76">
        <v>9</v>
      </c>
      <c r="AR394" s="76" t="s">
        <v>243</v>
      </c>
      <c r="AS394" s="76">
        <v>13</v>
      </c>
    </row>
    <row r="395" spans="1:52" x14ac:dyDescent="0.2">
      <c r="A395" s="76">
        <v>12</v>
      </c>
      <c r="B395" t="s">
        <v>1400</v>
      </c>
      <c r="C395" s="76" t="s">
        <v>156</v>
      </c>
      <c r="D395" s="76">
        <v>0</v>
      </c>
      <c r="E395" s="76">
        <v>0</v>
      </c>
      <c r="F395" s="76">
        <v>3.95</v>
      </c>
      <c r="G395" s="76">
        <v>12</v>
      </c>
      <c r="H395" s="76">
        <v>0</v>
      </c>
      <c r="I395" s="76">
        <v>0</v>
      </c>
      <c r="J395" s="76">
        <v>0</v>
      </c>
      <c r="K395" s="76">
        <v>0</v>
      </c>
      <c r="L395" s="76">
        <v>0</v>
      </c>
      <c r="M395" s="76">
        <v>13.2</v>
      </c>
      <c r="N395" s="76">
        <v>14</v>
      </c>
      <c r="O395" s="76">
        <v>6</v>
      </c>
      <c r="P395" s="76">
        <v>6</v>
      </c>
      <c r="Q395" s="76">
        <v>0</v>
      </c>
      <c r="R395" s="76">
        <v>5</v>
      </c>
      <c r="S395" s="76">
        <v>0</v>
      </c>
      <c r="T395" s="76">
        <v>14</v>
      </c>
      <c r="U395" s="76">
        <v>58</v>
      </c>
      <c r="V395" s="76">
        <v>13.2</v>
      </c>
      <c r="W395" s="76">
        <v>0.27500000000000002</v>
      </c>
      <c r="X395" s="76">
        <v>1.39</v>
      </c>
      <c r="Y395" s="76"/>
      <c r="Z395" s="76">
        <v>12</v>
      </c>
      <c r="AA395" t="s">
        <v>1400</v>
      </c>
      <c r="AB395" s="76" t="s">
        <v>156</v>
      </c>
      <c r="AC395" s="76">
        <v>0</v>
      </c>
      <c r="AD395" s="76">
        <v>0</v>
      </c>
      <c r="AE395" s="76">
        <v>4</v>
      </c>
      <c r="AF395" s="76">
        <v>1</v>
      </c>
      <c r="AG395" s="76">
        <v>1</v>
      </c>
      <c r="AH395" s="76">
        <v>11</v>
      </c>
      <c r="AI395" s="76">
        <v>14</v>
      </c>
      <c r="AJ395" s="76">
        <v>1</v>
      </c>
      <c r="AK395" s="76">
        <v>0</v>
      </c>
      <c r="AL395" s="76">
        <v>0</v>
      </c>
      <c r="AM395" s="76">
        <v>1</v>
      </c>
      <c r="AN395" s="76">
        <v>0</v>
      </c>
      <c r="AO395" s="76">
        <v>234</v>
      </c>
      <c r="AP395" s="202" t="s">
        <v>156</v>
      </c>
      <c r="AQ395" s="202">
        <v>0.28599999999999998</v>
      </c>
      <c r="AR395" s="202">
        <v>2.2000000000000002</v>
      </c>
      <c r="AS395" s="202">
        <v>0.32600000000000001</v>
      </c>
      <c r="AT395" s="202">
        <v>0.45</v>
      </c>
      <c r="AU395" s="202">
        <v>0.77600000000000002</v>
      </c>
      <c r="AV395" s="202">
        <v>9.7799999999999994</v>
      </c>
      <c r="AW395" s="202">
        <v>1.49</v>
      </c>
      <c r="AX395" s="202">
        <v>9.99</v>
      </c>
      <c r="AY395" s="202">
        <v>6.57</v>
      </c>
      <c r="AZ395" s="202">
        <v>17.079999999999998</v>
      </c>
    </row>
    <row r="396" spans="1:52" x14ac:dyDescent="0.2">
      <c r="A396" s="76">
        <v>25</v>
      </c>
      <c r="B396" t="s">
        <v>1402</v>
      </c>
      <c r="C396" s="76" t="s">
        <v>156</v>
      </c>
      <c r="D396" s="76">
        <v>0</v>
      </c>
      <c r="E396" s="76">
        <v>1</v>
      </c>
      <c r="F396" s="76">
        <v>9</v>
      </c>
      <c r="G396" s="76">
        <v>1</v>
      </c>
      <c r="H396" s="76">
        <v>0</v>
      </c>
      <c r="I396" s="76">
        <v>0</v>
      </c>
      <c r="J396" s="76">
        <v>0</v>
      </c>
      <c r="K396" s="76">
        <v>0</v>
      </c>
      <c r="L396" s="76">
        <v>0</v>
      </c>
      <c r="M396" s="76">
        <v>1</v>
      </c>
      <c r="N396" s="76">
        <v>1</v>
      </c>
      <c r="O396" s="76">
        <v>1</v>
      </c>
      <c r="P396" s="76">
        <v>1</v>
      </c>
      <c r="Q396" s="76">
        <v>1</v>
      </c>
      <c r="R396" s="76">
        <v>0</v>
      </c>
      <c r="S396" s="76">
        <v>0</v>
      </c>
      <c r="T396" s="76">
        <v>1</v>
      </c>
      <c r="U396" s="76">
        <v>4</v>
      </c>
      <c r="V396" s="76">
        <v>1</v>
      </c>
      <c r="W396" s="76">
        <v>0.25</v>
      </c>
      <c r="X396" s="76">
        <v>1</v>
      </c>
      <c r="Y396" s="76"/>
      <c r="Z396" s="76">
        <v>25</v>
      </c>
      <c r="AA396" t="s">
        <v>1402</v>
      </c>
      <c r="AB396" s="76" t="s">
        <v>156</v>
      </c>
      <c r="AC396" s="76">
        <v>0</v>
      </c>
      <c r="AD396" s="76">
        <v>0</v>
      </c>
      <c r="AE396" s="76">
        <v>1</v>
      </c>
      <c r="AF396" s="76">
        <v>0</v>
      </c>
      <c r="AG396" s="76">
        <v>0</v>
      </c>
      <c r="AH396" s="76">
        <v>0</v>
      </c>
      <c r="AI396" s="76">
        <v>2</v>
      </c>
      <c r="AJ396" s="76">
        <v>0</v>
      </c>
      <c r="AK396" s="76">
        <v>0</v>
      </c>
      <c r="AL396" s="76">
        <v>0</v>
      </c>
      <c r="AM396" s="76">
        <v>0</v>
      </c>
      <c r="AN396" s="76">
        <v>0</v>
      </c>
      <c r="AO396" s="76">
        <v>16</v>
      </c>
      <c r="AP396" s="76">
        <v>2.4500000000000002</v>
      </c>
      <c r="AQ396" s="76">
        <v>3.82</v>
      </c>
      <c r="AR396" s="76">
        <v>3</v>
      </c>
      <c r="AS396" s="76">
        <v>14.09</v>
      </c>
    </row>
    <row r="397" spans="1:52" x14ac:dyDescent="0.2">
      <c r="A397" s="76">
        <v>2</v>
      </c>
      <c r="B397" s="41" t="s">
        <v>535</v>
      </c>
      <c r="C397" s="76" t="s">
        <v>156</v>
      </c>
      <c r="D397" s="76">
        <v>2</v>
      </c>
      <c r="E397" s="76">
        <v>0</v>
      </c>
      <c r="F397" s="76">
        <v>0.38</v>
      </c>
      <c r="G397" s="76">
        <v>25</v>
      </c>
      <c r="H397" s="76">
        <v>0</v>
      </c>
      <c r="I397" s="76">
        <v>0</v>
      </c>
      <c r="J397" s="76">
        <v>0</v>
      </c>
      <c r="K397" s="76">
        <v>1</v>
      </c>
      <c r="L397" s="76">
        <v>3</v>
      </c>
      <c r="M397" s="76">
        <v>23.2</v>
      </c>
      <c r="N397" s="76">
        <v>17</v>
      </c>
      <c r="O397" s="76">
        <v>1</v>
      </c>
      <c r="P397" s="76">
        <v>1</v>
      </c>
      <c r="Q397" s="76">
        <v>1</v>
      </c>
      <c r="R397" s="76">
        <v>9</v>
      </c>
      <c r="S397" s="76">
        <v>0</v>
      </c>
      <c r="T397" s="76">
        <v>24</v>
      </c>
      <c r="U397" s="76">
        <v>93</v>
      </c>
      <c r="V397" s="76">
        <v>23.2</v>
      </c>
      <c r="W397" s="76">
        <v>0.20499999999999999</v>
      </c>
      <c r="X397" s="76">
        <v>1.1000000000000001</v>
      </c>
      <c r="Y397" s="76"/>
      <c r="Z397" s="76">
        <v>2</v>
      </c>
      <c r="AA397" t="s">
        <v>535</v>
      </c>
      <c r="AB397" s="76" t="s">
        <v>156</v>
      </c>
      <c r="AC397" s="76">
        <v>0</v>
      </c>
      <c r="AD397" s="76">
        <v>0</v>
      </c>
      <c r="AE397" s="76">
        <v>4</v>
      </c>
      <c r="AF397" s="76">
        <v>10</v>
      </c>
      <c r="AG397" s="76">
        <v>4</v>
      </c>
      <c r="AH397" s="76">
        <v>17</v>
      </c>
      <c r="AI397" s="76">
        <v>26</v>
      </c>
      <c r="AJ397" s="76">
        <v>0</v>
      </c>
      <c r="AK397" s="76">
        <v>0</v>
      </c>
      <c r="AL397" s="76">
        <v>2</v>
      </c>
      <c r="AM397" s="76">
        <v>1</v>
      </c>
      <c r="AN397" s="76">
        <v>0</v>
      </c>
      <c r="AO397" s="76">
        <v>373</v>
      </c>
      <c r="AP397" s="202" t="s">
        <v>156</v>
      </c>
      <c r="AQ397" s="202">
        <v>1</v>
      </c>
      <c r="AR397" s="202">
        <v>1</v>
      </c>
      <c r="AS397" s="202">
        <v>0.33600000000000002</v>
      </c>
      <c r="AT397" s="202">
        <v>0.46400000000000002</v>
      </c>
      <c r="AU397" s="202">
        <v>0.8</v>
      </c>
      <c r="AV397" s="202">
        <v>9.1999999999999993</v>
      </c>
      <c r="AW397" s="202">
        <v>4.3</v>
      </c>
      <c r="AX397" s="202">
        <v>8.59</v>
      </c>
      <c r="AY397" s="202">
        <v>2.14</v>
      </c>
      <c r="AZ397" s="202">
        <v>18.510000000000002</v>
      </c>
    </row>
    <row r="398" spans="1:52" x14ac:dyDescent="0.2">
      <c r="A398" s="76">
        <v>7</v>
      </c>
      <c r="B398" s="41" t="s">
        <v>1399</v>
      </c>
      <c r="C398" s="76" t="s">
        <v>156</v>
      </c>
      <c r="D398" s="76">
        <v>4</v>
      </c>
      <c r="E398" s="76">
        <v>3</v>
      </c>
      <c r="F398" s="76">
        <v>3.06</v>
      </c>
      <c r="G398" s="76">
        <v>60</v>
      </c>
      <c r="H398" s="76">
        <v>0</v>
      </c>
      <c r="I398" s="76">
        <v>0</v>
      </c>
      <c r="J398" s="76">
        <v>0</v>
      </c>
      <c r="K398" s="76">
        <v>1</v>
      </c>
      <c r="L398" s="76">
        <v>3</v>
      </c>
      <c r="M398" s="76">
        <v>67.2</v>
      </c>
      <c r="N398" s="76">
        <v>69</v>
      </c>
      <c r="O398" s="76">
        <v>28</v>
      </c>
      <c r="P398" s="76">
        <v>23</v>
      </c>
      <c r="Q398" s="76">
        <v>3</v>
      </c>
      <c r="R398" s="76">
        <v>19</v>
      </c>
      <c r="S398" s="76">
        <v>1</v>
      </c>
      <c r="T398" s="76">
        <v>62</v>
      </c>
      <c r="U398" s="76">
        <v>295</v>
      </c>
      <c r="V398" s="76">
        <v>67.2</v>
      </c>
      <c r="W398" s="76">
        <v>0.25900000000000001</v>
      </c>
      <c r="X398" s="76">
        <v>1.3</v>
      </c>
      <c r="Y398" s="76"/>
      <c r="Z398" s="76">
        <v>7</v>
      </c>
      <c r="AA398" t="s">
        <v>1399</v>
      </c>
      <c r="AB398" s="76" t="s">
        <v>156</v>
      </c>
      <c r="AC398" s="76">
        <v>5</v>
      </c>
      <c r="AD398" s="76">
        <v>1</v>
      </c>
      <c r="AE398" s="76">
        <v>12</v>
      </c>
      <c r="AF398" s="76">
        <v>9</v>
      </c>
      <c r="AG398" s="76">
        <v>4</v>
      </c>
      <c r="AH398" s="76">
        <v>80</v>
      </c>
      <c r="AI398" s="76">
        <v>60</v>
      </c>
      <c r="AJ398" s="76">
        <v>3</v>
      </c>
      <c r="AK398" s="76">
        <v>0</v>
      </c>
      <c r="AL398" s="76">
        <v>7</v>
      </c>
      <c r="AM398" s="76">
        <v>2</v>
      </c>
      <c r="AN398" s="76">
        <v>1</v>
      </c>
      <c r="AO398" s="76">
        <v>1117</v>
      </c>
      <c r="AP398" s="202" t="s">
        <v>156</v>
      </c>
      <c r="AQ398" s="202">
        <v>1</v>
      </c>
      <c r="AR398" s="202">
        <v>1.1299999999999999</v>
      </c>
      <c r="AS398" s="202">
        <v>0.34699999999999998</v>
      </c>
      <c r="AT398" s="202">
        <v>0.435</v>
      </c>
      <c r="AU398" s="202">
        <v>0.78200000000000003</v>
      </c>
      <c r="AV398" s="202">
        <v>7.71</v>
      </c>
      <c r="AW398" s="202">
        <v>1.65</v>
      </c>
      <c r="AX398" s="202">
        <v>12.12</v>
      </c>
      <c r="AY398" s="202">
        <v>4.67</v>
      </c>
      <c r="AZ398" s="202">
        <v>15.43</v>
      </c>
    </row>
    <row r="399" spans="1:52" x14ac:dyDescent="0.2">
      <c r="A399" s="76">
        <v>11</v>
      </c>
      <c r="B399" s="41" t="s">
        <v>618</v>
      </c>
      <c r="C399" s="76" t="s">
        <v>156</v>
      </c>
      <c r="D399" s="76">
        <v>1</v>
      </c>
      <c r="E399" s="76">
        <v>7</v>
      </c>
      <c r="F399" s="76">
        <v>3.93</v>
      </c>
      <c r="G399" s="76">
        <v>54</v>
      </c>
      <c r="H399" s="76">
        <v>0</v>
      </c>
      <c r="I399" s="76">
        <v>0</v>
      </c>
      <c r="J399" s="76">
        <v>0</v>
      </c>
      <c r="K399" s="76">
        <v>0</v>
      </c>
      <c r="L399" s="76">
        <v>4</v>
      </c>
      <c r="M399" s="76">
        <v>36.200000000000003</v>
      </c>
      <c r="N399" s="76">
        <v>39</v>
      </c>
      <c r="O399" s="76">
        <v>17</v>
      </c>
      <c r="P399" s="76">
        <v>16</v>
      </c>
      <c r="Q399" s="76">
        <v>6</v>
      </c>
      <c r="R399" s="76">
        <v>8</v>
      </c>
      <c r="S399" s="76">
        <v>0</v>
      </c>
      <c r="T399" s="76">
        <v>45</v>
      </c>
      <c r="U399" s="76">
        <v>157</v>
      </c>
      <c r="V399" s="76">
        <v>36.200000000000003</v>
      </c>
      <c r="W399" s="76">
        <v>0.26900000000000002</v>
      </c>
      <c r="X399" s="76">
        <v>1.28</v>
      </c>
      <c r="Y399" s="76"/>
      <c r="Z399" s="76">
        <v>11</v>
      </c>
      <c r="AA399" t="s">
        <v>618</v>
      </c>
      <c r="AB399" s="76" t="s">
        <v>156</v>
      </c>
      <c r="AC399" s="76">
        <v>2</v>
      </c>
      <c r="AD399" s="76">
        <v>0</v>
      </c>
      <c r="AE399" s="76">
        <v>8</v>
      </c>
      <c r="AF399" s="76">
        <v>9</v>
      </c>
      <c r="AG399" s="76">
        <v>3</v>
      </c>
      <c r="AH399" s="76">
        <v>33</v>
      </c>
      <c r="AI399" s="76">
        <v>30</v>
      </c>
      <c r="AJ399" s="76">
        <v>0</v>
      </c>
      <c r="AK399" s="76">
        <v>0</v>
      </c>
      <c r="AL399" s="76">
        <v>6</v>
      </c>
      <c r="AM399" s="76">
        <v>0</v>
      </c>
      <c r="AN399" s="76">
        <v>0</v>
      </c>
      <c r="AO399" s="76">
        <v>566</v>
      </c>
      <c r="AP399" s="202" t="s">
        <v>156</v>
      </c>
      <c r="AQ399" s="202" t="s">
        <v>243</v>
      </c>
      <c r="AR399" s="202">
        <v>0.28999999999999998</v>
      </c>
      <c r="AS399" s="202">
        <v>0.35299999999999998</v>
      </c>
      <c r="AT399" s="202">
        <v>0.42899999999999999</v>
      </c>
      <c r="AU399" s="202">
        <v>0.78200000000000003</v>
      </c>
      <c r="AV399" s="202">
        <v>4.91</v>
      </c>
      <c r="AW399" s="202">
        <v>7.36</v>
      </c>
      <c r="AX399" s="202">
        <v>7.36</v>
      </c>
      <c r="AY399" s="202">
        <v>0.67</v>
      </c>
      <c r="AZ399" s="202">
        <v>21.82</v>
      </c>
    </row>
    <row r="400" spans="1:52" x14ac:dyDescent="0.2">
      <c r="A400" s="76">
        <v>17</v>
      </c>
      <c r="B400" t="s">
        <v>600</v>
      </c>
      <c r="C400" s="76" t="s">
        <v>156</v>
      </c>
      <c r="D400" s="76">
        <v>1</v>
      </c>
      <c r="E400" s="76">
        <v>2</v>
      </c>
      <c r="F400" s="76">
        <v>4.57</v>
      </c>
      <c r="G400" s="76">
        <v>39</v>
      </c>
      <c r="H400" s="76">
        <v>0</v>
      </c>
      <c r="I400" s="76">
        <v>0</v>
      </c>
      <c r="J400" s="76">
        <v>0</v>
      </c>
      <c r="K400" s="76">
        <v>0</v>
      </c>
      <c r="L400" s="76">
        <v>2</v>
      </c>
      <c r="M400" s="76">
        <v>41.1</v>
      </c>
      <c r="N400" s="76">
        <v>43</v>
      </c>
      <c r="O400" s="76">
        <v>22</v>
      </c>
      <c r="P400" s="76">
        <v>21</v>
      </c>
      <c r="Q400" s="76">
        <v>9</v>
      </c>
      <c r="R400" s="76">
        <v>10</v>
      </c>
      <c r="S400" s="76">
        <v>0</v>
      </c>
      <c r="T400" s="76">
        <v>42</v>
      </c>
      <c r="U400" s="76">
        <v>173</v>
      </c>
      <c r="V400" s="76">
        <v>41.1</v>
      </c>
      <c r="W400" s="76">
        <v>0.26900000000000002</v>
      </c>
      <c r="X400" s="76">
        <v>1.28</v>
      </c>
      <c r="Y400" s="76"/>
      <c r="Z400" s="76">
        <v>17</v>
      </c>
      <c r="AA400" t="s">
        <v>600</v>
      </c>
      <c r="AB400" s="76" t="s">
        <v>156</v>
      </c>
      <c r="AC400" s="76">
        <v>2</v>
      </c>
      <c r="AD400" s="76">
        <v>0</v>
      </c>
      <c r="AE400" s="76">
        <v>6</v>
      </c>
      <c r="AF400" s="76">
        <v>7</v>
      </c>
      <c r="AG400" s="76">
        <v>4</v>
      </c>
      <c r="AH400" s="76">
        <v>40</v>
      </c>
      <c r="AI400" s="76">
        <v>36</v>
      </c>
      <c r="AJ400" s="76">
        <v>1</v>
      </c>
      <c r="AK400" s="76">
        <v>0</v>
      </c>
      <c r="AL400" s="76">
        <v>2</v>
      </c>
      <c r="AM400" s="76">
        <v>1</v>
      </c>
      <c r="AN400" s="76">
        <v>0</v>
      </c>
      <c r="AO400" s="76">
        <v>681</v>
      </c>
      <c r="AP400" s="202" t="s">
        <v>156</v>
      </c>
      <c r="AQ400" s="202" t="s">
        <v>243</v>
      </c>
      <c r="AR400" s="202">
        <v>0</v>
      </c>
      <c r="AS400" s="202">
        <v>0.25</v>
      </c>
      <c r="AT400" s="202">
        <v>0.25</v>
      </c>
      <c r="AU400" s="202">
        <v>0.5</v>
      </c>
      <c r="AV400" s="202">
        <v>9</v>
      </c>
      <c r="AW400" s="202">
        <v>0</v>
      </c>
      <c r="AX400" s="202">
        <v>9</v>
      </c>
      <c r="AY400" s="202" t="s">
        <v>243</v>
      </c>
      <c r="AZ400" s="202">
        <v>13</v>
      </c>
    </row>
    <row r="401" spans="1:52" x14ac:dyDescent="0.2">
      <c r="A401" s="76">
        <v>27</v>
      </c>
      <c r="B401" t="s">
        <v>1403</v>
      </c>
      <c r="C401" s="76" t="s">
        <v>156</v>
      </c>
      <c r="D401" s="76">
        <v>0</v>
      </c>
      <c r="E401" s="76">
        <v>0</v>
      </c>
      <c r="F401" s="76">
        <v>12</v>
      </c>
      <c r="G401" s="76">
        <v>5</v>
      </c>
      <c r="H401" s="76">
        <v>0</v>
      </c>
      <c r="I401" s="76">
        <v>0</v>
      </c>
      <c r="J401" s="76">
        <v>0</v>
      </c>
      <c r="K401" s="76">
        <v>0</v>
      </c>
      <c r="L401" s="76">
        <v>0</v>
      </c>
      <c r="M401" s="76">
        <v>3</v>
      </c>
      <c r="N401" s="76">
        <v>6</v>
      </c>
      <c r="O401" s="76">
        <v>4</v>
      </c>
      <c r="P401" s="76">
        <v>4</v>
      </c>
      <c r="Q401" s="76">
        <v>1</v>
      </c>
      <c r="R401" s="76">
        <v>0</v>
      </c>
      <c r="S401" s="76">
        <v>0</v>
      </c>
      <c r="T401" s="76">
        <v>5</v>
      </c>
      <c r="U401" s="76">
        <v>16</v>
      </c>
      <c r="V401" s="76">
        <v>3</v>
      </c>
      <c r="W401" s="76">
        <v>0.4</v>
      </c>
      <c r="X401" s="76">
        <v>2</v>
      </c>
      <c r="Y401" s="76"/>
      <c r="Z401" s="76">
        <v>27</v>
      </c>
      <c r="AA401" t="s">
        <v>1403</v>
      </c>
      <c r="AB401" s="76" t="s">
        <v>156</v>
      </c>
      <c r="AC401" s="76">
        <v>1</v>
      </c>
      <c r="AD401" s="76">
        <v>0</v>
      </c>
      <c r="AE401" s="76">
        <v>1</v>
      </c>
      <c r="AF401" s="76">
        <v>0</v>
      </c>
      <c r="AG401" s="76">
        <v>0</v>
      </c>
      <c r="AH401" s="76">
        <v>2</v>
      </c>
      <c r="AI401" s="76">
        <v>2</v>
      </c>
      <c r="AJ401" s="76">
        <v>1</v>
      </c>
      <c r="AK401" s="76">
        <v>0</v>
      </c>
      <c r="AL401" s="76">
        <v>0</v>
      </c>
      <c r="AM401" s="76">
        <v>0</v>
      </c>
      <c r="AN401" s="76">
        <v>0</v>
      </c>
      <c r="AO401" s="76">
        <v>60</v>
      </c>
      <c r="AP401" s="76">
        <v>1.93</v>
      </c>
      <c r="AQ401" s="76">
        <v>8.61</v>
      </c>
      <c r="AR401" s="76">
        <v>3.96</v>
      </c>
      <c r="AS401" s="76">
        <v>15.93</v>
      </c>
    </row>
    <row r="402" spans="1:52" x14ac:dyDescent="0.2">
      <c r="A402" s="76">
        <v>29</v>
      </c>
      <c r="B402" t="s">
        <v>1405</v>
      </c>
      <c r="C402" s="76" t="s">
        <v>156</v>
      </c>
      <c r="D402" s="76">
        <v>0</v>
      </c>
      <c r="E402" s="76">
        <v>0</v>
      </c>
      <c r="F402" s="76">
        <v>27</v>
      </c>
      <c r="G402" s="76">
        <v>1</v>
      </c>
      <c r="H402" s="76">
        <v>0</v>
      </c>
      <c r="I402" s="76">
        <v>0</v>
      </c>
      <c r="J402" s="76">
        <v>0</v>
      </c>
      <c r="K402" s="76">
        <v>0</v>
      </c>
      <c r="L402" s="76">
        <v>0</v>
      </c>
      <c r="M402" s="76">
        <v>1</v>
      </c>
      <c r="N402" s="76">
        <v>2</v>
      </c>
      <c r="O402" s="76">
        <v>3</v>
      </c>
      <c r="P402" s="76">
        <v>3</v>
      </c>
      <c r="Q402" s="76">
        <v>0</v>
      </c>
      <c r="R402" s="76">
        <v>2</v>
      </c>
      <c r="S402" s="76">
        <v>0</v>
      </c>
      <c r="T402" s="76">
        <v>0</v>
      </c>
      <c r="U402" s="76">
        <v>7</v>
      </c>
      <c r="V402" s="76">
        <v>1</v>
      </c>
      <c r="W402" s="76">
        <v>0.4</v>
      </c>
      <c r="X402" s="76">
        <v>4</v>
      </c>
      <c r="Y402" s="76"/>
      <c r="Z402" s="76">
        <v>29</v>
      </c>
      <c r="AA402" t="s">
        <v>1405</v>
      </c>
      <c r="AB402" s="76" t="s">
        <v>156</v>
      </c>
      <c r="AC402" s="76">
        <v>0</v>
      </c>
      <c r="AD402" s="76">
        <v>0</v>
      </c>
      <c r="AE402" s="76">
        <v>1</v>
      </c>
      <c r="AF402" s="76">
        <v>0</v>
      </c>
      <c r="AG402" s="76">
        <v>0</v>
      </c>
      <c r="AH402" s="76">
        <v>1</v>
      </c>
      <c r="AI402" s="76">
        <v>2</v>
      </c>
      <c r="AJ402" s="76">
        <v>0</v>
      </c>
      <c r="AK402" s="76">
        <v>0</v>
      </c>
      <c r="AL402" s="76">
        <v>0</v>
      </c>
      <c r="AM402" s="76">
        <v>0</v>
      </c>
      <c r="AN402" s="76">
        <v>0</v>
      </c>
      <c r="AO402" s="76">
        <v>26</v>
      </c>
      <c r="AP402" s="76">
        <v>3.6</v>
      </c>
      <c r="AQ402" s="76">
        <v>10.8</v>
      </c>
      <c r="AR402" s="76">
        <v>1.5</v>
      </c>
      <c r="AS402" s="76">
        <v>21.6</v>
      </c>
    </row>
    <row r="403" spans="1:52" x14ac:dyDescent="0.2">
      <c r="A403" s="76">
        <v>16</v>
      </c>
      <c r="B403" s="41" t="s">
        <v>620</v>
      </c>
      <c r="C403" s="76" t="s">
        <v>156</v>
      </c>
      <c r="D403" s="76">
        <v>10</v>
      </c>
      <c r="E403" s="76">
        <v>15</v>
      </c>
      <c r="F403" s="76">
        <v>4.46</v>
      </c>
      <c r="G403" s="76">
        <v>30</v>
      </c>
      <c r="H403" s="76">
        <v>29</v>
      </c>
      <c r="I403" s="76">
        <v>0</v>
      </c>
      <c r="J403" s="76">
        <v>0</v>
      </c>
      <c r="K403" s="76">
        <v>0</v>
      </c>
      <c r="L403" s="76">
        <v>0</v>
      </c>
      <c r="M403" s="76">
        <v>169.2</v>
      </c>
      <c r="N403" s="76">
        <v>169</v>
      </c>
      <c r="O403" s="76">
        <v>97</v>
      </c>
      <c r="P403" s="76">
        <v>84</v>
      </c>
      <c r="Q403" s="76">
        <v>28</v>
      </c>
      <c r="R403" s="76">
        <v>63</v>
      </c>
      <c r="S403" s="76">
        <v>0</v>
      </c>
      <c r="T403" s="76">
        <v>126</v>
      </c>
      <c r="U403" s="76">
        <v>728</v>
      </c>
      <c r="V403" s="76">
        <v>169.2</v>
      </c>
      <c r="W403" s="76">
        <v>0.25800000000000001</v>
      </c>
      <c r="X403" s="76">
        <v>1.37</v>
      </c>
      <c r="Y403" s="76"/>
      <c r="Z403" s="76">
        <v>16</v>
      </c>
      <c r="AA403" t="s">
        <v>620</v>
      </c>
      <c r="AB403" s="76" t="s">
        <v>156</v>
      </c>
      <c r="AC403" s="76">
        <v>6</v>
      </c>
      <c r="AD403" s="76">
        <v>0</v>
      </c>
      <c r="AE403" s="76">
        <v>1</v>
      </c>
      <c r="AF403" s="76">
        <v>0</v>
      </c>
      <c r="AG403" s="76">
        <v>21</v>
      </c>
      <c r="AH403" s="76">
        <v>176</v>
      </c>
      <c r="AI403" s="76">
        <v>188</v>
      </c>
      <c r="AJ403" s="76">
        <v>5</v>
      </c>
      <c r="AK403" s="76">
        <v>1</v>
      </c>
      <c r="AL403" s="76">
        <v>2</v>
      </c>
      <c r="AM403" s="76">
        <v>1</v>
      </c>
      <c r="AN403" s="76">
        <v>4</v>
      </c>
      <c r="AO403" s="76">
        <v>2742</v>
      </c>
      <c r="AP403" s="202" t="s">
        <v>156</v>
      </c>
      <c r="AQ403" s="202">
        <v>0.9</v>
      </c>
      <c r="AR403" s="202">
        <v>0.94</v>
      </c>
      <c r="AS403" s="202">
        <v>0.253</v>
      </c>
      <c r="AT403" s="202">
        <v>0.30199999999999999</v>
      </c>
      <c r="AU403" s="202">
        <v>0.55500000000000005</v>
      </c>
      <c r="AV403" s="202">
        <v>10.53</v>
      </c>
      <c r="AW403" s="202">
        <v>2.1800000000000002</v>
      </c>
      <c r="AX403" s="202">
        <v>6.9</v>
      </c>
      <c r="AY403" s="202">
        <v>4.83</v>
      </c>
      <c r="AZ403" s="202">
        <v>15.7</v>
      </c>
    </row>
    <row r="404" spans="1:52" x14ac:dyDescent="0.2">
      <c r="A404" s="76">
        <v>9</v>
      </c>
      <c r="B404" s="41" t="s">
        <v>404</v>
      </c>
      <c r="C404" s="76" t="s">
        <v>156</v>
      </c>
      <c r="D404" s="76">
        <v>9</v>
      </c>
      <c r="E404" s="76">
        <v>9</v>
      </c>
      <c r="F404" s="76">
        <v>3.48</v>
      </c>
      <c r="G404" s="76">
        <v>29</v>
      </c>
      <c r="H404" s="76">
        <v>29</v>
      </c>
      <c r="I404" s="76">
        <v>0</v>
      </c>
      <c r="J404" s="76">
        <v>0</v>
      </c>
      <c r="K404" s="76">
        <v>0</v>
      </c>
      <c r="L404" s="76">
        <v>0</v>
      </c>
      <c r="M404" s="76">
        <v>176</v>
      </c>
      <c r="N404" s="76">
        <v>132</v>
      </c>
      <c r="O404" s="76">
        <v>73</v>
      </c>
      <c r="P404" s="76">
        <v>68</v>
      </c>
      <c r="Q404" s="76">
        <v>23</v>
      </c>
      <c r="R404" s="76">
        <v>65</v>
      </c>
      <c r="S404" s="76">
        <v>1</v>
      </c>
      <c r="T404" s="76">
        <v>165</v>
      </c>
      <c r="U404" s="76">
        <v>723</v>
      </c>
      <c r="V404" s="76">
        <v>176</v>
      </c>
      <c r="W404" s="76">
        <v>0.20300000000000001</v>
      </c>
      <c r="X404" s="76">
        <v>1.1200000000000001</v>
      </c>
      <c r="Y404" s="76"/>
      <c r="Z404" s="76">
        <v>9</v>
      </c>
      <c r="AA404" t="s">
        <v>404</v>
      </c>
      <c r="AB404" s="76" t="s">
        <v>156</v>
      </c>
      <c r="AC404" s="76">
        <v>4</v>
      </c>
      <c r="AD404" s="76">
        <v>1</v>
      </c>
      <c r="AE404" s="76">
        <v>0</v>
      </c>
      <c r="AF404" s="76">
        <v>0</v>
      </c>
      <c r="AG404" s="76">
        <v>6</v>
      </c>
      <c r="AH404" s="76">
        <v>132</v>
      </c>
      <c r="AI404" s="76">
        <v>225</v>
      </c>
      <c r="AJ404" s="76">
        <v>5</v>
      </c>
      <c r="AK404" s="76">
        <v>0</v>
      </c>
      <c r="AL404" s="76">
        <v>12</v>
      </c>
      <c r="AM404" s="76">
        <v>1</v>
      </c>
      <c r="AN404" s="76">
        <v>0</v>
      </c>
      <c r="AO404" s="76">
        <v>2843</v>
      </c>
      <c r="AP404" s="202" t="s">
        <v>156</v>
      </c>
      <c r="AQ404" s="202">
        <v>0.72199999999999998</v>
      </c>
      <c r="AR404" s="202">
        <v>0.85</v>
      </c>
      <c r="AS404" s="202">
        <v>0.35199999999999998</v>
      </c>
      <c r="AT404" s="202">
        <v>0.47299999999999998</v>
      </c>
      <c r="AU404" s="202">
        <v>0.82499999999999996</v>
      </c>
      <c r="AV404" s="202">
        <v>7.72</v>
      </c>
      <c r="AW404" s="202">
        <v>2.63</v>
      </c>
      <c r="AX404" s="202">
        <v>10.72</v>
      </c>
      <c r="AY404" s="202">
        <v>2.93</v>
      </c>
      <c r="AZ404" s="202">
        <v>16.7</v>
      </c>
    </row>
    <row r="405" spans="1:52" x14ac:dyDescent="0.2">
      <c r="A405" s="76">
        <v>24</v>
      </c>
      <c r="B405" s="41" t="s">
        <v>345</v>
      </c>
      <c r="C405" s="76" t="s">
        <v>156</v>
      </c>
      <c r="D405" s="76">
        <v>2</v>
      </c>
      <c r="E405" s="76">
        <v>1</v>
      </c>
      <c r="F405" s="76">
        <v>8.4</v>
      </c>
      <c r="G405" s="76">
        <v>14</v>
      </c>
      <c r="H405" s="76">
        <v>0</v>
      </c>
      <c r="I405" s="76">
        <v>0</v>
      </c>
      <c r="J405" s="76">
        <v>0</v>
      </c>
      <c r="K405" s="76">
        <v>0</v>
      </c>
      <c r="L405" s="76">
        <v>0</v>
      </c>
      <c r="M405" s="76">
        <v>15</v>
      </c>
      <c r="N405" s="76">
        <v>23</v>
      </c>
      <c r="O405" s="76">
        <v>15</v>
      </c>
      <c r="P405" s="76">
        <v>14</v>
      </c>
      <c r="Q405" s="76">
        <v>2</v>
      </c>
      <c r="R405" s="76">
        <v>6</v>
      </c>
      <c r="S405" s="76">
        <v>0</v>
      </c>
      <c r="T405" s="76">
        <v>14</v>
      </c>
      <c r="U405" s="76">
        <v>73</v>
      </c>
      <c r="V405" s="76">
        <v>15</v>
      </c>
      <c r="W405" s="76">
        <v>0.34799999999999998</v>
      </c>
      <c r="X405" s="76">
        <v>1.93</v>
      </c>
      <c r="Y405" s="76"/>
      <c r="Z405" s="76">
        <v>24</v>
      </c>
      <c r="AA405" t="s">
        <v>345</v>
      </c>
      <c r="AB405" s="76" t="s">
        <v>156</v>
      </c>
      <c r="AC405" s="76">
        <v>0</v>
      </c>
      <c r="AD405" s="76">
        <v>0</v>
      </c>
      <c r="AE405" s="76">
        <v>4</v>
      </c>
      <c r="AF405" s="76">
        <v>0</v>
      </c>
      <c r="AG405" s="76">
        <v>2</v>
      </c>
      <c r="AH405" s="76">
        <v>23</v>
      </c>
      <c r="AI405" s="76">
        <v>7</v>
      </c>
      <c r="AJ405" s="76">
        <v>0</v>
      </c>
      <c r="AK405" s="76">
        <v>0</v>
      </c>
      <c r="AL405" s="76">
        <v>2</v>
      </c>
      <c r="AM405" s="76">
        <v>0</v>
      </c>
      <c r="AN405" s="76">
        <v>0</v>
      </c>
      <c r="AO405" s="76">
        <v>312</v>
      </c>
      <c r="AP405" s="76">
        <v>3.05</v>
      </c>
      <c r="AQ405" s="76">
        <v>12.19</v>
      </c>
      <c r="AR405" s="76">
        <v>3</v>
      </c>
      <c r="AS405" s="76">
        <v>20.079999999999998</v>
      </c>
    </row>
    <row r="406" spans="1:52" x14ac:dyDescent="0.2">
      <c r="A406" s="76">
        <v>13</v>
      </c>
      <c r="B406" s="41" t="s">
        <v>519</v>
      </c>
      <c r="C406" s="76" t="s">
        <v>156</v>
      </c>
      <c r="D406" s="76">
        <v>2</v>
      </c>
      <c r="E406" s="76">
        <v>4</v>
      </c>
      <c r="F406" s="76">
        <v>4.0599999999999996</v>
      </c>
      <c r="G406" s="76">
        <v>28</v>
      </c>
      <c r="H406" s="76">
        <v>0</v>
      </c>
      <c r="I406" s="76">
        <v>0</v>
      </c>
      <c r="J406" s="76">
        <v>0</v>
      </c>
      <c r="K406" s="76">
        <v>0</v>
      </c>
      <c r="L406" s="76">
        <v>1</v>
      </c>
      <c r="M406" s="76">
        <v>31</v>
      </c>
      <c r="N406" s="76">
        <v>23</v>
      </c>
      <c r="O406" s="76">
        <v>14</v>
      </c>
      <c r="P406" s="76">
        <v>14</v>
      </c>
      <c r="Q406" s="76">
        <v>4</v>
      </c>
      <c r="R406" s="76">
        <v>8</v>
      </c>
      <c r="S406" s="76">
        <v>1</v>
      </c>
      <c r="T406" s="76">
        <v>30</v>
      </c>
      <c r="U406" s="76">
        <v>124</v>
      </c>
      <c r="V406" s="76">
        <v>31</v>
      </c>
      <c r="W406" s="76">
        <v>0.20499999999999999</v>
      </c>
      <c r="X406" s="76">
        <v>1</v>
      </c>
      <c r="Y406" s="76"/>
      <c r="Z406" s="76">
        <v>13</v>
      </c>
      <c r="AA406" t="s">
        <v>519</v>
      </c>
      <c r="AB406" s="76" t="s">
        <v>156</v>
      </c>
      <c r="AC406" s="76">
        <v>3</v>
      </c>
      <c r="AD406" s="76">
        <v>1</v>
      </c>
      <c r="AE406" s="76">
        <v>10</v>
      </c>
      <c r="AF406" s="76">
        <v>6</v>
      </c>
      <c r="AG406" s="76">
        <v>2</v>
      </c>
      <c r="AH406" s="76">
        <v>27</v>
      </c>
      <c r="AI406" s="76">
        <v>33</v>
      </c>
      <c r="AJ406" s="76">
        <v>4</v>
      </c>
      <c r="AK406" s="76">
        <v>0</v>
      </c>
      <c r="AL406" s="76">
        <v>3</v>
      </c>
      <c r="AM406" s="76">
        <v>0</v>
      </c>
      <c r="AN406" s="76">
        <v>0</v>
      </c>
      <c r="AO406" s="76">
        <v>475</v>
      </c>
      <c r="AP406" s="202" t="s">
        <v>156</v>
      </c>
      <c r="AQ406" s="202">
        <v>0.33300000000000002</v>
      </c>
      <c r="AR406" s="202">
        <v>1</v>
      </c>
      <c r="AS406" s="202">
        <v>0.22900000000000001</v>
      </c>
      <c r="AT406" s="202">
        <v>0.40300000000000002</v>
      </c>
      <c r="AU406" s="202">
        <v>0.63200000000000001</v>
      </c>
      <c r="AV406" s="202">
        <v>6.63</v>
      </c>
      <c r="AW406" s="202">
        <v>0.47</v>
      </c>
      <c r="AX406" s="202">
        <v>7.11</v>
      </c>
      <c r="AY406" s="202">
        <v>14</v>
      </c>
      <c r="AZ406" s="202">
        <v>13.58</v>
      </c>
    </row>
    <row r="407" spans="1:52" x14ac:dyDescent="0.2">
      <c r="A407" s="76">
        <v>14</v>
      </c>
      <c r="B407" t="s">
        <v>1401</v>
      </c>
      <c r="C407" s="76" t="s">
        <v>156</v>
      </c>
      <c r="D407" s="76">
        <v>0</v>
      </c>
      <c r="E407" s="76">
        <v>0</v>
      </c>
      <c r="F407" s="76">
        <v>4.3499999999999996</v>
      </c>
      <c r="G407" s="76">
        <v>14</v>
      </c>
      <c r="H407" s="76">
        <v>0</v>
      </c>
      <c r="I407" s="76">
        <v>0</v>
      </c>
      <c r="J407" s="76">
        <v>0</v>
      </c>
      <c r="K407" s="76">
        <v>0</v>
      </c>
      <c r="L407" s="76">
        <v>0</v>
      </c>
      <c r="M407" s="76">
        <v>10.1</v>
      </c>
      <c r="N407" s="76">
        <v>11</v>
      </c>
      <c r="O407" s="76">
        <v>5</v>
      </c>
      <c r="P407" s="76">
        <v>5</v>
      </c>
      <c r="Q407" s="76">
        <v>3</v>
      </c>
      <c r="R407" s="76">
        <v>2</v>
      </c>
      <c r="S407" s="76">
        <v>0</v>
      </c>
      <c r="T407" s="76">
        <v>5</v>
      </c>
      <c r="U407" s="76">
        <v>44</v>
      </c>
      <c r="V407" s="76">
        <v>10.1</v>
      </c>
      <c r="W407" s="76">
        <v>0.26800000000000002</v>
      </c>
      <c r="X407" s="76">
        <v>1.26</v>
      </c>
      <c r="Y407" s="76"/>
      <c r="Z407" s="76">
        <v>14</v>
      </c>
      <c r="AA407" t="s">
        <v>1401</v>
      </c>
      <c r="AB407" s="76" t="s">
        <v>156</v>
      </c>
      <c r="AC407" s="76">
        <v>1</v>
      </c>
      <c r="AD407" s="76">
        <v>0</v>
      </c>
      <c r="AE407" s="76">
        <v>2</v>
      </c>
      <c r="AF407" s="76">
        <v>0</v>
      </c>
      <c r="AG407" s="76">
        <v>1</v>
      </c>
      <c r="AH407" s="76">
        <v>21</v>
      </c>
      <c r="AI407" s="76">
        <v>4</v>
      </c>
      <c r="AJ407" s="76">
        <v>1</v>
      </c>
      <c r="AK407" s="76">
        <v>0</v>
      </c>
      <c r="AL407" s="76">
        <v>0</v>
      </c>
      <c r="AM407" s="76">
        <v>0</v>
      </c>
      <c r="AN407" s="76">
        <v>0</v>
      </c>
      <c r="AO407" s="76">
        <v>144</v>
      </c>
      <c r="AP407" s="202" t="s">
        <v>156</v>
      </c>
      <c r="AQ407" s="202">
        <v>0.5</v>
      </c>
      <c r="AR407" s="202">
        <v>0.6</v>
      </c>
      <c r="AS407" s="202">
        <v>0.36299999999999999</v>
      </c>
      <c r="AT407" s="202">
        <v>0.45300000000000001</v>
      </c>
      <c r="AU407" s="202">
        <v>0.81599999999999995</v>
      </c>
      <c r="AV407" s="202">
        <v>6.94</v>
      </c>
      <c r="AW407" s="202">
        <v>4.63</v>
      </c>
      <c r="AX407" s="202">
        <v>8.8699999999999992</v>
      </c>
      <c r="AY407" s="202">
        <v>1.5</v>
      </c>
      <c r="AZ407" s="202">
        <v>18.809999999999999</v>
      </c>
    </row>
    <row r="408" spans="1:52" x14ac:dyDescent="0.2">
      <c r="A408" s="76">
        <v>1</v>
      </c>
      <c r="B408" t="s">
        <v>1398</v>
      </c>
      <c r="C408" s="76" t="s">
        <v>156</v>
      </c>
      <c r="D408" s="76">
        <v>0</v>
      </c>
      <c r="E408" s="76">
        <v>0</v>
      </c>
      <c r="F408" s="76">
        <v>0</v>
      </c>
      <c r="G408" s="76">
        <v>1</v>
      </c>
      <c r="H408" s="76">
        <v>0</v>
      </c>
      <c r="I408" s="76">
        <v>0</v>
      </c>
      <c r="J408" s="76">
        <v>0</v>
      </c>
      <c r="K408" s="76">
        <v>0</v>
      </c>
      <c r="L408" s="76">
        <v>0</v>
      </c>
      <c r="M408" s="76">
        <v>1</v>
      </c>
      <c r="N408" s="76">
        <v>2</v>
      </c>
      <c r="O408" s="76">
        <v>0</v>
      </c>
      <c r="P408" s="76">
        <v>0</v>
      </c>
      <c r="Q408" s="76">
        <v>0</v>
      </c>
      <c r="R408" s="76">
        <v>1</v>
      </c>
      <c r="S408" s="76">
        <v>1</v>
      </c>
      <c r="T408" s="76">
        <v>0</v>
      </c>
      <c r="U408" s="76">
        <v>5</v>
      </c>
      <c r="V408" s="76">
        <v>1</v>
      </c>
      <c r="W408" s="76">
        <v>0.5</v>
      </c>
      <c r="X408" s="76">
        <v>3</v>
      </c>
      <c r="Y408" s="76"/>
      <c r="Z408" s="76">
        <v>1</v>
      </c>
      <c r="AA408" t="s">
        <v>1398</v>
      </c>
      <c r="AB408" s="76" t="s">
        <v>156</v>
      </c>
      <c r="AC408" s="76">
        <v>0</v>
      </c>
      <c r="AD408" s="76">
        <v>1</v>
      </c>
      <c r="AE408" s="76">
        <v>0</v>
      </c>
      <c r="AF408" s="76">
        <v>0</v>
      </c>
      <c r="AG408" s="76">
        <v>1</v>
      </c>
      <c r="AH408" s="76">
        <v>2</v>
      </c>
      <c r="AI408" s="76">
        <v>0</v>
      </c>
      <c r="AJ408" s="76">
        <v>0</v>
      </c>
      <c r="AK408" s="76">
        <v>0</v>
      </c>
      <c r="AL408" s="76">
        <v>0</v>
      </c>
      <c r="AM408" s="76">
        <v>0</v>
      </c>
      <c r="AN408" s="76">
        <v>0</v>
      </c>
      <c r="AO408" s="76">
        <v>15</v>
      </c>
      <c r="AP408" s="202" t="s">
        <v>156</v>
      </c>
      <c r="AQ408" s="202">
        <v>0.5</v>
      </c>
      <c r="AR408" s="202">
        <v>1.85</v>
      </c>
      <c r="AS408" s="202">
        <v>0.38200000000000001</v>
      </c>
      <c r="AT408" s="202">
        <v>0.52300000000000002</v>
      </c>
      <c r="AU408" s="202">
        <v>0.90500000000000003</v>
      </c>
      <c r="AV408" s="202">
        <v>3.52</v>
      </c>
      <c r="AW408" s="202">
        <v>1.17</v>
      </c>
      <c r="AX408" s="202">
        <v>14.09</v>
      </c>
      <c r="AY408" s="202">
        <v>3</v>
      </c>
      <c r="AZ408" s="202">
        <v>16.43</v>
      </c>
    </row>
    <row r="409" spans="1:52" x14ac:dyDescent="0.2">
      <c r="A409" s="76">
        <v>10</v>
      </c>
      <c r="B409" s="41" t="s">
        <v>428</v>
      </c>
      <c r="C409" s="76" t="s">
        <v>156</v>
      </c>
      <c r="D409" s="76">
        <v>6</v>
      </c>
      <c r="E409" s="76">
        <v>4</v>
      </c>
      <c r="F409" s="76">
        <v>3.64</v>
      </c>
      <c r="G409" s="76">
        <v>46</v>
      </c>
      <c r="H409" s="76">
        <v>0</v>
      </c>
      <c r="I409" s="76">
        <v>0</v>
      </c>
      <c r="J409" s="76">
        <v>0</v>
      </c>
      <c r="K409" s="76">
        <v>2</v>
      </c>
      <c r="L409" s="76">
        <v>4</v>
      </c>
      <c r="M409" s="76">
        <v>42</v>
      </c>
      <c r="N409" s="76">
        <v>28</v>
      </c>
      <c r="O409" s="76">
        <v>17</v>
      </c>
      <c r="P409" s="76">
        <v>17</v>
      </c>
      <c r="Q409" s="76">
        <v>8</v>
      </c>
      <c r="R409" s="76">
        <v>19</v>
      </c>
      <c r="S409" s="76">
        <v>0</v>
      </c>
      <c r="T409" s="76">
        <v>58</v>
      </c>
      <c r="U409" s="76">
        <v>170</v>
      </c>
      <c r="V409" s="76">
        <v>42</v>
      </c>
      <c r="W409" s="76">
        <v>0.189</v>
      </c>
      <c r="X409" s="76">
        <v>1.1200000000000001</v>
      </c>
      <c r="Y409" s="76"/>
      <c r="Z409" s="76">
        <v>10</v>
      </c>
      <c r="AA409" t="s">
        <v>428</v>
      </c>
      <c r="AB409" s="76" t="s">
        <v>156</v>
      </c>
      <c r="AC409" s="76">
        <v>1</v>
      </c>
      <c r="AD409" s="76">
        <v>0</v>
      </c>
      <c r="AE409" s="76">
        <v>6</v>
      </c>
      <c r="AF409" s="76">
        <v>21</v>
      </c>
      <c r="AG409" s="76">
        <v>4</v>
      </c>
      <c r="AH409" s="76">
        <v>27</v>
      </c>
      <c r="AI409" s="76">
        <v>37</v>
      </c>
      <c r="AJ409" s="76">
        <v>1</v>
      </c>
      <c r="AK409" s="76">
        <v>0</v>
      </c>
      <c r="AL409" s="76">
        <v>0</v>
      </c>
      <c r="AM409" s="76">
        <v>0</v>
      </c>
      <c r="AN409" s="76">
        <v>0</v>
      </c>
      <c r="AO409" s="76">
        <v>738</v>
      </c>
      <c r="AP409" s="202" t="s">
        <v>156</v>
      </c>
      <c r="AQ409" s="202" t="s">
        <v>243</v>
      </c>
      <c r="AR409" s="202" t="s">
        <v>243</v>
      </c>
      <c r="AS409" s="202">
        <v>0.55600000000000005</v>
      </c>
      <c r="AT409" s="202">
        <v>0.56299999999999994</v>
      </c>
      <c r="AU409" s="202">
        <v>1.1180000000000001</v>
      </c>
      <c r="AV409" s="202">
        <v>12</v>
      </c>
      <c r="AW409" s="202">
        <v>6</v>
      </c>
      <c r="AX409" s="202">
        <v>24</v>
      </c>
      <c r="AY409" s="202">
        <v>2</v>
      </c>
      <c r="AZ409" s="202">
        <v>19.670000000000002</v>
      </c>
    </row>
    <row r="410" spans="1:52" x14ac:dyDescent="0.2">
      <c r="A410" s="76">
        <v>8</v>
      </c>
      <c r="B410" s="41" t="s">
        <v>621</v>
      </c>
      <c r="C410" s="76" t="s">
        <v>156</v>
      </c>
      <c r="D410" s="76">
        <v>20</v>
      </c>
      <c r="E410" s="76">
        <v>4</v>
      </c>
      <c r="F410" s="76">
        <v>3.18</v>
      </c>
      <c r="G410" s="76">
        <v>32</v>
      </c>
      <c r="H410" s="76">
        <v>32</v>
      </c>
      <c r="I410" s="76">
        <v>0</v>
      </c>
      <c r="J410" s="76">
        <v>0</v>
      </c>
      <c r="K410" s="76">
        <v>0</v>
      </c>
      <c r="L410" s="76">
        <v>0</v>
      </c>
      <c r="M410" s="76">
        <v>195</v>
      </c>
      <c r="N410" s="76">
        <v>168</v>
      </c>
      <c r="O410" s="76">
        <v>72</v>
      </c>
      <c r="P410" s="76">
        <v>69</v>
      </c>
      <c r="Q410" s="76">
        <v>22</v>
      </c>
      <c r="R410" s="76">
        <v>60</v>
      </c>
      <c r="S410" s="76">
        <v>0</v>
      </c>
      <c r="T410" s="76">
        <v>163</v>
      </c>
      <c r="U410" s="76">
        <v>796</v>
      </c>
      <c r="V410" s="76">
        <v>195</v>
      </c>
      <c r="W410" s="76">
        <v>0.23100000000000001</v>
      </c>
      <c r="X410" s="76">
        <v>1.17</v>
      </c>
      <c r="Y410" s="76"/>
      <c r="Z410" s="76">
        <v>8</v>
      </c>
      <c r="AA410" t="s">
        <v>621</v>
      </c>
      <c r="AB410" s="76" t="s">
        <v>156</v>
      </c>
      <c r="AC410" s="76">
        <v>6</v>
      </c>
      <c r="AD410" s="76">
        <v>0</v>
      </c>
      <c r="AE410" s="76">
        <v>0</v>
      </c>
      <c r="AF410" s="76">
        <v>0</v>
      </c>
      <c r="AG410" s="76">
        <v>21</v>
      </c>
      <c r="AH410" s="76">
        <v>194</v>
      </c>
      <c r="AI410" s="76">
        <v>205</v>
      </c>
      <c r="AJ410" s="76">
        <v>3</v>
      </c>
      <c r="AK410" s="76">
        <v>2</v>
      </c>
      <c r="AL410" s="76">
        <v>7</v>
      </c>
      <c r="AM410" s="76">
        <v>1</v>
      </c>
      <c r="AN410" s="76">
        <v>0</v>
      </c>
      <c r="AO410" s="76">
        <v>3033</v>
      </c>
      <c r="AP410" s="202" t="s">
        <v>156</v>
      </c>
      <c r="AQ410" s="202">
        <v>1</v>
      </c>
      <c r="AR410" s="202">
        <v>1.03</v>
      </c>
      <c r="AS410" s="202">
        <v>0.27600000000000002</v>
      </c>
      <c r="AT410" s="202">
        <v>0.32900000000000001</v>
      </c>
      <c r="AU410" s="202">
        <v>0.60499999999999998</v>
      </c>
      <c r="AV410" s="202">
        <v>9.8800000000000008</v>
      </c>
      <c r="AW410" s="202">
        <v>1.53</v>
      </c>
      <c r="AX410" s="202">
        <v>8.2100000000000009</v>
      </c>
      <c r="AY410" s="202">
        <v>6.45</v>
      </c>
      <c r="AZ410" s="202">
        <v>15.99</v>
      </c>
    </row>
    <row r="411" spans="1:52" x14ac:dyDescent="0.2">
      <c r="A411" s="76">
        <v>18</v>
      </c>
      <c r="B411" t="s">
        <v>830</v>
      </c>
      <c r="C411" s="76" t="s">
        <v>156</v>
      </c>
      <c r="D411" s="76">
        <v>1</v>
      </c>
      <c r="E411" s="76">
        <v>0</v>
      </c>
      <c r="F411" s="76">
        <v>4.97</v>
      </c>
      <c r="G411" s="76">
        <v>3</v>
      </c>
      <c r="H411" s="76">
        <v>2</v>
      </c>
      <c r="I411" s="76">
        <v>0</v>
      </c>
      <c r="J411" s="76">
        <v>0</v>
      </c>
      <c r="K411" s="76">
        <v>0</v>
      </c>
      <c r="L411" s="76">
        <v>1</v>
      </c>
      <c r="M411" s="76">
        <v>12.2</v>
      </c>
      <c r="N411" s="76">
        <v>13</v>
      </c>
      <c r="O411" s="76">
        <v>7</v>
      </c>
      <c r="P411" s="76">
        <v>7</v>
      </c>
      <c r="Q411" s="76">
        <v>4</v>
      </c>
      <c r="R411" s="76">
        <v>4</v>
      </c>
      <c r="S411" s="76">
        <v>0</v>
      </c>
      <c r="T411" s="76">
        <v>12</v>
      </c>
      <c r="U411" s="76">
        <v>53</v>
      </c>
      <c r="V411" s="76">
        <v>12.2</v>
      </c>
      <c r="W411" s="76">
        <v>0.27100000000000002</v>
      </c>
      <c r="X411" s="76">
        <v>1.34</v>
      </c>
      <c r="Y411" s="76"/>
      <c r="Z411" s="76">
        <v>18</v>
      </c>
      <c r="AA411" t="s">
        <v>830</v>
      </c>
      <c r="AB411" s="76" t="s">
        <v>156</v>
      </c>
      <c r="AC411" s="76">
        <v>1</v>
      </c>
      <c r="AD411" s="76">
        <v>0</v>
      </c>
      <c r="AE411" s="76">
        <v>0</v>
      </c>
      <c r="AF411" s="76">
        <v>0</v>
      </c>
      <c r="AG411" s="76">
        <v>1</v>
      </c>
      <c r="AH411" s="76">
        <v>10</v>
      </c>
      <c r="AI411" s="76">
        <v>13</v>
      </c>
      <c r="AJ411" s="76">
        <v>0</v>
      </c>
      <c r="AK411" s="76">
        <v>0</v>
      </c>
      <c r="AL411" s="76">
        <v>1</v>
      </c>
      <c r="AM411" s="76">
        <v>1</v>
      </c>
      <c r="AN411" s="76">
        <v>0</v>
      </c>
      <c r="AO411" s="76">
        <v>206</v>
      </c>
      <c r="AP411" s="202" t="s">
        <v>156</v>
      </c>
      <c r="AQ411" s="202" t="s">
        <v>243</v>
      </c>
      <c r="AR411" s="202">
        <v>0.31</v>
      </c>
      <c r="AS411" s="202">
        <v>0.34699999999999998</v>
      </c>
      <c r="AT411" s="202">
        <v>0.5</v>
      </c>
      <c r="AU411" s="202">
        <v>0.84699999999999998</v>
      </c>
      <c r="AV411" s="202">
        <v>7.31</v>
      </c>
      <c r="AW411" s="202">
        <v>3.94</v>
      </c>
      <c r="AX411" s="202">
        <v>9.56</v>
      </c>
      <c r="AY411" s="202">
        <v>1.86</v>
      </c>
      <c r="AZ411" s="202">
        <v>17.440000000000001</v>
      </c>
    </row>
    <row r="412" spans="1:52" x14ac:dyDescent="0.2">
      <c r="A412" s="76">
        <v>23</v>
      </c>
      <c r="B412" t="s">
        <v>1203</v>
      </c>
      <c r="C412" s="76" t="s">
        <v>156</v>
      </c>
      <c r="D412" s="76">
        <v>0</v>
      </c>
      <c r="E412" s="76">
        <v>0</v>
      </c>
      <c r="F412" s="76">
        <v>7.71</v>
      </c>
      <c r="G412" s="76">
        <v>2</v>
      </c>
      <c r="H412" s="76">
        <v>0</v>
      </c>
      <c r="I412" s="76">
        <v>0</v>
      </c>
      <c r="J412" s="76">
        <v>0</v>
      </c>
      <c r="K412" s="76">
        <v>0</v>
      </c>
      <c r="L412" s="76">
        <v>1</v>
      </c>
      <c r="M412" s="76">
        <v>2.1</v>
      </c>
      <c r="N412" s="76">
        <v>3</v>
      </c>
      <c r="O412" s="76">
        <v>2</v>
      </c>
      <c r="P412" s="76">
        <v>2</v>
      </c>
      <c r="Q412" s="76">
        <v>1</v>
      </c>
      <c r="R412" s="76">
        <v>1</v>
      </c>
      <c r="S412" s="76">
        <v>0</v>
      </c>
      <c r="T412" s="76">
        <v>2</v>
      </c>
      <c r="U412" s="76">
        <v>11</v>
      </c>
      <c r="V412" s="76">
        <v>2.1</v>
      </c>
      <c r="W412" s="76">
        <v>0.3</v>
      </c>
      <c r="X412" s="76">
        <v>1.71</v>
      </c>
      <c r="Y412" s="76"/>
      <c r="Z412" s="76">
        <v>23</v>
      </c>
      <c r="AA412" t="s">
        <v>1203</v>
      </c>
      <c r="AB412" s="76" t="s">
        <v>156</v>
      </c>
      <c r="AC412" s="76">
        <v>0</v>
      </c>
      <c r="AD412" s="76">
        <v>0</v>
      </c>
      <c r="AE412" s="76">
        <v>0</v>
      </c>
      <c r="AF412" s="76">
        <v>0</v>
      </c>
      <c r="AG412" s="76">
        <v>0</v>
      </c>
      <c r="AH412" s="76">
        <v>3</v>
      </c>
      <c r="AI412" s="76">
        <v>2</v>
      </c>
      <c r="AJ412" s="76">
        <v>0</v>
      </c>
      <c r="AK412" s="76">
        <v>0</v>
      </c>
      <c r="AL412" s="76">
        <v>0</v>
      </c>
      <c r="AM412" s="76">
        <v>0</v>
      </c>
      <c r="AN412" s="76">
        <v>0</v>
      </c>
      <c r="AO412" s="76">
        <v>46</v>
      </c>
      <c r="AP412" s="76">
        <v>3.24</v>
      </c>
      <c r="AQ412" s="76">
        <v>8.76</v>
      </c>
      <c r="AR412" s="76">
        <v>2.2200000000000002</v>
      </c>
      <c r="AS412" s="76">
        <v>16.07</v>
      </c>
    </row>
    <row r="413" spans="1:52" x14ac:dyDescent="0.2">
      <c r="A413" s="76">
        <v>4</v>
      </c>
      <c r="B413" s="41" t="s">
        <v>430</v>
      </c>
      <c r="C413" s="76" t="s">
        <v>156</v>
      </c>
      <c r="D413" s="76">
        <v>2</v>
      </c>
      <c r="E413" s="76">
        <v>2</v>
      </c>
      <c r="F413" s="76">
        <v>2.92</v>
      </c>
      <c r="G413" s="76">
        <v>10</v>
      </c>
      <c r="H413" s="76">
        <v>8</v>
      </c>
      <c r="I413" s="76">
        <v>0</v>
      </c>
      <c r="J413" s="76">
        <v>0</v>
      </c>
      <c r="K413" s="76">
        <v>0</v>
      </c>
      <c r="L413" s="76">
        <v>0</v>
      </c>
      <c r="M413" s="76">
        <v>49.1</v>
      </c>
      <c r="N413" s="76">
        <v>42</v>
      </c>
      <c r="O413" s="76">
        <v>22</v>
      </c>
      <c r="P413" s="76">
        <v>16</v>
      </c>
      <c r="Q413" s="76">
        <v>7</v>
      </c>
      <c r="R413" s="76">
        <v>16</v>
      </c>
      <c r="S413" s="76">
        <v>0</v>
      </c>
      <c r="T413" s="76">
        <v>52</v>
      </c>
      <c r="U413" s="76">
        <v>208</v>
      </c>
      <c r="V413" s="76">
        <v>49.1</v>
      </c>
      <c r="W413" s="76">
        <v>0.222</v>
      </c>
      <c r="X413" s="76">
        <v>1.18</v>
      </c>
      <c r="Y413" s="76"/>
      <c r="Z413" s="76">
        <v>4</v>
      </c>
      <c r="AA413" t="s">
        <v>430</v>
      </c>
      <c r="AB413" s="76" t="s">
        <v>156</v>
      </c>
      <c r="AC413" s="76">
        <v>2</v>
      </c>
      <c r="AD413" s="76">
        <v>0</v>
      </c>
      <c r="AE413" s="76">
        <v>0</v>
      </c>
      <c r="AF413" s="76">
        <v>0</v>
      </c>
      <c r="AG413" s="76">
        <v>6</v>
      </c>
      <c r="AH413" s="76">
        <v>57</v>
      </c>
      <c r="AI413" s="76">
        <v>39</v>
      </c>
      <c r="AJ413" s="76">
        <v>1</v>
      </c>
      <c r="AK413" s="76">
        <v>0</v>
      </c>
      <c r="AL413" s="76">
        <v>4</v>
      </c>
      <c r="AM413" s="76">
        <v>1</v>
      </c>
      <c r="AN413" s="76">
        <v>0</v>
      </c>
      <c r="AO413" s="76">
        <v>793</v>
      </c>
      <c r="AP413" s="202" t="s">
        <v>156</v>
      </c>
      <c r="AQ413" s="202">
        <v>0.5</v>
      </c>
      <c r="AR413" s="202">
        <v>2.33</v>
      </c>
      <c r="AS413" s="202">
        <v>0.376</v>
      </c>
      <c r="AT413" s="202">
        <v>0.44700000000000001</v>
      </c>
      <c r="AU413" s="202">
        <v>0.82299999999999995</v>
      </c>
      <c r="AV413" s="202">
        <v>5.16</v>
      </c>
      <c r="AW413" s="202">
        <v>1.99</v>
      </c>
      <c r="AX413" s="202">
        <v>12.71</v>
      </c>
      <c r="AY413" s="202">
        <v>2.6</v>
      </c>
      <c r="AZ413" s="202">
        <v>16.28</v>
      </c>
    </row>
    <row r="414" spans="1:52" x14ac:dyDescent="0.2">
      <c r="A414" s="76">
        <v>19</v>
      </c>
      <c r="B414" s="41" t="s">
        <v>617</v>
      </c>
      <c r="C414" s="76" t="s">
        <v>156</v>
      </c>
      <c r="D414" s="76">
        <v>0</v>
      </c>
      <c r="E414" s="76">
        <v>0</v>
      </c>
      <c r="F414" s="76">
        <v>5.0199999999999996</v>
      </c>
      <c r="G414" s="76">
        <v>21</v>
      </c>
      <c r="H414" s="76">
        <v>0</v>
      </c>
      <c r="I414" s="76">
        <v>0</v>
      </c>
      <c r="J414" s="76">
        <v>0</v>
      </c>
      <c r="K414" s="76">
        <v>0</v>
      </c>
      <c r="L414" s="76">
        <v>1</v>
      </c>
      <c r="M414" s="76">
        <v>14.1</v>
      </c>
      <c r="N414" s="76">
        <v>15</v>
      </c>
      <c r="O414" s="76">
        <v>8</v>
      </c>
      <c r="P414" s="76">
        <v>8</v>
      </c>
      <c r="Q414" s="76">
        <v>2</v>
      </c>
      <c r="R414" s="76">
        <v>4</v>
      </c>
      <c r="S414" s="76">
        <v>0</v>
      </c>
      <c r="T414" s="76">
        <v>15</v>
      </c>
      <c r="U414" s="76">
        <v>62</v>
      </c>
      <c r="V414" s="76">
        <v>14.1</v>
      </c>
      <c r="W414" s="76">
        <v>0.28799999999999998</v>
      </c>
      <c r="X414" s="76">
        <v>1.33</v>
      </c>
      <c r="Y414" s="76"/>
      <c r="Z414" s="76">
        <v>19</v>
      </c>
      <c r="AA414" t="s">
        <v>617</v>
      </c>
      <c r="AB414" s="76" t="s">
        <v>156</v>
      </c>
      <c r="AC414" s="76">
        <v>3</v>
      </c>
      <c r="AD414" s="76">
        <v>0</v>
      </c>
      <c r="AE414" s="76">
        <v>2</v>
      </c>
      <c r="AF414" s="76">
        <v>2</v>
      </c>
      <c r="AG414" s="76">
        <v>2</v>
      </c>
      <c r="AH414" s="76">
        <v>15</v>
      </c>
      <c r="AI414" s="76">
        <v>10</v>
      </c>
      <c r="AJ414" s="76">
        <v>3</v>
      </c>
      <c r="AK414" s="76">
        <v>0</v>
      </c>
      <c r="AL414" s="76">
        <v>0</v>
      </c>
      <c r="AM414" s="76">
        <v>1</v>
      </c>
      <c r="AN414" s="76">
        <v>0</v>
      </c>
      <c r="AO414" s="76">
        <v>261</v>
      </c>
      <c r="AP414" s="202" t="s">
        <v>156</v>
      </c>
      <c r="AQ414" s="202">
        <v>0.53800000000000003</v>
      </c>
      <c r="AR414" s="202">
        <v>2.19</v>
      </c>
      <c r="AS414" s="202">
        <v>0.32</v>
      </c>
      <c r="AT414" s="202">
        <v>0.34499999999999997</v>
      </c>
      <c r="AU414" s="202">
        <v>0.66600000000000004</v>
      </c>
      <c r="AV414" s="202">
        <v>5.95</v>
      </c>
      <c r="AW414" s="202">
        <v>4.29</v>
      </c>
      <c r="AX414" s="202">
        <v>7.21</v>
      </c>
      <c r="AY414" s="202">
        <v>1.39</v>
      </c>
      <c r="AZ414" s="202">
        <v>15.69</v>
      </c>
    </row>
    <row r="415" spans="1:52" x14ac:dyDescent="0.2">
      <c r="A415" s="76">
        <v>25</v>
      </c>
      <c r="B415" t="s">
        <v>506</v>
      </c>
      <c r="C415" s="76" t="s">
        <v>156</v>
      </c>
      <c r="D415" s="76">
        <v>0</v>
      </c>
      <c r="E415" s="76">
        <v>1</v>
      </c>
      <c r="F415" s="76">
        <v>9</v>
      </c>
      <c r="G415" s="76">
        <v>5</v>
      </c>
      <c r="H415" s="76">
        <v>0</v>
      </c>
      <c r="I415" s="76">
        <v>0</v>
      </c>
      <c r="J415" s="76">
        <v>0</v>
      </c>
      <c r="K415" s="76">
        <v>0</v>
      </c>
      <c r="L415" s="76">
        <v>0</v>
      </c>
      <c r="M415" s="76">
        <v>4</v>
      </c>
      <c r="N415" s="76">
        <v>3</v>
      </c>
      <c r="O415" s="76">
        <v>4</v>
      </c>
      <c r="P415" s="76">
        <v>4</v>
      </c>
      <c r="Q415" s="76">
        <v>1</v>
      </c>
      <c r="R415" s="76">
        <v>2</v>
      </c>
      <c r="S415" s="76">
        <v>0</v>
      </c>
      <c r="T415" s="76">
        <v>2</v>
      </c>
      <c r="U415" s="76">
        <v>16</v>
      </c>
      <c r="V415" s="76">
        <v>4</v>
      </c>
      <c r="W415" s="76">
        <v>0.214</v>
      </c>
      <c r="X415" s="76">
        <v>1.25</v>
      </c>
      <c r="Y415" s="76"/>
      <c r="Z415" s="76">
        <v>25</v>
      </c>
      <c r="AA415" t="s">
        <v>506</v>
      </c>
      <c r="AB415" s="76" t="s">
        <v>156</v>
      </c>
      <c r="AC415" s="76">
        <v>0</v>
      </c>
      <c r="AD415" s="76">
        <v>0</v>
      </c>
      <c r="AE415" s="76">
        <v>2</v>
      </c>
      <c r="AF415" s="76">
        <v>0</v>
      </c>
      <c r="AG415" s="76">
        <v>1</v>
      </c>
      <c r="AH415" s="76">
        <v>3</v>
      </c>
      <c r="AI415" s="76">
        <v>6</v>
      </c>
      <c r="AJ415" s="76">
        <v>0</v>
      </c>
      <c r="AK415" s="76">
        <v>1</v>
      </c>
      <c r="AL415" s="76">
        <v>0</v>
      </c>
      <c r="AM415" s="76">
        <v>0</v>
      </c>
      <c r="AN415" s="76">
        <v>0</v>
      </c>
      <c r="AO415" s="76">
        <v>59</v>
      </c>
      <c r="AP415" s="76">
        <v>7.71</v>
      </c>
      <c r="AQ415" s="76">
        <v>12</v>
      </c>
      <c r="AR415" s="76">
        <v>1.61</v>
      </c>
      <c r="AS415" s="76">
        <v>19.62</v>
      </c>
    </row>
    <row r="416" spans="1:52" x14ac:dyDescent="0.2">
      <c r="A416" s="76">
        <v>3</v>
      </c>
      <c r="B416" s="41" t="s">
        <v>1218</v>
      </c>
      <c r="C416" s="76" t="s">
        <v>156</v>
      </c>
      <c r="D416" s="76">
        <v>4</v>
      </c>
      <c r="E416" s="76">
        <v>3</v>
      </c>
      <c r="F416" s="76">
        <v>2.68</v>
      </c>
      <c r="G416" s="76">
        <v>72</v>
      </c>
      <c r="H416" s="76">
        <v>0</v>
      </c>
      <c r="I416" s="76">
        <v>0</v>
      </c>
      <c r="J416" s="76">
        <v>0</v>
      </c>
      <c r="K416" s="76">
        <v>36</v>
      </c>
      <c r="L416" s="76">
        <v>42</v>
      </c>
      <c r="M416" s="76">
        <v>74</v>
      </c>
      <c r="N416" s="76">
        <v>55</v>
      </c>
      <c r="O416" s="76">
        <v>23</v>
      </c>
      <c r="P416" s="76">
        <v>22</v>
      </c>
      <c r="Q416" s="76">
        <v>9</v>
      </c>
      <c r="R416" s="76">
        <v>14</v>
      </c>
      <c r="S416" s="76">
        <v>4</v>
      </c>
      <c r="T416" s="76">
        <v>82</v>
      </c>
      <c r="U416" s="76">
        <v>288</v>
      </c>
      <c r="V416" s="76">
        <v>74</v>
      </c>
      <c r="W416" s="76">
        <v>0.20599999999999999</v>
      </c>
      <c r="X416" s="76">
        <v>0.93</v>
      </c>
      <c r="Y416" s="76"/>
      <c r="Z416" s="76">
        <v>3</v>
      </c>
      <c r="AA416" t="s">
        <v>1218</v>
      </c>
      <c r="AB416" s="76" t="s">
        <v>156</v>
      </c>
      <c r="AC416" s="76">
        <v>3</v>
      </c>
      <c r="AD416" s="76">
        <v>4</v>
      </c>
      <c r="AE416" s="76">
        <v>61</v>
      </c>
      <c r="AF416" s="76">
        <v>0</v>
      </c>
      <c r="AG416" s="76">
        <v>4</v>
      </c>
      <c r="AH416" s="76">
        <v>51</v>
      </c>
      <c r="AI416" s="76">
        <v>83</v>
      </c>
      <c r="AJ416" s="76">
        <v>4</v>
      </c>
      <c r="AK416" s="76">
        <v>1</v>
      </c>
      <c r="AL416" s="76">
        <v>6</v>
      </c>
      <c r="AM416" s="76">
        <v>1</v>
      </c>
      <c r="AN416" s="76">
        <v>0</v>
      </c>
      <c r="AO416" s="76">
        <v>1134</v>
      </c>
      <c r="AP416" s="202" t="s">
        <v>156</v>
      </c>
      <c r="AQ416" s="202">
        <v>0.5</v>
      </c>
      <c r="AR416" s="202">
        <v>1.01</v>
      </c>
      <c r="AS416" s="202">
        <v>0.30299999999999999</v>
      </c>
      <c r="AT416" s="202">
        <v>0.40500000000000003</v>
      </c>
      <c r="AU416" s="202">
        <v>0.70799999999999996</v>
      </c>
      <c r="AV416" s="202">
        <v>5.29</v>
      </c>
      <c r="AW416" s="202">
        <v>2.56</v>
      </c>
      <c r="AX416" s="202">
        <v>8.19</v>
      </c>
      <c r="AY416" s="202">
        <v>2.0699999999999998</v>
      </c>
      <c r="AZ416" s="202">
        <v>15.23</v>
      </c>
    </row>
    <row r="417" spans="1:52" x14ac:dyDescent="0.2">
      <c r="A417" s="76">
        <v>6</v>
      </c>
      <c r="B417" s="41" t="s">
        <v>537</v>
      </c>
      <c r="C417" s="76" t="s">
        <v>156</v>
      </c>
      <c r="D417" s="76">
        <v>15</v>
      </c>
      <c r="E417" s="76">
        <v>2</v>
      </c>
      <c r="F417" s="76">
        <v>3</v>
      </c>
      <c r="G417" s="76">
        <v>30</v>
      </c>
      <c r="H417" s="76">
        <v>30</v>
      </c>
      <c r="I417" s="76">
        <v>0</v>
      </c>
      <c r="J417" s="76">
        <v>0</v>
      </c>
      <c r="K417" s="76">
        <v>0</v>
      </c>
      <c r="L417" s="76">
        <v>0</v>
      </c>
      <c r="M417" s="76">
        <v>192</v>
      </c>
      <c r="N417" s="76">
        <v>161</v>
      </c>
      <c r="O417" s="76">
        <v>69</v>
      </c>
      <c r="P417" s="76">
        <v>64</v>
      </c>
      <c r="Q417" s="76">
        <v>15</v>
      </c>
      <c r="R417" s="76">
        <v>63</v>
      </c>
      <c r="S417" s="76">
        <v>0</v>
      </c>
      <c r="T417" s="76">
        <v>161</v>
      </c>
      <c r="U417" s="76">
        <v>790</v>
      </c>
      <c r="V417" s="76">
        <v>192</v>
      </c>
      <c r="W417" s="76">
        <v>0.224</v>
      </c>
      <c r="X417" s="76">
        <v>1.17</v>
      </c>
      <c r="Y417" s="76"/>
      <c r="Z417" s="76">
        <v>6</v>
      </c>
      <c r="AA417" t="s">
        <v>537</v>
      </c>
      <c r="AB417" s="76" t="s">
        <v>156</v>
      </c>
      <c r="AC417" s="76">
        <v>5</v>
      </c>
      <c r="AD417" s="76">
        <v>0</v>
      </c>
      <c r="AE417" s="76">
        <v>0</v>
      </c>
      <c r="AF417" s="76">
        <v>0</v>
      </c>
      <c r="AG417" s="76">
        <v>14</v>
      </c>
      <c r="AH417" s="76">
        <v>246</v>
      </c>
      <c r="AI417" s="76">
        <v>154</v>
      </c>
      <c r="AJ417" s="76">
        <v>5</v>
      </c>
      <c r="AK417" s="76">
        <v>0</v>
      </c>
      <c r="AL417" s="76">
        <v>12</v>
      </c>
      <c r="AM417" s="76">
        <v>2</v>
      </c>
      <c r="AN417" s="76">
        <v>0</v>
      </c>
      <c r="AO417" s="76">
        <v>2919</v>
      </c>
      <c r="AP417" s="202" t="s">
        <v>156</v>
      </c>
      <c r="AQ417" s="202">
        <v>0.33300000000000002</v>
      </c>
      <c r="AR417" s="202">
        <v>1</v>
      </c>
      <c r="AS417" s="202">
        <v>0.37</v>
      </c>
      <c r="AT417" s="202">
        <v>0.44400000000000001</v>
      </c>
      <c r="AU417" s="202">
        <v>0.81399999999999995</v>
      </c>
      <c r="AV417" s="202">
        <v>8.59</v>
      </c>
      <c r="AW417" s="202">
        <v>3.68</v>
      </c>
      <c r="AX417" s="202">
        <v>11.05</v>
      </c>
      <c r="AY417" s="202">
        <v>2.33</v>
      </c>
      <c r="AZ417" s="202">
        <v>18.18</v>
      </c>
    </row>
    <row r="418" spans="1:52" x14ac:dyDescent="0.2">
      <c r="A418" s="76">
        <v>21</v>
      </c>
      <c r="B418" t="s">
        <v>749</v>
      </c>
      <c r="C418" s="76" t="s">
        <v>156</v>
      </c>
      <c r="D418" s="76">
        <v>0</v>
      </c>
      <c r="E418" s="76">
        <v>1</v>
      </c>
      <c r="F418" s="76">
        <v>5.51</v>
      </c>
      <c r="G418" s="76">
        <v>16</v>
      </c>
      <c r="H418" s="76">
        <v>0</v>
      </c>
      <c r="I418" s="76">
        <v>0</v>
      </c>
      <c r="J418" s="76">
        <v>0</v>
      </c>
      <c r="K418" s="76">
        <v>0</v>
      </c>
      <c r="L418" s="76">
        <v>0</v>
      </c>
      <c r="M418" s="76">
        <v>16.100000000000001</v>
      </c>
      <c r="N418" s="76">
        <v>17</v>
      </c>
      <c r="O418" s="76">
        <v>10</v>
      </c>
      <c r="P418" s="76">
        <v>10</v>
      </c>
      <c r="Q418" s="76">
        <v>3</v>
      </c>
      <c r="R418" s="76">
        <v>3</v>
      </c>
      <c r="S418" s="76">
        <v>0</v>
      </c>
      <c r="T418" s="76">
        <v>10</v>
      </c>
      <c r="U418" s="76">
        <v>68</v>
      </c>
      <c r="V418" s="76">
        <v>16.100000000000001</v>
      </c>
      <c r="W418" s="76">
        <v>0.26600000000000001</v>
      </c>
      <c r="X418" s="76">
        <v>1.22</v>
      </c>
      <c r="Y418" s="76"/>
      <c r="Z418" s="76">
        <v>21</v>
      </c>
      <c r="AA418" t="s">
        <v>749</v>
      </c>
      <c r="AB418" s="76" t="s">
        <v>156</v>
      </c>
      <c r="AC418" s="76">
        <v>0</v>
      </c>
      <c r="AD418" s="76">
        <v>0</v>
      </c>
      <c r="AE418" s="76">
        <v>8</v>
      </c>
      <c r="AF418" s="76">
        <v>0</v>
      </c>
      <c r="AG418" s="76">
        <v>1</v>
      </c>
      <c r="AH418" s="76">
        <v>25</v>
      </c>
      <c r="AI418" s="76">
        <v>13</v>
      </c>
      <c r="AJ418" s="76">
        <v>0</v>
      </c>
      <c r="AK418" s="76">
        <v>0</v>
      </c>
      <c r="AL418" s="76">
        <v>0</v>
      </c>
      <c r="AM418" s="76">
        <v>0</v>
      </c>
      <c r="AN418" s="76">
        <v>0</v>
      </c>
      <c r="AO418" s="76">
        <v>260</v>
      </c>
      <c r="AP418" s="202" t="s">
        <v>156</v>
      </c>
      <c r="AQ418" s="202">
        <v>1</v>
      </c>
      <c r="AR418" s="202">
        <v>2.63</v>
      </c>
      <c r="AS418" s="202">
        <v>0.26200000000000001</v>
      </c>
      <c r="AT418" s="202">
        <v>0.29199999999999998</v>
      </c>
      <c r="AU418" s="202">
        <v>0.55400000000000005</v>
      </c>
      <c r="AV418" s="202">
        <v>6</v>
      </c>
      <c r="AW418" s="202">
        <v>2</v>
      </c>
      <c r="AX418" s="202">
        <v>6.67</v>
      </c>
      <c r="AY418" s="202">
        <v>3</v>
      </c>
      <c r="AZ418" s="202">
        <v>13.81</v>
      </c>
    </row>
    <row r="419" spans="1:52" x14ac:dyDescent="0.2">
      <c r="A419" s="76">
        <v>22</v>
      </c>
      <c r="B419" t="s">
        <v>481</v>
      </c>
      <c r="C419" s="76" t="s">
        <v>156</v>
      </c>
      <c r="D419" s="76">
        <v>1</v>
      </c>
      <c r="E419" s="76">
        <v>3</v>
      </c>
      <c r="F419" s="76">
        <v>6.21</v>
      </c>
      <c r="G419" s="76">
        <v>38</v>
      </c>
      <c r="H419" s="76">
        <v>0</v>
      </c>
      <c r="I419" s="76">
        <v>0</v>
      </c>
      <c r="J419" s="76">
        <v>0</v>
      </c>
      <c r="K419" s="76">
        <v>3</v>
      </c>
      <c r="L419" s="76">
        <v>4</v>
      </c>
      <c r="M419" s="76">
        <v>33.1</v>
      </c>
      <c r="N419" s="76">
        <v>43</v>
      </c>
      <c r="O419" s="76">
        <v>23</v>
      </c>
      <c r="P419" s="76">
        <v>23</v>
      </c>
      <c r="Q419" s="76">
        <v>6</v>
      </c>
      <c r="R419" s="76">
        <v>10</v>
      </c>
      <c r="S419" s="76">
        <v>1</v>
      </c>
      <c r="T419" s="76">
        <v>32</v>
      </c>
      <c r="U419" s="76">
        <v>156</v>
      </c>
      <c r="V419" s="76">
        <v>33.1</v>
      </c>
      <c r="W419" s="76">
        <v>0.309</v>
      </c>
      <c r="X419" s="76">
        <v>1.59</v>
      </c>
      <c r="Y419" s="76"/>
      <c r="Z419" s="76">
        <v>22</v>
      </c>
      <c r="AA419" t="s">
        <v>481</v>
      </c>
      <c r="AB419" s="76" t="s">
        <v>156</v>
      </c>
      <c r="AC419" s="76">
        <v>6</v>
      </c>
      <c r="AD419" s="76">
        <v>1</v>
      </c>
      <c r="AE419" s="76">
        <v>13</v>
      </c>
      <c r="AF419" s="76">
        <v>8</v>
      </c>
      <c r="AG419" s="76">
        <v>2</v>
      </c>
      <c r="AH419" s="76">
        <v>36</v>
      </c>
      <c r="AI419" s="76">
        <v>29</v>
      </c>
      <c r="AJ419" s="76">
        <v>0</v>
      </c>
      <c r="AK419" s="76">
        <v>1</v>
      </c>
      <c r="AL419" s="76">
        <v>4</v>
      </c>
      <c r="AM419" s="76">
        <v>1</v>
      </c>
      <c r="AN419" s="76">
        <v>0</v>
      </c>
      <c r="AO419" s="76">
        <v>589</v>
      </c>
      <c r="AP419" s="202" t="s">
        <v>156</v>
      </c>
      <c r="AQ419" s="202">
        <v>0</v>
      </c>
      <c r="AR419" s="202">
        <v>1.1100000000000001</v>
      </c>
      <c r="AS419" s="202">
        <v>0.25</v>
      </c>
      <c r="AT419" s="202">
        <v>0.42</v>
      </c>
      <c r="AU419" s="202">
        <v>0.67</v>
      </c>
      <c r="AV419" s="202">
        <v>6</v>
      </c>
      <c r="AW419" s="202">
        <v>1.64</v>
      </c>
      <c r="AX419" s="202">
        <v>6.27</v>
      </c>
      <c r="AY419" s="202">
        <v>3.67</v>
      </c>
      <c r="AZ419" s="202">
        <v>14.09</v>
      </c>
    </row>
    <row r="420" spans="1:52" x14ac:dyDescent="0.2">
      <c r="A420" s="76">
        <v>15</v>
      </c>
      <c r="B420" s="41" t="s">
        <v>828</v>
      </c>
      <c r="C420" s="76" t="s">
        <v>156</v>
      </c>
      <c r="D420" s="76">
        <v>9</v>
      </c>
      <c r="E420" s="76">
        <v>10</v>
      </c>
      <c r="F420" s="76">
        <v>4.37</v>
      </c>
      <c r="G420" s="76">
        <v>32</v>
      </c>
      <c r="H420" s="76">
        <v>32</v>
      </c>
      <c r="I420" s="76">
        <v>0</v>
      </c>
      <c r="J420" s="76">
        <v>0</v>
      </c>
      <c r="K420" s="76">
        <v>0</v>
      </c>
      <c r="L420" s="76">
        <v>0</v>
      </c>
      <c r="M420" s="76">
        <v>204</v>
      </c>
      <c r="N420" s="76">
        <v>209</v>
      </c>
      <c r="O420" s="76">
        <v>104</v>
      </c>
      <c r="P420" s="76">
        <v>99</v>
      </c>
      <c r="Q420" s="76">
        <v>21</v>
      </c>
      <c r="R420" s="76">
        <v>54</v>
      </c>
      <c r="S420" s="76">
        <v>0</v>
      </c>
      <c r="T420" s="76">
        <v>166</v>
      </c>
      <c r="U420" s="76">
        <v>855</v>
      </c>
      <c r="V420" s="76">
        <v>204</v>
      </c>
      <c r="W420" s="76">
        <v>0.26400000000000001</v>
      </c>
      <c r="X420" s="76">
        <v>1.29</v>
      </c>
      <c r="Y420" s="76"/>
      <c r="Z420" s="76">
        <v>15</v>
      </c>
      <c r="AA420" t="s">
        <v>828</v>
      </c>
      <c r="AB420" s="76" t="s">
        <v>156</v>
      </c>
      <c r="AC420" s="76">
        <v>4</v>
      </c>
      <c r="AD420" s="76">
        <v>0</v>
      </c>
      <c r="AE420" s="76">
        <v>0</v>
      </c>
      <c r="AF420" s="76">
        <v>0</v>
      </c>
      <c r="AG420" s="76">
        <v>22</v>
      </c>
      <c r="AH420" s="76">
        <v>297</v>
      </c>
      <c r="AI420" s="76">
        <v>124</v>
      </c>
      <c r="AJ420" s="76">
        <v>9</v>
      </c>
      <c r="AK420" s="76">
        <v>1</v>
      </c>
      <c r="AL420" s="76">
        <v>13</v>
      </c>
      <c r="AM420" s="76">
        <v>5</v>
      </c>
      <c r="AN420" s="76">
        <v>0</v>
      </c>
      <c r="AO420" s="76">
        <v>3102</v>
      </c>
      <c r="AP420" s="202" t="s">
        <v>156</v>
      </c>
      <c r="AQ420" s="202">
        <v>0.14299999999999999</v>
      </c>
      <c r="AR420" s="202">
        <v>0.77</v>
      </c>
      <c r="AS420" s="202">
        <v>0.24099999999999999</v>
      </c>
      <c r="AT420" s="202">
        <v>0.35099999999999998</v>
      </c>
      <c r="AU420" s="202">
        <v>0.59099999999999997</v>
      </c>
      <c r="AV420" s="202">
        <v>9.69</v>
      </c>
      <c r="AW420" s="202">
        <v>2.0699999999999998</v>
      </c>
      <c r="AX420" s="202">
        <v>6.2</v>
      </c>
      <c r="AY420" s="202">
        <v>4.6900000000000004</v>
      </c>
      <c r="AZ420" s="202">
        <v>15.66</v>
      </c>
    </row>
    <row r="421" spans="1:52" x14ac:dyDescent="0.2">
      <c r="A421" s="76">
        <v>5</v>
      </c>
      <c r="B421" s="41" t="s">
        <v>1219</v>
      </c>
      <c r="C421" s="76" t="s">
        <v>156</v>
      </c>
      <c r="D421" s="76">
        <v>0</v>
      </c>
      <c r="E421" s="76">
        <v>1</v>
      </c>
      <c r="F421" s="76">
        <v>2.95</v>
      </c>
      <c r="G421" s="76">
        <v>20</v>
      </c>
      <c r="H421" s="76">
        <v>0</v>
      </c>
      <c r="I421" s="76">
        <v>0</v>
      </c>
      <c r="J421" s="76">
        <v>0</v>
      </c>
      <c r="K421" s="76">
        <v>0</v>
      </c>
      <c r="L421" s="76">
        <v>0</v>
      </c>
      <c r="M421" s="76">
        <v>18.100000000000001</v>
      </c>
      <c r="N421" s="76">
        <v>17</v>
      </c>
      <c r="O421" s="76">
        <v>8</v>
      </c>
      <c r="P421" s="76">
        <v>6</v>
      </c>
      <c r="Q421" s="76">
        <v>1</v>
      </c>
      <c r="R421" s="76">
        <v>8</v>
      </c>
      <c r="S421" s="76">
        <v>1</v>
      </c>
      <c r="T421" s="76">
        <v>18</v>
      </c>
      <c r="U421" s="76">
        <v>85</v>
      </c>
      <c r="V421" s="76">
        <v>18.100000000000001</v>
      </c>
      <c r="W421" s="76">
        <v>0.23300000000000001</v>
      </c>
      <c r="X421" s="76">
        <v>1.36</v>
      </c>
      <c r="Y421" s="76"/>
      <c r="Z421" s="76">
        <v>5</v>
      </c>
      <c r="AA421" t="s">
        <v>1219</v>
      </c>
      <c r="AB421" s="76" t="s">
        <v>156</v>
      </c>
      <c r="AC421" s="76">
        <v>3</v>
      </c>
      <c r="AD421" s="76">
        <v>1</v>
      </c>
      <c r="AE421" s="76">
        <v>13</v>
      </c>
      <c r="AF421" s="76">
        <v>0</v>
      </c>
      <c r="AG421" s="76">
        <v>0</v>
      </c>
      <c r="AH421" s="76">
        <v>23</v>
      </c>
      <c r="AI421" s="76">
        <v>16</v>
      </c>
      <c r="AJ421" s="76">
        <v>3</v>
      </c>
      <c r="AK421" s="76">
        <v>0</v>
      </c>
      <c r="AL421" s="76">
        <v>0</v>
      </c>
      <c r="AM421" s="76">
        <v>0</v>
      </c>
      <c r="AN421" s="76">
        <v>0</v>
      </c>
      <c r="AO421" s="76">
        <v>290</v>
      </c>
      <c r="AP421" s="202" t="s">
        <v>156</v>
      </c>
      <c r="AQ421" s="202">
        <v>0.61899999999999999</v>
      </c>
      <c r="AR421" s="202">
        <v>0.56000000000000005</v>
      </c>
      <c r="AS421" s="202">
        <v>0.26900000000000002</v>
      </c>
      <c r="AT421" s="202">
        <v>0.36399999999999999</v>
      </c>
      <c r="AU421" s="202">
        <v>0.63300000000000001</v>
      </c>
      <c r="AV421" s="202">
        <v>6.51</v>
      </c>
      <c r="AW421" s="202">
        <v>2.73</v>
      </c>
      <c r="AX421" s="202">
        <v>6.66</v>
      </c>
      <c r="AY421" s="202">
        <v>2.38</v>
      </c>
      <c r="AZ421" s="202">
        <v>16.09</v>
      </c>
    </row>
    <row r="422" spans="1:52" x14ac:dyDescent="0.2">
      <c r="A422" s="76">
        <v>20</v>
      </c>
      <c r="B422" t="s">
        <v>1204</v>
      </c>
      <c r="C422" s="76" t="s">
        <v>156</v>
      </c>
      <c r="D422" s="76">
        <v>0</v>
      </c>
      <c r="E422" s="76">
        <v>0</v>
      </c>
      <c r="F422" s="76">
        <v>5.19</v>
      </c>
      <c r="G422" s="76">
        <v>8</v>
      </c>
      <c r="H422" s="76">
        <v>0</v>
      </c>
      <c r="I422" s="76">
        <v>0</v>
      </c>
      <c r="J422" s="76">
        <v>0</v>
      </c>
      <c r="K422" s="76">
        <v>0</v>
      </c>
      <c r="L422" s="76">
        <v>0</v>
      </c>
      <c r="M422" s="76">
        <v>8.1999999999999993</v>
      </c>
      <c r="N422" s="76">
        <v>11</v>
      </c>
      <c r="O422" s="76">
        <v>8</v>
      </c>
      <c r="P422" s="76">
        <v>5</v>
      </c>
      <c r="Q422" s="76">
        <v>1</v>
      </c>
      <c r="R422" s="76">
        <v>4</v>
      </c>
      <c r="S422" s="76">
        <v>0</v>
      </c>
      <c r="T422" s="76">
        <v>7</v>
      </c>
      <c r="U422" s="76">
        <v>44</v>
      </c>
      <c r="V422" s="76">
        <v>8.1999999999999993</v>
      </c>
      <c r="W422" s="76">
        <v>0.29699999999999999</v>
      </c>
      <c r="X422" s="76">
        <v>1.73</v>
      </c>
      <c r="Y422" s="76"/>
      <c r="Z422" s="76">
        <v>20</v>
      </c>
      <c r="AA422" t="s">
        <v>1204</v>
      </c>
      <c r="AB422" s="76" t="s">
        <v>156</v>
      </c>
      <c r="AC422" s="76">
        <v>1</v>
      </c>
      <c r="AD422" s="76">
        <v>0</v>
      </c>
      <c r="AE422" s="76">
        <v>3</v>
      </c>
      <c r="AF422" s="76">
        <v>1</v>
      </c>
      <c r="AG422" s="76">
        <v>0</v>
      </c>
      <c r="AH422" s="76">
        <v>9</v>
      </c>
      <c r="AI422" s="76">
        <v>12</v>
      </c>
      <c r="AJ422" s="76">
        <v>0</v>
      </c>
      <c r="AK422" s="76">
        <v>0</v>
      </c>
      <c r="AL422" s="76">
        <v>1</v>
      </c>
      <c r="AM422" s="76">
        <v>0</v>
      </c>
      <c r="AN422" s="76">
        <v>0</v>
      </c>
      <c r="AO422" s="76">
        <v>168</v>
      </c>
      <c r="AP422" s="202" t="s">
        <v>156</v>
      </c>
      <c r="AQ422" s="202">
        <v>0</v>
      </c>
      <c r="AR422" s="202">
        <v>1.07</v>
      </c>
      <c r="AS422" s="202">
        <v>0.27200000000000002</v>
      </c>
      <c r="AT422" s="202">
        <v>0.36499999999999999</v>
      </c>
      <c r="AU422" s="202">
        <v>0.63700000000000001</v>
      </c>
      <c r="AV422" s="202">
        <v>6.49</v>
      </c>
      <c r="AW422" s="202">
        <v>2.93</v>
      </c>
      <c r="AX422" s="202">
        <v>6.7</v>
      </c>
      <c r="AY422" s="202">
        <v>2.21</v>
      </c>
      <c r="AZ422" s="202">
        <v>14.77</v>
      </c>
    </row>
    <row r="423" spans="1:52" x14ac:dyDescent="0.2">
      <c r="A423" s="76"/>
      <c r="B423" s="76"/>
      <c r="C423" s="76"/>
      <c r="D423" s="97"/>
      <c r="E423" s="76"/>
      <c r="F423" s="76"/>
      <c r="G423" s="76"/>
      <c r="H423" s="76"/>
      <c r="I423" s="76"/>
      <c r="J423" s="100"/>
      <c r="K423" s="76"/>
      <c r="L423" s="76"/>
      <c r="M423" s="76"/>
      <c r="N423" s="97"/>
      <c r="O423" s="97"/>
      <c r="P423" s="76"/>
      <c r="Q423" s="76"/>
      <c r="R423" s="76"/>
      <c r="S423" s="76"/>
      <c r="T423" s="76"/>
      <c r="U423" s="100"/>
      <c r="V423" s="76"/>
      <c r="W423" s="76"/>
      <c r="X423" s="76"/>
      <c r="Y423" s="76"/>
      <c r="Z423" s="100"/>
      <c r="AA423" s="100"/>
      <c r="AB423" s="76"/>
      <c r="AC423" s="97"/>
      <c r="AD423" s="76"/>
      <c r="AE423" s="76"/>
      <c r="AF423" s="76"/>
      <c r="AG423" s="76"/>
      <c r="AH423" s="76"/>
      <c r="AI423" s="76"/>
      <c r="AJ423" s="76"/>
      <c r="AK423" s="76"/>
      <c r="AL423" s="100"/>
      <c r="AM423" s="100"/>
      <c r="AN423" s="100"/>
      <c r="AO423" s="97"/>
      <c r="AP423" s="97"/>
      <c r="AQ423" s="97"/>
      <c r="AR423" s="97"/>
    </row>
    <row r="424" spans="1:52" x14ac:dyDescent="0.2">
      <c r="A424" s="75"/>
      <c r="B424" s="75" t="s">
        <v>208</v>
      </c>
      <c r="C424" s="75" t="s">
        <v>107</v>
      </c>
      <c r="D424" s="96" t="s">
        <v>209</v>
      </c>
      <c r="E424" s="75" t="s">
        <v>210</v>
      </c>
      <c r="F424" s="75" t="s">
        <v>211</v>
      </c>
      <c r="G424" s="75" t="s">
        <v>223</v>
      </c>
      <c r="H424" s="75" t="s">
        <v>225</v>
      </c>
      <c r="I424" s="75" t="s">
        <v>220</v>
      </c>
      <c r="J424" s="99" t="s">
        <v>221</v>
      </c>
      <c r="K424" s="75" t="s">
        <v>227</v>
      </c>
      <c r="L424" s="75" t="s">
        <v>224</v>
      </c>
      <c r="M424" s="75" t="s">
        <v>212</v>
      </c>
      <c r="N424" s="96" t="s">
        <v>213</v>
      </c>
      <c r="O424" s="96" t="s">
        <v>214</v>
      </c>
      <c r="P424" s="75" t="s">
        <v>215</v>
      </c>
      <c r="Q424" s="75" t="s">
        <v>216</v>
      </c>
      <c r="R424" s="75" t="s">
        <v>217</v>
      </c>
      <c r="S424" s="75" t="s">
        <v>228</v>
      </c>
      <c r="T424" s="75" t="s">
        <v>218</v>
      </c>
      <c r="U424" s="99" t="s">
        <v>242</v>
      </c>
      <c r="V424" s="75" t="s">
        <v>212</v>
      </c>
      <c r="W424" s="75" t="s">
        <v>229</v>
      </c>
      <c r="X424" s="75" t="s">
        <v>219</v>
      </c>
      <c r="Y424" s="75"/>
      <c r="Z424" s="99" t="s">
        <v>241</v>
      </c>
      <c r="AA424" s="99"/>
      <c r="AB424" s="75" t="s">
        <v>226</v>
      </c>
      <c r="AC424" s="96" t="s">
        <v>222</v>
      </c>
      <c r="AD424" s="75" t="s">
        <v>228</v>
      </c>
      <c r="AE424" s="75" t="s">
        <v>230</v>
      </c>
      <c r="AF424" s="75" t="s">
        <v>231</v>
      </c>
      <c r="AG424" s="75" t="s">
        <v>232</v>
      </c>
      <c r="AH424" s="75" t="s">
        <v>233</v>
      </c>
      <c r="AI424" s="75" t="s">
        <v>234</v>
      </c>
      <c r="AJ424" s="75" t="s">
        <v>235</v>
      </c>
      <c r="AK424" s="75" t="s">
        <v>236</v>
      </c>
      <c r="AL424" s="99" t="s">
        <v>238</v>
      </c>
      <c r="AM424" s="99" t="s">
        <v>239</v>
      </c>
      <c r="AN424" s="99" t="s">
        <v>240</v>
      </c>
    </row>
    <row r="425" spans="1:52" x14ac:dyDescent="0.2">
      <c r="A425" s="76" t="s">
        <v>274</v>
      </c>
      <c r="B425" s="76">
        <v>75</v>
      </c>
      <c r="C425" s="76">
        <v>3.17</v>
      </c>
      <c r="D425" s="76">
        <v>162</v>
      </c>
      <c r="E425" s="76">
        <v>162</v>
      </c>
      <c r="F425" s="76">
        <v>51</v>
      </c>
      <c r="G425" s="76">
        <v>9</v>
      </c>
      <c r="H425" s="76">
        <v>36</v>
      </c>
      <c r="I425" s="76">
        <v>0.23</v>
      </c>
      <c r="J425" s="76">
        <v>1.17</v>
      </c>
      <c r="K425" s="76">
        <v>87</v>
      </c>
      <c r="L425" s="76">
        <v>52</v>
      </c>
      <c r="M425" s="76">
        <v>62</v>
      </c>
      <c r="N425" s="76">
        <v>1452</v>
      </c>
      <c r="O425" s="76">
        <v>1240</v>
      </c>
      <c r="P425" s="76">
        <v>554</v>
      </c>
      <c r="Q425" s="76">
        <v>512</v>
      </c>
      <c r="R425" s="76">
        <v>137</v>
      </c>
      <c r="S425" s="76">
        <v>116</v>
      </c>
      <c r="T425" s="76">
        <v>463</v>
      </c>
      <c r="U425" s="76">
        <v>0.65200000000000002</v>
      </c>
      <c r="V425" s="76">
        <v>62</v>
      </c>
      <c r="W425" s="76">
        <v>1499</v>
      </c>
      <c r="X425" s="76">
        <v>1317</v>
      </c>
      <c r="Y425" s="76"/>
      <c r="Z425" s="76">
        <v>0.35599999999999998</v>
      </c>
      <c r="AA425" s="76"/>
      <c r="AB425" s="76">
        <v>160</v>
      </c>
      <c r="AC425" s="76">
        <v>2</v>
      </c>
      <c r="AD425" s="76">
        <v>116</v>
      </c>
      <c r="AE425" s="76">
        <v>1403</v>
      </c>
      <c r="AF425" s="76">
        <v>80</v>
      </c>
      <c r="AG425" s="76">
        <v>8</v>
      </c>
      <c r="AH425" s="76">
        <v>92</v>
      </c>
      <c r="AI425" s="76">
        <v>35</v>
      </c>
      <c r="AJ425" s="76">
        <v>6</v>
      </c>
      <c r="AK425" s="76">
        <v>5974</v>
      </c>
      <c r="AL425" s="76">
        <v>0.53700000000000003</v>
      </c>
      <c r="AM425" s="76">
        <v>1.07</v>
      </c>
      <c r="AN425" s="76">
        <v>0.29499999999999998</v>
      </c>
    </row>
    <row r="426" spans="1:52" x14ac:dyDescent="0.2">
      <c r="A426" s="76" t="s">
        <v>272</v>
      </c>
      <c r="B426" s="76">
        <v>74</v>
      </c>
      <c r="C426" s="76">
        <v>3.22</v>
      </c>
      <c r="D426" s="76">
        <v>162</v>
      </c>
      <c r="E426" s="76">
        <v>162</v>
      </c>
      <c r="F426" s="76">
        <v>31</v>
      </c>
      <c r="G426" s="76">
        <v>13</v>
      </c>
      <c r="H426" s="76">
        <v>28</v>
      </c>
      <c r="I426" s="76">
        <v>0.23300000000000001</v>
      </c>
      <c r="J426" s="76">
        <v>1.1399999999999999</v>
      </c>
      <c r="K426" s="76">
        <v>61</v>
      </c>
      <c r="L426" s="76">
        <v>48</v>
      </c>
      <c r="M426" s="76">
        <v>52</v>
      </c>
      <c r="N426" s="76">
        <v>1463.1</v>
      </c>
      <c r="O426" s="76">
        <v>1269</v>
      </c>
      <c r="P426" s="76">
        <v>572</v>
      </c>
      <c r="Q426" s="76">
        <v>524</v>
      </c>
      <c r="R426" s="76">
        <v>147</v>
      </c>
      <c r="S426" s="76">
        <v>130</v>
      </c>
      <c r="T426" s="76">
        <v>406</v>
      </c>
      <c r="U426" s="76">
        <v>0.64600000000000002</v>
      </c>
      <c r="V426" s="76">
        <v>52</v>
      </c>
      <c r="W426" s="76">
        <v>1587</v>
      </c>
      <c r="X426" s="76">
        <v>1244</v>
      </c>
      <c r="Y426" s="76"/>
      <c r="Z426" s="76">
        <v>0.35599999999999998</v>
      </c>
      <c r="AA426" s="76"/>
      <c r="AB426" s="76">
        <v>155</v>
      </c>
      <c r="AC426" s="76">
        <v>7</v>
      </c>
      <c r="AD426" s="76">
        <v>130</v>
      </c>
      <c r="AE426" s="76">
        <v>1418</v>
      </c>
      <c r="AF426" s="76">
        <v>59</v>
      </c>
      <c r="AG426" s="76">
        <v>1</v>
      </c>
      <c r="AH426" s="76">
        <v>100</v>
      </c>
      <c r="AI426" s="76">
        <v>28</v>
      </c>
      <c r="AJ426" s="76">
        <v>6</v>
      </c>
      <c r="AK426" s="76">
        <v>5971</v>
      </c>
      <c r="AL426" s="76">
        <v>0.54300000000000004</v>
      </c>
      <c r="AM426" s="76">
        <v>1.1200000000000001</v>
      </c>
      <c r="AN426" s="76">
        <v>0.28999999999999998</v>
      </c>
    </row>
    <row r="427" spans="1:52" x14ac:dyDescent="0.2">
      <c r="A427" s="76" t="s">
        <v>276</v>
      </c>
      <c r="B427" s="76">
        <v>66</v>
      </c>
      <c r="C427" s="76">
        <v>3.43</v>
      </c>
      <c r="D427" s="76">
        <v>162</v>
      </c>
      <c r="E427" s="76">
        <v>162</v>
      </c>
      <c r="F427" s="76">
        <v>53</v>
      </c>
      <c r="G427" s="76">
        <v>13</v>
      </c>
      <c r="H427" s="76">
        <v>25</v>
      </c>
      <c r="I427" s="76">
        <v>0.24399999999999999</v>
      </c>
      <c r="J427" s="76">
        <v>1.24</v>
      </c>
      <c r="K427" s="76">
        <v>97</v>
      </c>
      <c r="L427" s="76">
        <v>59</v>
      </c>
      <c r="M427" s="76">
        <v>72</v>
      </c>
      <c r="N427" s="76">
        <v>1461.1</v>
      </c>
      <c r="O427" s="76">
        <v>1342</v>
      </c>
      <c r="P427" s="76">
        <v>593</v>
      </c>
      <c r="Q427" s="76">
        <v>557</v>
      </c>
      <c r="R427" s="76">
        <v>151</v>
      </c>
      <c r="S427" s="76">
        <v>127</v>
      </c>
      <c r="T427" s="76">
        <v>472</v>
      </c>
      <c r="U427" s="76">
        <v>0.69</v>
      </c>
      <c r="V427" s="76">
        <v>72</v>
      </c>
      <c r="W427" s="76">
        <v>1537</v>
      </c>
      <c r="X427" s="76">
        <v>1174</v>
      </c>
      <c r="Y427" s="76"/>
      <c r="Z427" s="76">
        <v>0.38200000000000001</v>
      </c>
      <c r="AA427" s="76"/>
      <c r="AB427" s="76">
        <v>159</v>
      </c>
      <c r="AC427" s="76">
        <v>3</v>
      </c>
      <c r="AD427" s="76">
        <v>127</v>
      </c>
      <c r="AE427" s="76">
        <v>1519</v>
      </c>
      <c r="AF427" s="76">
        <v>42</v>
      </c>
      <c r="AG427" s="76">
        <v>2</v>
      </c>
      <c r="AH427" s="76">
        <v>84</v>
      </c>
      <c r="AI427" s="76">
        <v>32</v>
      </c>
      <c r="AJ427" s="76">
        <v>5</v>
      </c>
      <c r="AK427" s="76">
        <v>6104</v>
      </c>
      <c r="AL427" s="76">
        <v>0.59299999999999997</v>
      </c>
      <c r="AM427" s="76">
        <v>1.01</v>
      </c>
      <c r="AN427" s="76">
        <v>0.308</v>
      </c>
    </row>
    <row r="428" spans="1:52" x14ac:dyDescent="0.2">
      <c r="A428" s="76" t="s">
        <v>280</v>
      </c>
      <c r="B428" s="76">
        <v>73</v>
      </c>
      <c r="C428" s="76">
        <v>3.51</v>
      </c>
      <c r="D428" s="76">
        <v>162</v>
      </c>
      <c r="E428" s="76">
        <v>162</v>
      </c>
      <c r="F428" s="76">
        <v>53</v>
      </c>
      <c r="G428" s="76">
        <v>14</v>
      </c>
      <c r="H428" s="76">
        <v>14</v>
      </c>
      <c r="I428" s="76">
        <v>0.25</v>
      </c>
      <c r="J428" s="76">
        <v>1.26</v>
      </c>
      <c r="K428" s="76">
        <v>75</v>
      </c>
      <c r="L428" s="76">
        <v>56</v>
      </c>
      <c r="M428" s="76">
        <v>65</v>
      </c>
      <c r="N428" s="76">
        <v>1450.2</v>
      </c>
      <c r="O428" s="76">
        <v>1386</v>
      </c>
      <c r="P428" s="76">
        <v>624</v>
      </c>
      <c r="Q428" s="76">
        <v>565</v>
      </c>
      <c r="R428" s="76">
        <v>128</v>
      </c>
      <c r="S428" s="76">
        <v>107</v>
      </c>
      <c r="T428" s="76">
        <v>440</v>
      </c>
      <c r="U428" s="76">
        <v>0.68700000000000006</v>
      </c>
      <c r="V428" s="76">
        <v>65</v>
      </c>
      <c r="W428" s="76">
        <v>1471</v>
      </c>
      <c r="X428" s="76">
        <v>1168</v>
      </c>
      <c r="Y428" s="76"/>
      <c r="Z428" s="76">
        <v>0.377</v>
      </c>
      <c r="AA428" s="76"/>
      <c r="AB428" s="76">
        <v>159</v>
      </c>
      <c r="AC428" s="76">
        <v>3</v>
      </c>
      <c r="AD428" s="76">
        <v>107</v>
      </c>
      <c r="AE428" s="76">
        <v>1580</v>
      </c>
      <c r="AF428" s="76">
        <v>58</v>
      </c>
      <c r="AG428" s="76">
        <v>6</v>
      </c>
      <c r="AH428" s="76">
        <v>69</v>
      </c>
      <c r="AI428" s="76">
        <v>29</v>
      </c>
      <c r="AJ428" s="76">
        <v>16</v>
      </c>
      <c r="AK428" s="76">
        <v>6101</v>
      </c>
      <c r="AL428" s="76">
        <v>0.54900000000000004</v>
      </c>
      <c r="AM428" s="76">
        <v>0.93</v>
      </c>
      <c r="AN428" s="76">
        <v>0.31</v>
      </c>
    </row>
    <row r="429" spans="1:52" x14ac:dyDescent="0.2">
      <c r="A429" s="76" t="s">
        <v>271</v>
      </c>
      <c r="B429" s="76">
        <v>85</v>
      </c>
      <c r="C429" s="76">
        <v>3.56</v>
      </c>
      <c r="D429" s="76">
        <v>162</v>
      </c>
      <c r="E429" s="76">
        <v>162</v>
      </c>
      <c r="F429" s="76">
        <v>37</v>
      </c>
      <c r="G429" s="76">
        <v>22</v>
      </c>
      <c r="H429" s="76">
        <v>27</v>
      </c>
      <c r="I429" s="76">
        <v>0.23400000000000001</v>
      </c>
      <c r="J429" s="76">
        <v>1.21</v>
      </c>
      <c r="K429" s="76">
        <v>77</v>
      </c>
      <c r="L429" s="76">
        <v>58</v>
      </c>
      <c r="M429" s="76">
        <v>56</v>
      </c>
      <c r="N429" s="76">
        <v>1463.2</v>
      </c>
      <c r="O429" s="76">
        <v>1292</v>
      </c>
      <c r="P429" s="76">
        <v>625</v>
      </c>
      <c r="Q429" s="76">
        <v>579</v>
      </c>
      <c r="R429" s="76">
        <v>145</v>
      </c>
      <c r="S429" s="76">
        <v>79</v>
      </c>
      <c r="T429" s="76">
        <v>482</v>
      </c>
      <c r="U429" s="76">
        <v>0.66200000000000003</v>
      </c>
      <c r="V429" s="76">
        <v>56</v>
      </c>
      <c r="W429" s="76">
        <v>1274</v>
      </c>
      <c r="X429" s="76">
        <v>1437</v>
      </c>
      <c r="Y429" s="76"/>
      <c r="Z429" s="76">
        <v>0.36199999999999999</v>
      </c>
      <c r="AA429" s="76"/>
      <c r="AB429" s="76">
        <v>159</v>
      </c>
      <c r="AC429" s="76">
        <v>3</v>
      </c>
      <c r="AD429" s="76">
        <v>79</v>
      </c>
      <c r="AE429" s="76">
        <v>1587</v>
      </c>
      <c r="AF429" s="76">
        <v>65</v>
      </c>
      <c r="AG429" s="76">
        <v>3</v>
      </c>
      <c r="AH429" s="76">
        <v>82</v>
      </c>
      <c r="AI429" s="76">
        <v>26</v>
      </c>
      <c r="AJ429" s="76">
        <v>13</v>
      </c>
      <c r="AK429" s="76">
        <v>6131</v>
      </c>
      <c r="AL429" s="76">
        <v>0.47499999999999998</v>
      </c>
      <c r="AM429" s="76">
        <v>0.8</v>
      </c>
      <c r="AN429" s="76">
        <v>0.3</v>
      </c>
    </row>
    <row r="430" spans="1:52" x14ac:dyDescent="0.2">
      <c r="A430" s="76" t="s">
        <v>284</v>
      </c>
      <c r="B430" s="76">
        <v>77</v>
      </c>
      <c r="C430" s="76">
        <v>3.56</v>
      </c>
      <c r="D430" s="76">
        <v>162</v>
      </c>
      <c r="E430" s="76">
        <v>162</v>
      </c>
      <c r="F430" s="76">
        <v>40</v>
      </c>
      <c r="G430" s="76">
        <v>15</v>
      </c>
      <c r="H430" s="76">
        <v>51</v>
      </c>
      <c r="I430" s="76">
        <v>0.25</v>
      </c>
      <c r="J430" s="76">
        <v>1.27</v>
      </c>
      <c r="K430" s="76">
        <v>78</v>
      </c>
      <c r="L430" s="76">
        <v>58</v>
      </c>
      <c r="M430" s="76">
        <v>63</v>
      </c>
      <c r="N430" s="76">
        <v>1468.1</v>
      </c>
      <c r="O430" s="76">
        <v>1398</v>
      </c>
      <c r="P430" s="76">
        <v>653</v>
      </c>
      <c r="Q430" s="76">
        <v>581</v>
      </c>
      <c r="R430" s="76">
        <v>135</v>
      </c>
      <c r="S430" s="76">
        <v>116</v>
      </c>
      <c r="T430" s="76">
        <v>464</v>
      </c>
      <c r="U430" s="76">
        <v>0.69699999999999995</v>
      </c>
      <c r="V430" s="76">
        <v>63</v>
      </c>
      <c r="W430" s="76">
        <v>1531</v>
      </c>
      <c r="X430" s="76">
        <v>1450</v>
      </c>
      <c r="Y430" s="76"/>
      <c r="Z430" s="76">
        <v>0.38500000000000001</v>
      </c>
      <c r="AA430" s="76"/>
      <c r="AB430" s="76">
        <v>156</v>
      </c>
      <c r="AC430" s="76">
        <v>6</v>
      </c>
      <c r="AD430" s="76">
        <v>116</v>
      </c>
      <c r="AE430" s="76">
        <v>1292</v>
      </c>
      <c r="AF430" s="76">
        <v>56</v>
      </c>
      <c r="AG430" s="76">
        <v>2</v>
      </c>
      <c r="AH430" s="76">
        <v>95</v>
      </c>
      <c r="AI430" s="76">
        <v>44</v>
      </c>
      <c r="AJ430" s="76">
        <v>8</v>
      </c>
      <c r="AK430" s="76">
        <v>6193</v>
      </c>
      <c r="AL430" s="76">
        <v>0.52500000000000002</v>
      </c>
      <c r="AM430" s="76">
        <v>1.18</v>
      </c>
      <c r="AN430" s="76">
        <v>0.312</v>
      </c>
    </row>
    <row r="431" spans="1:52" x14ac:dyDescent="0.2">
      <c r="A431" s="76" t="s">
        <v>278</v>
      </c>
      <c r="B431" s="76">
        <v>64</v>
      </c>
      <c r="C431" s="76">
        <v>3.58</v>
      </c>
      <c r="D431" s="76">
        <v>162</v>
      </c>
      <c r="E431" s="76">
        <v>162</v>
      </c>
      <c r="F431" s="76">
        <v>46</v>
      </c>
      <c r="G431" s="76">
        <v>13</v>
      </c>
      <c r="H431" s="76">
        <v>41</v>
      </c>
      <c r="I431" s="76">
        <v>0.23599999999999999</v>
      </c>
      <c r="J431" s="76">
        <v>1.22</v>
      </c>
      <c r="K431" s="76">
        <v>84</v>
      </c>
      <c r="L431" s="76">
        <v>63</v>
      </c>
      <c r="M431" s="76">
        <v>62</v>
      </c>
      <c r="N431" s="76">
        <v>1482.2</v>
      </c>
      <c r="O431" s="76">
        <v>1307</v>
      </c>
      <c r="P431" s="76">
        <v>630</v>
      </c>
      <c r="Q431" s="76">
        <v>590</v>
      </c>
      <c r="R431" s="76">
        <v>126</v>
      </c>
      <c r="S431" s="76">
        <v>113</v>
      </c>
      <c r="T431" s="76">
        <v>504</v>
      </c>
      <c r="U431" s="76">
        <v>0.65600000000000003</v>
      </c>
      <c r="V431" s="76">
        <v>62</v>
      </c>
      <c r="W431" s="76">
        <v>1380</v>
      </c>
      <c r="X431" s="76">
        <v>1342</v>
      </c>
      <c r="Y431" s="76"/>
      <c r="Z431" s="76">
        <v>0.35099999999999998</v>
      </c>
      <c r="AA431" s="76"/>
      <c r="AB431" s="76">
        <v>159</v>
      </c>
      <c r="AC431" s="76">
        <v>3</v>
      </c>
      <c r="AD431" s="76">
        <v>113</v>
      </c>
      <c r="AE431" s="76">
        <v>1582</v>
      </c>
      <c r="AF431" s="76">
        <v>74</v>
      </c>
      <c r="AG431" s="76">
        <v>4</v>
      </c>
      <c r="AH431" s="76">
        <v>106</v>
      </c>
      <c r="AI431" s="76">
        <v>39</v>
      </c>
      <c r="AJ431" s="76">
        <v>20</v>
      </c>
      <c r="AK431" s="76">
        <v>6179</v>
      </c>
      <c r="AL431" s="76">
        <v>0.60499999999999998</v>
      </c>
      <c r="AM431" s="76">
        <v>0.87</v>
      </c>
      <c r="AN431" s="76">
        <v>0.30499999999999999</v>
      </c>
    </row>
    <row r="432" spans="1:52" x14ac:dyDescent="0.2">
      <c r="A432" s="76" t="s">
        <v>275</v>
      </c>
      <c r="B432" s="76">
        <v>78</v>
      </c>
      <c r="C432" s="76">
        <v>3.75</v>
      </c>
      <c r="D432" s="76">
        <v>162</v>
      </c>
      <c r="E432" s="76">
        <v>162</v>
      </c>
      <c r="F432" s="76">
        <v>48</v>
      </c>
      <c r="G432" s="76">
        <v>10</v>
      </c>
      <c r="H432" s="76">
        <v>23</v>
      </c>
      <c r="I432" s="76">
        <v>0.25</v>
      </c>
      <c r="J432" s="76">
        <v>1.23</v>
      </c>
      <c r="K432" s="76">
        <v>85</v>
      </c>
      <c r="L432" s="76">
        <v>65</v>
      </c>
      <c r="M432" s="76">
        <v>69</v>
      </c>
      <c r="N432" s="76">
        <v>1453</v>
      </c>
      <c r="O432" s="76">
        <v>1392</v>
      </c>
      <c r="P432" s="76">
        <v>664</v>
      </c>
      <c r="Q432" s="76">
        <v>605</v>
      </c>
      <c r="R432" s="76">
        <v>164</v>
      </c>
      <c r="S432" s="76">
        <v>87</v>
      </c>
      <c r="T432" s="76">
        <v>398</v>
      </c>
      <c r="U432" s="76">
        <v>0.7</v>
      </c>
      <c r="V432" s="76">
        <v>69</v>
      </c>
      <c r="W432" s="76">
        <v>1465</v>
      </c>
      <c r="X432" s="76">
        <v>1370</v>
      </c>
      <c r="Y432" s="76"/>
      <c r="Z432" s="76">
        <v>0.39500000000000002</v>
      </c>
      <c r="AA432" s="76"/>
      <c r="AB432" s="76">
        <v>157</v>
      </c>
      <c r="AC432" s="76">
        <v>5</v>
      </c>
      <c r="AD432" s="76">
        <v>87</v>
      </c>
      <c r="AE432" s="76">
        <v>1427</v>
      </c>
      <c r="AF432" s="76">
        <v>49</v>
      </c>
      <c r="AG432" s="76">
        <v>6</v>
      </c>
      <c r="AH432" s="76">
        <v>77</v>
      </c>
      <c r="AI432" s="76">
        <v>38</v>
      </c>
      <c r="AJ432" s="76">
        <v>10</v>
      </c>
      <c r="AK432" s="76">
        <v>6114</v>
      </c>
      <c r="AL432" s="76">
        <v>0.51900000000000002</v>
      </c>
      <c r="AM432" s="76">
        <v>1.03</v>
      </c>
      <c r="AN432" s="76">
        <v>0.30499999999999999</v>
      </c>
      <c r="AO432"/>
      <c r="AP432"/>
      <c r="AQ432"/>
      <c r="AR432"/>
      <c r="AS432"/>
    </row>
    <row r="433" spans="1:45" x14ac:dyDescent="0.2">
      <c r="A433" s="76" t="s">
        <v>281</v>
      </c>
      <c r="B433" s="76">
        <v>79</v>
      </c>
      <c r="C433" s="76">
        <v>4</v>
      </c>
      <c r="D433" s="76">
        <v>162</v>
      </c>
      <c r="E433" s="76">
        <v>162</v>
      </c>
      <c r="F433" s="76">
        <v>45</v>
      </c>
      <c r="G433" s="76">
        <v>16</v>
      </c>
      <c r="H433" s="76">
        <v>23</v>
      </c>
      <c r="I433" s="76">
        <v>0.253</v>
      </c>
      <c r="J433" s="76">
        <v>1.31</v>
      </c>
      <c r="K433" s="76">
        <v>78</v>
      </c>
      <c r="L433" s="76">
        <v>57</v>
      </c>
      <c r="M433" s="76">
        <v>64</v>
      </c>
      <c r="N433" s="76">
        <v>1443</v>
      </c>
      <c r="O433" s="76">
        <v>1400</v>
      </c>
      <c r="P433" s="76">
        <v>686</v>
      </c>
      <c r="Q433" s="76">
        <v>642</v>
      </c>
      <c r="R433" s="76">
        <v>151</v>
      </c>
      <c r="S433" s="76">
        <v>113</v>
      </c>
      <c r="T433" s="76">
        <v>490</v>
      </c>
      <c r="U433" s="76">
        <v>0.72399999999999998</v>
      </c>
      <c r="V433" s="76">
        <v>64</v>
      </c>
      <c r="W433" s="76">
        <v>1479</v>
      </c>
      <c r="X433" s="76">
        <v>1199</v>
      </c>
      <c r="Y433" s="76"/>
      <c r="Z433" s="76">
        <v>0.40699999999999997</v>
      </c>
      <c r="AA433" s="76"/>
      <c r="AB433" s="76">
        <v>159</v>
      </c>
      <c r="AC433" s="76">
        <v>3</v>
      </c>
      <c r="AD433" s="76">
        <v>113</v>
      </c>
      <c r="AE433" s="76">
        <v>1525</v>
      </c>
      <c r="AF433" s="76">
        <v>43</v>
      </c>
      <c r="AG433" s="76">
        <v>5</v>
      </c>
      <c r="AH433" s="76">
        <v>94</v>
      </c>
      <c r="AI433" s="76">
        <v>24</v>
      </c>
      <c r="AJ433" s="76">
        <v>10</v>
      </c>
      <c r="AK433" s="76">
        <v>6150</v>
      </c>
      <c r="AL433" s="76">
        <v>0.51200000000000001</v>
      </c>
      <c r="AM433" s="76">
        <v>0.97</v>
      </c>
      <c r="AN433" s="76">
        <v>0.318</v>
      </c>
      <c r="AO433"/>
      <c r="AP433"/>
      <c r="AQ433"/>
      <c r="AR433"/>
      <c r="AS433"/>
    </row>
    <row r="434" spans="1:45" x14ac:dyDescent="0.2">
      <c r="A434" s="76" t="s">
        <v>282</v>
      </c>
      <c r="B434" s="76">
        <v>91</v>
      </c>
      <c r="C434" s="76">
        <v>4.01</v>
      </c>
      <c r="D434" s="76">
        <v>162</v>
      </c>
      <c r="E434" s="76">
        <v>162</v>
      </c>
      <c r="F434" s="76">
        <v>36</v>
      </c>
      <c r="G434" s="76">
        <v>7</v>
      </c>
      <c r="H434" s="76">
        <v>19</v>
      </c>
      <c r="I434" s="76">
        <v>0.26</v>
      </c>
      <c r="J434" s="76">
        <v>1.32</v>
      </c>
      <c r="K434" s="76">
        <v>63</v>
      </c>
      <c r="L434" s="76">
        <v>47</v>
      </c>
      <c r="M434" s="76">
        <v>54</v>
      </c>
      <c r="N434" s="76">
        <v>1465.2</v>
      </c>
      <c r="O434" s="76">
        <v>1458</v>
      </c>
      <c r="P434" s="76">
        <v>715</v>
      </c>
      <c r="Q434" s="76">
        <v>653</v>
      </c>
      <c r="R434" s="76">
        <v>154</v>
      </c>
      <c r="S434" s="76">
        <v>129</v>
      </c>
      <c r="T434" s="76">
        <v>482</v>
      </c>
      <c r="U434" s="76">
        <v>0.73</v>
      </c>
      <c r="V434" s="76">
        <v>54</v>
      </c>
      <c r="W434" s="76">
        <v>1532</v>
      </c>
      <c r="X434" s="76">
        <v>1213</v>
      </c>
      <c r="Y434" s="76"/>
      <c r="Z434" s="76">
        <v>0.40899999999999997</v>
      </c>
      <c r="AA434" s="76"/>
      <c r="AB434" s="76">
        <v>159</v>
      </c>
      <c r="AC434" s="76">
        <v>3</v>
      </c>
      <c r="AD434" s="76">
        <v>129</v>
      </c>
      <c r="AE434" s="76">
        <v>1499</v>
      </c>
      <c r="AF434" s="76">
        <v>51</v>
      </c>
      <c r="AG434" s="76">
        <v>5</v>
      </c>
      <c r="AH434" s="76">
        <v>87</v>
      </c>
      <c r="AI434" s="76">
        <v>33</v>
      </c>
      <c r="AJ434" s="76">
        <v>4</v>
      </c>
      <c r="AK434" s="76">
        <v>6231</v>
      </c>
      <c r="AL434" s="76">
        <v>0.438</v>
      </c>
      <c r="AM434" s="76">
        <v>1.02</v>
      </c>
      <c r="AN434" s="76">
        <v>0.32100000000000001</v>
      </c>
      <c r="AO434"/>
      <c r="AP434"/>
      <c r="AQ434"/>
      <c r="AR434"/>
      <c r="AS434"/>
    </row>
    <row r="435" spans="1:45" x14ac:dyDescent="0.2">
      <c r="A435" s="76" t="s">
        <v>273</v>
      </c>
      <c r="B435" s="76">
        <v>72</v>
      </c>
      <c r="C435" s="76">
        <v>4.01</v>
      </c>
      <c r="D435" s="76">
        <v>162</v>
      </c>
      <c r="E435" s="76">
        <v>162</v>
      </c>
      <c r="F435" s="76">
        <v>41</v>
      </c>
      <c r="G435" s="76">
        <v>8</v>
      </c>
      <c r="H435" s="76">
        <v>34</v>
      </c>
      <c r="I435" s="76">
        <v>0.26300000000000001</v>
      </c>
      <c r="J435" s="76">
        <v>1.33</v>
      </c>
      <c r="K435" s="76">
        <v>72</v>
      </c>
      <c r="L435" s="76">
        <v>42</v>
      </c>
      <c r="M435" s="76">
        <v>57</v>
      </c>
      <c r="N435" s="76">
        <v>1454</v>
      </c>
      <c r="O435" s="76">
        <v>1475</v>
      </c>
      <c r="P435" s="76">
        <v>705</v>
      </c>
      <c r="Q435" s="76">
        <v>648</v>
      </c>
      <c r="R435" s="76">
        <v>127</v>
      </c>
      <c r="S435" s="76">
        <v>131</v>
      </c>
      <c r="T435" s="76">
        <v>462</v>
      </c>
      <c r="U435" s="76">
        <v>0.72299999999999998</v>
      </c>
      <c r="V435" s="76">
        <v>57</v>
      </c>
      <c r="W435" s="76">
        <v>1475</v>
      </c>
      <c r="X435" s="76">
        <v>1244</v>
      </c>
      <c r="Y435" s="76"/>
      <c r="Z435" s="76">
        <v>0.40100000000000002</v>
      </c>
      <c r="AA435" s="76"/>
      <c r="AB435" s="76">
        <v>157</v>
      </c>
      <c r="AC435" s="76">
        <v>5</v>
      </c>
      <c r="AD435" s="76">
        <v>131</v>
      </c>
      <c r="AE435" s="76">
        <v>1492</v>
      </c>
      <c r="AF435" s="76">
        <v>43</v>
      </c>
      <c r="AG435" s="76">
        <v>9</v>
      </c>
      <c r="AH435" s="76">
        <v>111</v>
      </c>
      <c r="AI435" s="76">
        <v>51</v>
      </c>
      <c r="AJ435" s="76">
        <v>13</v>
      </c>
      <c r="AK435" s="76">
        <v>6191</v>
      </c>
      <c r="AL435" s="76">
        <v>0.55600000000000005</v>
      </c>
      <c r="AM435" s="76">
        <v>0.99</v>
      </c>
      <c r="AN435" s="76">
        <v>0.32100000000000001</v>
      </c>
      <c r="AO435"/>
      <c r="AP435"/>
      <c r="AQ435"/>
      <c r="AR435"/>
      <c r="AS435"/>
    </row>
    <row r="436" spans="1:45" x14ac:dyDescent="0.2">
      <c r="A436" s="76" t="s">
        <v>246</v>
      </c>
      <c r="B436" s="76">
        <v>92</v>
      </c>
      <c r="C436" s="76">
        <v>4.1100000000000003</v>
      </c>
      <c r="D436" s="76">
        <v>162</v>
      </c>
      <c r="E436" s="76">
        <v>162</v>
      </c>
      <c r="F436" s="76">
        <v>31</v>
      </c>
      <c r="G436" s="76">
        <v>3</v>
      </c>
      <c r="H436" s="76">
        <v>32</v>
      </c>
      <c r="I436" s="76">
        <v>0.26</v>
      </c>
      <c r="J436" s="76">
        <v>1.34</v>
      </c>
      <c r="K436" s="76">
        <v>65</v>
      </c>
      <c r="L436" s="76">
        <v>52</v>
      </c>
      <c r="M436" s="76">
        <v>56</v>
      </c>
      <c r="N436" s="76">
        <v>1438.2</v>
      </c>
      <c r="O436" s="76">
        <v>1437</v>
      </c>
      <c r="P436" s="76">
        <v>723</v>
      </c>
      <c r="Q436" s="76">
        <v>657</v>
      </c>
      <c r="R436" s="76">
        <v>139</v>
      </c>
      <c r="S436" s="76">
        <v>133</v>
      </c>
      <c r="T436" s="76">
        <v>484</v>
      </c>
      <c r="U436" s="76">
        <v>0.71899999999999997</v>
      </c>
      <c r="V436" s="76">
        <v>56</v>
      </c>
      <c r="W436" s="76">
        <v>1637</v>
      </c>
      <c r="X436" s="76">
        <v>1137</v>
      </c>
      <c r="Y436" s="76"/>
      <c r="Z436" s="76">
        <v>0.39600000000000002</v>
      </c>
      <c r="AA436" s="76"/>
      <c r="AB436" s="76">
        <v>155</v>
      </c>
      <c r="AC436" s="76">
        <v>7</v>
      </c>
      <c r="AD436" s="76">
        <v>133</v>
      </c>
      <c r="AE436" s="76">
        <v>1403</v>
      </c>
      <c r="AF436" s="76">
        <v>57</v>
      </c>
      <c r="AG436" s="76">
        <v>7</v>
      </c>
      <c r="AH436" s="76">
        <v>109</v>
      </c>
      <c r="AI436" s="76">
        <v>32</v>
      </c>
      <c r="AJ436" s="76">
        <v>5</v>
      </c>
      <c r="AK436" s="76">
        <v>6154</v>
      </c>
      <c r="AL436" s="76">
        <v>0.432</v>
      </c>
      <c r="AM436" s="76">
        <v>1.17</v>
      </c>
      <c r="AN436" s="76">
        <v>0.32300000000000001</v>
      </c>
      <c r="AO436"/>
      <c r="AP436"/>
      <c r="AQ436"/>
      <c r="AR436"/>
      <c r="AS436"/>
    </row>
    <row r="437" spans="1:45" x14ac:dyDescent="0.2">
      <c r="A437" s="76" t="s">
        <v>279</v>
      </c>
      <c r="B437" s="76">
        <v>89</v>
      </c>
      <c r="C437" s="76">
        <v>4.29</v>
      </c>
      <c r="D437" s="76">
        <v>162</v>
      </c>
      <c r="E437" s="76">
        <v>162</v>
      </c>
      <c r="F437" s="76">
        <v>36</v>
      </c>
      <c r="G437" s="76">
        <v>6</v>
      </c>
      <c r="H437" s="76">
        <v>42</v>
      </c>
      <c r="I437" s="76">
        <v>0.26500000000000001</v>
      </c>
      <c r="J437" s="76">
        <v>1.41</v>
      </c>
      <c r="K437" s="76">
        <v>68</v>
      </c>
      <c r="L437" s="76">
        <v>69</v>
      </c>
      <c r="M437" s="76">
        <v>57</v>
      </c>
      <c r="N437" s="76">
        <v>1441</v>
      </c>
      <c r="O437" s="76">
        <v>1468</v>
      </c>
      <c r="P437" s="76">
        <v>758</v>
      </c>
      <c r="Q437" s="76">
        <v>687</v>
      </c>
      <c r="R437" s="76">
        <v>140</v>
      </c>
      <c r="S437" s="76">
        <v>152</v>
      </c>
      <c r="T437" s="76">
        <v>557</v>
      </c>
      <c r="U437" s="76">
        <v>0.73799999999999999</v>
      </c>
      <c r="V437" s="76">
        <v>57</v>
      </c>
      <c r="W437" s="76">
        <v>1569</v>
      </c>
      <c r="X437" s="76">
        <v>1152</v>
      </c>
      <c r="Y437" s="76"/>
      <c r="Z437" s="76">
        <v>0.40100000000000002</v>
      </c>
      <c r="AA437" s="76"/>
      <c r="AB437" s="76">
        <v>159</v>
      </c>
      <c r="AC437" s="76">
        <v>3</v>
      </c>
      <c r="AD437" s="76">
        <v>152</v>
      </c>
      <c r="AE437" s="76">
        <v>1440</v>
      </c>
      <c r="AF437" s="76">
        <v>75</v>
      </c>
      <c r="AG437" s="76">
        <v>3</v>
      </c>
      <c r="AH437" s="76">
        <v>93</v>
      </c>
      <c r="AI437" s="76">
        <v>32</v>
      </c>
      <c r="AJ437" s="76">
        <v>6</v>
      </c>
      <c r="AK437" s="76">
        <v>6255</v>
      </c>
      <c r="AL437" s="76">
        <v>0.45100000000000001</v>
      </c>
      <c r="AM437" s="76">
        <v>1.0900000000000001</v>
      </c>
      <c r="AN437" s="76">
        <v>0.33700000000000002</v>
      </c>
      <c r="AO437"/>
      <c r="AP437"/>
      <c r="AQ437"/>
      <c r="AR437"/>
      <c r="AS437"/>
    </row>
    <row r="438" spans="1:45" x14ac:dyDescent="0.2">
      <c r="A438" s="76" t="s">
        <v>277</v>
      </c>
      <c r="B438" s="76">
        <v>95</v>
      </c>
      <c r="C438" s="76">
        <v>4.49</v>
      </c>
      <c r="D438" s="76">
        <v>162</v>
      </c>
      <c r="E438" s="76">
        <v>162</v>
      </c>
      <c r="F438" s="76">
        <v>33</v>
      </c>
      <c r="G438" s="76">
        <v>17</v>
      </c>
      <c r="H438" s="76">
        <v>43</v>
      </c>
      <c r="I438" s="76">
        <v>0.27200000000000002</v>
      </c>
      <c r="J438" s="76">
        <v>1.41</v>
      </c>
      <c r="K438" s="76">
        <v>69</v>
      </c>
      <c r="L438" s="76">
        <v>61</v>
      </c>
      <c r="M438" s="76">
        <v>47</v>
      </c>
      <c r="N438" s="76">
        <v>1426.1</v>
      </c>
      <c r="O438" s="76">
        <v>1510</v>
      </c>
      <c r="P438" s="76">
        <v>773</v>
      </c>
      <c r="Q438" s="76">
        <v>711</v>
      </c>
      <c r="R438" s="76">
        <v>160</v>
      </c>
      <c r="S438" s="76">
        <v>129</v>
      </c>
      <c r="T438" s="76">
        <v>505</v>
      </c>
      <c r="U438" s="76">
        <v>0.76400000000000001</v>
      </c>
      <c r="V438" s="76">
        <v>47</v>
      </c>
      <c r="W438" s="76">
        <v>1338</v>
      </c>
      <c r="X438" s="76">
        <v>1110</v>
      </c>
      <c r="Y438" s="76"/>
      <c r="Z438" s="76">
        <v>0.42799999999999999</v>
      </c>
      <c r="AA438" s="76"/>
      <c r="AB438" s="76">
        <v>156</v>
      </c>
      <c r="AC438" s="76">
        <v>6</v>
      </c>
      <c r="AD438" s="76">
        <v>129</v>
      </c>
      <c r="AE438" s="76">
        <v>1670</v>
      </c>
      <c r="AF438" s="76">
        <v>61</v>
      </c>
      <c r="AG438" s="76">
        <v>7</v>
      </c>
      <c r="AH438" s="76">
        <v>85</v>
      </c>
      <c r="AI438" s="76">
        <v>36</v>
      </c>
      <c r="AJ438" s="76">
        <v>10</v>
      </c>
      <c r="AK438" s="76">
        <v>6195</v>
      </c>
      <c r="AL438" s="76">
        <v>0.41399999999999998</v>
      </c>
      <c r="AM438" s="76">
        <v>0.8</v>
      </c>
      <c r="AN438" s="76">
        <v>0.33600000000000002</v>
      </c>
      <c r="AO438"/>
      <c r="AP438"/>
      <c r="AQ438"/>
      <c r="AR438"/>
      <c r="AS438"/>
    </row>
    <row r="439" spans="1:45" x14ac:dyDescent="0.2">
      <c r="A439" s="76" t="s">
        <v>283</v>
      </c>
      <c r="B439" s="76">
        <v>92</v>
      </c>
      <c r="C439" s="76">
        <v>4.57</v>
      </c>
      <c r="D439" s="76">
        <v>162</v>
      </c>
      <c r="E439" s="76">
        <v>162</v>
      </c>
      <c r="F439" s="76">
        <v>38</v>
      </c>
      <c r="G439" s="76">
        <v>7</v>
      </c>
      <c r="H439" s="76">
        <v>24</v>
      </c>
      <c r="I439" s="76">
        <v>0.28000000000000003</v>
      </c>
      <c r="J439" s="76">
        <v>1.39</v>
      </c>
      <c r="K439" s="76">
        <v>68</v>
      </c>
      <c r="L439" s="76">
        <v>45</v>
      </c>
      <c r="M439" s="76">
        <v>58</v>
      </c>
      <c r="N439" s="76">
        <v>1435</v>
      </c>
      <c r="O439" s="76">
        <v>1588</v>
      </c>
      <c r="P439" s="76">
        <v>777</v>
      </c>
      <c r="Q439" s="76">
        <v>728</v>
      </c>
      <c r="R439" s="76">
        <v>147</v>
      </c>
      <c r="S439" s="76">
        <v>120</v>
      </c>
      <c r="T439" s="76">
        <v>408</v>
      </c>
      <c r="U439" s="76">
        <v>0.75800000000000001</v>
      </c>
      <c r="V439" s="76">
        <v>58</v>
      </c>
      <c r="W439" s="76">
        <v>1520</v>
      </c>
      <c r="X439" s="76">
        <v>1031</v>
      </c>
      <c r="Y439" s="76"/>
      <c r="Z439" s="76">
        <v>0.42799999999999999</v>
      </c>
      <c r="AA439" s="76"/>
      <c r="AB439" s="76">
        <v>160</v>
      </c>
      <c r="AC439" s="76">
        <v>2</v>
      </c>
      <c r="AD439" s="76">
        <v>120</v>
      </c>
      <c r="AE439" s="76">
        <v>1619</v>
      </c>
      <c r="AF439" s="76">
        <v>50</v>
      </c>
      <c r="AG439" s="76">
        <v>6</v>
      </c>
      <c r="AH439" s="76">
        <v>100</v>
      </c>
      <c r="AI439" s="76">
        <v>22</v>
      </c>
      <c r="AJ439" s="76">
        <v>13</v>
      </c>
      <c r="AK439" s="76">
        <v>6212</v>
      </c>
      <c r="AL439" s="76">
        <v>0.432</v>
      </c>
      <c r="AM439" s="76">
        <v>0.94</v>
      </c>
      <c r="AN439" s="76">
        <v>0.33</v>
      </c>
      <c r="AO439"/>
      <c r="AP439"/>
      <c r="AQ439"/>
      <c r="AR439"/>
      <c r="AS439"/>
    </row>
    <row r="440" spans="1:45" x14ac:dyDescent="0.2">
      <c r="A440" s="76"/>
      <c r="B440" s="76"/>
      <c r="C440" s="76"/>
      <c r="D440" s="97"/>
      <c r="E440" s="76"/>
      <c r="F440" s="76"/>
      <c r="G440" s="98"/>
      <c r="H440" s="98"/>
      <c r="I440" s="76"/>
      <c r="J440" s="100"/>
      <c r="K440" s="98"/>
      <c r="L440" s="98"/>
      <c r="M440" s="76"/>
      <c r="N440" s="97"/>
      <c r="O440" s="97"/>
      <c r="P440" s="76"/>
      <c r="Q440" s="76"/>
      <c r="R440" s="76"/>
      <c r="S440" s="98"/>
      <c r="T440" s="76"/>
      <c r="U440" s="101"/>
      <c r="V440" s="76"/>
      <c r="W440" s="98"/>
      <c r="X440" s="76"/>
      <c r="Y440" s="76"/>
      <c r="Z440" s="101"/>
      <c r="AA440" s="101"/>
      <c r="AB440" s="98"/>
      <c r="AC440" s="144"/>
      <c r="AD440" s="98"/>
      <c r="AE440" s="98"/>
      <c r="AF440" s="98"/>
      <c r="AG440" s="98"/>
      <c r="AH440" s="98"/>
      <c r="AI440" s="98"/>
      <c r="AJ440" s="98"/>
      <c r="AK440" s="98"/>
      <c r="AL440" s="101"/>
      <c r="AM440" s="101"/>
      <c r="AN440" s="101"/>
      <c r="AO440"/>
      <c r="AP440"/>
      <c r="AQ440"/>
      <c r="AR440"/>
      <c r="AS440"/>
    </row>
    <row r="441" spans="1:45" x14ac:dyDescent="0.2">
      <c r="A441" s="76"/>
      <c r="B441" s="76"/>
      <c r="C441" s="97">
        <f>(Q441*9)/N441</f>
        <v>3.8150710700423027</v>
      </c>
      <c r="D441" s="97"/>
      <c r="E441" s="76"/>
      <c r="F441" s="76"/>
      <c r="G441" s="98"/>
      <c r="H441" s="98">
        <f>SUM(H425:H440)</f>
        <v>462</v>
      </c>
      <c r="I441" s="76"/>
      <c r="J441" s="100"/>
      <c r="K441" s="98"/>
      <c r="L441" s="98"/>
      <c r="M441" s="76"/>
      <c r="N441" s="97">
        <f>SUM(N425:N440)</f>
        <v>21795.399999999998</v>
      </c>
      <c r="O441" s="97"/>
      <c r="P441" s="76"/>
      <c r="Q441" s="76">
        <f>SUM(Q425:Q440)</f>
        <v>9239</v>
      </c>
      <c r="R441" s="76">
        <f>SUM(R425:R440)</f>
        <v>2151</v>
      </c>
      <c r="S441" s="98"/>
      <c r="T441" s="145">
        <f>SUM(T425:T440)</f>
        <v>7017</v>
      </c>
      <c r="U441" s="101"/>
      <c r="V441" s="76"/>
      <c r="W441" s="98"/>
      <c r="X441" s="76"/>
      <c r="Y441" s="76"/>
      <c r="Z441" s="101"/>
      <c r="AA441" s="101"/>
      <c r="AB441" s="98"/>
      <c r="AC441" s="144"/>
      <c r="AD441" s="98"/>
      <c r="AE441" s="98"/>
      <c r="AF441" s="98"/>
      <c r="AG441" s="98"/>
      <c r="AH441" s="98"/>
      <c r="AI441" s="98"/>
      <c r="AJ441" s="98"/>
      <c r="AK441" s="98">
        <f>SUM(AK425:AK440)</f>
        <v>92155</v>
      </c>
      <c r="AL441" s="101"/>
      <c r="AM441" s="101"/>
      <c r="AN441" s="101"/>
      <c r="AO441"/>
      <c r="AP441"/>
      <c r="AQ441"/>
      <c r="AR441"/>
      <c r="AS441"/>
    </row>
    <row r="443" spans="1:45" x14ac:dyDescent="0.2">
      <c r="A443" s="102"/>
      <c r="B443" s="102" t="s">
        <v>285</v>
      </c>
      <c r="C443" s="102" t="s">
        <v>215</v>
      </c>
      <c r="D443" s="140" t="s">
        <v>214</v>
      </c>
      <c r="E443" s="102" t="s">
        <v>286</v>
      </c>
      <c r="F443" s="102" t="s">
        <v>287</v>
      </c>
      <c r="G443" s="102" t="s">
        <v>292</v>
      </c>
      <c r="H443" s="102" t="s">
        <v>294</v>
      </c>
      <c r="I443" s="102" t="s">
        <v>241</v>
      </c>
      <c r="J443" s="141" t="s">
        <v>291</v>
      </c>
      <c r="K443" s="102" t="s">
        <v>296</v>
      </c>
      <c r="L443" s="102" t="s">
        <v>293</v>
      </c>
      <c r="M443" s="102" t="s">
        <v>217</v>
      </c>
      <c r="N443" s="102" t="s">
        <v>288</v>
      </c>
      <c r="O443" s="140" t="s">
        <v>218</v>
      </c>
      <c r="P443" s="102" t="s">
        <v>219</v>
      </c>
      <c r="Q443" s="102" t="s">
        <v>233</v>
      </c>
      <c r="R443" s="102" t="s">
        <v>234</v>
      </c>
      <c r="S443" s="102" t="s">
        <v>297</v>
      </c>
      <c r="T443" s="102" t="s">
        <v>289</v>
      </c>
      <c r="V443" s="102" t="s">
        <v>217</v>
      </c>
      <c r="W443" s="102" t="s">
        <v>229</v>
      </c>
      <c r="X443" s="102" t="s">
        <v>290</v>
      </c>
      <c r="Y443" s="102"/>
      <c r="AB443" s="102" t="s">
        <v>295</v>
      </c>
      <c r="AC443" s="140" t="s">
        <v>225</v>
      </c>
      <c r="AD443" s="102" t="s">
        <v>297</v>
      </c>
      <c r="AE443" s="102" t="s">
        <v>230</v>
      </c>
      <c r="AF443" s="102" t="s">
        <v>239</v>
      </c>
      <c r="AG443" s="102" t="s">
        <v>237</v>
      </c>
      <c r="AH443" s="102" t="s">
        <v>298</v>
      </c>
      <c r="AO443"/>
      <c r="AP443"/>
      <c r="AQ443"/>
      <c r="AR443"/>
      <c r="AS443"/>
    </row>
    <row r="444" spans="1:45" x14ac:dyDescent="0.2">
      <c r="A444" s="76" t="s">
        <v>273</v>
      </c>
      <c r="B444" s="76">
        <v>5630</v>
      </c>
      <c r="C444" s="76">
        <v>757</v>
      </c>
      <c r="D444" s="76">
        <v>1557</v>
      </c>
      <c r="E444" s="76">
        <v>325</v>
      </c>
      <c r="F444" s="76">
        <v>26</v>
      </c>
      <c r="G444" s="76">
        <v>44</v>
      </c>
      <c r="H444" s="76">
        <v>61</v>
      </c>
      <c r="I444" s="76">
        <v>0.42599999999999999</v>
      </c>
      <c r="J444" s="76">
        <v>0.75700000000000001</v>
      </c>
      <c r="K444" s="76">
        <v>506</v>
      </c>
      <c r="L444" s="76">
        <v>24</v>
      </c>
      <c r="M444" s="76">
        <v>155</v>
      </c>
      <c r="N444" s="76">
        <v>731</v>
      </c>
      <c r="O444" s="76">
        <v>443</v>
      </c>
      <c r="P444" s="76">
        <v>1144</v>
      </c>
      <c r="Q444" s="76">
        <v>106</v>
      </c>
      <c r="R444" s="76">
        <v>41</v>
      </c>
      <c r="S444" s="76">
        <v>137</v>
      </c>
      <c r="T444" s="76">
        <v>0.27700000000000002</v>
      </c>
      <c r="U444" s="76"/>
      <c r="V444" s="76">
        <v>155</v>
      </c>
      <c r="W444" s="76">
        <v>1599</v>
      </c>
      <c r="X444" s="76">
        <v>0.33100000000000002</v>
      </c>
      <c r="Y444" s="76"/>
      <c r="Z444" s="76"/>
      <c r="AA444" s="76"/>
      <c r="AB444" s="76">
        <v>2399</v>
      </c>
      <c r="AC444" s="76">
        <v>51</v>
      </c>
      <c r="AD444" s="76">
        <v>137</v>
      </c>
      <c r="AE444" s="76">
        <v>1552</v>
      </c>
      <c r="AF444" s="76">
        <v>1.03</v>
      </c>
      <c r="AG444" s="76">
        <v>23533</v>
      </c>
      <c r="AH444" s="76">
        <v>6202</v>
      </c>
      <c r="AI444" s="76"/>
      <c r="AJ444" s="76"/>
      <c r="AK444" s="76"/>
      <c r="AL444" s="76"/>
      <c r="AM444" s="76"/>
      <c r="AN444" s="76"/>
      <c r="AO444"/>
      <c r="AP444"/>
      <c r="AQ444"/>
      <c r="AR444"/>
      <c r="AS444"/>
    </row>
    <row r="445" spans="1:45" x14ac:dyDescent="0.2">
      <c r="A445" s="76" t="s">
        <v>280</v>
      </c>
      <c r="B445" s="76">
        <v>5545</v>
      </c>
      <c r="C445" s="76">
        <v>651</v>
      </c>
      <c r="D445" s="76">
        <v>1456</v>
      </c>
      <c r="E445" s="76">
        <v>286</v>
      </c>
      <c r="F445" s="76">
        <v>29</v>
      </c>
      <c r="G445" s="76">
        <v>53</v>
      </c>
      <c r="H445" s="76">
        <v>47</v>
      </c>
      <c r="I445" s="76">
        <v>0.376</v>
      </c>
      <c r="J445" s="76">
        <v>0.69</v>
      </c>
      <c r="K445" s="76">
        <v>410</v>
      </c>
      <c r="L445" s="76">
        <v>33</v>
      </c>
      <c r="M445" s="76">
        <v>95</v>
      </c>
      <c r="N445" s="76">
        <v>604</v>
      </c>
      <c r="O445" s="76">
        <v>380</v>
      </c>
      <c r="P445" s="76">
        <v>985</v>
      </c>
      <c r="Q445" s="76">
        <v>153</v>
      </c>
      <c r="R445" s="76">
        <v>36</v>
      </c>
      <c r="S445" s="76">
        <v>131</v>
      </c>
      <c r="T445" s="76">
        <v>0.26300000000000001</v>
      </c>
      <c r="U445" s="76"/>
      <c r="V445" s="76">
        <v>95</v>
      </c>
      <c r="W445" s="76">
        <v>1811</v>
      </c>
      <c r="X445" s="76">
        <v>0.314</v>
      </c>
      <c r="Y445" s="76"/>
      <c r="Z445" s="76"/>
      <c r="AA445" s="76"/>
      <c r="AB445" s="76">
        <v>2085</v>
      </c>
      <c r="AC445" s="76">
        <v>22</v>
      </c>
      <c r="AD445" s="76">
        <v>131</v>
      </c>
      <c r="AE445" s="76">
        <v>1504</v>
      </c>
      <c r="AF445" s="76">
        <v>1.2</v>
      </c>
      <c r="AG445" s="76">
        <v>22710</v>
      </c>
      <c r="AH445" s="76">
        <v>6058</v>
      </c>
      <c r="AI445" s="76"/>
      <c r="AJ445" s="76"/>
      <c r="AK445" s="76"/>
      <c r="AL445" s="76"/>
      <c r="AM445" s="76"/>
      <c r="AN445" s="76"/>
      <c r="AO445"/>
      <c r="AP445"/>
      <c r="AQ445"/>
      <c r="AR445"/>
      <c r="AS445"/>
    </row>
    <row r="446" spans="1:45" x14ac:dyDescent="0.2">
      <c r="A446" s="76" t="s">
        <v>278</v>
      </c>
      <c r="B446" s="76">
        <v>5652</v>
      </c>
      <c r="C446" s="76">
        <v>773</v>
      </c>
      <c r="D446" s="76">
        <v>1464</v>
      </c>
      <c r="E446" s="76">
        <v>304</v>
      </c>
      <c r="F446" s="76">
        <v>31</v>
      </c>
      <c r="G446" s="76">
        <v>60</v>
      </c>
      <c r="H446" s="76">
        <v>54</v>
      </c>
      <c r="I446" s="76">
        <v>0.40600000000000003</v>
      </c>
      <c r="J446" s="76">
        <v>0.72799999999999998</v>
      </c>
      <c r="K446" s="76">
        <v>490</v>
      </c>
      <c r="L446" s="76">
        <v>26</v>
      </c>
      <c r="M446" s="76">
        <v>155</v>
      </c>
      <c r="N446" s="76">
        <v>729</v>
      </c>
      <c r="O446" s="76">
        <v>492</v>
      </c>
      <c r="P446" s="76">
        <v>1266</v>
      </c>
      <c r="Q446" s="76">
        <v>81</v>
      </c>
      <c r="R446" s="76">
        <v>39</v>
      </c>
      <c r="S446" s="76">
        <v>112</v>
      </c>
      <c r="T446" s="76">
        <v>0.25900000000000001</v>
      </c>
      <c r="U446" s="76"/>
      <c r="V446" s="76">
        <v>155</v>
      </c>
      <c r="W446" s="76">
        <v>1676</v>
      </c>
      <c r="X446" s="76">
        <v>0.32200000000000001</v>
      </c>
      <c r="Y446" s="76"/>
      <c r="Z446" s="76"/>
      <c r="AA446" s="76"/>
      <c r="AB446" s="76">
        <v>2295</v>
      </c>
      <c r="AC446" s="76">
        <v>42</v>
      </c>
      <c r="AD446" s="76">
        <v>112</v>
      </c>
      <c r="AE446" s="76">
        <v>1439</v>
      </c>
      <c r="AF446" s="76">
        <v>1.1599999999999999</v>
      </c>
      <c r="AG446" s="76">
        <v>23938</v>
      </c>
      <c r="AH446" s="76">
        <v>6284</v>
      </c>
      <c r="AI446" s="76"/>
      <c r="AJ446" s="76"/>
      <c r="AK446" s="76"/>
      <c r="AL446" s="76"/>
      <c r="AM446" s="76"/>
      <c r="AN446" s="76"/>
      <c r="AO446"/>
      <c r="AP446"/>
      <c r="AQ446"/>
      <c r="AR446"/>
      <c r="AS446"/>
    </row>
    <row r="447" spans="1:45" x14ac:dyDescent="0.2">
      <c r="A447" s="76" t="s">
        <v>281</v>
      </c>
      <c r="B447" s="76">
        <v>5549</v>
      </c>
      <c r="C447" s="76">
        <v>723</v>
      </c>
      <c r="D447" s="76">
        <v>1435</v>
      </c>
      <c r="E447" s="76">
        <v>282</v>
      </c>
      <c r="F447" s="76">
        <v>24</v>
      </c>
      <c r="G447" s="76">
        <v>41</v>
      </c>
      <c r="H447" s="76">
        <v>40</v>
      </c>
      <c r="I447" s="76">
        <v>0.41399999999999998</v>
      </c>
      <c r="J447" s="76">
        <v>0.73599999999999999</v>
      </c>
      <c r="K447" s="76">
        <v>483</v>
      </c>
      <c r="L447" s="76">
        <v>35</v>
      </c>
      <c r="M447" s="76">
        <v>177</v>
      </c>
      <c r="N447" s="76">
        <v>690</v>
      </c>
      <c r="O447" s="76">
        <v>502</v>
      </c>
      <c r="P447" s="76">
        <v>1151</v>
      </c>
      <c r="Q447" s="76">
        <v>78</v>
      </c>
      <c r="R447" s="76">
        <v>21</v>
      </c>
      <c r="S447" s="76">
        <v>128</v>
      </c>
      <c r="T447" s="76">
        <v>0.25900000000000001</v>
      </c>
      <c r="U447" s="76"/>
      <c r="V447" s="76">
        <v>177</v>
      </c>
      <c r="W447" s="76">
        <v>1667</v>
      </c>
      <c r="X447" s="76">
        <v>0.32300000000000001</v>
      </c>
      <c r="Y447" s="76"/>
      <c r="Z447" s="76"/>
      <c r="AA447" s="76"/>
      <c r="AB447" s="76">
        <v>2296</v>
      </c>
      <c r="AC447" s="76">
        <v>27</v>
      </c>
      <c r="AD447" s="76">
        <v>128</v>
      </c>
      <c r="AE447" s="76">
        <v>1499</v>
      </c>
      <c r="AF447" s="76">
        <v>1.1100000000000001</v>
      </c>
      <c r="AG447" s="76">
        <v>23834</v>
      </c>
      <c r="AH447" s="76">
        <v>6167</v>
      </c>
      <c r="AI447" s="76"/>
      <c r="AJ447" s="76"/>
      <c r="AK447" s="76"/>
      <c r="AL447" s="76"/>
      <c r="AM447" s="76"/>
      <c r="AN447" s="76"/>
      <c r="AO447"/>
      <c r="AP447"/>
      <c r="AQ447"/>
      <c r="AR447"/>
      <c r="AS447"/>
    </row>
    <row r="448" spans="1:45" x14ac:dyDescent="0.2">
      <c r="A448" s="76" t="s">
        <v>277</v>
      </c>
      <c r="B448" s="76">
        <v>5460</v>
      </c>
      <c r="C448" s="76">
        <v>637</v>
      </c>
      <c r="D448" s="76">
        <v>1400</v>
      </c>
      <c r="E448" s="76">
        <v>260</v>
      </c>
      <c r="F448" s="76">
        <v>28</v>
      </c>
      <c r="G448" s="76">
        <v>61</v>
      </c>
      <c r="H448" s="76">
        <v>45</v>
      </c>
      <c r="I448" s="76">
        <v>0.375</v>
      </c>
      <c r="J448" s="76">
        <v>0.68899999999999995</v>
      </c>
      <c r="K448" s="76">
        <v>399</v>
      </c>
      <c r="L448" s="76">
        <v>41</v>
      </c>
      <c r="M448" s="76">
        <v>111</v>
      </c>
      <c r="N448" s="76">
        <v>597</v>
      </c>
      <c r="O448" s="76">
        <v>417</v>
      </c>
      <c r="P448" s="76">
        <v>1162</v>
      </c>
      <c r="Q448" s="76">
        <v>105</v>
      </c>
      <c r="R448" s="76">
        <v>59</v>
      </c>
      <c r="S448" s="76">
        <v>148</v>
      </c>
      <c r="T448" s="76">
        <v>0.25600000000000001</v>
      </c>
      <c r="U448" s="76"/>
      <c r="V448" s="76">
        <v>111</v>
      </c>
      <c r="W448" s="76">
        <v>1766</v>
      </c>
      <c r="X448" s="76">
        <v>0.314</v>
      </c>
      <c r="Y448" s="76"/>
      <c r="Z448" s="76"/>
      <c r="AA448" s="76"/>
      <c r="AB448" s="76">
        <v>2049</v>
      </c>
      <c r="AC448" s="76">
        <v>37</v>
      </c>
      <c r="AD448" s="76">
        <v>148</v>
      </c>
      <c r="AE448" s="76">
        <v>1366</v>
      </c>
      <c r="AF448" s="76">
        <v>1.29</v>
      </c>
      <c r="AG448" s="76">
        <v>23114</v>
      </c>
      <c r="AH448" s="76">
        <v>6026</v>
      </c>
      <c r="AI448" s="76"/>
      <c r="AJ448" s="76"/>
      <c r="AK448" s="76"/>
      <c r="AL448" s="76"/>
      <c r="AM448" s="76"/>
      <c r="AN448" s="76"/>
      <c r="AO448"/>
      <c r="AP448"/>
      <c r="AQ448"/>
      <c r="AR448"/>
      <c r="AS448"/>
    </row>
    <row r="449" spans="1:45" x14ac:dyDescent="0.2">
      <c r="A449" s="76" t="s">
        <v>276</v>
      </c>
      <c r="B449" s="76">
        <v>5596</v>
      </c>
      <c r="C449" s="76">
        <v>705</v>
      </c>
      <c r="D449" s="76">
        <v>1434</v>
      </c>
      <c r="E449" s="76">
        <v>264</v>
      </c>
      <c r="F449" s="76">
        <v>16</v>
      </c>
      <c r="G449" s="76">
        <v>62</v>
      </c>
      <c r="H449" s="76">
        <v>36</v>
      </c>
      <c r="I449" s="76">
        <v>0.42199999999999999</v>
      </c>
      <c r="J449" s="76">
        <v>0.73399999999999999</v>
      </c>
      <c r="K449" s="76">
        <v>491</v>
      </c>
      <c r="L449" s="76">
        <v>35</v>
      </c>
      <c r="M449" s="76">
        <v>211</v>
      </c>
      <c r="N449" s="76">
        <v>681</v>
      </c>
      <c r="O449" s="76">
        <v>401</v>
      </c>
      <c r="P449" s="76">
        <v>1285</v>
      </c>
      <c r="Q449" s="76">
        <v>44</v>
      </c>
      <c r="R449" s="76">
        <v>20</v>
      </c>
      <c r="S449" s="76">
        <v>112</v>
      </c>
      <c r="T449" s="76">
        <v>0.25600000000000001</v>
      </c>
      <c r="U449" s="76"/>
      <c r="V449" s="76">
        <v>211</v>
      </c>
      <c r="W449" s="76">
        <v>1585</v>
      </c>
      <c r="X449" s="76">
        <v>0.311</v>
      </c>
      <c r="Y449" s="76"/>
      <c r="Z449" s="76"/>
      <c r="AA449" s="76"/>
      <c r="AB449" s="76">
        <v>2363</v>
      </c>
      <c r="AC449" s="76">
        <v>29</v>
      </c>
      <c r="AD449" s="76">
        <v>112</v>
      </c>
      <c r="AE449" s="76">
        <v>1475</v>
      </c>
      <c r="AF449" s="76">
        <v>1.07</v>
      </c>
      <c r="AG449" s="76">
        <v>23333</v>
      </c>
      <c r="AH449" s="76">
        <v>6130</v>
      </c>
      <c r="AI449" s="76"/>
      <c r="AJ449" s="76"/>
      <c r="AK449" s="76"/>
      <c r="AL449" s="76"/>
      <c r="AM449" s="76"/>
      <c r="AN449" s="76"/>
      <c r="AO449"/>
      <c r="AP449"/>
      <c r="AQ449"/>
      <c r="AR449"/>
      <c r="AS449"/>
    </row>
    <row r="450" spans="1:45" x14ac:dyDescent="0.2">
      <c r="A450" s="76" t="s">
        <v>283</v>
      </c>
      <c r="B450" s="76">
        <v>5567</v>
      </c>
      <c r="C450" s="76">
        <v>715</v>
      </c>
      <c r="D450" s="76">
        <v>1412</v>
      </c>
      <c r="E450" s="76">
        <v>316</v>
      </c>
      <c r="F450" s="76">
        <v>27</v>
      </c>
      <c r="G450" s="76">
        <v>53</v>
      </c>
      <c r="H450" s="76">
        <v>44</v>
      </c>
      <c r="I450" s="76">
        <v>0.38900000000000001</v>
      </c>
      <c r="J450" s="76">
        <v>0.71299999999999997</v>
      </c>
      <c r="K450" s="76">
        <v>471</v>
      </c>
      <c r="L450" s="76">
        <v>25</v>
      </c>
      <c r="M450" s="76">
        <v>128</v>
      </c>
      <c r="N450" s="76">
        <v>675</v>
      </c>
      <c r="O450" s="76">
        <v>544</v>
      </c>
      <c r="P450" s="76">
        <v>1329</v>
      </c>
      <c r="Q450" s="76">
        <v>99</v>
      </c>
      <c r="R450" s="76">
        <v>36</v>
      </c>
      <c r="S450" s="76">
        <v>97</v>
      </c>
      <c r="T450" s="76">
        <v>0.254</v>
      </c>
      <c r="U450" s="76"/>
      <c r="V450" s="76">
        <v>128</v>
      </c>
      <c r="W450" s="76">
        <v>1543</v>
      </c>
      <c r="X450" s="76">
        <v>0.32400000000000001</v>
      </c>
      <c r="Y450" s="76"/>
      <c r="Z450" s="76"/>
      <c r="AA450" s="76"/>
      <c r="AB450" s="76">
        <v>2166</v>
      </c>
      <c r="AC450" s="76">
        <v>29</v>
      </c>
      <c r="AD450" s="76">
        <v>97</v>
      </c>
      <c r="AE450" s="76">
        <v>1449</v>
      </c>
      <c r="AF450" s="76">
        <v>1.06</v>
      </c>
      <c r="AG450" s="76">
        <v>24944</v>
      </c>
      <c r="AH450" s="76">
        <v>6233</v>
      </c>
      <c r="AI450" s="76"/>
      <c r="AJ450" s="76"/>
      <c r="AK450" s="76"/>
      <c r="AL450" s="76"/>
      <c r="AM450" s="76"/>
      <c r="AN450" s="76"/>
      <c r="AO450"/>
      <c r="AP450"/>
      <c r="AQ450"/>
      <c r="AR450"/>
      <c r="AS450"/>
    </row>
    <row r="451" spans="1:45" x14ac:dyDescent="0.2">
      <c r="A451" s="76" t="s">
        <v>284</v>
      </c>
      <c r="B451" s="76">
        <v>5575</v>
      </c>
      <c r="C451" s="76">
        <v>669</v>
      </c>
      <c r="D451" s="76">
        <v>1411</v>
      </c>
      <c r="E451" s="76">
        <v>284</v>
      </c>
      <c r="F451" s="76">
        <v>23</v>
      </c>
      <c r="G451" s="76">
        <v>42</v>
      </c>
      <c r="H451" s="76">
        <v>49</v>
      </c>
      <c r="I451" s="76">
        <v>0.38900000000000001</v>
      </c>
      <c r="J451" s="76">
        <v>0.70599999999999996</v>
      </c>
      <c r="K451" s="76">
        <v>449</v>
      </c>
      <c r="L451" s="76">
        <v>51</v>
      </c>
      <c r="M451" s="76">
        <v>142</v>
      </c>
      <c r="N451" s="76">
        <v>644</v>
      </c>
      <c r="O451" s="76">
        <v>504</v>
      </c>
      <c r="P451" s="76">
        <v>1189</v>
      </c>
      <c r="Q451" s="76">
        <v>104</v>
      </c>
      <c r="R451" s="76">
        <v>27</v>
      </c>
      <c r="S451" s="76">
        <v>126</v>
      </c>
      <c r="T451" s="76">
        <v>0.253</v>
      </c>
      <c r="U451" s="76"/>
      <c r="V451" s="76">
        <v>142</v>
      </c>
      <c r="W451" s="76">
        <v>1664</v>
      </c>
      <c r="X451" s="76">
        <v>0.317</v>
      </c>
      <c r="Y451" s="76"/>
      <c r="Z451" s="76"/>
      <c r="AA451" s="76"/>
      <c r="AB451" s="76">
        <v>2167</v>
      </c>
      <c r="AC451" s="76">
        <v>24</v>
      </c>
      <c r="AD451" s="76">
        <v>126</v>
      </c>
      <c r="AE451" s="76">
        <v>1537</v>
      </c>
      <c r="AF451" s="76">
        <v>1.08</v>
      </c>
      <c r="AG451" s="76">
        <v>24227</v>
      </c>
      <c r="AH451" s="76">
        <v>6222</v>
      </c>
      <c r="AI451" s="76"/>
      <c r="AJ451" s="76"/>
      <c r="AK451" s="76"/>
      <c r="AL451" s="76"/>
      <c r="AM451" s="76"/>
      <c r="AN451" s="76"/>
      <c r="AO451"/>
      <c r="AP451"/>
      <c r="AQ451"/>
      <c r="AR451"/>
      <c r="AS451"/>
    </row>
    <row r="452" spans="1:45" x14ac:dyDescent="0.2">
      <c r="A452" s="76" t="s">
        <v>279</v>
      </c>
      <c r="B452" s="76">
        <v>5543</v>
      </c>
      <c r="C452" s="76">
        <v>660</v>
      </c>
      <c r="D452" s="76">
        <v>1400</v>
      </c>
      <c r="E452" s="76">
        <v>279</v>
      </c>
      <c r="F452" s="76">
        <v>32</v>
      </c>
      <c r="G452" s="76">
        <v>60</v>
      </c>
      <c r="H452" s="76">
        <v>38</v>
      </c>
      <c r="I452" s="76">
        <v>0.39800000000000002</v>
      </c>
      <c r="J452" s="76">
        <v>0.70799999999999996</v>
      </c>
      <c r="K452" s="76">
        <v>466</v>
      </c>
      <c r="L452" s="76">
        <v>19</v>
      </c>
      <c r="M452" s="76">
        <v>155</v>
      </c>
      <c r="N452" s="76">
        <v>625</v>
      </c>
      <c r="O452" s="76">
        <v>417</v>
      </c>
      <c r="P452" s="76">
        <v>1362</v>
      </c>
      <c r="Q452" s="76">
        <v>85</v>
      </c>
      <c r="R452" s="76">
        <v>36</v>
      </c>
      <c r="S452" s="76">
        <v>127</v>
      </c>
      <c r="T452" s="76">
        <v>0.253</v>
      </c>
      <c r="U452" s="76"/>
      <c r="V452" s="76">
        <v>155</v>
      </c>
      <c r="W452" s="76">
        <v>1630</v>
      </c>
      <c r="X452" s="76">
        <v>0.31</v>
      </c>
      <c r="Y452" s="76"/>
      <c r="Z452" s="76"/>
      <c r="AA452" s="76"/>
      <c r="AB452" s="76">
        <v>2208</v>
      </c>
      <c r="AC452" s="76">
        <v>33</v>
      </c>
      <c r="AD452" s="76">
        <v>127</v>
      </c>
      <c r="AE452" s="76">
        <v>1335</v>
      </c>
      <c r="AF452" s="76">
        <v>1.22</v>
      </c>
      <c r="AG452" s="76">
        <v>23133</v>
      </c>
      <c r="AH452" s="76">
        <v>6077</v>
      </c>
      <c r="AI452" s="76"/>
      <c r="AJ452" s="76"/>
      <c r="AK452" s="76"/>
      <c r="AL452" s="76"/>
      <c r="AM452" s="76"/>
      <c r="AN452" s="76"/>
      <c r="AO452"/>
      <c r="AP452"/>
      <c r="AQ452"/>
      <c r="AR452"/>
      <c r="AS452"/>
    </row>
    <row r="453" spans="1:45" x14ac:dyDescent="0.2">
      <c r="A453" s="76" t="s">
        <v>271</v>
      </c>
      <c r="B453" s="76">
        <v>5516</v>
      </c>
      <c r="C453" s="76">
        <v>612</v>
      </c>
      <c r="D453" s="76">
        <v>1361</v>
      </c>
      <c r="E453" s="76">
        <v>263</v>
      </c>
      <c r="F453" s="76">
        <v>24</v>
      </c>
      <c r="G453" s="76">
        <v>66</v>
      </c>
      <c r="H453" s="76">
        <v>53</v>
      </c>
      <c r="I453" s="76">
        <v>0.36699999999999999</v>
      </c>
      <c r="J453" s="76">
        <v>0.68400000000000005</v>
      </c>
      <c r="K453" s="76">
        <v>404</v>
      </c>
      <c r="L453" s="76">
        <v>43</v>
      </c>
      <c r="M453" s="76">
        <v>117</v>
      </c>
      <c r="N453" s="76">
        <v>586</v>
      </c>
      <c r="O453" s="76">
        <v>527</v>
      </c>
      <c r="P453" s="76">
        <v>1124</v>
      </c>
      <c r="Q453" s="76">
        <v>63</v>
      </c>
      <c r="R453" s="76">
        <v>27</v>
      </c>
      <c r="S453" s="76">
        <v>135</v>
      </c>
      <c r="T453" s="76">
        <v>0.247</v>
      </c>
      <c r="U453" s="76"/>
      <c r="V453" s="76">
        <v>117</v>
      </c>
      <c r="W453" s="76">
        <v>1746</v>
      </c>
      <c r="X453" s="76">
        <v>0.317</v>
      </c>
      <c r="Y453" s="76"/>
      <c r="Z453" s="76"/>
      <c r="AA453" s="76"/>
      <c r="AB453" s="76">
        <v>2023</v>
      </c>
      <c r="AC453" s="76">
        <v>31</v>
      </c>
      <c r="AD453" s="76">
        <v>135</v>
      </c>
      <c r="AE453" s="76">
        <v>1518</v>
      </c>
      <c r="AF453" s="76">
        <v>1.1499999999999999</v>
      </c>
      <c r="AG453" s="76">
        <v>23711</v>
      </c>
      <c r="AH453" s="76">
        <v>6205</v>
      </c>
      <c r="AI453" s="76"/>
      <c r="AJ453" s="76"/>
      <c r="AK453" s="76"/>
      <c r="AL453" s="76"/>
      <c r="AM453" s="76"/>
      <c r="AN453" s="76"/>
      <c r="AO453"/>
      <c r="AP453"/>
      <c r="AQ453"/>
      <c r="AR453"/>
      <c r="AS453"/>
    </row>
    <row r="454" spans="1:45" x14ac:dyDescent="0.2">
      <c r="A454" s="76" t="s">
        <v>275</v>
      </c>
      <c r="B454" s="76">
        <v>5497</v>
      </c>
      <c r="C454" s="76">
        <v>633</v>
      </c>
      <c r="D454" s="76">
        <v>1349</v>
      </c>
      <c r="E454" s="76">
        <v>247</v>
      </c>
      <c r="F454" s="76">
        <v>26</v>
      </c>
      <c r="G454" s="76">
        <v>56</v>
      </c>
      <c r="H454" s="76">
        <v>47</v>
      </c>
      <c r="I454" s="76">
        <v>0.38</v>
      </c>
      <c r="J454" s="76">
        <v>0.68700000000000006</v>
      </c>
      <c r="K454" s="76">
        <v>420</v>
      </c>
      <c r="L454" s="76">
        <v>29</v>
      </c>
      <c r="M454" s="76">
        <v>147</v>
      </c>
      <c r="N454" s="76">
        <v>591</v>
      </c>
      <c r="O454" s="76">
        <v>452</v>
      </c>
      <c r="P454" s="76">
        <v>1133</v>
      </c>
      <c r="Q454" s="76">
        <v>112</v>
      </c>
      <c r="R454" s="76">
        <v>26</v>
      </c>
      <c r="S454" s="76">
        <v>111</v>
      </c>
      <c r="T454" s="76">
        <v>0.245</v>
      </c>
      <c r="U454" s="76"/>
      <c r="V454" s="76">
        <v>147</v>
      </c>
      <c r="W454" s="76">
        <v>1652</v>
      </c>
      <c r="X454" s="76">
        <v>0.307</v>
      </c>
      <c r="Y454" s="76"/>
      <c r="Z454" s="76"/>
      <c r="AA454" s="76"/>
      <c r="AB454" s="76">
        <v>2089</v>
      </c>
      <c r="AC454" s="76">
        <v>16</v>
      </c>
      <c r="AD454" s="76">
        <v>111</v>
      </c>
      <c r="AE454" s="76">
        <v>1550</v>
      </c>
      <c r="AF454" s="76">
        <v>1.07</v>
      </c>
      <c r="AG454" s="76">
        <v>23773</v>
      </c>
      <c r="AH454" s="76">
        <v>6082</v>
      </c>
      <c r="AI454" s="76"/>
      <c r="AJ454" s="76"/>
      <c r="AK454" s="76"/>
      <c r="AL454" s="76"/>
      <c r="AM454" s="76"/>
      <c r="AN454" s="76"/>
      <c r="AO454"/>
      <c r="AP454"/>
      <c r="AQ454"/>
      <c r="AR454"/>
      <c r="AS454"/>
    </row>
    <row r="455" spans="1:45" x14ac:dyDescent="0.2">
      <c r="A455" s="76" t="s">
        <v>272</v>
      </c>
      <c r="B455" s="76">
        <v>5545</v>
      </c>
      <c r="C455" s="76">
        <v>729</v>
      </c>
      <c r="D455" s="76">
        <v>1354</v>
      </c>
      <c r="E455" s="76">
        <v>253</v>
      </c>
      <c r="F455" s="76">
        <v>33</v>
      </c>
      <c r="G455" s="76">
        <v>49</v>
      </c>
      <c r="H455" s="76">
        <v>43</v>
      </c>
      <c r="I455" s="76">
        <v>0.38100000000000001</v>
      </c>
      <c r="J455" s="76">
        <v>0.7</v>
      </c>
      <c r="K455" s="76">
        <v>432</v>
      </c>
      <c r="L455" s="76">
        <v>19</v>
      </c>
      <c r="M455" s="76">
        <v>146</v>
      </c>
      <c r="N455" s="76">
        <v>686</v>
      </c>
      <c r="O455" s="76">
        <v>586</v>
      </c>
      <c r="P455" s="76">
        <v>1104</v>
      </c>
      <c r="Q455" s="76">
        <v>83</v>
      </c>
      <c r="R455" s="76">
        <v>20</v>
      </c>
      <c r="S455" s="76">
        <v>118</v>
      </c>
      <c r="T455" s="76">
        <v>0.24399999999999999</v>
      </c>
      <c r="U455" s="76"/>
      <c r="V455" s="76">
        <v>146</v>
      </c>
      <c r="W455" s="76">
        <v>1476</v>
      </c>
      <c r="X455" s="76">
        <v>0.32</v>
      </c>
      <c r="Y455" s="76"/>
      <c r="Z455" s="76"/>
      <c r="AA455" s="76"/>
      <c r="AB455" s="76">
        <v>2111</v>
      </c>
      <c r="AC455" s="76">
        <v>34</v>
      </c>
      <c r="AD455" s="76">
        <v>118</v>
      </c>
      <c r="AE455" s="76">
        <v>1791</v>
      </c>
      <c r="AF455" s="76">
        <v>0.82</v>
      </c>
      <c r="AG455" s="76">
        <v>24271</v>
      </c>
      <c r="AH455" s="76">
        <v>6245</v>
      </c>
      <c r="AI455" s="76"/>
      <c r="AJ455" s="76"/>
      <c r="AK455" s="76"/>
      <c r="AL455" s="76"/>
      <c r="AM455" s="76"/>
      <c r="AN455" s="76"/>
      <c r="AO455"/>
      <c r="AP455"/>
      <c r="AQ455"/>
      <c r="AR455"/>
      <c r="AS455"/>
    </row>
    <row r="456" spans="1:45" x14ac:dyDescent="0.2">
      <c r="A456" s="76" t="s">
        <v>282</v>
      </c>
      <c r="B456" s="76">
        <v>5551</v>
      </c>
      <c r="C456" s="76">
        <v>634</v>
      </c>
      <c r="D456" s="76">
        <v>1355</v>
      </c>
      <c r="E456" s="76">
        <v>282</v>
      </c>
      <c r="F456" s="76">
        <v>20</v>
      </c>
      <c r="G456" s="76">
        <v>68</v>
      </c>
      <c r="H456" s="76">
        <v>52</v>
      </c>
      <c r="I456" s="76">
        <v>0.36899999999999999</v>
      </c>
      <c r="J456" s="76">
        <v>0.68400000000000005</v>
      </c>
      <c r="K456" s="76">
        <v>425</v>
      </c>
      <c r="L456" s="76">
        <v>20</v>
      </c>
      <c r="M456" s="76">
        <v>123</v>
      </c>
      <c r="N456" s="76">
        <v>601</v>
      </c>
      <c r="O456" s="76">
        <v>535</v>
      </c>
      <c r="P456" s="76">
        <v>1337</v>
      </c>
      <c r="Q456" s="76">
        <v>63</v>
      </c>
      <c r="R456" s="76">
        <v>25</v>
      </c>
      <c r="S456" s="76">
        <v>138</v>
      </c>
      <c r="T456" s="76">
        <v>0.24399999999999999</v>
      </c>
      <c r="U456" s="76"/>
      <c r="V456" s="76">
        <v>123</v>
      </c>
      <c r="W456" s="76">
        <v>1620</v>
      </c>
      <c r="X456" s="76">
        <v>0.316</v>
      </c>
      <c r="Y456" s="76"/>
      <c r="Z456" s="76"/>
      <c r="AA456" s="76"/>
      <c r="AB456" s="76">
        <v>2046</v>
      </c>
      <c r="AC456" s="76">
        <v>36</v>
      </c>
      <c r="AD456" s="76">
        <v>138</v>
      </c>
      <c r="AE456" s="76">
        <v>1450</v>
      </c>
      <c r="AF456" s="76">
        <v>1.1200000000000001</v>
      </c>
      <c r="AG456" s="76">
        <v>25253</v>
      </c>
      <c r="AH456" s="76">
        <v>6226</v>
      </c>
      <c r="AI456" s="76"/>
      <c r="AJ456" s="76"/>
      <c r="AK456" s="76"/>
      <c r="AL456" s="76"/>
      <c r="AM456" s="76"/>
      <c r="AN456" s="76"/>
      <c r="AO456"/>
      <c r="AP456"/>
      <c r="AQ456"/>
      <c r="AR456"/>
      <c r="AS456"/>
    </row>
    <row r="457" spans="1:45" x14ac:dyDescent="0.2">
      <c r="A457" s="76" t="s">
        <v>274</v>
      </c>
      <c r="B457" s="76">
        <v>5450</v>
      </c>
      <c r="C457" s="76">
        <v>634</v>
      </c>
      <c r="D457" s="76">
        <v>1328</v>
      </c>
      <c r="E457" s="76">
        <v>247</v>
      </c>
      <c r="F457" s="76">
        <v>32</v>
      </c>
      <c r="G457" s="76">
        <v>60</v>
      </c>
      <c r="H457" s="76">
        <v>34</v>
      </c>
      <c r="I457" s="76">
        <v>0.376</v>
      </c>
      <c r="J457" s="76">
        <v>0.67600000000000005</v>
      </c>
      <c r="K457" s="76">
        <v>415</v>
      </c>
      <c r="L457" s="76">
        <v>35</v>
      </c>
      <c r="M457" s="76">
        <v>136</v>
      </c>
      <c r="N457" s="76">
        <v>600</v>
      </c>
      <c r="O457" s="76">
        <v>396</v>
      </c>
      <c r="P457" s="76">
        <v>1232</v>
      </c>
      <c r="Q457" s="76">
        <v>96</v>
      </c>
      <c r="R457" s="76">
        <v>42</v>
      </c>
      <c r="S457" s="76">
        <v>112</v>
      </c>
      <c r="T457" s="76">
        <v>0.24399999999999999</v>
      </c>
      <c r="U457" s="76"/>
      <c r="V457" s="76">
        <v>136</v>
      </c>
      <c r="W457" s="76">
        <v>1626</v>
      </c>
      <c r="X457" s="76">
        <v>0.3</v>
      </c>
      <c r="Y457" s="76"/>
      <c r="Z457" s="76"/>
      <c r="AA457" s="76"/>
      <c r="AB457" s="76">
        <v>2047</v>
      </c>
      <c r="AC457" s="76">
        <v>33</v>
      </c>
      <c r="AD457" s="76">
        <v>112</v>
      </c>
      <c r="AE457" s="76">
        <v>1445</v>
      </c>
      <c r="AF457" s="76">
        <v>1.1299999999999999</v>
      </c>
      <c r="AG457" s="76">
        <v>22345</v>
      </c>
      <c r="AH457" s="76">
        <v>5977</v>
      </c>
      <c r="AI457" s="76"/>
      <c r="AJ457" s="76"/>
      <c r="AK457" s="76"/>
      <c r="AL457" s="76"/>
      <c r="AM457" s="76"/>
      <c r="AN457" s="76"/>
      <c r="AO457"/>
      <c r="AP457"/>
      <c r="AQ457"/>
      <c r="AR457"/>
      <c r="AS457"/>
    </row>
    <row r="458" spans="1:45" x14ac:dyDescent="0.2">
      <c r="A458" s="76" t="s">
        <v>246</v>
      </c>
      <c r="B458" s="76">
        <v>5447</v>
      </c>
      <c r="C458" s="76">
        <v>629</v>
      </c>
      <c r="D458" s="76">
        <v>1317</v>
      </c>
      <c r="E458" s="76">
        <v>240</v>
      </c>
      <c r="F458" s="76">
        <v>19</v>
      </c>
      <c r="G458" s="76">
        <v>55</v>
      </c>
      <c r="H458" s="76">
        <v>36</v>
      </c>
      <c r="I458" s="76">
        <v>0.38300000000000001</v>
      </c>
      <c r="J458" s="76">
        <v>0.69199999999999995</v>
      </c>
      <c r="K458" s="76">
        <v>422</v>
      </c>
      <c r="L458" s="76">
        <v>22</v>
      </c>
      <c r="M458" s="76">
        <v>163</v>
      </c>
      <c r="N458" s="76">
        <v>596</v>
      </c>
      <c r="O458" s="76">
        <v>495</v>
      </c>
      <c r="P458" s="76">
        <v>1442</v>
      </c>
      <c r="Q458" s="76">
        <v>122</v>
      </c>
      <c r="R458" s="76">
        <v>37</v>
      </c>
      <c r="S458" s="76">
        <v>122</v>
      </c>
      <c r="T458" s="76">
        <v>0.24199999999999999</v>
      </c>
      <c r="U458" s="76"/>
      <c r="V458" s="76">
        <v>163</v>
      </c>
      <c r="W458" s="76">
        <v>1470</v>
      </c>
      <c r="X458" s="76">
        <v>0.309</v>
      </c>
      <c r="Y458" s="76"/>
      <c r="Z458" s="76"/>
      <c r="AA458" s="76"/>
      <c r="AB458" s="76">
        <v>2084</v>
      </c>
      <c r="AC458" s="76">
        <v>27</v>
      </c>
      <c r="AD458" s="76">
        <v>122</v>
      </c>
      <c r="AE458" s="76">
        <v>1398</v>
      </c>
      <c r="AF458" s="76">
        <v>1.05</v>
      </c>
      <c r="AG458" s="76">
        <v>23561</v>
      </c>
      <c r="AH458" s="76">
        <v>6055</v>
      </c>
      <c r="AI458" s="76"/>
      <c r="AJ458" s="76"/>
      <c r="AK458" s="76"/>
      <c r="AL458" s="76"/>
      <c r="AM458" s="76"/>
      <c r="AN458" s="76"/>
      <c r="AO458"/>
      <c r="AP458"/>
      <c r="AQ458"/>
      <c r="AR458"/>
      <c r="AS458"/>
    </row>
    <row r="460" spans="1:45" x14ac:dyDescent="0.2">
      <c r="E460" s="62">
        <f>SUM(E444:E458)</f>
        <v>4132</v>
      </c>
      <c r="AO460"/>
      <c r="AP460"/>
      <c r="AQ460"/>
      <c r="AR460"/>
      <c r="AS460"/>
    </row>
  </sheetData>
  <sortState ref="A394:AZ422">
    <sortCondition ref="B394:B422"/>
  </sortState>
  <phoneticPr fontId="0" type="noConversion"/>
  <conditionalFormatting sqref="M3:M29">
    <cfRule type="cellIs" dxfId="836" priority="4" operator="lessThan">
      <formula>0</formula>
    </cfRule>
    <cfRule type="cellIs" dxfId="835" priority="5" operator="lessThan">
      <formula>0</formula>
    </cfRule>
  </conditionalFormatting>
  <conditionalFormatting sqref="M3:M29">
    <cfRule type="cellIs" priority="6" stopIfTrue="1" operator="lessThan">
      <formula>10.237</formula>
    </cfRule>
  </conditionalFormatting>
  <conditionalFormatting sqref="M1">
    <cfRule type="cellIs" dxfId="834" priority="1" operator="lessThan">
      <formula>0</formula>
    </cfRule>
    <cfRule type="cellIs" dxfId="833" priority="2" operator="lessThan">
      <formula>0</formula>
    </cfRule>
  </conditionalFormatting>
  <conditionalFormatting sqref="M1">
    <cfRule type="cellIs" priority="3" stopIfTrue="1" operator="lessThan">
      <formula>10.237</formula>
    </cfRule>
  </conditionalFormatting>
  <pageMargins left="0.75" right="0.75" top="1" bottom="1" header="0.5" footer="0.5"/>
  <pageSetup orientation="portrait" horizontalDpi="4294967293"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422"/>
  <sheetViews>
    <sheetView zoomScaleNormal="100" workbookViewId="0">
      <selection activeCell="AL422" sqref="A1:AL422"/>
    </sheetView>
  </sheetViews>
  <sheetFormatPr defaultRowHeight="12.75" x14ac:dyDescent="0.2"/>
  <cols>
    <col min="1" max="1" width="4.7109375" style="61" bestFit="1" customWidth="1"/>
    <col min="2" max="2" width="17.140625" style="19" bestFit="1" customWidth="1"/>
    <col min="3" max="3" width="7.42578125" bestFit="1" customWidth="1"/>
    <col min="4" max="4" width="3.5703125" bestFit="1" customWidth="1"/>
    <col min="5" max="5" width="3.140625" bestFit="1" customWidth="1"/>
    <col min="6" max="6" width="7.7109375" style="3" bestFit="1" customWidth="1"/>
    <col min="7" max="7" width="3.5703125" bestFit="1" customWidth="1"/>
    <col min="8" max="8" width="4.85546875" style="3" bestFit="1" customWidth="1"/>
    <col min="9" max="9" width="4.7109375" style="62" bestFit="1" customWidth="1"/>
    <col min="10" max="10" width="6.42578125" style="62" bestFit="1" customWidth="1"/>
    <col min="11" max="11" width="6.42578125" style="3" bestFit="1" customWidth="1"/>
    <col min="12" max="12" width="4.7109375" style="3" bestFit="1" customWidth="1"/>
    <col min="13" max="13" width="4.28515625" style="3" bestFit="1" customWidth="1"/>
    <col min="14" max="14" width="4.5703125" bestFit="1" customWidth="1"/>
    <col min="15" max="16" width="4.7109375" bestFit="1" customWidth="1"/>
    <col min="17" max="17" width="4.85546875" bestFit="1" customWidth="1"/>
    <col min="18" max="18" width="6.42578125" style="2" bestFit="1" customWidth="1"/>
    <col min="19" max="19" width="7.140625" style="3" bestFit="1" customWidth="1"/>
    <col min="20" max="20" width="4.7109375" style="2" bestFit="1" customWidth="1"/>
    <col min="21" max="21" width="9.42578125" style="3" bestFit="1" customWidth="1"/>
    <col min="22" max="22" width="7.42578125" bestFit="1" customWidth="1"/>
    <col min="23" max="23" width="4.85546875" style="62" bestFit="1" customWidth="1"/>
    <col min="24" max="24" width="6.42578125" style="62" bestFit="1" customWidth="1"/>
    <col min="25" max="25" width="4.7109375" bestFit="1" customWidth="1"/>
    <col min="26" max="26" width="5.28515625" bestFit="1" customWidth="1"/>
    <col min="27" max="27" width="4.7109375" bestFit="1" customWidth="1"/>
    <col min="28" max="28" width="6" bestFit="1" customWidth="1"/>
    <col min="29" max="29" width="7" bestFit="1" customWidth="1"/>
    <col min="30" max="30" width="5.140625" bestFit="1" customWidth="1"/>
    <col min="31" max="31" width="4.85546875" bestFit="1" customWidth="1"/>
    <col min="32" max="32" width="5.140625" bestFit="1" customWidth="1"/>
    <col min="33" max="36" width="4.7109375" bestFit="1" customWidth="1"/>
    <col min="37" max="38" width="5.85546875" style="2" bestFit="1" customWidth="1"/>
    <col min="39" max="39" width="4.7109375" style="2" bestFit="1" customWidth="1"/>
    <col min="40" max="40" width="10.5703125" style="2" bestFit="1" customWidth="1"/>
    <col min="41" max="41" width="7.42578125" style="2" bestFit="1" customWidth="1"/>
    <col min="42" max="42" width="8" style="2" bestFit="1" customWidth="1"/>
    <col min="43" max="43" width="9.7109375" style="3" bestFit="1" customWidth="1"/>
    <col min="44" max="46" width="6.42578125" style="3" bestFit="1" customWidth="1"/>
    <col min="47" max="47" width="6" style="3" bestFit="1" customWidth="1"/>
    <col min="48" max="48" width="7.42578125" bestFit="1" customWidth="1"/>
    <col min="49" max="49" width="6.42578125" bestFit="1" customWidth="1"/>
    <col min="50" max="50" width="7.5703125" bestFit="1" customWidth="1"/>
    <col min="51" max="51" width="6.5703125" bestFit="1" customWidth="1"/>
  </cols>
  <sheetData>
    <row r="1" spans="1:51" x14ac:dyDescent="0.2">
      <c r="A1" s="76"/>
      <c r="B1" s="95"/>
      <c r="C1" s="76"/>
      <c r="D1" s="76"/>
      <c r="E1" s="76"/>
      <c r="F1" s="97"/>
      <c r="G1" s="76"/>
      <c r="H1" s="97"/>
      <c r="I1" s="76"/>
      <c r="J1" s="76"/>
      <c r="K1" s="97"/>
      <c r="L1" s="97"/>
      <c r="M1" s="97"/>
      <c r="N1" s="76"/>
      <c r="O1" s="76"/>
      <c r="P1" s="76"/>
      <c r="Q1" s="76"/>
      <c r="R1" s="100"/>
      <c r="S1" s="97"/>
      <c r="T1" s="100"/>
      <c r="U1" s="97"/>
      <c r="V1" s="76"/>
      <c r="W1" s="76"/>
      <c r="X1" s="76"/>
      <c r="Y1" s="76"/>
      <c r="Z1" s="76"/>
      <c r="AA1" s="76"/>
      <c r="AB1" s="76"/>
      <c r="AC1" s="76"/>
      <c r="AD1" s="76"/>
      <c r="AE1" s="76"/>
      <c r="AF1" s="76"/>
      <c r="AG1" s="76"/>
      <c r="AH1" s="76"/>
      <c r="AI1" s="76"/>
      <c r="AJ1" s="76"/>
      <c r="AK1" s="100"/>
      <c r="AL1" s="100"/>
      <c r="AM1" s="100"/>
      <c r="AN1" s="100"/>
      <c r="AO1" s="100"/>
      <c r="AP1" s="100"/>
      <c r="AQ1" s="97"/>
      <c r="AR1" s="97"/>
      <c r="AS1" s="97"/>
      <c r="AT1" s="97"/>
    </row>
    <row r="2" spans="1:51" x14ac:dyDescent="0.2">
      <c r="A2" s="225" t="s">
        <v>105</v>
      </c>
      <c r="B2" s="225" t="s">
        <v>106</v>
      </c>
      <c r="C2" s="225" t="s">
        <v>157</v>
      </c>
      <c r="D2" s="225" t="s">
        <v>85</v>
      </c>
      <c r="E2" s="225" t="s">
        <v>86</v>
      </c>
      <c r="F2" s="225" t="s">
        <v>107</v>
      </c>
      <c r="G2" s="225" t="s">
        <v>108</v>
      </c>
      <c r="H2" s="225" t="s">
        <v>88</v>
      </c>
      <c r="I2" s="225" t="s">
        <v>90</v>
      </c>
      <c r="J2" s="225" t="s">
        <v>158</v>
      </c>
      <c r="K2" s="225" t="s">
        <v>91</v>
      </c>
      <c r="L2" s="225" t="s">
        <v>92</v>
      </c>
      <c r="M2" s="225" t="s">
        <v>93</v>
      </c>
      <c r="N2" s="225" t="s">
        <v>94</v>
      </c>
      <c r="O2" s="225" t="s">
        <v>95</v>
      </c>
      <c r="P2" s="225" t="s">
        <v>96</v>
      </c>
      <c r="Q2" s="225" t="s">
        <v>97</v>
      </c>
      <c r="R2" s="225" t="s">
        <v>1071</v>
      </c>
      <c r="S2" s="225" t="s">
        <v>1072</v>
      </c>
      <c r="T2" s="225" t="s">
        <v>105</v>
      </c>
      <c r="U2" s="225" t="s">
        <v>106</v>
      </c>
      <c r="V2" s="225" t="s">
        <v>157</v>
      </c>
      <c r="W2" s="225" t="s">
        <v>89</v>
      </c>
      <c r="X2" s="225" t="s">
        <v>1073</v>
      </c>
      <c r="Y2" s="225" t="s">
        <v>1074</v>
      </c>
      <c r="Z2" s="225" t="s">
        <v>98</v>
      </c>
      <c r="AA2" s="225" t="s">
        <v>1075</v>
      </c>
      <c r="AB2" s="225" t="s">
        <v>1076</v>
      </c>
      <c r="AC2" s="225" t="s">
        <v>1077</v>
      </c>
      <c r="AD2" s="225" t="s">
        <v>1066</v>
      </c>
      <c r="AE2" s="225" t="s">
        <v>1067</v>
      </c>
      <c r="AF2" s="225" t="s">
        <v>1078</v>
      </c>
      <c r="AG2" s="225" t="s">
        <v>1079</v>
      </c>
      <c r="AH2" s="225" t="s">
        <v>1057</v>
      </c>
      <c r="AI2" s="225" t="s">
        <v>1058</v>
      </c>
      <c r="AJ2" s="225" t="s">
        <v>1080</v>
      </c>
      <c r="AK2" s="225" t="s">
        <v>109</v>
      </c>
      <c r="AL2" s="225" t="s">
        <v>1069</v>
      </c>
      <c r="AM2" s="102"/>
      <c r="AN2" s="102"/>
      <c r="AO2" s="102"/>
      <c r="AP2" s="102"/>
      <c r="AQ2" s="102"/>
      <c r="AR2" s="102"/>
      <c r="AS2" s="102"/>
      <c r="AT2" s="102"/>
      <c r="AU2" s="102"/>
      <c r="AV2" s="102"/>
      <c r="AW2" s="102"/>
      <c r="AX2" s="102"/>
      <c r="AY2" s="102"/>
    </row>
    <row r="3" spans="1:51" x14ac:dyDescent="0.2">
      <c r="A3" s="76">
        <v>1</v>
      </c>
      <c r="B3" s="77" t="s">
        <v>1297</v>
      </c>
      <c r="C3" s="76" t="s">
        <v>145</v>
      </c>
      <c r="D3" s="76">
        <v>0</v>
      </c>
      <c r="E3" s="76">
        <v>0</v>
      </c>
      <c r="F3" s="76">
        <v>0</v>
      </c>
      <c r="G3" s="76">
        <v>3</v>
      </c>
      <c r="H3" s="76">
        <v>0</v>
      </c>
      <c r="I3" s="76">
        <v>0</v>
      </c>
      <c r="J3" s="76">
        <v>0</v>
      </c>
      <c r="K3" s="76">
        <v>2.1</v>
      </c>
      <c r="L3" s="76">
        <v>1</v>
      </c>
      <c r="M3" s="76">
        <v>0</v>
      </c>
      <c r="N3" s="76">
        <v>0</v>
      </c>
      <c r="O3" s="76">
        <v>0</v>
      </c>
      <c r="P3" s="76">
        <v>0</v>
      </c>
      <c r="Q3" s="76">
        <v>3</v>
      </c>
      <c r="R3" s="76">
        <v>0.125</v>
      </c>
      <c r="S3" s="76">
        <v>0.43</v>
      </c>
      <c r="T3" s="76">
        <v>1</v>
      </c>
      <c r="U3" s="77" t="s">
        <v>1297</v>
      </c>
      <c r="V3" s="76" t="s">
        <v>145</v>
      </c>
      <c r="W3" s="76">
        <v>0</v>
      </c>
      <c r="X3" s="76">
        <v>0</v>
      </c>
      <c r="Y3" s="76">
        <v>0</v>
      </c>
      <c r="Z3" s="76">
        <v>0</v>
      </c>
      <c r="AA3" s="76">
        <v>2</v>
      </c>
      <c r="AB3" s="76">
        <v>0</v>
      </c>
      <c r="AC3" s="76">
        <v>0</v>
      </c>
      <c r="AD3" s="76">
        <v>0</v>
      </c>
      <c r="AE3" s="76">
        <v>4</v>
      </c>
      <c r="AF3" s="76">
        <v>0</v>
      </c>
      <c r="AG3" s="76">
        <v>0</v>
      </c>
      <c r="AH3" s="76">
        <v>0</v>
      </c>
      <c r="AI3" s="76">
        <v>0</v>
      </c>
      <c r="AJ3" s="76">
        <v>0</v>
      </c>
      <c r="AK3" s="76">
        <v>8</v>
      </c>
      <c r="AL3" s="76">
        <v>32</v>
      </c>
      <c r="AM3" s="202"/>
      <c r="AN3" s="77"/>
      <c r="AO3" s="202"/>
      <c r="AP3" s="202"/>
      <c r="AQ3" s="202"/>
      <c r="AR3" s="202"/>
      <c r="AS3" s="202"/>
      <c r="AT3" s="202"/>
      <c r="AU3" s="202"/>
      <c r="AV3" s="202"/>
      <c r="AW3" s="202"/>
      <c r="AX3" s="202"/>
      <c r="AY3" s="202"/>
    </row>
    <row r="4" spans="1:51" x14ac:dyDescent="0.2">
      <c r="A4" s="76">
        <v>2</v>
      </c>
      <c r="B4" s="77" t="s">
        <v>1298</v>
      </c>
      <c r="C4" s="76" t="s">
        <v>145</v>
      </c>
      <c r="D4" s="76">
        <v>0</v>
      </c>
      <c r="E4" s="76">
        <v>0</v>
      </c>
      <c r="F4" s="76">
        <v>0.49</v>
      </c>
      <c r="G4" s="76">
        <v>22</v>
      </c>
      <c r="H4" s="76">
        <v>0</v>
      </c>
      <c r="I4" s="76">
        <v>0</v>
      </c>
      <c r="J4" s="76">
        <v>0</v>
      </c>
      <c r="K4" s="76">
        <v>18.100000000000001</v>
      </c>
      <c r="L4" s="76">
        <v>12</v>
      </c>
      <c r="M4" s="76">
        <v>1</v>
      </c>
      <c r="N4" s="76">
        <v>1</v>
      </c>
      <c r="O4" s="76">
        <v>1</v>
      </c>
      <c r="P4" s="76">
        <v>6</v>
      </c>
      <c r="Q4" s="76">
        <v>12</v>
      </c>
      <c r="R4" s="76">
        <v>0.19400000000000001</v>
      </c>
      <c r="S4" s="76">
        <v>0.98</v>
      </c>
      <c r="T4" s="76">
        <v>2</v>
      </c>
      <c r="U4" s="77" t="s">
        <v>1298</v>
      </c>
      <c r="V4" s="76" t="s">
        <v>145</v>
      </c>
      <c r="W4" s="76">
        <v>0</v>
      </c>
      <c r="X4" s="76">
        <v>0</v>
      </c>
      <c r="Y4" s="76">
        <v>0</v>
      </c>
      <c r="Z4" s="76">
        <v>1</v>
      </c>
      <c r="AA4" s="76">
        <v>3</v>
      </c>
      <c r="AB4" s="76">
        <v>4</v>
      </c>
      <c r="AC4" s="76">
        <v>2</v>
      </c>
      <c r="AD4" s="76">
        <v>28</v>
      </c>
      <c r="AE4" s="76">
        <v>13</v>
      </c>
      <c r="AF4" s="76">
        <v>0</v>
      </c>
      <c r="AG4" s="76">
        <v>0</v>
      </c>
      <c r="AH4" s="76">
        <v>0</v>
      </c>
      <c r="AI4" s="76">
        <v>1</v>
      </c>
      <c r="AJ4" s="76">
        <v>0</v>
      </c>
      <c r="AK4" s="76">
        <v>71</v>
      </c>
      <c r="AL4" s="76">
        <v>271</v>
      </c>
      <c r="AM4" s="202"/>
      <c r="AN4" s="77"/>
      <c r="AO4" s="202"/>
      <c r="AP4" s="202"/>
      <c r="AQ4" s="202"/>
      <c r="AR4" s="202"/>
      <c r="AS4" s="202"/>
      <c r="AT4" s="202"/>
      <c r="AU4" s="202"/>
      <c r="AV4" s="202"/>
      <c r="AW4" s="202"/>
      <c r="AX4" s="202"/>
      <c r="AY4" s="202"/>
    </row>
    <row r="5" spans="1:51" x14ac:dyDescent="0.2">
      <c r="A5" s="76">
        <v>3</v>
      </c>
      <c r="B5" s="77" t="s">
        <v>493</v>
      </c>
      <c r="C5" s="76" t="s">
        <v>145</v>
      </c>
      <c r="D5" s="76">
        <v>2</v>
      </c>
      <c r="E5" s="76">
        <v>1</v>
      </c>
      <c r="F5" s="76">
        <v>0.54</v>
      </c>
      <c r="G5" s="76">
        <v>69</v>
      </c>
      <c r="H5" s="76">
        <v>0</v>
      </c>
      <c r="I5" s="76">
        <v>47</v>
      </c>
      <c r="J5" s="76">
        <v>47</v>
      </c>
      <c r="K5" s="76">
        <v>67</v>
      </c>
      <c r="L5" s="76">
        <v>38</v>
      </c>
      <c r="M5" s="76">
        <v>7</v>
      </c>
      <c r="N5" s="76">
        <v>4</v>
      </c>
      <c r="O5" s="76">
        <v>1</v>
      </c>
      <c r="P5" s="76">
        <v>18</v>
      </c>
      <c r="Q5" s="76">
        <v>74</v>
      </c>
      <c r="R5" s="76">
        <v>0.16200000000000001</v>
      </c>
      <c r="S5" s="76">
        <v>0.84</v>
      </c>
      <c r="T5" s="76">
        <v>3</v>
      </c>
      <c r="U5" s="77" t="s">
        <v>493</v>
      </c>
      <c r="V5" s="76" t="s">
        <v>145</v>
      </c>
      <c r="W5" s="76">
        <v>0</v>
      </c>
      <c r="X5" s="76">
        <v>0</v>
      </c>
      <c r="Y5" s="76">
        <v>0</v>
      </c>
      <c r="Z5" s="76">
        <v>3</v>
      </c>
      <c r="AA5" s="76">
        <v>63</v>
      </c>
      <c r="AB5" s="76">
        <v>0</v>
      </c>
      <c r="AC5" s="76">
        <v>4</v>
      </c>
      <c r="AD5" s="76">
        <v>110</v>
      </c>
      <c r="AE5" s="76">
        <v>14</v>
      </c>
      <c r="AF5" s="76">
        <v>10</v>
      </c>
      <c r="AG5" s="76">
        <v>0</v>
      </c>
      <c r="AH5" s="76">
        <v>1</v>
      </c>
      <c r="AI5" s="76">
        <v>0</v>
      </c>
      <c r="AJ5" s="76">
        <v>0</v>
      </c>
      <c r="AK5" s="76">
        <v>254</v>
      </c>
      <c r="AL5" s="76">
        <v>1027</v>
      </c>
      <c r="AM5" s="202"/>
      <c r="AN5" s="77"/>
      <c r="AO5" s="202"/>
      <c r="AP5" s="202"/>
      <c r="AQ5" s="202"/>
      <c r="AR5" s="202"/>
      <c r="AS5" s="202"/>
      <c r="AT5" s="202"/>
      <c r="AU5" s="202"/>
      <c r="AV5" s="202"/>
      <c r="AW5" s="202"/>
      <c r="AX5" s="202"/>
      <c r="AY5" s="202"/>
    </row>
    <row r="6" spans="1:51" x14ac:dyDescent="0.2">
      <c r="A6" s="76">
        <v>4</v>
      </c>
      <c r="B6" s="77" t="s">
        <v>444</v>
      </c>
      <c r="C6" s="76" t="s">
        <v>145</v>
      </c>
      <c r="D6" s="76">
        <v>10</v>
      </c>
      <c r="E6" s="76">
        <v>4</v>
      </c>
      <c r="F6" s="76">
        <v>2.0499999999999998</v>
      </c>
      <c r="G6" s="76">
        <v>71</v>
      </c>
      <c r="H6" s="76">
        <v>0</v>
      </c>
      <c r="I6" s="76">
        <v>2</v>
      </c>
      <c r="J6" s="76">
        <v>7</v>
      </c>
      <c r="K6" s="76">
        <v>79</v>
      </c>
      <c r="L6" s="76">
        <v>57</v>
      </c>
      <c r="M6" s="76">
        <v>23</v>
      </c>
      <c r="N6" s="76">
        <v>18</v>
      </c>
      <c r="O6" s="76">
        <v>7</v>
      </c>
      <c r="P6" s="76">
        <v>25</v>
      </c>
      <c r="Q6" s="76">
        <v>92</v>
      </c>
      <c r="R6" s="76">
        <v>0.20100000000000001</v>
      </c>
      <c r="S6" s="76">
        <v>1.04</v>
      </c>
      <c r="T6" s="76">
        <v>4</v>
      </c>
      <c r="U6" s="77" t="s">
        <v>444</v>
      </c>
      <c r="V6" s="76" t="s">
        <v>145</v>
      </c>
      <c r="W6" s="76">
        <v>0</v>
      </c>
      <c r="X6" s="76">
        <v>0</v>
      </c>
      <c r="Y6" s="76">
        <v>0</v>
      </c>
      <c r="Z6" s="76">
        <v>1</v>
      </c>
      <c r="AA6" s="76">
        <v>16</v>
      </c>
      <c r="AB6" s="76">
        <v>24</v>
      </c>
      <c r="AC6" s="76">
        <v>7</v>
      </c>
      <c r="AD6" s="76">
        <v>68</v>
      </c>
      <c r="AE6" s="76">
        <v>69</v>
      </c>
      <c r="AF6" s="76">
        <v>4</v>
      </c>
      <c r="AG6" s="76">
        <v>1</v>
      </c>
      <c r="AH6" s="76">
        <v>3</v>
      </c>
      <c r="AI6" s="76">
        <v>1</v>
      </c>
      <c r="AJ6" s="76">
        <v>0</v>
      </c>
      <c r="AK6" s="76">
        <v>311</v>
      </c>
      <c r="AL6" s="76">
        <v>1295</v>
      </c>
      <c r="AM6" s="202"/>
      <c r="AN6" s="77"/>
      <c r="AO6" s="202"/>
      <c r="AP6" s="202"/>
      <c r="AQ6" s="202"/>
      <c r="AR6" s="202"/>
      <c r="AS6" s="202"/>
      <c r="AT6" s="202"/>
      <c r="AU6" s="202"/>
      <c r="AV6" s="202"/>
      <c r="AW6" s="202"/>
      <c r="AX6" s="202"/>
      <c r="AY6" s="202"/>
    </row>
    <row r="7" spans="1:51" x14ac:dyDescent="0.2">
      <c r="A7" s="76">
        <v>5</v>
      </c>
      <c r="B7" s="77" t="s">
        <v>486</v>
      </c>
      <c r="C7" s="76" t="s">
        <v>145</v>
      </c>
      <c r="D7" s="76">
        <v>0</v>
      </c>
      <c r="E7" s="76">
        <v>0</v>
      </c>
      <c r="F7" s="76">
        <v>2.19</v>
      </c>
      <c r="G7" s="76">
        <v>12</v>
      </c>
      <c r="H7" s="76">
        <v>0</v>
      </c>
      <c r="I7" s="76">
        <v>0</v>
      </c>
      <c r="J7" s="76">
        <v>0</v>
      </c>
      <c r="K7" s="76">
        <v>12.1</v>
      </c>
      <c r="L7" s="76">
        <v>14</v>
      </c>
      <c r="M7" s="76">
        <v>3</v>
      </c>
      <c r="N7" s="76">
        <v>3</v>
      </c>
      <c r="O7" s="76">
        <v>0</v>
      </c>
      <c r="P7" s="76">
        <v>3</v>
      </c>
      <c r="Q7" s="76">
        <v>6</v>
      </c>
      <c r="R7" s="76">
        <v>0.30399999999999999</v>
      </c>
      <c r="S7" s="76">
        <v>1.38</v>
      </c>
      <c r="T7" s="76">
        <v>5</v>
      </c>
      <c r="U7" s="77" t="s">
        <v>486</v>
      </c>
      <c r="V7" s="76" t="s">
        <v>145</v>
      </c>
      <c r="W7" s="76">
        <v>0</v>
      </c>
      <c r="X7" s="76">
        <v>0</v>
      </c>
      <c r="Y7" s="76">
        <v>0</v>
      </c>
      <c r="Z7" s="76">
        <v>0</v>
      </c>
      <c r="AA7" s="76">
        <v>3</v>
      </c>
      <c r="AB7" s="76">
        <v>1</v>
      </c>
      <c r="AC7" s="76">
        <v>5</v>
      </c>
      <c r="AD7" s="76">
        <v>15</v>
      </c>
      <c r="AE7" s="76">
        <v>11</v>
      </c>
      <c r="AF7" s="76">
        <v>0</v>
      </c>
      <c r="AG7" s="76">
        <v>0</v>
      </c>
      <c r="AH7" s="76">
        <v>1</v>
      </c>
      <c r="AI7" s="76">
        <v>0</v>
      </c>
      <c r="AJ7" s="76">
        <v>0</v>
      </c>
      <c r="AK7" s="76">
        <v>49</v>
      </c>
      <c r="AL7" s="76">
        <v>178</v>
      </c>
      <c r="AM7" s="202"/>
      <c r="AN7" s="77"/>
      <c r="AO7" s="202"/>
      <c r="AP7" s="202"/>
      <c r="AQ7" s="202"/>
      <c r="AR7" s="202"/>
      <c r="AS7" s="202"/>
      <c r="AT7" s="202"/>
      <c r="AU7" s="202"/>
      <c r="AV7" s="202"/>
      <c r="AW7" s="202"/>
      <c r="AX7" s="202"/>
      <c r="AY7" s="202"/>
    </row>
    <row r="8" spans="1:51" ht="25.5" x14ac:dyDescent="0.2">
      <c r="A8" s="76">
        <v>6</v>
      </c>
      <c r="B8" s="77" t="s">
        <v>1168</v>
      </c>
      <c r="C8" s="76" t="s">
        <v>145</v>
      </c>
      <c r="D8" s="76">
        <v>8</v>
      </c>
      <c r="E8" s="76">
        <v>2</v>
      </c>
      <c r="F8" s="76">
        <v>3.13</v>
      </c>
      <c r="G8" s="76">
        <v>66</v>
      </c>
      <c r="H8" s="76">
        <v>0</v>
      </c>
      <c r="I8" s="76">
        <v>0</v>
      </c>
      <c r="J8" s="76">
        <v>1</v>
      </c>
      <c r="K8" s="76">
        <v>74.2</v>
      </c>
      <c r="L8" s="76">
        <v>59</v>
      </c>
      <c r="M8" s="76">
        <v>28</v>
      </c>
      <c r="N8" s="76">
        <v>26</v>
      </c>
      <c r="O8" s="76">
        <v>6</v>
      </c>
      <c r="P8" s="76">
        <v>36</v>
      </c>
      <c r="Q8" s="76">
        <v>96</v>
      </c>
      <c r="R8" s="76">
        <v>0.22</v>
      </c>
      <c r="S8" s="76">
        <v>1.27</v>
      </c>
      <c r="T8" s="76">
        <v>6</v>
      </c>
      <c r="U8" s="77" t="s">
        <v>1168</v>
      </c>
      <c r="V8" s="76" t="s">
        <v>145</v>
      </c>
      <c r="W8" s="76">
        <v>0</v>
      </c>
      <c r="X8" s="76">
        <v>0</v>
      </c>
      <c r="Y8" s="76">
        <v>6</v>
      </c>
      <c r="Z8" s="76">
        <v>2</v>
      </c>
      <c r="AA8" s="76">
        <v>8</v>
      </c>
      <c r="AB8" s="76">
        <v>13</v>
      </c>
      <c r="AC8" s="76">
        <v>6</v>
      </c>
      <c r="AD8" s="76">
        <v>51</v>
      </c>
      <c r="AE8" s="76">
        <v>65</v>
      </c>
      <c r="AF8" s="76">
        <v>3</v>
      </c>
      <c r="AG8" s="76">
        <v>0</v>
      </c>
      <c r="AH8" s="76">
        <v>7</v>
      </c>
      <c r="AI8" s="76">
        <v>4</v>
      </c>
      <c r="AJ8" s="76">
        <v>0</v>
      </c>
      <c r="AK8" s="76">
        <v>313</v>
      </c>
      <c r="AL8" s="76">
        <v>1306</v>
      </c>
      <c r="AM8" s="202"/>
      <c r="AN8" s="77"/>
      <c r="AO8" s="202"/>
      <c r="AP8" s="202"/>
      <c r="AQ8" s="202"/>
      <c r="AR8" s="202"/>
      <c r="AS8" s="202"/>
      <c r="AT8" s="202"/>
      <c r="AU8" s="202"/>
      <c r="AV8" s="202"/>
      <c r="AW8" s="202"/>
      <c r="AX8" s="202"/>
      <c r="AY8" s="202"/>
    </row>
    <row r="9" spans="1:51" ht="25.5" x14ac:dyDescent="0.2">
      <c r="A9" s="76">
        <v>7</v>
      </c>
      <c r="B9" s="77" t="s">
        <v>581</v>
      </c>
      <c r="C9" s="76" t="s">
        <v>145</v>
      </c>
      <c r="D9" s="76">
        <v>2</v>
      </c>
      <c r="E9" s="76">
        <v>2</v>
      </c>
      <c r="F9" s="76">
        <v>3.53</v>
      </c>
      <c r="G9" s="76">
        <v>35</v>
      </c>
      <c r="H9" s="76">
        <v>4</v>
      </c>
      <c r="I9" s="76">
        <v>1</v>
      </c>
      <c r="J9" s="76">
        <v>1</v>
      </c>
      <c r="K9" s="76">
        <v>86.2</v>
      </c>
      <c r="L9" s="76">
        <v>84</v>
      </c>
      <c r="M9" s="76">
        <v>37</v>
      </c>
      <c r="N9" s="76">
        <v>34</v>
      </c>
      <c r="O9" s="76">
        <v>11</v>
      </c>
      <c r="P9" s="76">
        <v>35</v>
      </c>
      <c r="Q9" s="76">
        <v>56</v>
      </c>
      <c r="R9" s="76">
        <v>0.26100000000000001</v>
      </c>
      <c r="S9" s="76">
        <v>1.37</v>
      </c>
      <c r="T9" s="76">
        <v>7</v>
      </c>
      <c r="U9" s="77" t="s">
        <v>581</v>
      </c>
      <c r="V9" s="76" t="s">
        <v>145</v>
      </c>
      <c r="W9" s="76">
        <v>0</v>
      </c>
      <c r="X9" s="76">
        <v>0</v>
      </c>
      <c r="Y9" s="76">
        <v>3</v>
      </c>
      <c r="Z9" s="76">
        <v>0</v>
      </c>
      <c r="AA9" s="76">
        <v>13</v>
      </c>
      <c r="AB9" s="76">
        <v>0</v>
      </c>
      <c r="AC9" s="76">
        <v>12</v>
      </c>
      <c r="AD9" s="76">
        <v>101</v>
      </c>
      <c r="AE9" s="76">
        <v>84</v>
      </c>
      <c r="AF9" s="76">
        <v>3</v>
      </c>
      <c r="AG9" s="76">
        <v>0</v>
      </c>
      <c r="AH9" s="76">
        <v>2</v>
      </c>
      <c r="AI9" s="76">
        <v>1</v>
      </c>
      <c r="AJ9" s="76">
        <v>0</v>
      </c>
      <c r="AK9" s="76">
        <v>365</v>
      </c>
      <c r="AL9" s="76">
        <v>1300</v>
      </c>
      <c r="AM9" s="202"/>
      <c r="AN9" s="77"/>
      <c r="AO9" s="202"/>
      <c r="AP9" s="202"/>
      <c r="AQ9" s="202"/>
      <c r="AR9" s="202"/>
      <c r="AS9" s="202"/>
      <c r="AT9" s="202"/>
      <c r="AU9" s="202"/>
      <c r="AV9" s="202"/>
      <c r="AW9" s="202"/>
      <c r="AX9" s="202"/>
      <c r="AY9" s="202"/>
    </row>
    <row r="10" spans="1:51" ht="25.5" x14ac:dyDescent="0.2">
      <c r="A10" s="76">
        <v>8</v>
      </c>
      <c r="B10" s="77" t="s">
        <v>495</v>
      </c>
      <c r="C10" s="76" t="s">
        <v>145</v>
      </c>
      <c r="D10" s="76">
        <v>9</v>
      </c>
      <c r="E10" s="76">
        <v>12</v>
      </c>
      <c r="F10" s="76">
        <v>3.61</v>
      </c>
      <c r="G10" s="76">
        <v>30</v>
      </c>
      <c r="H10" s="76">
        <v>30</v>
      </c>
      <c r="I10" s="76">
        <v>0</v>
      </c>
      <c r="J10" s="76">
        <v>0</v>
      </c>
      <c r="K10" s="76">
        <v>179.2</v>
      </c>
      <c r="L10" s="76">
        <v>183</v>
      </c>
      <c r="M10" s="76">
        <v>76</v>
      </c>
      <c r="N10" s="76">
        <v>72</v>
      </c>
      <c r="O10" s="76">
        <v>28</v>
      </c>
      <c r="P10" s="76">
        <v>47</v>
      </c>
      <c r="Q10" s="76">
        <v>174</v>
      </c>
      <c r="R10" s="76">
        <v>0.26200000000000001</v>
      </c>
      <c r="S10" s="76">
        <v>1.28</v>
      </c>
      <c r="T10" s="76">
        <v>8</v>
      </c>
      <c r="U10" s="77" t="s">
        <v>495</v>
      </c>
      <c r="V10" s="76" t="s">
        <v>145</v>
      </c>
      <c r="W10" s="76">
        <v>0</v>
      </c>
      <c r="X10" s="76">
        <v>0</v>
      </c>
      <c r="Y10" s="76">
        <v>5</v>
      </c>
      <c r="Z10" s="76">
        <v>1</v>
      </c>
      <c r="AA10" s="76">
        <v>0</v>
      </c>
      <c r="AB10" s="76">
        <v>0</v>
      </c>
      <c r="AC10" s="76">
        <v>19</v>
      </c>
      <c r="AD10" s="76">
        <v>177</v>
      </c>
      <c r="AE10" s="76">
        <v>171</v>
      </c>
      <c r="AF10" s="76">
        <v>8</v>
      </c>
      <c r="AG10" s="76">
        <v>0</v>
      </c>
      <c r="AH10" s="76">
        <v>3</v>
      </c>
      <c r="AI10" s="76">
        <v>2</v>
      </c>
      <c r="AJ10" s="76">
        <v>0</v>
      </c>
      <c r="AK10" s="76">
        <v>757</v>
      </c>
      <c r="AL10" s="76">
        <v>3113</v>
      </c>
      <c r="AM10" s="202"/>
      <c r="AN10" s="77"/>
      <c r="AO10" s="202"/>
      <c r="AP10" s="202"/>
      <c r="AQ10" s="202"/>
      <c r="AR10" s="202"/>
      <c r="AS10" s="202"/>
      <c r="AT10" s="202"/>
      <c r="AU10" s="202"/>
      <c r="AV10" s="202"/>
      <c r="AW10" s="202"/>
      <c r="AX10" s="202"/>
      <c r="AY10" s="202"/>
    </row>
    <row r="11" spans="1:51" x14ac:dyDescent="0.2">
      <c r="A11" s="76">
        <v>9</v>
      </c>
      <c r="B11" s="77" t="s">
        <v>325</v>
      </c>
      <c r="C11" s="76" t="s">
        <v>145</v>
      </c>
      <c r="D11" s="76">
        <v>1</v>
      </c>
      <c r="E11" s="76">
        <v>0</v>
      </c>
      <c r="F11" s="76">
        <v>3.72</v>
      </c>
      <c r="G11" s="76">
        <v>9</v>
      </c>
      <c r="H11" s="76">
        <v>0</v>
      </c>
      <c r="I11" s="76">
        <v>0</v>
      </c>
      <c r="J11" s="76">
        <v>0</v>
      </c>
      <c r="K11" s="76">
        <v>9.1999999999999993</v>
      </c>
      <c r="L11" s="76">
        <v>8</v>
      </c>
      <c r="M11" s="76">
        <v>4</v>
      </c>
      <c r="N11" s="76">
        <v>4</v>
      </c>
      <c r="O11" s="76">
        <v>2</v>
      </c>
      <c r="P11" s="76">
        <v>7</v>
      </c>
      <c r="Q11" s="76">
        <v>11</v>
      </c>
      <c r="R11" s="76">
        <v>0.216</v>
      </c>
      <c r="S11" s="76">
        <v>1.55</v>
      </c>
      <c r="T11" s="76">
        <v>9</v>
      </c>
      <c r="U11" s="77" t="s">
        <v>325</v>
      </c>
      <c r="V11" s="76" t="s">
        <v>145</v>
      </c>
      <c r="W11" s="76">
        <v>0</v>
      </c>
      <c r="X11" s="76">
        <v>0</v>
      </c>
      <c r="Y11" s="76">
        <v>0</v>
      </c>
      <c r="Z11" s="76">
        <v>0</v>
      </c>
      <c r="AA11" s="76">
        <v>6</v>
      </c>
      <c r="AB11" s="76">
        <v>0</v>
      </c>
      <c r="AC11" s="76">
        <v>0</v>
      </c>
      <c r="AD11" s="76">
        <v>8</v>
      </c>
      <c r="AE11" s="76">
        <v>10</v>
      </c>
      <c r="AF11" s="76">
        <v>1</v>
      </c>
      <c r="AG11" s="76">
        <v>0</v>
      </c>
      <c r="AH11" s="76">
        <v>1</v>
      </c>
      <c r="AI11" s="76">
        <v>0</v>
      </c>
      <c r="AJ11" s="76">
        <v>0</v>
      </c>
      <c r="AK11" s="76">
        <v>44</v>
      </c>
      <c r="AL11" s="76">
        <v>172</v>
      </c>
      <c r="AM11" s="202"/>
      <c r="AN11" s="77"/>
      <c r="AO11" s="202"/>
      <c r="AP11" s="202"/>
      <c r="AQ11" s="202"/>
      <c r="AR11" s="202"/>
      <c r="AS11" s="202"/>
      <c r="AT11" s="202"/>
      <c r="AU11" s="202"/>
      <c r="AV11" s="202"/>
      <c r="AW11" s="202"/>
      <c r="AX11" s="202"/>
      <c r="AY11" s="202"/>
    </row>
    <row r="12" spans="1:51" ht="25.5" x14ac:dyDescent="0.2">
      <c r="A12" s="76">
        <v>10</v>
      </c>
      <c r="B12" s="77" t="s">
        <v>489</v>
      </c>
      <c r="C12" s="76" t="s">
        <v>145</v>
      </c>
      <c r="D12" s="76">
        <v>16</v>
      </c>
      <c r="E12" s="76">
        <v>6</v>
      </c>
      <c r="F12" s="76">
        <v>3.77</v>
      </c>
      <c r="G12" s="76">
        <v>30</v>
      </c>
      <c r="H12" s="76">
        <v>30</v>
      </c>
      <c r="I12" s="76">
        <v>0</v>
      </c>
      <c r="J12" s="76">
        <v>0</v>
      </c>
      <c r="K12" s="76">
        <v>172</v>
      </c>
      <c r="L12" s="76">
        <v>155</v>
      </c>
      <c r="M12" s="76">
        <v>73</v>
      </c>
      <c r="N12" s="76">
        <v>72</v>
      </c>
      <c r="O12" s="76">
        <v>19</v>
      </c>
      <c r="P12" s="76">
        <v>66</v>
      </c>
      <c r="Q12" s="76">
        <v>140</v>
      </c>
      <c r="R12" s="76">
        <v>0.24399999999999999</v>
      </c>
      <c r="S12" s="76">
        <v>1.28</v>
      </c>
      <c r="T12" s="76">
        <v>10</v>
      </c>
      <c r="U12" s="77" t="s">
        <v>489</v>
      </c>
      <c r="V12" s="76" t="s">
        <v>145</v>
      </c>
      <c r="W12" s="76">
        <v>0</v>
      </c>
      <c r="X12" s="76">
        <v>0</v>
      </c>
      <c r="Y12" s="76">
        <v>7</v>
      </c>
      <c r="Z12" s="76">
        <v>1</v>
      </c>
      <c r="AA12" s="76">
        <v>0</v>
      </c>
      <c r="AB12" s="76">
        <v>0</v>
      </c>
      <c r="AC12" s="76">
        <v>20</v>
      </c>
      <c r="AD12" s="76">
        <v>168</v>
      </c>
      <c r="AE12" s="76">
        <v>179</v>
      </c>
      <c r="AF12" s="76">
        <v>9</v>
      </c>
      <c r="AG12" s="76">
        <v>0</v>
      </c>
      <c r="AH12" s="76">
        <v>0</v>
      </c>
      <c r="AI12" s="76">
        <v>4</v>
      </c>
      <c r="AJ12" s="76">
        <v>0</v>
      </c>
      <c r="AK12" s="76">
        <v>715</v>
      </c>
      <c r="AL12" s="76">
        <v>2936</v>
      </c>
      <c r="AM12" s="202"/>
      <c r="AN12" s="77"/>
      <c r="AO12" s="202"/>
      <c r="AP12" s="202"/>
      <c r="AQ12" s="202"/>
      <c r="AR12" s="202"/>
      <c r="AS12" s="202"/>
      <c r="AT12" s="202"/>
      <c r="AU12" s="202"/>
      <c r="AV12" s="202"/>
      <c r="AW12" s="202"/>
      <c r="AX12" s="202"/>
      <c r="AY12" s="202"/>
    </row>
    <row r="13" spans="1:51" x14ac:dyDescent="0.2">
      <c r="A13" s="76">
        <v>11</v>
      </c>
      <c r="B13" s="77" t="s">
        <v>485</v>
      </c>
      <c r="C13" s="76" t="s">
        <v>145</v>
      </c>
      <c r="D13" s="76">
        <v>3</v>
      </c>
      <c r="E13" s="76">
        <v>1</v>
      </c>
      <c r="F13" s="76">
        <v>3.77</v>
      </c>
      <c r="G13" s="76">
        <v>34</v>
      </c>
      <c r="H13" s="76">
        <v>0</v>
      </c>
      <c r="I13" s="76">
        <v>3</v>
      </c>
      <c r="J13" s="76">
        <v>5</v>
      </c>
      <c r="K13" s="76">
        <v>31</v>
      </c>
      <c r="L13" s="76">
        <v>25</v>
      </c>
      <c r="M13" s="76">
        <v>13</v>
      </c>
      <c r="N13" s="76">
        <v>13</v>
      </c>
      <c r="O13" s="76">
        <v>6</v>
      </c>
      <c r="P13" s="76">
        <v>13</v>
      </c>
      <c r="Q13" s="76">
        <v>38</v>
      </c>
      <c r="R13" s="76">
        <v>0.214</v>
      </c>
      <c r="S13" s="76">
        <v>1.23</v>
      </c>
      <c r="T13" s="76">
        <v>11</v>
      </c>
      <c r="U13" s="77" t="s">
        <v>485</v>
      </c>
      <c r="V13" s="76" t="s">
        <v>145</v>
      </c>
      <c r="W13" s="76">
        <v>0</v>
      </c>
      <c r="X13" s="76">
        <v>0</v>
      </c>
      <c r="Y13" s="76">
        <v>1</v>
      </c>
      <c r="Z13" s="76">
        <v>2</v>
      </c>
      <c r="AA13" s="76">
        <v>6</v>
      </c>
      <c r="AB13" s="76">
        <v>10</v>
      </c>
      <c r="AC13" s="76">
        <v>1</v>
      </c>
      <c r="AD13" s="76">
        <v>23</v>
      </c>
      <c r="AE13" s="76">
        <v>31</v>
      </c>
      <c r="AF13" s="76">
        <v>0</v>
      </c>
      <c r="AG13" s="76">
        <v>0</v>
      </c>
      <c r="AH13" s="76">
        <v>1</v>
      </c>
      <c r="AI13" s="76">
        <v>0</v>
      </c>
      <c r="AJ13" s="76">
        <v>0</v>
      </c>
      <c r="AK13" s="76">
        <v>131</v>
      </c>
      <c r="AL13" s="76">
        <v>537</v>
      </c>
      <c r="AM13" s="202"/>
      <c r="AN13" s="77"/>
      <c r="AO13" s="202"/>
      <c r="AP13" s="202"/>
      <c r="AQ13" s="202"/>
      <c r="AR13" s="202"/>
      <c r="AS13" s="202"/>
      <c r="AT13" s="202"/>
      <c r="AU13" s="202"/>
      <c r="AV13" s="202"/>
      <c r="AW13" s="202"/>
      <c r="AX13" s="202"/>
      <c r="AY13" s="202"/>
    </row>
    <row r="14" spans="1:51" x14ac:dyDescent="0.2">
      <c r="A14" s="76">
        <v>12</v>
      </c>
      <c r="B14" s="77" t="s">
        <v>1169</v>
      </c>
      <c r="C14" s="76" t="s">
        <v>145</v>
      </c>
      <c r="D14" s="76">
        <v>1</v>
      </c>
      <c r="E14" s="76">
        <v>0</v>
      </c>
      <c r="F14" s="76">
        <v>4</v>
      </c>
      <c r="G14" s="76">
        <v>14</v>
      </c>
      <c r="H14" s="76">
        <v>0</v>
      </c>
      <c r="I14" s="76">
        <v>0</v>
      </c>
      <c r="J14" s="76">
        <v>1</v>
      </c>
      <c r="K14" s="76">
        <v>18</v>
      </c>
      <c r="L14" s="76">
        <v>11</v>
      </c>
      <c r="M14" s="76">
        <v>11</v>
      </c>
      <c r="N14" s="76">
        <v>8</v>
      </c>
      <c r="O14" s="76">
        <v>2</v>
      </c>
      <c r="P14" s="76">
        <v>7</v>
      </c>
      <c r="Q14" s="76">
        <v>21</v>
      </c>
      <c r="R14" s="76">
        <v>0.16700000000000001</v>
      </c>
      <c r="S14" s="76">
        <v>1</v>
      </c>
      <c r="T14" s="76">
        <v>12</v>
      </c>
      <c r="U14" s="77" t="s">
        <v>1169</v>
      </c>
      <c r="V14" s="76" t="s">
        <v>145</v>
      </c>
      <c r="W14" s="76">
        <v>0</v>
      </c>
      <c r="X14" s="76">
        <v>0</v>
      </c>
      <c r="Y14" s="76">
        <v>0</v>
      </c>
      <c r="Z14" s="76">
        <v>0</v>
      </c>
      <c r="AA14" s="76">
        <v>5</v>
      </c>
      <c r="AB14" s="76">
        <v>0</v>
      </c>
      <c r="AC14" s="76">
        <v>0</v>
      </c>
      <c r="AD14" s="76">
        <v>21</v>
      </c>
      <c r="AE14" s="76">
        <v>14</v>
      </c>
      <c r="AF14" s="76">
        <v>1</v>
      </c>
      <c r="AG14" s="76">
        <v>0</v>
      </c>
      <c r="AH14" s="76">
        <v>0</v>
      </c>
      <c r="AI14" s="76">
        <v>0</v>
      </c>
      <c r="AJ14" s="76">
        <v>0</v>
      </c>
      <c r="AK14" s="76">
        <v>74</v>
      </c>
      <c r="AL14" s="76">
        <v>296</v>
      </c>
      <c r="AM14" s="202"/>
      <c r="AN14" s="77"/>
      <c r="AO14" s="202"/>
      <c r="AP14" s="202"/>
      <c r="AQ14" s="202"/>
      <c r="AR14" s="202"/>
      <c r="AS14" s="202"/>
      <c r="AT14" s="202"/>
      <c r="AU14" s="202"/>
      <c r="AV14" s="202"/>
      <c r="AW14" s="202"/>
      <c r="AX14" s="202"/>
      <c r="AY14" s="202"/>
    </row>
    <row r="15" spans="1:51" x14ac:dyDescent="0.2">
      <c r="A15" s="76">
        <v>13</v>
      </c>
      <c r="B15" s="77" t="s">
        <v>1299</v>
      </c>
      <c r="C15" s="76" t="s">
        <v>145</v>
      </c>
      <c r="D15" s="76">
        <v>10</v>
      </c>
      <c r="E15" s="76">
        <v>6</v>
      </c>
      <c r="F15" s="76">
        <v>4.0199999999999996</v>
      </c>
      <c r="G15" s="76">
        <v>36</v>
      </c>
      <c r="H15" s="76">
        <v>14</v>
      </c>
      <c r="I15" s="76">
        <v>0</v>
      </c>
      <c r="J15" s="76">
        <v>0</v>
      </c>
      <c r="K15" s="76">
        <v>109.2</v>
      </c>
      <c r="L15" s="76">
        <v>109</v>
      </c>
      <c r="M15" s="76">
        <v>52</v>
      </c>
      <c r="N15" s="76">
        <v>49</v>
      </c>
      <c r="O15" s="76">
        <v>18</v>
      </c>
      <c r="P15" s="76">
        <v>42</v>
      </c>
      <c r="Q15" s="76">
        <v>104</v>
      </c>
      <c r="R15" s="76">
        <v>0.25700000000000001</v>
      </c>
      <c r="S15" s="76">
        <v>1.38</v>
      </c>
      <c r="T15" s="76">
        <v>13</v>
      </c>
      <c r="U15" s="77" t="s">
        <v>1299</v>
      </c>
      <c r="V15" s="76" t="s">
        <v>145</v>
      </c>
      <c r="W15" s="76">
        <v>0</v>
      </c>
      <c r="X15" s="76">
        <v>0</v>
      </c>
      <c r="Y15" s="76">
        <v>6</v>
      </c>
      <c r="Z15" s="76">
        <v>4</v>
      </c>
      <c r="AA15" s="76">
        <v>6</v>
      </c>
      <c r="AB15" s="76">
        <v>3</v>
      </c>
      <c r="AC15" s="76">
        <v>6</v>
      </c>
      <c r="AD15" s="76">
        <v>94</v>
      </c>
      <c r="AE15" s="76">
        <v>119</v>
      </c>
      <c r="AF15" s="76">
        <v>0</v>
      </c>
      <c r="AG15" s="76">
        <v>0</v>
      </c>
      <c r="AH15" s="76">
        <v>10</v>
      </c>
      <c r="AI15" s="76">
        <v>6</v>
      </c>
      <c r="AJ15" s="76">
        <v>0</v>
      </c>
      <c r="AK15" s="76">
        <v>474</v>
      </c>
      <c r="AL15" s="76">
        <v>1951</v>
      </c>
      <c r="AM15" s="202"/>
      <c r="AN15" s="77"/>
      <c r="AO15" s="202"/>
      <c r="AP15" s="202"/>
      <c r="AQ15" s="202"/>
      <c r="AR15" s="202"/>
      <c r="AS15" s="202"/>
      <c r="AT15" s="202"/>
      <c r="AU15" s="202"/>
      <c r="AV15" s="202"/>
      <c r="AW15" s="202"/>
      <c r="AX15" s="202"/>
      <c r="AY15" s="202"/>
    </row>
    <row r="16" spans="1:51" ht="25.5" x14ac:dyDescent="0.2">
      <c r="A16" s="76">
        <v>14</v>
      </c>
      <c r="B16" s="77" t="s">
        <v>576</v>
      </c>
      <c r="C16" s="76" t="s">
        <v>145</v>
      </c>
      <c r="D16" s="76">
        <v>1</v>
      </c>
      <c r="E16" s="76">
        <v>0</v>
      </c>
      <c r="F16" s="76">
        <v>4.05</v>
      </c>
      <c r="G16" s="76">
        <v>14</v>
      </c>
      <c r="H16" s="76">
        <v>0</v>
      </c>
      <c r="I16" s="76">
        <v>0</v>
      </c>
      <c r="J16" s="76">
        <v>0</v>
      </c>
      <c r="K16" s="76">
        <v>13.1</v>
      </c>
      <c r="L16" s="76">
        <v>13</v>
      </c>
      <c r="M16" s="76">
        <v>6</v>
      </c>
      <c r="N16" s="76">
        <v>6</v>
      </c>
      <c r="O16" s="76">
        <v>2</v>
      </c>
      <c r="P16" s="76">
        <v>3</v>
      </c>
      <c r="Q16" s="76">
        <v>10</v>
      </c>
      <c r="R16" s="76">
        <v>0.25</v>
      </c>
      <c r="S16" s="76">
        <v>1.2</v>
      </c>
      <c r="T16" s="76">
        <v>14</v>
      </c>
      <c r="U16" s="77" t="s">
        <v>576</v>
      </c>
      <c r="V16" s="76" t="s">
        <v>145</v>
      </c>
      <c r="W16" s="76">
        <v>0</v>
      </c>
      <c r="X16" s="76">
        <v>0</v>
      </c>
      <c r="Y16" s="76">
        <v>0</v>
      </c>
      <c r="Z16" s="76">
        <v>1</v>
      </c>
      <c r="AA16" s="76">
        <v>4</v>
      </c>
      <c r="AB16" s="76">
        <v>0</v>
      </c>
      <c r="AC16" s="76">
        <v>1</v>
      </c>
      <c r="AD16" s="76">
        <v>7</v>
      </c>
      <c r="AE16" s="76">
        <v>22</v>
      </c>
      <c r="AF16" s="76">
        <v>1</v>
      </c>
      <c r="AG16" s="76">
        <v>0</v>
      </c>
      <c r="AH16" s="76">
        <v>0</v>
      </c>
      <c r="AI16" s="76">
        <v>0</v>
      </c>
      <c r="AJ16" s="76">
        <v>0</v>
      </c>
      <c r="AK16" s="76">
        <v>55</v>
      </c>
      <c r="AL16" s="76">
        <v>209</v>
      </c>
      <c r="AM16" s="202"/>
      <c r="AN16" s="77"/>
      <c r="AO16" s="202"/>
      <c r="AP16" s="202"/>
      <c r="AQ16" s="202"/>
      <c r="AR16" s="202"/>
      <c r="AS16" s="202"/>
      <c r="AT16" s="202"/>
      <c r="AU16" s="202"/>
      <c r="AV16" s="202"/>
      <c r="AW16" s="202"/>
      <c r="AX16" s="202"/>
      <c r="AY16" s="202"/>
    </row>
    <row r="17" spans="1:51" x14ac:dyDescent="0.2">
      <c r="A17" s="76">
        <v>15</v>
      </c>
      <c r="B17" s="77" t="s">
        <v>1170</v>
      </c>
      <c r="C17" s="76" t="s">
        <v>145</v>
      </c>
      <c r="D17" s="76">
        <v>4</v>
      </c>
      <c r="E17" s="76">
        <v>6</v>
      </c>
      <c r="F17" s="76">
        <v>5.27</v>
      </c>
      <c r="G17" s="76">
        <v>24</v>
      </c>
      <c r="H17" s="76">
        <v>13</v>
      </c>
      <c r="I17" s="76">
        <v>0</v>
      </c>
      <c r="J17" s="76">
        <v>0</v>
      </c>
      <c r="K17" s="76">
        <v>94</v>
      </c>
      <c r="L17" s="76">
        <v>110</v>
      </c>
      <c r="M17" s="76">
        <v>57</v>
      </c>
      <c r="N17" s="76">
        <v>55</v>
      </c>
      <c r="O17" s="76">
        <v>15</v>
      </c>
      <c r="P17" s="76">
        <v>24</v>
      </c>
      <c r="Q17" s="76">
        <v>55</v>
      </c>
      <c r="R17" s="76">
        <v>0.28799999999999998</v>
      </c>
      <c r="S17" s="76">
        <v>1.43</v>
      </c>
      <c r="T17" s="76">
        <v>15</v>
      </c>
      <c r="U17" s="77" t="s">
        <v>1170</v>
      </c>
      <c r="V17" s="76" t="s">
        <v>145</v>
      </c>
      <c r="W17" s="76">
        <v>0</v>
      </c>
      <c r="X17" s="76">
        <v>0</v>
      </c>
      <c r="Y17" s="76">
        <v>4</v>
      </c>
      <c r="Z17" s="76">
        <v>1</v>
      </c>
      <c r="AA17" s="76">
        <v>5</v>
      </c>
      <c r="AB17" s="76">
        <v>0</v>
      </c>
      <c r="AC17" s="76">
        <v>8</v>
      </c>
      <c r="AD17" s="76">
        <v>118</v>
      </c>
      <c r="AE17" s="76">
        <v>103</v>
      </c>
      <c r="AF17" s="76">
        <v>2</v>
      </c>
      <c r="AG17" s="76">
        <v>0</v>
      </c>
      <c r="AH17" s="76">
        <v>6</v>
      </c>
      <c r="AI17" s="76">
        <v>2</v>
      </c>
      <c r="AJ17" s="76">
        <v>0</v>
      </c>
      <c r="AK17" s="76">
        <v>414</v>
      </c>
      <c r="AL17" s="76">
        <v>1470</v>
      </c>
      <c r="AM17" s="202"/>
      <c r="AN17" s="77"/>
      <c r="AO17" s="202"/>
      <c r="AP17" s="202"/>
      <c r="AQ17" s="202"/>
      <c r="AR17" s="202"/>
      <c r="AS17" s="202"/>
      <c r="AT17" s="202"/>
      <c r="AU17" s="202"/>
      <c r="AV17" s="202"/>
      <c r="AW17" s="202"/>
      <c r="AX17" s="202"/>
      <c r="AY17" s="202"/>
    </row>
    <row r="18" spans="1:51" ht="25.5" x14ac:dyDescent="0.2">
      <c r="A18" s="76">
        <v>16</v>
      </c>
      <c r="B18" s="77" t="s">
        <v>406</v>
      </c>
      <c r="C18" s="76" t="s">
        <v>145</v>
      </c>
      <c r="D18" s="76">
        <v>6</v>
      </c>
      <c r="E18" s="76">
        <v>8</v>
      </c>
      <c r="F18" s="76">
        <v>5.42</v>
      </c>
      <c r="G18" s="76">
        <v>23</v>
      </c>
      <c r="H18" s="76">
        <v>23</v>
      </c>
      <c r="I18" s="76">
        <v>0</v>
      </c>
      <c r="J18" s="76">
        <v>0</v>
      </c>
      <c r="K18" s="76">
        <v>118</v>
      </c>
      <c r="L18" s="76">
        <v>126</v>
      </c>
      <c r="M18" s="76">
        <v>74</v>
      </c>
      <c r="N18" s="76">
        <v>71</v>
      </c>
      <c r="O18" s="76">
        <v>16</v>
      </c>
      <c r="P18" s="76">
        <v>61</v>
      </c>
      <c r="Q18" s="76">
        <v>85</v>
      </c>
      <c r="R18" s="76">
        <v>0.27600000000000002</v>
      </c>
      <c r="S18" s="76">
        <v>1.58</v>
      </c>
      <c r="T18" s="76">
        <v>16</v>
      </c>
      <c r="U18" s="77" t="s">
        <v>406</v>
      </c>
      <c r="V18" s="76" t="s">
        <v>145</v>
      </c>
      <c r="W18" s="76">
        <v>0</v>
      </c>
      <c r="X18" s="76">
        <v>0</v>
      </c>
      <c r="Y18" s="76">
        <v>1</v>
      </c>
      <c r="Z18" s="76">
        <v>2</v>
      </c>
      <c r="AA18" s="76">
        <v>0</v>
      </c>
      <c r="AB18" s="76">
        <v>0</v>
      </c>
      <c r="AC18" s="76">
        <v>13</v>
      </c>
      <c r="AD18" s="76">
        <v>121</v>
      </c>
      <c r="AE18" s="76">
        <v>131</v>
      </c>
      <c r="AF18" s="76">
        <v>6</v>
      </c>
      <c r="AG18" s="76">
        <v>0</v>
      </c>
      <c r="AH18" s="76">
        <v>5</v>
      </c>
      <c r="AI18" s="76">
        <v>6</v>
      </c>
      <c r="AJ18" s="76">
        <v>2</v>
      </c>
      <c r="AK18" s="76">
        <v>526</v>
      </c>
      <c r="AL18" s="76">
        <v>2107</v>
      </c>
      <c r="AM18" s="202"/>
      <c r="AN18" s="77"/>
      <c r="AO18" s="202"/>
      <c r="AP18" s="202"/>
      <c r="AQ18" s="202"/>
      <c r="AR18" s="202"/>
      <c r="AS18" s="202"/>
      <c r="AT18" s="202"/>
      <c r="AU18" s="202"/>
      <c r="AV18" s="202"/>
      <c r="AW18" s="202"/>
      <c r="AX18" s="202"/>
      <c r="AY18" s="202"/>
    </row>
    <row r="19" spans="1:51" ht="25.5" x14ac:dyDescent="0.2">
      <c r="A19" s="76">
        <v>17</v>
      </c>
      <c r="B19" s="77" t="s">
        <v>526</v>
      </c>
      <c r="C19" s="76" t="s">
        <v>145</v>
      </c>
      <c r="D19" s="76">
        <v>8</v>
      </c>
      <c r="E19" s="76">
        <v>12</v>
      </c>
      <c r="F19" s="76">
        <v>5.44</v>
      </c>
      <c r="G19" s="76">
        <v>29</v>
      </c>
      <c r="H19" s="76">
        <v>25</v>
      </c>
      <c r="I19" s="76">
        <v>1</v>
      </c>
      <c r="J19" s="76">
        <v>1</v>
      </c>
      <c r="K19" s="76">
        <v>142.1</v>
      </c>
      <c r="L19" s="76">
        <v>150</v>
      </c>
      <c r="M19" s="76">
        <v>93</v>
      </c>
      <c r="N19" s="76">
        <v>86</v>
      </c>
      <c r="O19" s="76">
        <v>16</v>
      </c>
      <c r="P19" s="76">
        <v>72</v>
      </c>
      <c r="Q19" s="76">
        <v>125</v>
      </c>
      <c r="R19" s="76">
        <v>0.26800000000000002</v>
      </c>
      <c r="S19" s="76">
        <v>1.56</v>
      </c>
      <c r="T19" s="76">
        <v>17</v>
      </c>
      <c r="U19" s="77" t="s">
        <v>526</v>
      </c>
      <c r="V19" s="76" t="s">
        <v>145</v>
      </c>
      <c r="W19" s="76">
        <v>1</v>
      </c>
      <c r="X19" s="76">
        <v>0</v>
      </c>
      <c r="Y19" s="76">
        <v>3</v>
      </c>
      <c r="Z19" s="76">
        <v>1</v>
      </c>
      <c r="AA19" s="76">
        <v>2</v>
      </c>
      <c r="AB19" s="76">
        <v>0</v>
      </c>
      <c r="AC19" s="76">
        <v>12</v>
      </c>
      <c r="AD19" s="76">
        <v>162</v>
      </c>
      <c r="AE19" s="76">
        <v>125</v>
      </c>
      <c r="AF19" s="76">
        <v>5</v>
      </c>
      <c r="AG19" s="76">
        <v>1</v>
      </c>
      <c r="AH19" s="76">
        <v>26</v>
      </c>
      <c r="AI19" s="76">
        <v>4</v>
      </c>
      <c r="AJ19" s="76">
        <v>0</v>
      </c>
      <c r="AK19" s="76">
        <v>638</v>
      </c>
      <c r="AL19" s="76">
        <v>2492</v>
      </c>
      <c r="AM19" s="202"/>
      <c r="AN19" s="77"/>
      <c r="AO19" s="202"/>
      <c r="AP19" s="202"/>
      <c r="AQ19" s="202"/>
      <c r="AR19" s="202"/>
      <c r="AS19" s="202"/>
      <c r="AT19" s="202"/>
      <c r="AU19" s="202"/>
      <c r="AV19" s="202"/>
      <c r="AW19" s="202"/>
      <c r="AX19" s="202"/>
      <c r="AY19" s="202"/>
    </row>
    <row r="20" spans="1:51" ht="25.5" x14ac:dyDescent="0.2">
      <c r="A20" s="76">
        <v>18</v>
      </c>
      <c r="B20" s="77" t="s">
        <v>777</v>
      </c>
      <c r="C20" s="76" t="s">
        <v>145</v>
      </c>
      <c r="D20" s="76">
        <v>0</v>
      </c>
      <c r="E20" s="76">
        <v>2</v>
      </c>
      <c r="F20" s="76">
        <v>5.6</v>
      </c>
      <c r="G20" s="76">
        <v>16</v>
      </c>
      <c r="H20" s="76">
        <v>0</v>
      </c>
      <c r="I20" s="76">
        <v>0</v>
      </c>
      <c r="J20" s="76">
        <v>2</v>
      </c>
      <c r="K20" s="76">
        <v>27.1</v>
      </c>
      <c r="L20" s="76">
        <v>32</v>
      </c>
      <c r="M20" s="76">
        <v>18</v>
      </c>
      <c r="N20" s="76">
        <v>17</v>
      </c>
      <c r="O20" s="76">
        <v>3</v>
      </c>
      <c r="P20" s="76">
        <v>15</v>
      </c>
      <c r="Q20" s="76">
        <v>17</v>
      </c>
      <c r="R20" s="76">
        <v>0.30499999999999999</v>
      </c>
      <c r="S20" s="76">
        <v>1.72</v>
      </c>
      <c r="T20" s="76">
        <v>18</v>
      </c>
      <c r="U20" s="77" t="s">
        <v>777</v>
      </c>
      <c r="V20" s="76" t="s">
        <v>145</v>
      </c>
      <c r="W20" s="76">
        <v>0</v>
      </c>
      <c r="X20" s="76">
        <v>0</v>
      </c>
      <c r="Y20" s="76">
        <v>1</v>
      </c>
      <c r="Z20" s="76">
        <v>1</v>
      </c>
      <c r="AA20" s="76">
        <v>5</v>
      </c>
      <c r="AB20" s="76">
        <v>2</v>
      </c>
      <c r="AC20" s="76">
        <v>7</v>
      </c>
      <c r="AD20" s="76">
        <v>28</v>
      </c>
      <c r="AE20" s="76">
        <v>29</v>
      </c>
      <c r="AF20" s="76">
        <v>0</v>
      </c>
      <c r="AG20" s="76">
        <v>1</v>
      </c>
      <c r="AH20" s="76">
        <v>1</v>
      </c>
      <c r="AI20" s="76">
        <v>0</v>
      </c>
      <c r="AJ20" s="76">
        <v>0</v>
      </c>
      <c r="AK20" s="76">
        <v>122</v>
      </c>
      <c r="AL20" s="76">
        <v>486</v>
      </c>
      <c r="AM20" s="202"/>
      <c r="AN20" s="77"/>
      <c r="AO20" s="202"/>
      <c r="AP20" s="202"/>
      <c r="AQ20" s="202"/>
      <c r="AR20" s="202"/>
      <c r="AS20" s="202"/>
      <c r="AT20" s="202"/>
      <c r="AU20" s="202"/>
      <c r="AV20" s="202"/>
      <c r="AW20" s="202"/>
      <c r="AX20" s="202"/>
      <c r="AY20" s="202"/>
    </row>
    <row r="21" spans="1:51" ht="25.5" x14ac:dyDescent="0.2">
      <c r="A21" s="76">
        <v>19</v>
      </c>
      <c r="B21" s="77" t="s">
        <v>1300</v>
      </c>
      <c r="C21" s="76" t="s">
        <v>145</v>
      </c>
      <c r="D21" s="76">
        <v>1</v>
      </c>
      <c r="E21" s="76">
        <v>0</v>
      </c>
      <c r="F21" s="76">
        <v>5.79</v>
      </c>
      <c r="G21" s="76">
        <v>5</v>
      </c>
      <c r="H21" s="76">
        <v>0</v>
      </c>
      <c r="I21" s="76">
        <v>0</v>
      </c>
      <c r="J21" s="76">
        <v>0</v>
      </c>
      <c r="K21" s="76">
        <v>4.2</v>
      </c>
      <c r="L21" s="76">
        <v>5</v>
      </c>
      <c r="M21" s="76">
        <v>4</v>
      </c>
      <c r="N21" s="76">
        <v>3</v>
      </c>
      <c r="O21" s="76">
        <v>1</v>
      </c>
      <c r="P21" s="76">
        <v>3</v>
      </c>
      <c r="Q21" s="76">
        <v>5</v>
      </c>
      <c r="R21" s="76">
        <v>0.26300000000000001</v>
      </c>
      <c r="S21" s="76">
        <v>1.71</v>
      </c>
      <c r="T21" s="76">
        <v>19</v>
      </c>
      <c r="U21" s="77" t="s">
        <v>1300</v>
      </c>
      <c r="V21" s="76" t="s">
        <v>145</v>
      </c>
      <c r="W21" s="76">
        <v>0</v>
      </c>
      <c r="X21" s="76">
        <v>0</v>
      </c>
      <c r="Y21" s="76">
        <v>0</v>
      </c>
      <c r="Z21" s="76">
        <v>0</v>
      </c>
      <c r="AA21" s="76">
        <v>2</v>
      </c>
      <c r="AB21" s="76">
        <v>0</v>
      </c>
      <c r="AC21" s="76">
        <v>0</v>
      </c>
      <c r="AD21" s="76">
        <v>4</v>
      </c>
      <c r="AE21" s="76">
        <v>5</v>
      </c>
      <c r="AF21" s="76">
        <v>0</v>
      </c>
      <c r="AG21" s="76">
        <v>0</v>
      </c>
      <c r="AH21" s="76">
        <v>0</v>
      </c>
      <c r="AI21" s="76">
        <v>1</v>
      </c>
      <c r="AJ21" s="76">
        <v>0</v>
      </c>
      <c r="AK21" s="76">
        <v>22</v>
      </c>
      <c r="AL21" s="76">
        <v>105</v>
      </c>
      <c r="AM21" s="202"/>
      <c r="AN21" s="77"/>
      <c r="AO21" s="202"/>
      <c r="AP21" s="202"/>
      <c r="AQ21" s="202"/>
      <c r="AR21" s="202"/>
      <c r="AS21" s="202"/>
      <c r="AT21" s="202"/>
      <c r="AU21" s="202"/>
      <c r="AV21" s="202"/>
      <c r="AW21" s="202"/>
      <c r="AX21" s="202"/>
      <c r="AY21" s="202"/>
    </row>
    <row r="22" spans="1:51" ht="25.5" x14ac:dyDescent="0.2">
      <c r="A22" s="76">
        <v>19</v>
      </c>
      <c r="B22" s="77" t="s">
        <v>1171</v>
      </c>
      <c r="C22" s="76" t="s">
        <v>145</v>
      </c>
      <c r="D22" s="76">
        <v>3</v>
      </c>
      <c r="E22" s="76">
        <v>4</v>
      </c>
      <c r="F22" s="76">
        <v>5.79</v>
      </c>
      <c r="G22" s="76">
        <v>18</v>
      </c>
      <c r="H22" s="76">
        <v>12</v>
      </c>
      <c r="I22" s="76">
        <v>0</v>
      </c>
      <c r="J22" s="76">
        <v>0</v>
      </c>
      <c r="K22" s="76">
        <v>74.2</v>
      </c>
      <c r="L22" s="76">
        <v>81</v>
      </c>
      <c r="M22" s="76">
        <v>53</v>
      </c>
      <c r="N22" s="76">
        <v>48</v>
      </c>
      <c r="O22" s="76">
        <v>12</v>
      </c>
      <c r="P22" s="76">
        <v>26</v>
      </c>
      <c r="Q22" s="76">
        <v>50</v>
      </c>
      <c r="R22" s="76">
        <v>0.28199999999999997</v>
      </c>
      <c r="S22" s="76">
        <v>1.43</v>
      </c>
      <c r="T22" s="76">
        <v>19</v>
      </c>
      <c r="U22" s="77" t="s">
        <v>1171</v>
      </c>
      <c r="V22" s="76" t="s">
        <v>145</v>
      </c>
      <c r="W22" s="76">
        <v>0</v>
      </c>
      <c r="X22" s="76">
        <v>0</v>
      </c>
      <c r="Y22" s="76">
        <v>9</v>
      </c>
      <c r="Z22" s="76">
        <v>0</v>
      </c>
      <c r="AA22" s="76">
        <v>5</v>
      </c>
      <c r="AB22" s="76">
        <v>0</v>
      </c>
      <c r="AC22" s="76">
        <v>10</v>
      </c>
      <c r="AD22" s="76">
        <v>79</v>
      </c>
      <c r="AE22" s="76">
        <v>83</v>
      </c>
      <c r="AF22" s="76">
        <v>2</v>
      </c>
      <c r="AG22" s="76">
        <v>0</v>
      </c>
      <c r="AH22" s="76">
        <v>0</v>
      </c>
      <c r="AI22" s="76">
        <v>1</v>
      </c>
      <c r="AJ22" s="76">
        <v>0</v>
      </c>
      <c r="AK22" s="76">
        <v>328</v>
      </c>
      <c r="AL22" s="76">
        <v>1296</v>
      </c>
      <c r="AM22" s="202"/>
      <c r="AN22" s="77"/>
      <c r="AO22" s="202"/>
      <c r="AP22" s="202"/>
      <c r="AQ22" s="202"/>
      <c r="AR22" s="202"/>
      <c r="AS22" s="202"/>
      <c r="AT22" s="202"/>
      <c r="AU22" s="202"/>
      <c r="AV22" s="202"/>
      <c r="AW22" s="202"/>
      <c r="AX22" s="202"/>
      <c r="AY22" s="202"/>
    </row>
    <row r="23" spans="1:51" x14ac:dyDescent="0.2">
      <c r="A23" s="76">
        <v>21</v>
      </c>
      <c r="B23" s="77" t="s">
        <v>323</v>
      </c>
      <c r="C23" s="76" t="s">
        <v>145</v>
      </c>
      <c r="D23" s="76">
        <v>2</v>
      </c>
      <c r="E23" s="76">
        <v>5</v>
      </c>
      <c r="F23" s="76">
        <v>6.17</v>
      </c>
      <c r="G23" s="76">
        <v>11</v>
      </c>
      <c r="H23" s="76">
        <v>11</v>
      </c>
      <c r="I23" s="76">
        <v>0</v>
      </c>
      <c r="J23" s="76">
        <v>0</v>
      </c>
      <c r="K23" s="76">
        <v>54</v>
      </c>
      <c r="L23" s="76">
        <v>70</v>
      </c>
      <c r="M23" s="76">
        <v>38</v>
      </c>
      <c r="N23" s="76">
        <v>37</v>
      </c>
      <c r="O23" s="76">
        <v>7</v>
      </c>
      <c r="P23" s="76">
        <v>15</v>
      </c>
      <c r="Q23" s="76">
        <v>55</v>
      </c>
      <c r="R23" s="76">
        <v>0.315</v>
      </c>
      <c r="S23" s="76">
        <v>1.57</v>
      </c>
      <c r="T23" s="76">
        <v>21</v>
      </c>
      <c r="U23" s="77" t="s">
        <v>323</v>
      </c>
      <c r="V23" s="76" t="s">
        <v>145</v>
      </c>
      <c r="W23" s="76">
        <v>0</v>
      </c>
      <c r="X23" s="76">
        <v>0</v>
      </c>
      <c r="Y23" s="76">
        <v>3</v>
      </c>
      <c r="Z23" s="76">
        <v>0</v>
      </c>
      <c r="AA23" s="76">
        <v>0</v>
      </c>
      <c r="AB23" s="76">
        <v>0</v>
      </c>
      <c r="AC23" s="76">
        <v>4</v>
      </c>
      <c r="AD23" s="76">
        <v>63</v>
      </c>
      <c r="AE23" s="76">
        <v>36</v>
      </c>
      <c r="AF23" s="76">
        <v>3</v>
      </c>
      <c r="AG23" s="76">
        <v>0</v>
      </c>
      <c r="AH23" s="76">
        <v>2</v>
      </c>
      <c r="AI23" s="76">
        <v>2</v>
      </c>
      <c r="AJ23" s="76">
        <v>1</v>
      </c>
      <c r="AK23" s="76">
        <v>242</v>
      </c>
      <c r="AL23" s="76">
        <v>958</v>
      </c>
      <c r="AM23" s="202"/>
      <c r="AN23" s="77"/>
      <c r="AO23" s="202"/>
      <c r="AP23" s="202"/>
      <c r="AQ23" s="202"/>
      <c r="AR23" s="202"/>
      <c r="AS23" s="202"/>
      <c r="AT23" s="202"/>
      <c r="AU23" s="202"/>
      <c r="AV23" s="202"/>
      <c r="AW23" s="202"/>
      <c r="AX23" s="202"/>
      <c r="AY23" s="202"/>
    </row>
    <row r="24" spans="1:51" ht="25.5" x14ac:dyDescent="0.2">
      <c r="A24" s="76">
        <v>22</v>
      </c>
      <c r="B24" s="77" t="s">
        <v>491</v>
      </c>
      <c r="C24" s="76" t="s">
        <v>145</v>
      </c>
      <c r="D24" s="76">
        <v>2</v>
      </c>
      <c r="E24" s="76">
        <v>2</v>
      </c>
      <c r="F24" s="76">
        <v>6.93</v>
      </c>
      <c r="G24" s="76">
        <v>16</v>
      </c>
      <c r="H24" s="76">
        <v>0</v>
      </c>
      <c r="I24" s="76">
        <v>0</v>
      </c>
      <c r="J24" s="76">
        <v>3</v>
      </c>
      <c r="K24" s="76">
        <v>24.2</v>
      </c>
      <c r="L24" s="76">
        <v>33</v>
      </c>
      <c r="M24" s="76">
        <v>19</v>
      </c>
      <c r="N24" s="76">
        <v>19</v>
      </c>
      <c r="O24" s="76">
        <v>3</v>
      </c>
      <c r="P24" s="76">
        <v>10</v>
      </c>
      <c r="Q24" s="76">
        <v>7</v>
      </c>
      <c r="R24" s="76">
        <v>0.34</v>
      </c>
      <c r="S24" s="76">
        <v>1.74</v>
      </c>
      <c r="T24" s="76">
        <v>22</v>
      </c>
      <c r="U24" s="77" t="s">
        <v>491</v>
      </c>
      <c r="V24" s="76" t="s">
        <v>145</v>
      </c>
      <c r="W24" s="76">
        <v>0</v>
      </c>
      <c r="X24" s="76">
        <v>0</v>
      </c>
      <c r="Y24" s="76">
        <v>2</v>
      </c>
      <c r="Z24" s="76">
        <v>2</v>
      </c>
      <c r="AA24" s="76">
        <v>2</v>
      </c>
      <c r="AB24" s="76">
        <v>1</v>
      </c>
      <c r="AC24" s="76">
        <v>6</v>
      </c>
      <c r="AD24" s="76">
        <v>40</v>
      </c>
      <c r="AE24" s="76">
        <v>20</v>
      </c>
      <c r="AF24" s="76">
        <v>1</v>
      </c>
      <c r="AG24" s="76">
        <v>0</v>
      </c>
      <c r="AH24" s="76">
        <v>0</v>
      </c>
      <c r="AI24" s="76">
        <v>1</v>
      </c>
      <c r="AJ24" s="76">
        <v>0</v>
      </c>
      <c r="AK24" s="76">
        <v>112</v>
      </c>
      <c r="AL24" s="76">
        <v>381</v>
      </c>
      <c r="AM24" s="202"/>
      <c r="AN24" s="77"/>
      <c r="AO24" s="202"/>
      <c r="AP24" s="202"/>
      <c r="AQ24" s="202"/>
      <c r="AR24" s="202"/>
      <c r="AS24" s="202"/>
      <c r="AT24" s="202"/>
      <c r="AU24" s="202"/>
      <c r="AV24" s="202"/>
      <c r="AW24" s="202"/>
      <c r="AX24" s="202"/>
      <c r="AY24" s="202"/>
    </row>
    <row r="25" spans="1:51" ht="25.5" x14ac:dyDescent="0.2">
      <c r="A25" s="76">
        <v>23</v>
      </c>
      <c r="B25" s="77" t="s">
        <v>1301</v>
      </c>
      <c r="C25" s="76" t="s">
        <v>145</v>
      </c>
      <c r="D25" s="76">
        <v>0</v>
      </c>
      <c r="E25" s="76">
        <v>0</v>
      </c>
      <c r="F25" s="76">
        <v>9.9499999999999993</v>
      </c>
      <c r="G25" s="76">
        <v>7</v>
      </c>
      <c r="H25" s="76">
        <v>0</v>
      </c>
      <c r="I25" s="76">
        <v>0</v>
      </c>
      <c r="J25" s="76">
        <v>0</v>
      </c>
      <c r="K25" s="76">
        <v>6.1</v>
      </c>
      <c r="L25" s="76">
        <v>9</v>
      </c>
      <c r="M25" s="76">
        <v>7</v>
      </c>
      <c r="N25" s="76">
        <v>7</v>
      </c>
      <c r="O25" s="76">
        <v>1</v>
      </c>
      <c r="P25" s="76">
        <v>3</v>
      </c>
      <c r="Q25" s="76">
        <v>4</v>
      </c>
      <c r="R25" s="76">
        <v>0.34599999999999997</v>
      </c>
      <c r="S25" s="76">
        <v>1.89</v>
      </c>
      <c r="T25" s="76">
        <v>23</v>
      </c>
      <c r="U25" s="77" t="s">
        <v>1301</v>
      </c>
      <c r="V25" s="76" t="s">
        <v>145</v>
      </c>
      <c r="W25" s="76">
        <v>0</v>
      </c>
      <c r="X25" s="76">
        <v>0</v>
      </c>
      <c r="Y25" s="76">
        <v>0</v>
      </c>
      <c r="Z25" s="76">
        <v>0</v>
      </c>
      <c r="AA25" s="76">
        <v>1</v>
      </c>
      <c r="AB25" s="76">
        <v>1</v>
      </c>
      <c r="AC25" s="76">
        <v>1</v>
      </c>
      <c r="AD25" s="76">
        <v>9</v>
      </c>
      <c r="AE25" s="76">
        <v>4</v>
      </c>
      <c r="AF25" s="76">
        <v>0</v>
      </c>
      <c r="AG25" s="76">
        <v>0</v>
      </c>
      <c r="AH25" s="76">
        <v>0</v>
      </c>
      <c r="AI25" s="76">
        <v>0</v>
      </c>
      <c r="AJ25" s="76">
        <v>0</v>
      </c>
      <c r="AK25" s="76">
        <v>29</v>
      </c>
      <c r="AL25" s="76">
        <v>123</v>
      </c>
      <c r="AM25" s="102"/>
      <c r="AN25" s="102"/>
      <c r="AO25" s="102"/>
      <c r="AP25" s="102"/>
      <c r="AQ25" s="102"/>
      <c r="AR25" s="102"/>
      <c r="AS25" s="102"/>
      <c r="AT25" s="102"/>
      <c r="AU25" s="102"/>
      <c r="AV25" s="102"/>
      <c r="AW25" s="102"/>
      <c r="AX25" s="102"/>
      <c r="AY25" s="102"/>
    </row>
    <row r="26" spans="1:51" ht="25.5" x14ac:dyDescent="0.2">
      <c r="A26" s="76">
        <v>24</v>
      </c>
      <c r="B26" s="77" t="s">
        <v>488</v>
      </c>
      <c r="C26" s="76" t="s">
        <v>145</v>
      </c>
      <c r="D26" s="76">
        <v>0</v>
      </c>
      <c r="E26" s="76">
        <v>0</v>
      </c>
      <c r="F26" s="76">
        <v>12</v>
      </c>
      <c r="G26" s="76">
        <v>7</v>
      </c>
      <c r="H26" s="76">
        <v>0</v>
      </c>
      <c r="I26" s="76">
        <v>0</v>
      </c>
      <c r="J26" s="76">
        <v>0</v>
      </c>
      <c r="K26" s="76">
        <v>6</v>
      </c>
      <c r="L26" s="76">
        <v>11</v>
      </c>
      <c r="M26" s="76">
        <v>8</v>
      </c>
      <c r="N26" s="76">
        <v>8</v>
      </c>
      <c r="O26" s="76">
        <v>3</v>
      </c>
      <c r="P26" s="76">
        <v>7</v>
      </c>
      <c r="Q26" s="76">
        <v>1</v>
      </c>
      <c r="R26" s="76">
        <v>0.40699999999999997</v>
      </c>
      <c r="S26" s="76">
        <v>3</v>
      </c>
      <c r="T26" s="76">
        <v>24</v>
      </c>
      <c r="U26" s="77" t="s">
        <v>488</v>
      </c>
      <c r="V26" s="76" t="s">
        <v>145</v>
      </c>
      <c r="W26" s="76">
        <v>0</v>
      </c>
      <c r="X26" s="76">
        <v>0</v>
      </c>
      <c r="Y26" s="76">
        <v>0</v>
      </c>
      <c r="Z26" s="76">
        <v>0</v>
      </c>
      <c r="AA26" s="76">
        <v>2</v>
      </c>
      <c r="AB26" s="76">
        <v>1</v>
      </c>
      <c r="AC26" s="76">
        <v>1</v>
      </c>
      <c r="AD26" s="76">
        <v>7</v>
      </c>
      <c r="AE26" s="76">
        <v>9</v>
      </c>
      <c r="AF26" s="76">
        <v>0</v>
      </c>
      <c r="AG26" s="76">
        <v>0</v>
      </c>
      <c r="AH26" s="76">
        <v>0</v>
      </c>
      <c r="AI26" s="76">
        <v>0</v>
      </c>
      <c r="AJ26" s="76">
        <v>0</v>
      </c>
      <c r="AK26" s="76">
        <v>35</v>
      </c>
      <c r="AL26" s="76">
        <v>148</v>
      </c>
      <c r="AM26" s="202"/>
      <c r="AN26" s="77"/>
      <c r="AO26" s="202"/>
      <c r="AP26" s="202"/>
      <c r="AQ26" s="202"/>
      <c r="AR26" s="202"/>
      <c r="AS26" s="202"/>
      <c r="AT26" s="202"/>
      <c r="AU26" s="202"/>
      <c r="AV26" s="202"/>
      <c r="AW26" s="202"/>
      <c r="AX26" s="202"/>
      <c r="AY26" s="202"/>
    </row>
    <row r="27" spans="1:51" ht="25.5" x14ac:dyDescent="0.2">
      <c r="A27" s="76">
        <v>25</v>
      </c>
      <c r="B27" s="77" t="s">
        <v>1302</v>
      </c>
      <c r="C27" s="76" t="s">
        <v>145</v>
      </c>
      <c r="D27" s="76">
        <v>0</v>
      </c>
      <c r="E27" s="76">
        <v>0</v>
      </c>
      <c r="F27" s="76">
        <v>13.5</v>
      </c>
      <c r="G27" s="76">
        <v>2</v>
      </c>
      <c r="H27" s="76">
        <v>0</v>
      </c>
      <c r="I27" s="76">
        <v>0</v>
      </c>
      <c r="J27" s="76">
        <v>0</v>
      </c>
      <c r="K27" s="76">
        <v>3.1</v>
      </c>
      <c r="L27" s="76">
        <v>5</v>
      </c>
      <c r="M27" s="76">
        <v>5</v>
      </c>
      <c r="N27" s="76">
        <v>5</v>
      </c>
      <c r="O27" s="76">
        <v>2</v>
      </c>
      <c r="P27" s="76">
        <v>1</v>
      </c>
      <c r="Q27" s="76">
        <v>3</v>
      </c>
      <c r="R27" s="76">
        <v>0.35699999999999998</v>
      </c>
      <c r="S27" s="76">
        <v>1.8</v>
      </c>
      <c r="T27" s="76">
        <v>25</v>
      </c>
      <c r="U27" s="77" t="s">
        <v>1302</v>
      </c>
      <c r="V27" s="76" t="s">
        <v>145</v>
      </c>
      <c r="W27" s="76">
        <v>0</v>
      </c>
      <c r="X27" s="76">
        <v>0</v>
      </c>
      <c r="Y27" s="76">
        <v>0</v>
      </c>
      <c r="Z27" s="76">
        <v>0</v>
      </c>
      <c r="AA27" s="76">
        <v>1</v>
      </c>
      <c r="AB27" s="76">
        <v>0</v>
      </c>
      <c r="AC27" s="76">
        <v>0</v>
      </c>
      <c r="AD27" s="76">
        <v>1</v>
      </c>
      <c r="AE27" s="76">
        <v>5</v>
      </c>
      <c r="AF27" s="76">
        <v>0</v>
      </c>
      <c r="AG27" s="76">
        <v>0</v>
      </c>
      <c r="AH27" s="76">
        <v>0</v>
      </c>
      <c r="AI27" s="76">
        <v>1</v>
      </c>
      <c r="AJ27" s="76">
        <v>0</v>
      </c>
      <c r="AK27" s="76">
        <v>15</v>
      </c>
      <c r="AL27" s="76">
        <v>59</v>
      </c>
      <c r="AM27" s="202"/>
      <c r="AN27" s="77"/>
      <c r="AO27" s="202"/>
      <c r="AP27" s="202"/>
      <c r="AQ27" s="202"/>
      <c r="AR27" s="202"/>
      <c r="AS27" s="202"/>
      <c r="AT27" s="202"/>
      <c r="AU27" s="202"/>
      <c r="AV27" s="202"/>
      <c r="AW27" s="202"/>
      <c r="AX27" s="202"/>
      <c r="AY27" s="202"/>
    </row>
    <row r="28" spans="1:51" ht="25.5" x14ac:dyDescent="0.2">
      <c r="A28" s="76">
        <v>25</v>
      </c>
      <c r="B28" s="77" t="s">
        <v>1303</v>
      </c>
      <c r="C28" s="76" t="s">
        <v>145</v>
      </c>
      <c r="D28" s="76">
        <v>0</v>
      </c>
      <c r="E28" s="76">
        <v>0</v>
      </c>
      <c r="F28" s="76">
        <v>13.5</v>
      </c>
      <c r="G28" s="76">
        <v>1</v>
      </c>
      <c r="H28" s="76">
        <v>0</v>
      </c>
      <c r="I28" s="76">
        <v>0</v>
      </c>
      <c r="J28" s="76">
        <v>0</v>
      </c>
      <c r="K28" s="76">
        <v>2</v>
      </c>
      <c r="L28" s="76">
        <v>4</v>
      </c>
      <c r="M28" s="76">
        <v>3</v>
      </c>
      <c r="N28" s="76">
        <v>3</v>
      </c>
      <c r="O28" s="76">
        <v>0</v>
      </c>
      <c r="P28" s="76">
        <v>0</v>
      </c>
      <c r="Q28" s="76">
        <v>4</v>
      </c>
      <c r="R28" s="76">
        <v>0.36399999999999999</v>
      </c>
      <c r="S28" s="76">
        <v>2</v>
      </c>
      <c r="T28" s="76">
        <v>25</v>
      </c>
      <c r="U28" s="77" t="s">
        <v>1303</v>
      </c>
      <c r="V28" s="76" t="s">
        <v>145</v>
      </c>
      <c r="W28" s="76">
        <v>0</v>
      </c>
      <c r="X28" s="76">
        <v>0</v>
      </c>
      <c r="Y28" s="76">
        <v>0</v>
      </c>
      <c r="Z28" s="76">
        <v>0</v>
      </c>
      <c r="AA28" s="76">
        <v>0</v>
      </c>
      <c r="AB28" s="76">
        <v>0</v>
      </c>
      <c r="AC28" s="76">
        <v>0</v>
      </c>
      <c r="AD28" s="76">
        <v>2</v>
      </c>
      <c r="AE28" s="76">
        <v>1</v>
      </c>
      <c r="AF28" s="76">
        <v>0</v>
      </c>
      <c r="AG28" s="76">
        <v>0</v>
      </c>
      <c r="AH28" s="76">
        <v>0</v>
      </c>
      <c r="AI28" s="76">
        <v>0</v>
      </c>
      <c r="AJ28" s="76">
        <v>0</v>
      </c>
      <c r="AK28" s="76">
        <v>11</v>
      </c>
      <c r="AL28" s="76">
        <v>50</v>
      </c>
      <c r="AM28" s="202"/>
      <c r="AN28" s="77"/>
      <c r="AO28" s="202"/>
      <c r="AP28" s="202"/>
      <c r="AQ28" s="202"/>
      <c r="AR28" s="202"/>
      <c r="AS28" s="202"/>
      <c r="AT28" s="202"/>
      <c r="AU28" s="202"/>
      <c r="AV28" s="202"/>
      <c r="AW28" s="202"/>
      <c r="AX28" s="202"/>
      <c r="AY28" s="202"/>
    </row>
    <row r="29" spans="1:51" ht="25.5" x14ac:dyDescent="0.2">
      <c r="A29" s="76">
        <v>27</v>
      </c>
      <c r="B29" s="77" t="s">
        <v>1304</v>
      </c>
      <c r="C29" s="76" t="s">
        <v>145</v>
      </c>
      <c r="D29" s="76">
        <v>0</v>
      </c>
      <c r="E29" s="76">
        <v>0</v>
      </c>
      <c r="F29" s="76">
        <v>18</v>
      </c>
      <c r="G29" s="76">
        <v>1</v>
      </c>
      <c r="H29" s="76">
        <v>0</v>
      </c>
      <c r="I29" s="76">
        <v>0</v>
      </c>
      <c r="J29" s="76">
        <v>0</v>
      </c>
      <c r="K29" s="76">
        <v>1</v>
      </c>
      <c r="L29" s="76">
        <v>3</v>
      </c>
      <c r="M29" s="76">
        <v>2</v>
      </c>
      <c r="N29" s="76">
        <v>2</v>
      </c>
      <c r="O29" s="76">
        <v>1</v>
      </c>
      <c r="P29" s="76">
        <v>0</v>
      </c>
      <c r="Q29" s="76">
        <v>0</v>
      </c>
      <c r="R29" s="76">
        <v>0.42899999999999999</v>
      </c>
      <c r="S29" s="76">
        <v>3</v>
      </c>
      <c r="T29" s="76">
        <v>27</v>
      </c>
      <c r="U29" s="77" t="s">
        <v>1304</v>
      </c>
      <c r="V29" s="76" t="s">
        <v>145</v>
      </c>
      <c r="W29" s="76">
        <v>0</v>
      </c>
      <c r="X29" s="76">
        <v>0</v>
      </c>
      <c r="Y29" s="76">
        <v>0</v>
      </c>
      <c r="Z29" s="76">
        <v>0</v>
      </c>
      <c r="AA29" s="76">
        <v>1</v>
      </c>
      <c r="AB29" s="76">
        <v>0</v>
      </c>
      <c r="AC29" s="76">
        <v>0</v>
      </c>
      <c r="AD29" s="76">
        <v>3</v>
      </c>
      <c r="AE29" s="76">
        <v>1</v>
      </c>
      <c r="AF29" s="76">
        <v>0</v>
      </c>
      <c r="AG29" s="76">
        <v>0</v>
      </c>
      <c r="AH29" s="76">
        <v>0</v>
      </c>
      <c r="AI29" s="76">
        <v>0</v>
      </c>
      <c r="AJ29" s="76">
        <v>0</v>
      </c>
      <c r="AK29" s="76">
        <v>7</v>
      </c>
      <c r="AL29" s="76">
        <v>19</v>
      </c>
      <c r="AM29" s="202"/>
      <c r="AN29" s="77"/>
      <c r="AO29" s="202"/>
      <c r="AP29" s="202"/>
      <c r="AQ29" s="202"/>
      <c r="AR29" s="202"/>
      <c r="AS29" s="202"/>
      <c r="AT29" s="202"/>
      <c r="AU29" s="202"/>
      <c r="AV29" s="202"/>
      <c r="AW29" s="202"/>
      <c r="AX29" s="202"/>
      <c r="AY29" s="202"/>
    </row>
    <row r="30" spans="1:51" x14ac:dyDescent="0.2">
      <c r="A30" s="225" t="s">
        <v>105</v>
      </c>
      <c r="B30" s="225" t="s">
        <v>106</v>
      </c>
      <c r="C30" s="225" t="s">
        <v>157</v>
      </c>
      <c r="D30" s="225" t="s">
        <v>85</v>
      </c>
      <c r="E30" s="225" t="s">
        <v>86</v>
      </c>
      <c r="F30" s="225" t="s">
        <v>107</v>
      </c>
      <c r="G30" s="225" t="s">
        <v>108</v>
      </c>
      <c r="H30" s="225" t="s">
        <v>88</v>
      </c>
      <c r="I30" s="225" t="s">
        <v>90</v>
      </c>
      <c r="J30" s="225" t="s">
        <v>158</v>
      </c>
      <c r="K30" s="225" t="s">
        <v>91</v>
      </c>
      <c r="L30" s="225" t="s">
        <v>92</v>
      </c>
      <c r="M30" s="225" t="s">
        <v>93</v>
      </c>
      <c r="N30" s="225" t="s">
        <v>94</v>
      </c>
      <c r="O30" s="225" t="s">
        <v>95</v>
      </c>
      <c r="P30" s="225" t="s">
        <v>96</v>
      </c>
      <c r="Q30" s="225" t="s">
        <v>97</v>
      </c>
      <c r="R30" s="225" t="s">
        <v>1071</v>
      </c>
      <c r="S30" s="225" t="s">
        <v>1072</v>
      </c>
      <c r="T30" s="225" t="s">
        <v>105</v>
      </c>
      <c r="U30" s="225" t="s">
        <v>106</v>
      </c>
      <c r="V30" s="225" t="s">
        <v>157</v>
      </c>
      <c r="W30" s="225" t="s">
        <v>89</v>
      </c>
      <c r="X30" s="225" t="s">
        <v>1073</v>
      </c>
      <c r="Y30" s="225" t="s">
        <v>1074</v>
      </c>
      <c r="Z30" s="225" t="s">
        <v>98</v>
      </c>
      <c r="AA30" s="225" t="s">
        <v>1075</v>
      </c>
      <c r="AB30" s="225" t="s">
        <v>1076</v>
      </c>
      <c r="AC30" s="225" t="s">
        <v>1077</v>
      </c>
      <c r="AD30" s="225" t="s">
        <v>1066</v>
      </c>
      <c r="AE30" s="225" t="s">
        <v>1067</v>
      </c>
      <c r="AF30" s="225" t="s">
        <v>1078</v>
      </c>
      <c r="AG30" s="225" t="s">
        <v>1079</v>
      </c>
      <c r="AH30" s="225" t="s">
        <v>1057</v>
      </c>
      <c r="AI30" s="225" t="s">
        <v>1058</v>
      </c>
      <c r="AJ30" s="225" t="s">
        <v>1080</v>
      </c>
      <c r="AK30" s="225" t="s">
        <v>109</v>
      </c>
      <c r="AL30" s="225" t="s">
        <v>1069</v>
      </c>
      <c r="AM30" s="202"/>
      <c r="AN30" s="77"/>
      <c r="AO30" s="202"/>
      <c r="AP30" s="202"/>
      <c r="AQ30" s="202"/>
      <c r="AR30" s="202"/>
      <c r="AS30" s="202"/>
      <c r="AT30" s="202"/>
      <c r="AU30" s="202"/>
      <c r="AV30" s="202"/>
      <c r="AW30" s="202"/>
      <c r="AX30" s="202"/>
      <c r="AY30" s="202"/>
    </row>
    <row r="31" spans="1:51" ht="25.5" x14ac:dyDescent="0.2">
      <c r="A31" s="76">
        <v>1</v>
      </c>
      <c r="B31" s="77" t="s">
        <v>1305</v>
      </c>
      <c r="C31" s="76" t="s">
        <v>146</v>
      </c>
      <c r="D31" s="76">
        <v>0</v>
      </c>
      <c r="E31" s="76">
        <v>0</v>
      </c>
      <c r="F31" s="76">
        <v>0</v>
      </c>
      <c r="G31" s="76">
        <v>1</v>
      </c>
      <c r="H31" s="76">
        <v>0</v>
      </c>
      <c r="I31" s="76">
        <v>0</v>
      </c>
      <c r="J31" s="76">
        <v>0</v>
      </c>
      <c r="K31" s="76">
        <v>1</v>
      </c>
      <c r="L31" s="76">
        <v>2</v>
      </c>
      <c r="M31" s="76">
        <v>0</v>
      </c>
      <c r="N31" s="76">
        <v>0</v>
      </c>
      <c r="O31" s="76">
        <v>0</v>
      </c>
      <c r="P31" s="76">
        <v>0</v>
      </c>
      <c r="Q31" s="76">
        <v>0</v>
      </c>
      <c r="R31" s="76">
        <v>0.4</v>
      </c>
      <c r="S31" s="76">
        <v>2</v>
      </c>
      <c r="T31" s="76">
        <v>1</v>
      </c>
      <c r="U31" s="77" t="s">
        <v>1305</v>
      </c>
      <c r="V31" s="76" t="s">
        <v>146</v>
      </c>
      <c r="W31" s="76">
        <v>0</v>
      </c>
      <c r="X31" s="76">
        <v>0</v>
      </c>
      <c r="Y31" s="76">
        <v>0</v>
      </c>
      <c r="Z31" s="76">
        <v>0</v>
      </c>
      <c r="AA31" s="76">
        <v>1</v>
      </c>
      <c r="AB31" s="76">
        <v>0</v>
      </c>
      <c r="AC31" s="76">
        <v>0</v>
      </c>
      <c r="AD31" s="76">
        <v>0</v>
      </c>
      <c r="AE31" s="76">
        <v>3</v>
      </c>
      <c r="AF31" s="76">
        <v>0</v>
      </c>
      <c r="AG31" s="76">
        <v>0</v>
      </c>
      <c r="AH31" s="76">
        <v>0</v>
      </c>
      <c r="AI31" s="76">
        <v>0</v>
      </c>
      <c r="AJ31" s="76">
        <v>0</v>
      </c>
      <c r="AK31" s="76">
        <v>5</v>
      </c>
      <c r="AL31" s="76">
        <v>12</v>
      </c>
      <c r="AM31" s="202"/>
      <c r="AN31" s="77"/>
      <c r="AO31" s="202"/>
      <c r="AP31" s="202"/>
      <c r="AQ31" s="202"/>
      <c r="AR31" s="202"/>
      <c r="AS31" s="202"/>
      <c r="AT31" s="202"/>
      <c r="AU31" s="202"/>
      <c r="AV31" s="202"/>
      <c r="AW31" s="202"/>
      <c r="AX31" s="202"/>
      <c r="AY31" s="202"/>
    </row>
    <row r="32" spans="1:51" x14ac:dyDescent="0.2">
      <c r="A32" s="76">
        <v>1</v>
      </c>
      <c r="B32" s="77" t="s">
        <v>1306</v>
      </c>
      <c r="C32" s="76" t="s">
        <v>146</v>
      </c>
      <c r="D32" s="76">
        <v>1</v>
      </c>
      <c r="E32" s="76">
        <v>0</v>
      </c>
      <c r="F32" s="76">
        <v>0</v>
      </c>
      <c r="G32" s="76">
        <v>7</v>
      </c>
      <c r="H32" s="76">
        <v>0</v>
      </c>
      <c r="I32" s="76">
        <v>0</v>
      </c>
      <c r="J32" s="76">
        <v>0</v>
      </c>
      <c r="K32" s="76">
        <v>6</v>
      </c>
      <c r="L32" s="76">
        <v>6</v>
      </c>
      <c r="M32" s="76">
        <v>0</v>
      </c>
      <c r="N32" s="76">
        <v>0</v>
      </c>
      <c r="O32" s="76">
        <v>0</v>
      </c>
      <c r="P32" s="76">
        <v>2</v>
      </c>
      <c r="Q32" s="76">
        <v>5</v>
      </c>
      <c r="R32" s="76">
        <v>0.27300000000000002</v>
      </c>
      <c r="S32" s="76">
        <v>1.33</v>
      </c>
      <c r="T32" s="76">
        <v>1</v>
      </c>
      <c r="U32" s="77" t="s">
        <v>1306</v>
      </c>
      <c r="V32" s="76" t="s">
        <v>146</v>
      </c>
      <c r="W32" s="76">
        <v>0</v>
      </c>
      <c r="X32" s="76">
        <v>0</v>
      </c>
      <c r="Y32" s="76">
        <v>0</v>
      </c>
      <c r="Z32" s="76">
        <v>0</v>
      </c>
      <c r="AA32" s="76">
        <v>1</v>
      </c>
      <c r="AB32" s="76">
        <v>1</v>
      </c>
      <c r="AC32" s="76">
        <v>0</v>
      </c>
      <c r="AD32" s="76">
        <v>5</v>
      </c>
      <c r="AE32" s="76">
        <v>7</v>
      </c>
      <c r="AF32" s="76">
        <v>1</v>
      </c>
      <c r="AG32" s="76">
        <v>0</v>
      </c>
      <c r="AH32" s="76">
        <v>0</v>
      </c>
      <c r="AI32" s="76">
        <v>0</v>
      </c>
      <c r="AJ32" s="76">
        <v>0</v>
      </c>
      <c r="AK32" s="76">
        <v>25</v>
      </c>
      <c r="AL32" s="76">
        <v>98</v>
      </c>
      <c r="AM32" s="202"/>
      <c r="AN32" s="77"/>
      <c r="AO32" s="202"/>
      <c r="AP32" s="202"/>
      <c r="AQ32" s="202"/>
      <c r="AR32" s="202"/>
      <c r="AS32" s="202"/>
      <c r="AT32" s="202"/>
      <c r="AU32" s="202"/>
      <c r="AV32" s="202"/>
      <c r="AW32" s="202"/>
      <c r="AX32" s="202"/>
      <c r="AY32" s="202"/>
    </row>
    <row r="33" spans="1:51" x14ac:dyDescent="0.2">
      <c r="A33" s="76">
        <v>1</v>
      </c>
      <c r="B33" s="77" t="s">
        <v>798</v>
      </c>
      <c r="C33" s="76" t="s">
        <v>146</v>
      </c>
      <c r="D33" s="76">
        <v>0</v>
      </c>
      <c r="E33" s="76">
        <v>0</v>
      </c>
      <c r="F33" s="76">
        <v>0</v>
      </c>
      <c r="G33" s="76">
        <v>3</v>
      </c>
      <c r="H33" s="76">
        <v>0</v>
      </c>
      <c r="I33" s="76">
        <v>0</v>
      </c>
      <c r="J33" s="76">
        <v>0</v>
      </c>
      <c r="K33" s="76">
        <v>2.2000000000000002</v>
      </c>
      <c r="L33" s="76">
        <v>2</v>
      </c>
      <c r="M33" s="76">
        <v>1</v>
      </c>
      <c r="N33" s="76">
        <v>0</v>
      </c>
      <c r="O33" s="76">
        <v>0</v>
      </c>
      <c r="P33" s="76">
        <v>1</v>
      </c>
      <c r="Q33" s="76">
        <v>2</v>
      </c>
      <c r="R33" s="76">
        <v>0.2</v>
      </c>
      <c r="S33" s="76">
        <v>1.1299999999999999</v>
      </c>
      <c r="T33" s="76">
        <v>1</v>
      </c>
      <c r="U33" s="77" t="s">
        <v>798</v>
      </c>
      <c r="V33" s="76" t="s">
        <v>146</v>
      </c>
      <c r="W33" s="76">
        <v>0</v>
      </c>
      <c r="X33" s="76">
        <v>0</v>
      </c>
      <c r="Y33" s="76">
        <v>0</v>
      </c>
      <c r="Z33" s="76">
        <v>0</v>
      </c>
      <c r="AA33" s="76">
        <v>0</v>
      </c>
      <c r="AB33" s="76">
        <v>0</v>
      </c>
      <c r="AC33" s="76">
        <v>1</v>
      </c>
      <c r="AD33" s="76">
        <v>4</v>
      </c>
      <c r="AE33" s="76">
        <v>2</v>
      </c>
      <c r="AF33" s="76">
        <v>0</v>
      </c>
      <c r="AG33" s="76">
        <v>0</v>
      </c>
      <c r="AH33" s="76">
        <v>0</v>
      </c>
      <c r="AI33" s="76">
        <v>0</v>
      </c>
      <c r="AJ33" s="76">
        <v>0</v>
      </c>
      <c r="AK33" s="76">
        <v>11</v>
      </c>
      <c r="AL33" s="76">
        <v>48</v>
      </c>
      <c r="AM33" s="202"/>
      <c r="AN33" s="77"/>
      <c r="AO33" s="202"/>
      <c r="AP33" s="202"/>
      <c r="AQ33" s="202"/>
      <c r="AR33" s="202"/>
      <c r="AS33" s="202"/>
      <c r="AT33" s="202"/>
      <c r="AU33" s="202"/>
      <c r="AV33" s="202"/>
      <c r="AW33" s="202"/>
      <c r="AX33" s="202"/>
      <c r="AY33" s="202"/>
    </row>
    <row r="34" spans="1:51" x14ac:dyDescent="0.2">
      <c r="A34" s="76">
        <v>4</v>
      </c>
      <c r="B34" s="77" t="s">
        <v>320</v>
      </c>
      <c r="C34" s="76" t="s">
        <v>146</v>
      </c>
      <c r="D34" s="76">
        <v>2</v>
      </c>
      <c r="E34" s="76">
        <v>4</v>
      </c>
      <c r="F34" s="76">
        <v>1.52</v>
      </c>
      <c r="G34" s="76">
        <v>33</v>
      </c>
      <c r="H34" s="76">
        <v>0</v>
      </c>
      <c r="I34" s="76">
        <v>4</v>
      </c>
      <c r="J34" s="76">
        <v>8</v>
      </c>
      <c r="K34" s="76">
        <v>29.2</v>
      </c>
      <c r="L34" s="76">
        <v>26</v>
      </c>
      <c r="M34" s="76">
        <v>8</v>
      </c>
      <c r="N34" s="76">
        <v>5</v>
      </c>
      <c r="O34" s="76">
        <v>1</v>
      </c>
      <c r="P34" s="76">
        <v>11</v>
      </c>
      <c r="Q34" s="76">
        <v>31</v>
      </c>
      <c r="R34" s="76">
        <v>0.23400000000000001</v>
      </c>
      <c r="S34" s="76">
        <v>1.25</v>
      </c>
      <c r="T34" s="76">
        <v>4</v>
      </c>
      <c r="U34" s="77" t="s">
        <v>320</v>
      </c>
      <c r="V34" s="76" t="s">
        <v>146</v>
      </c>
      <c r="W34" s="76">
        <v>0</v>
      </c>
      <c r="X34" s="76">
        <v>0</v>
      </c>
      <c r="Y34" s="76">
        <v>1</v>
      </c>
      <c r="Z34" s="76">
        <v>2</v>
      </c>
      <c r="AA34" s="76">
        <v>12</v>
      </c>
      <c r="AB34" s="76">
        <v>8</v>
      </c>
      <c r="AC34" s="76">
        <v>6</v>
      </c>
      <c r="AD34" s="76">
        <v>39</v>
      </c>
      <c r="AE34" s="76">
        <v>16</v>
      </c>
      <c r="AF34" s="76">
        <v>1</v>
      </c>
      <c r="AG34" s="76">
        <v>0</v>
      </c>
      <c r="AH34" s="76">
        <v>0</v>
      </c>
      <c r="AI34" s="76">
        <v>0</v>
      </c>
      <c r="AJ34" s="76">
        <v>0</v>
      </c>
      <c r="AK34" s="76">
        <v>124</v>
      </c>
      <c r="AL34" s="76">
        <v>444</v>
      </c>
      <c r="AM34" s="202"/>
      <c r="AN34" s="77"/>
      <c r="AO34" s="202"/>
      <c r="AP34" s="202"/>
      <c r="AQ34" s="202"/>
      <c r="AR34" s="202"/>
      <c r="AS34" s="202"/>
      <c r="AT34" s="202"/>
      <c r="AU34" s="202"/>
      <c r="AV34" s="202"/>
      <c r="AW34" s="202"/>
      <c r="AX34" s="202"/>
      <c r="AY34" s="202"/>
    </row>
    <row r="35" spans="1:51" ht="25.5" x14ac:dyDescent="0.2">
      <c r="A35" s="76">
        <v>5</v>
      </c>
      <c r="B35" s="77" t="s">
        <v>447</v>
      </c>
      <c r="C35" s="76" t="s">
        <v>146</v>
      </c>
      <c r="D35" s="76">
        <v>4</v>
      </c>
      <c r="E35" s="76">
        <v>1</v>
      </c>
      <c r="F35" s="76">
        <v>2.65</v>
      </c>
      <c r="G35" s="76">
        <v>38</v>
      </c>
      <c r="H35" s="76">
        <v>0</v>
      </c>
      <c r="I35" s="76">
        <v>0</v>
      </c>
      <c r="J35" s="76">
        <v>2</v>
      </c>
      <c r="K35" s="76">
        <v>51</v>
      </c>
      <c r="L35" s="76">
        <v>51</v>
      </c>
      <c r="M35" s="76">
        <v>23</v>
      </c>
      <c r="N35" s="76">
        <v>15</v>
      </c>
      <c r="O35" s="76">
        <v>6</v>
      </c>
      <c r="P35" s="76">
        <v>17</v>
      </c>
      <c r="Q35" s="76">
        <v>47</v>
      </c>
      <c r="R35" s="76">
        <v>0.249</v>
      </c>
      <c r="S35" s="76">
        <v>1.33</v>
      </c>
      <c r="T35" s="76">
        <v>5</v>
      </c>
      <c r="U35" s="77" t="s">
        <v>447</v>
      </c>
      <c r="V35" s="76" t="s">
        <v>146</v>
      </c>
      <c r="W35" s="76">
        <v>0</v>
      </c>
      <c r="X35" s="76">
        <v>0</v>
      </c>
      <c r="Y35" s="76">
        <v>0</v>
      </c>
      <c r="Z35" s="76">
        <v>1</v>
      </c>
      <c r="AA35" s="76">
        <v>8</v>
      </c>
      <c r="AB35" s="76">
        <v>6</v>
      </c>
      <c r="AC35" s="76">
        <v>2</v>
      </c>
      <c r="AD35" s="76">
        <v>44</v>
      </c>
      <c r="AE35" s="76">
        <v>64</v>
      </c>
      <c r="AF35" s="76">
        <v>0</v>
      </c>
      <c r="AG35" s="76">
        <v>0</v>
      </c>
      <c r="AH35" s="76">
        <v>6</v>
      </c>
      <c r="AI35" s="76">
        <v>1</v>
      </c>
      <c r="AJ35" s="76">
        <v>0</v>
      </c>
      <c r="AK35" s="76">
        <v>223</v>
      </c>
      <c r="AL35" s="76">
        <v>862</v>
      </c>
      <c r="AM35" s="202"/>
      <c r="AN35" s="77"/>
      <c r="AO35" s="202"/>
      <c r="AP35" s="202"/>
      <c r="AQ35" s="202"/>
      <c r="AR35" s="202"/>
      <c r="AS35" s="202"/>
      <c r="AT35" s="202"/>
      <c r="AU35" s="202"/>
      <c r="AV35" s="202"/>
      <c r="AW35" s="202"/>
      <c r="AX35" s="202"/>
      <c r="AY35" s="202"/>
    </row>
    <row r="36" spans="1:51" ht="25.5" x14ac:dyDescent="0.2">
      <c r="A36" s="76">
        <v>6</v>
      </c>
      <c r="B36" s="77" t="s">
        <v>542</v>
      </c>
      <c r="C36" s="76" t="s">
        <v>146</v>
      </c>
      <c r="D36" s="76">
        <v>22</v>
      </c>
      <c r="E36" s="76">
        <v>4</v>
      </c>
      <c r="F36" s="76">
        <v>3.15</v>
      </c>
      <c r="G36" s="76">
        <v>33</v>
      </c>
      <c r="H36" s="76">
        <v>33</v>
      </c>
      <c r="I36" s="76">
        <v>0</v>
      </c>
      <c r="J36" s="76">
        <v>0</v>
      </c>
      <c r="K36" s="76">
        <v>223</v>
      </c>
      <c r="L36" s="76">
        <v>193</v>
      </c>
      <c r="M36" s="76">
        <v>85</v>
      </c>
      <c r="N36" s="76">
        <v>78</v>
      </c>
      <c r="O36" s="76">
        <v>23</v>
      </c>
      <c r="P36" s="76">
        <v>32</v>
      </c>
      <c r="Q36" s="76">
        <v>189</v>
      </c>
      <c r="R36" s="76">
        <v>0.23</v>
      </c>
      <c r="S36" s="76">
        <v>1.01</v>
      </c>
      <c r="T36" s="76">
        <v>6</v>
      </c>
      <c r="U36" s="77" t="s">
        <v>542</v>
      </c>
      <c r="V36" s="76" t="s">
        <v>146</v>
      </c>
      <c r="W36" s="76">
        <v>3</v>
      </c>
      <c r="X36" s="76">
        <v>0</v>
      </c>
      <c r="Y36" s="76">
        <v>13</v>
      </c>
      <c r="Z36" s="76">
        <v>0</v>
      </c>
      <c r="AA36" s="76">
        <v>0</v>
      </c>
      <c r="AB36" s="76">
        <v>0</v>
      </c>
      <c r="AC36" s="76">
        <v>16</v>
      </c>
      <c r="AD36" s="76">
        <v>232</v>
      </c>
      <c r="AE36" s="76">
        <v>231</v>
      </c>
      <c r="AF36" s="76">
        <v>3</v>
      </c>
      <c r="AG36" s="76">
        <v>0</v>
      </c>
      <c r="AH36" s="76">
        <v>7</v>
      </c>
      <c r="AI36" s="76">
        <v>3</v>
      </c>
      <c r="AJ36" s="76">
        <v>0</v>
      </c>
      <c r="AK36" s="76">
        <v>890</v>
      </c>
      <c r="AL36" s="76">
        <v>3410</v>
      </c>
      <c r="AM36" s="202"/>
      <c r="AN36" s="77"/>
      <c r="AO36" s="202"/>
      <c r="AP36" s="202"/>
      <c r="AQ36" s="202"/>
      <c r="AR36" s="202"/>
      <c r="AS36" s="202"/>
      <c r="AT36" s="202"/>
      <c r="AU36" s="202"/>
      <c r="AV36" s="202"/>
      <c r="AW36" s="202"/>
      <c r="AX36" s="202"/>
      <c r="AY36" s="202"/>
    </row>
    <row r="37" spans="1:51" x14ac:dyDescent="0.2">
      <c r="A37" s="76">
        <v>7</v>
      </c>
      <c r="B37" s="77" t="s">
        <v>1174</v>
      </c>
      <c r="C37" s="76" t="s">
        <v>146</v>
      </c>
      <c r="D37" s="76">
        <v>3</v>
      </c>
      <c r="E37" s="76">
        <v>2</v>
      </c>
      <c r="F37" s="76">
        <v>3.25</v>
      </c>
      <c r="G37" s="76">
        <v>54</v>
      </c>
      <c r="H37" s="76">
        <v>0</v>
      </c>
      <c r="I37" s="76">
        <v>0</v>
      </c>
      <c r="J37" s="76">
        <v>0</v>
      </c>
      <c r="K37" s="76">
        <v>55.1</v>
      </c>
      <c r="L37" s="76">
        <v>47</v>
      </c>
      <c r="M37" s="76">
        <v>21</v>
      </c>
      <c r="N37" s="76">
        <v>20</v>
      </c>
      <c r="O37" s="76">
        <v>2</v>
      </c>
      <c r="P37" s="76">
        <v>23</v>
      </c>
      <c r="Q37" s="76">
        <v>56</v>
      </c>
      <c r="R37" s="76">
        <v>0.22800000000000001</v>
      </c>
      <c r="S37" s="76">
        <v>1.27</v>
      </c>
      <c r="T37" s="76">
        <v>7</v>
      </c>
      <c r="U37" s="77" t="s">
        <v>1174</v>
      </c>
      <c r="V37" s="76" t="s">
        <v>146</v>
      </c>
      <c r="W37" s="76">
        <v>0</v>
      </c>
      <c r="X37" s="76">
        <v>0</v>
      </c>
      <c r="Y37" s="76">
        <v>8</v>
      </c>
      <c r="Z37" s="76">
        <v>0</v>
      </c>
      <c r="AA37" s="76">
        <v>8</v>
      </c>
      <c r="AB37" s="76">
        <v>8</v>
      </c>
      <c r="AC37" s="76">
        <v>6</v>
      </c>
      <c r="AD37" s="76">
        <v>61</v>
      </c>
      <c r="AE37" s="76">
        <v>43</v>
      </c>
      <c r="AF37" s="76">
        <v>7</v>
      </c>
      <c r="AG37" s="76">
        <v>0</v>
      </c>
      <c r="AH37" s="76">
        <v>0</v>
      </c>
      <c r="AI37" s="76">
        <v>1</v>
      </c>
      <c r="AJ37" s="76">
        <v>0</v>
      </c>
      <c r="AK37" s="76">
        <v>238</v>
      </c>
      <c r="AL37" s="76">
        <v>966</v>
      </c>
      <c r="AM37" s="202"/>
      <c r="AN37" s="77"/>
      <c r="AO37" s="202"/>
      <c r="AP37" s="202"/>
      <c r="AQ37" s="202"/>
      <c r="AR37" s="202"/>
      <c r="AS37" s="202"/>
      <c r="AT37" s="202"/>
      <c r="AU37" s="202"/>
      <c r="AV37" s="202"/>
      <c r="AW37" s="202"/>
      <c r="AX37" s="202"/>
      <c r="AY37" s="202"/>
    </row>
    <row r="38" spans="1:51" x14ac:dyDescent="0.2">
      <c r="A38" s="76">
        <v>8</v>
      </c>
      <c r="B38" s="77" t="s">
        <v>508</v>
      </c>
      <c r="C38" s="76" t="s">
        <v>146</v>
      </c>
      <c r="D38" s="76">
        <v>13</v>
      </c>
      <c r="E38" s="76">
        <v>6</v>
      </c>
      <c r="F38" s="76">
        <v>3.33</v>
      </c>
      <c r="G38" s="76">
        <v>24</v>
      </c>
      <c r="H38" s="76">
        <v>24</v>
      </c>
      <c r="I38" s="76">
        <v>0</v>
      </c>
      <c r="J38" s="76">
        <v>0</v>
      </c>
      <c r="K38" s="76">
        <v>156.19999999999999</v>
      </c>
      <c r="L38" s="76">
        <v>138</v>
      </c>
      <c r="M38" s="76">
        <v>74</v>
      </c>
      <c r="N38" s="76">
        <v>58</v>
      </c>
      <c r="O38" s="76">
        <v>12</v>
      </c>
      <c r="P38" s="76">
        <v>57</v>
      </c>
      <c r="Q38" s="76">
        <v>127</v>
      </c>
      <c r="R38" s="76">
        <v>0.23499999999999999</v>
      </c>
      <c r="S38" s="76">
        <v>1.24</v>
      </c>
      <c r="T38" s="76">
        <v>8</v>
      </c>
      <c r="U38" s="77" t="s">
        <v>508</v>
      </c>
      <c r="V38" s="76" t="s">
        <v>146</v>
      </c>
      <c r="W38" s="76">
        <v>4</v>
      </c>
      <c r="X38" s="76">
        <v>1</v>
      </c>
      <c r="Y38" s="76">
        <v>8</v>
      </c>
      <c r="Z38" s="76">
        <v>1</v>
      </c>
      <c r="AA38" s="76">
        <v>0</v>
      </c>
      <c r="AB38" s="76">
        <v>0</v>
      </c>
      <c r="AC38" s="76">
        <v>16</v>
      </c>
      <c r="AD38" s="76">
        <v>157</v>
      </c>
      <c r="AE38" s="76">
        <v>169</v>
      </c>
      <c r="AF38" s="76">
        <v>10</v>
      </c>
      <c r="AG38" s="76">
        <v>0</v>
      </c>
      <c r="AH38" s="76">
        <v>8</v>
      </c>
      <c r="AI38" s="76">
        <v>4</v>
      </c>
      <c r="AJ38" s="76">
        <v>1</v>
      </c>
      <c r="AK38" s="76">
        <v>656</v>
      </c>
      <c r="AL38" s="76">
        <v>2496</v>
      </c>
      <c r="AM38" s="202"/>
      <c r="AN38" s="77"/>
      <c r="AO38" s="202"/>
      <c r="AP38" s="202"/>
      <c r="AQ38" s="202"/>
      <c r="AR38" s="202"/>
      <c r="AS38" s="202"/>
      <c r="AT38" s="202"/>
      <c r="AU38" s="202"/>
      <c r="AV38" s="202"/>
      <c r="AW38" s="202"/>
      <c r="AX38" s="202"/>
      <c r="AY38" s="202"/>
    </row>
    <row r="39" spans="1:51" ht="25.5" x14ac:dyDescent="0.2">
      <c r="A39" s="76">
        <v>9</v>
      </c>
      <c r="B39" s="77" t="s">
        <v>332</v>
      </c>
      <c r="C39" s="76" t="s">
        <v>146</v>
      </c>
      <c r="D39" s="76">
        <v>2</v>
      </c>
      <c r="E39" s="76">
        <v>6</v>
      </c>
      <c r="F39" s="76">
        <v>3.4</v>
      </c>
      <c r="G39" s="76">
        <v>57</v>
      </c>
      <c r="H39" s="76">
        <v>0</v>
      </c>
      <c r="I39" s="76">
        <v>31</v>
      </c>
      <c r="J39" s="76">
        <v>33</v>
      </c>
      <c r="K39" s="76">
        <v>53</v>
      </c>
      <c r="L39" s="76">
        <v>28</v>
      </c>
      <c r="M39" s="76">
        <v>22</v>
      </c>
      <c r="N39" s="76">
        <v>20</v>
      </c>
      <c r="O39" s="76">
        <v>4</v>
      </c>
      <c r="P39" s="76">
        <v>30</v>
      </c>
      <c r="Q39" s="76">
        <v>83</v>
      </c>
      <c r="R39" s="76">
        <v>0.152</v>
      </c>
      <c r="S39" s="76">
        <v>1.0900000000000001</v>
      </c>
      <c r="T39" s="76">
        <v>9</v>
      </c>
      <c r="U39" s="77" t="s">
        <v>332</v>
      </c>
      <c r="V39" s="76" t="s">
        <v>146</v>
      </c>
      <c r="W39" s="76">
        <v>0</v>
      </c>
      <c r="X39" s="76">
        <v>0</v>
      </c>
      <c r="Y39" s="76">
        <v>4</v>
      </c>
      <c r="Z39" s="76">
        <v>0</v>
      </c>
      <c r="AA39" s="76">
        <v>47</v>
      </c>
      <c r="AB39" s="76">
        <v>1</v>
      </c>
      <c r="AC39" s="76">
        <v>3</v>
      </c>
      <c r="AD39" s="76">
        <v>25</v>
      </c>
      <c r="AE39" s="76">
        <v>50</v>
      </c>
      <c r="AF39" s="76">
        <v>6</v>
      </c>
      <c r="AG39" s="76">
        <v>0</v>
      </c>
      <c r="AH39" s="76">
        <v>2</v>
      </c>
      <c r="AI39" s="76">
        <v>0</v>
      </c>
      <c r="AJ39" s="76">
        <v>0</v>
      </c>
      <c r="AK39" s="76">
        <v>220</v>
      </c>
      <c r="AL39" s="76">
        <v>935</v>
      </c>
      <c r="AM39" s="202"/>
      <c r="AN39" s="77"/>
      <c r="AO39" s="202"/>
      <c r="AP39" s="202"/>
      <c r="AQ39" s="202"/>
      <c r="AR39" s="202"/>
      <c r="AS39" s="202"/>
      <c r="AT39" s="202"/>
      <c r="AU39" s="202"/>
      <c r="AV39" s="202"/>
      <c r="AW39" s="202"/>
      <c r="AX39" s="202"/>
      <c r="AY39" s="202"/>
    </row>
    <row r="40" spans="1:51" ht="25.5" x14ac:dyDescent="0.2">
      <c r="A40" s="76">
        <v>10</v>
      </c>
      <c r="B40" s="77" t="s">
        <v>496</v>
      </c>
      <c r="C40" s="76" t="s">
        <v>146</v>
      </c>
      <c r="D40" s="76">
        <v>2</v>
      </c>
      <c r="E40" s="76">
        <v>3</v>
      </c>
      <c r="F40" s="76">
        <v>3.45</v>
      </c>
      <c r="G40" s="76">
        <v>50</v>
      </c>
      <c r="H40" s="76">
        <v>0</v>
      </c>
      <c r="I40" s="76">
        <v>7</v>
      </c>
      <c r="J40" s="76">
        <v>9</v>
      </c>
      <c r="K40" s="76">
        <v>47</v>
      </c>
      <c r="L40" s="76">
        <v>34</v>
      </c>
      <c r="M40" s="76">
        <v>18</v>
      </c>
      <c r="N40" s="76">
        <v>18</v>
      </c>
      <c r="O40" s="76">
        <v>8</v>
      </c>
      <c r="P40" s="76">
        <v>11</v>
      </c>
      <c r="Q40" s="76">
        <v>63</v>
      </c>
      <c r="R40" s="76">
        <v>0.2</v>
      </c>
      <c r="S40" s="76">
        <v>0.96</v>
      </c>
      <c r="T40" s="76">
        <v>10</v>
      </c>
      <c r="U40" s="77" t="s">
        <v>496</v>
      </c>
      <c r="V40" s="76" t="s">
        <v>146</v>
      </c>
      <c r="W40" s="76">
        <v>0</v>
      </c>
      <c r="X40" s="76">
        <v>0</v>
      </c>
      <c r="Y40" s="76">
        <v>2</v>
      </c>
      <c r="Z40" s="76">
        <v>1</v>
      </c>
      <c r="AA40" s="76">
        <v>12</v>
      </c>
      <c r="AB40" s="76">
        <v>18</v>
      </c>
      <c r="AC40" s="76">
        <v>2</v>
      </c>
      <c r="AD40" s="76">
        <v>20</v>
      </c>
      <c r="AE40" s="76">
        <v>54</v>
      </c>
      <c r="AF40" s="76">
        <v>1</v>
      </c>
      <c r="AG40" s="76">
        <v>0</v>
      </c>
      <c r="AH40" s="76">
        <v>1</v>
      </c>
      <c r="AI40" s="76">
        <v>0</v>
      </c>
      <c r="AJ40" s="76">
        <v>0</v>
      </c>
      <c r="AK40" s="76">
        <v>184</v>
      </c>
      <c r="AL40" s="76">
        <v>769</v>
      </c>
      <c r="AM40" s="202"/>
      <c r="AN40" s="77"/>
      <c r="AO40" s="202"/>
      <c r="AP40" s="202"/>
      <c r="AQ40" s="202"/>
      <c r="AR40" s="202"/>
      <c r="AS40" s="202"/>
      <c r="AT40" s="202"/>
      <c r="AU40" s="202"/>
      <c r="AV40" s="202"/>
      <c r="AW40" s="202"/>
      <c r="AX40" s="202"/>
      <c r="AY40" s="202"/>
    </row>
    <row r="41" spans="1:51" ht="25.5" x14ac:dyDescent="0.2">
      <c r="A41" s="76">
        <v>11</v>
      </c>
      <c r="B41" s="77" t="s">
        <v>1307</v>
      </c>
      <c r="C41" s="76" t="s">
        <v>146</v>
      </c>
      <c r="D41" s="76">
        <v>0</v>
      </c>
      <c r="E41" s="76">
        <v>1</v>
      </c>
      <c r="F41" s="76">
        <v>3.6</v>
      </c>
      <c r="G41" s="76">
        <v>3</v>
      </c>
      <c r="H41" s="76">
        <v>0</v>
      </c>
      <c r="I41" s="76">
        <v>0</v>
      </c>
      <c r="J41" s="76">
        <v>0</v>
      </c>
      <c r="K41" s="76">
        <v>5</v>
      </c>
      <c r="L41" s="76">
        <v>5</v>
      </c>
      <c r="M41" s="76">
        <v>2</v>
      </c>
      <c r="N41" s="76">
        <v>2</v>
      </c>
      <c r="O41" s="76">
        <v>0</v>
      </c>
      <c r="P41" s="76">
        <v>6</v>
      </c>
      <c r="Q41" s="76">
        <v>3</v>
      </c>
      <c r="R41" s="76">
        <v>0.29399999999999998</v>
      </c>
      <c r="S41" s="76">
        <v>2.2000000000000002</v>
      </c>
      <c r="T41" s="76">
        <v>11</v>
      </c>
      <c r="U41" s="77" t="s">
        <v>1307</v>
      </c>
      <c r="V41" s="76" t="s">
        <v>146</v>
      </c>
      <c r="W41" s="76">
        <v>0</v>
      </c>
      <c r="X41" s="76">
        <v>0</v>
      </c>
      <c r="Y41" s="76">
        <v>0</v>
      </c>
      <c r="Z41" s="76">
        <v>0</v>
      </c>
      <c r="AA41" s="76">
        <v>2</v>
      </c>
      <c r="AB41" s="76">
        <v>0</v>
      </c>
      <c r="AC41" s="76">
        <v>0</v>
      </c>
      <c r="AD41" s="76">
        <v>3</v>
      </c>
      <c r="AE41" s="76">
        <v>7</v>
      </c>
      <c r="AF41" s="76">
        <v>0</v>
      </c>
      <c r="AG41" s="76">
        <v>0</v>
      </c>
      <c r="AH41" s="76">
        <v>0</v>
      </c>
      <c r="AI41" s="76">
        <v>0</v>
      </c>
      <c r="AJ41" s="76">
        <v>0</v>
      </c>
      <c r="AK41" s="76">
        <v>24</v>
      </c>
      <c r="AL41" s="76">
        <v>98</v>
      </c>
      <c r="AM41" s="202"/>
      <c r="AN41" s="77"/>
      <c r="AO41" s="202"/>
      <c r="AP41" s="202"/>
      <c r="AQ41" s="202"/>
      <c r="AR41" s="202"/>
      <c r="AS41" s="202"/>
      <c r="AT41" s="202"/>
      <c r="AU41" s="202"/>
      <c r="AV41" s="202"/>
      <c r="AW41" s="202"/>
      <c r="AX41" s="202"/>
      <c r="AY41" s="202"/>
    </row>
    <row r="42" spans="1:51" x14ac:dyDescent="0.2">
      <c r="A42" s="76">
        <v>12</v>
      </c>
      <c r="B42" s="77" t="s">
        <v>437</v>
      </c>
      <c r="C42" s="76" t="s">
        <v>146</v>
      </c>
      <c r="D42" s="76">
        <v>0</v>
      </c>
      <c r="E42" s="76">
        <v>1</v>
      </c>
      <c r="F42" s="76">
        <v>3.77</v>
      </c>
      <c r="G42" s="76">
        <v>34</v>
      </c>
      <c r="H42" s="76">
        <v>0</v>
      </c>
      <c r="I42" s="76">
        <v>0</v>
      </c>
      <c r="J42" s="76">
        <v>1</v>
      </c>
      <c r="K42" s="76">
        <v>28.2</v>
      </c>
      <c r="L42" s="76">
        <v>27</v>
      </c>
      <c r="M42" s="76">
        <v>12</v>
      </c>
      <c r="N42" s="76">
        <v>12</v>
      </c>
      <c r="O42" s="76">
        <v>1</v>
      </c>
      <c r="P42" s="76">
        <v>14</v>
      </c>
      <c r="Q42" s="76">
        <v>25</v>
      </c>
      <c r="R42" s="76">
        <v>0.26</v>
      </c>
      <c r="S42" s="76">
        <v>1.43</v>
      </c>
      <c r="T42" s="76">
        <v>12</v>
      </c>
      <c r="U42" s="77" t="s">
        <v>437</v>
      </c>
      <c r="V42" s="76" t="s">
        <v>146</v>
      </c>
      <c r="W42" s="76">
        <v>0</v>
      </c>
      <c r="X42" s="76">
        <v>0</v>
      </c>
      <c r="Y42" s="76">
        <v>1</v>
      </c>
      <c r="Z42" s="76">
        <v>2</v>
      </c>
      <c r="AA42" s="76">
        <v>12</v>
      </c>
      <c r="AB42" s="76">
        <v>2</v>
      </c>
      <c r="AC42" s="76">
        <v>3</v>
      </c>
      <c r="AD42" s="76">
        <v>32</v>
      </c>
      <c r="AE42" s="76">
        <v>21</v>
      </c>
      <c r="AF42" s="76">
        <v>1</v>
      </c>
      <c r="AG42" s="76">
        <v>0</v>
      </c>
      <c r="AH42" s="76">
        <v>1</v>
      </c>
      <c r="AI42" s="76">
        <v>5</v>
      </c>
      <c r="AJ42" s="76">
        <v>1</v>
      </c>
      <c r="AK42" s="76">
        <v>120</v>
      </c>
      <c r="AL42" s="76">
        <v>448</v>
      </c>
      <c r="AM42" s="202"/>
      <c r="AN42" s="77"/>
      <c r="AO42" s="202"/>
      <c r="AP42" s="202"/>
      <c r="AQ42" s="202"/>
      <c r="AR42" s="202"/>
      <c r="AS42" s="202"/>
      <c r="AT42" s="202"/>
      <c r="AU42" s="202"/>
      <c r="AV42" s="202"/>
      <c r="AW42" s="202"/>
      <c r="AX42" s="202"/>
      <c r="AY42" s="202"/>
    </row>
    <row r="43" spans="1:51" x14ac:dyDescent="0.2">
      <c r="A43" s="76">
        <v>13</v>
      </c>
      <c r="B43" s="77" t="s">
        <v>628</v>
      </c>
      <c r="C43" s="76" t="s">
        <v>146</v>
      </c>
      <c r="D43" s="76">
        <v>17</v>
      </c>
      <c r="E43" s="76">
        <v>9</v>
      </c>
      <c r="F43" s="76">
        <v>3.99</v>
      </c>
      <c r="G43" s="76">
        <v>35</v>
      </c>
      <c r="H43" s="76">
        <v>35</v>
      </c>
      <c r="I43" s="76">
        <v>0</v>
      </c>
      <c r="J43" s="76">
        <v>0</v>
      </c>
      <c r="K43" s="76">
        <v>230</v>
      </c>
      <c r="L43" s="76">
        <v>227</v>
      </c>
      <c r="M43" s="76">
        <v>106</v>
      </c>
      <c r="N43" s="76">
        <v>102</v>
      </c>
      <c r="O43" s="76">
        <v>30</v>
      </c>
      <c r="P43" s="76">
        <v>50</v>
      </c>
      <c r="Q43" s="76">
        <v>228</v>
      </c>
      <c r="R43" s="76">
        <v>0.25800000000000001</v>
      </c>
      <c r="S43" s="76">
        <v>1.2</v>
      </c>
      <c r="T43" s="76">
        <v>13</v>
      </c>
      <c r="U43" s="77" t="s">
        <v>628</v>
      </c>
      <c r="V43" s="76" t="s">
        <v>146</v>
      </c>
      <c r="W43" s="76">
        <v>2</v>
      </c>
      <c r="X43" s="76">
        <v>0</v>
      </c>
      <c r="Y43" s="76">
        <v>7</v>
      </c>
      <c r="Z43" s="76">
        <v>1</v>
      </c>
      <c r="AA43" s="76">
        <v>0</v>
      </c>
      <c r="AB43" s="76">
        <v>0</v>
      </c>
      <c r="AC43" s="76">
        <v>19</v>
      </c>
      <c r="AD43" s="76">
        <v>227</v>
      </c>
      <c r="AE43" s="76">
        <v>212</v>
      </c>
      <c r="AF43" s="76">
        <v>4</v>
      </c>
      <c r="AG43" s="76">
        <v>0</v>
      </c>
      <c r="AH43" s="76">
        <v>1</v>
      </c>
      <c r="AI43" s="76">
        <v>2</v>
      </c>
      <c r="AJ43" s="76">
        <v>0</v>
      </c>
      <c r="AK43" s="76">
        <v>951</v>
      </c>
      <c r="AL43" s="76">
        <v>3595</v>
      </c>
      <c r="AM43" s="202"/>
      <c r="AN43" s="77"/>
      <c r="AO43" s="202"/>
      <c r="AP43" s="202"/>
      <c r="AQ43" s="202"/>
      <c r="AR43" s="202"/>
      <c r="AS43" s="202"/>
      <c r="AT43" s="202"/>
      <c r="AU43" s="202"/>
      <c r="AV43" s="202"/>
      <c r="AW43" s="202"/>
      <c r="AX43" s="202"/>
      <c r="AY43" s="202"/>
    </row>
    <row r="44" spans="1:51" ht="25.5" x14ac:dyDescent="0.2">
      <c r="A44" s="76">
        <v>14</v>
      </c>
      <c r="B44" s="77" t="s">
        <v>788</v>
      </c>
      <c r="C44" s="76" t="s">
        <v>146</v>
      </c>
      <c r="D44" s="76">
        <v>4</v>
      </c>
      <c r="E44" s="76">
        <v>3</v>
      </c>
      <c r="F44" s="76">
        <v>4.05</v>
      </c>
      <c r="G44" s="76">
        <v>62</v>
      </c>
      <c r="H44" s="76">
        <v>0</v>
      </c>
      <c r="I44" s="76">
        <v>1</v>
      </c>
      <c r="J44" s="76">
        <v>2</v>
      </c>
      <c r="K44" s="76">
        <v>66.2</v>
      </c>
      <c r="L44" s="76">
        <v>62</v>
      </c>
      <c r="M44" s="76">
        <v>32</v>
      </c>
      <c r="N44" s="76">
        <v>30</v>
      </c>
      <c r="O44" s="76">
        <v>6</v>
      </c>
      <c r="P44" s="76">
        <v>31</v>
      </c>
      <c r="Q44" s="76">
        <v>71</v>
      </c>
      <c r="R44" s="76">
        <v>0.248</v>
      </c>
      <c r="S44" s="76">
        <v>1.4</v>
      </c>
      <c r="T44" s="76">
        <v>14</v>
      </c>
      <c r="U44" s="77" t="s">
        <v>788</v>
      </c>
      <c r="V44" s="76" t="s">
        <v>146</v>
      </c>
      <c r="W44" s="76">
        <v>0</v>
      </c>
      <c r="X44" s="76">
        <v>0</v>
      </c>
      <c r="Y44" s="76">
        <v>3</v>
      </c>
      <c r="Z44" s="76">
        <v>1</v>
      </c>
      <c r="AA44" s="76">
        <v>13</v>
      </c>
      <c r="AB44" s="76">
        <v>16</v>
      </c>
      <c r="AC44" s="76">
        <v>3</v>
      </c>
      <c r="AD44" s="76">
        <v>59</v>
      </c>
      <c r="AE44" s="76">
        <v>61</v>
      </c>
      <c r="AF44" s="76">
        <v>4</v>
      </c>
      <c r="AG44" s="76">
        <v>0</v>
      </c>
      <c r="AH44" s="76">
        <v>7</v>
      </c>
      <c r="AI44" s="76">
        <v>5</v>
      </c>
      <c r="AJ44" s="76">
        <v>0</v>
      </c>
      <c r="AK44" s="76">
        <v>287</v>
      </c>
      <c r="AL44" s="76">
        <v>1195</v>
      </c>
      <c r="AM44" s="202"/>
      <c r="AN44" s="77"/>
      <c r="AO44" s="202"/>
      <c r="AP44" s="202"/>
      <c r="AQ44" s="202"/>
      <c r="AR44" s="202"/>
      <c r="AS44" s="202"/>
      <c r="AT44" s="202"/>
      <c r="AU44" s="202"/>
      <c r="AV44" s="202"/>
      <c r="AW44" s="202"/>
      <c r="AX44" s="202"/>
      <c r="AY44" s="202"/>
    </row>
    <row r="45" spans="1:51" ht="25.5" x14ac:dyDescent="0.2">
      <c r="A45" s="76">
        <v>15</v>
      </c>
      <c r="B45" s="77" t="s">
        <v>500</v>
      </c>
      <c r="C45" s="76" t="s">
        <v>146</v>
      </c>
      <c r="D45" s="76">
        <v>3</v>
      </c>
      <c r="E45" s="76">
        <v>2</v>
      </c>
      <c r="F45" s="76">
        <v>4.17</v>
      </c>
      <c r="G45" s="76">
        <v>53</v>
      </c>
      <c r="H45" s="76">
        <v>0</v>
      </c>
      <c r="I45" s="76">
        <v>0</v>
      </c>
      <c r="J45" s="76">
        <v>2</v>
      </c>
      <c r="K45" s="76">
        <v>49.2</v>
      </c>
      <c r="L45" s="76">
        <v>47</v>
      </c>
      <c r="M45" s="76">
        <v>23</v>
      </c>
      <c r="N45" s="76">
        <v>23</v>
      </c>
      <c r="O45" s="76">
        <v>9</v>
      </c>
      <c r="P45" s="76">
        <v>14</v>
      </c>
      <c r="Q45" s="76">
        <v>54</v>
      </c>
      <c r="R45" s="76">
        <v>0.245</v>
      </c>
      <c r="S45" s="76">
        <v>1.23</v>
      </c>
      <c r="T45" s="76">
        <v>15</v>
      </c>
      <c r="U45" s="77" t="s">
        <v>500</v>
      </c>
      <c r="V45" s="76" t="s">
        <v>146</v>
      </c>
      <c r="W45" s="76">
        <v>0</v>
      </c>
      <c r="X45" s="76">
        <v>0</v>
      </c>
      <c r="Y45" s="76">
        <v>1</v>
      </c>
      <c r="Z45" s="76">
        <v>1</v>
      </c>
      <c r="AA45" s="76">
        <v>5</v>
      </c>
      <c r="AB45" s="76">
        <v>16</v>
      </c>
      <c r="AC45" s="76">
        <v>2</v>
      </c>
      <c r="AD45" s="76">
        <v>36</v>
      </c>
      <c r="AE45" s="76">
        <v>56</v>
      </c>
      <c r="AF45" s="76">
        <v>4</v>
      </c>
      <c r="AG45" s="76">
        <v>0</v>
      </c>
      <c r="AH45" s="76">
        <v>5</v>
      </c>
      <c r="AI45" s="76">
        <v>1</v>
      </c>
      <c r="AJ45" s="76">
        <v>0</v>
      </c>
      <c r="AK45" s="76">
        <v>208</v>
      </c>
      <c r="AL45" s="76">
        <v>838</v>
      </c>
      <c r="AM45" s="202"/>
      <c r="AN45" s="77"/>
      <c r="AO45" s="202"/>
      <c r="AP45" s="202"/>
      <c r="AQ45" s="202"/>
      <c r="AR45" s="202"/>
      <c r="AS45" s="202"/>
      <c r="AT45" s="202"/>
      <c r="AU45" s="202"/>
      <c r="AV45" s="202"/>
      <c r="AW45" s="202"/>
      <c r="AX45" s="202"/>
      <c r="AY45" s="202"/>
    </row>
    <row r="46" spans="1:51" ht="25.5" x14ac:dyDescent="0.2">
      <c r="A46" s="76">
        <v>16</v>
      </c>
      <c r="B46" s="77" t="s">
        <v>372</v>
      </c>
      <c r="C46" s="76" t="s">
        <v>146</v>
      </c>
      <c r="D46" s="76">
        <v>3</v>
      </c>
      <c r="E46" s="76">
        <v>5</v>
      </c>
      <c r="F46" s="76">
        <v>4.59</v>
      </c>
      <c r="G46" s="76">
        <v>14</v>
      </c>
      <c r="H46" s="76">
        <v>13</v>
      </c>
      <c r="I46" s="76">
        <v>0</v>
      </c>
      <c r="J46" s="76">
        <v>0</v>
      </c>
      <c r="K46" s="76">
        <v>68.2</v>
      </c>
      <c r="L46" s="76">
        <v>70</v>
      </c>
      <c r="M46" s="76">
        <v>35</v>
      </c>
      <c r="N46" s="76">
        <v>35</v>
      </c>
      <c r="O46" s="76">
        <v>14</v>
      </c>
      <c r="P46" s="76">
        <v>24</v>
      </c>
      <c r="Q46" s="76">
        <v>71</v>
      </c>
      <c r="R46" s="76">
        <v>0.26200000000000001</v>
      </c>
      <c r="S46" s="76">
        <v>1.37</v>
      </c>
      <c r="T46" s="76">
        <v>16</v>
      </c>
      <c r="U46" s="77" t="s">
        <v>372</v>
      </c>
      <c r="V46" s="76" t="s">
        <v>146</v>
      </c>
      <c r="W46" s="76">
        <v>0</v>
      </c>
      <c r="X46" s="76">
        <v>0</v>
      </c>
      <c r="Y46" s="76">
        <v>0</v>
      </c>
      <c r="Z46" s="76">
        <v>1</v>
      </c>
      <c r="AA46" s="76">
        <v>1</v>
      </c>
      <c r="AB46" s="76">
        <v>0</v>
      </c>
      <c r="AC46" s="76">
        <v>6</v>
      </c>
      <c r="AD46" s="76">
        <v>67</v>
      </c>
      <c r="AE46" s="76">
        <v>60</v>
      </c>
      <c r="AF46" s="76">
        <v>3</v>
      </c>
      <c r="AG46" s="76">
        <v>0</v>
      </c>
      <c r="AH46" s="76">
        <v>3</v>
      </c>
      <c r="AI46" s="76">
        <v>3</v>
      </c>
      <c r="AJ46" s="76">
        <v>1</v>
      </c>
      <c r="AK46" s="76">
        <v>292</v>
      </c>
      <c r="AL46" s="76">
        <v>1143</v>
      </c>
      <c r="AM46" s="202"/>
      <c r="AN46" s="77"/>
      <c r="AO46" s="202"/>
      <c r="AP46" s="202"/>
      <c r="AQ46" s="202"/>
      <c r="AR46" s="202"/>
      <c r="AS46" s="202"/>
      <c r="AT46" s="202"/>
      <c r="AU46" s="202"/>
      <c r="AV46" s="202"/>
      <c r="AW46" s="202"/>
      <c r="AX46" s="202"/>
      <c r="AY46" s="202"/>
    </row>
    <row r="47" spans="1:51" ht="25.5" x14ac:dyDescent="0.2">
      <c r="A47" s="76">
        <v>17</v>
      </c>
      <c r="B47" s="77" t="s">
        <v>1173</v>
      </c>
      <c r="C47" s="76" t="s">
        <v>146</v>
      </c>
      <c r="D47" s="76">
        <v>3</v>
      </c>
      <c r="E47" s="76">
        <v>7</v>
      </c>
      <c r="F47" s="76">
        <v>4.71</v>
      </c>
      <c r="G47" s="76">
        <v>20</v>
      </c>
      <c r="H47" s="76">
        <v>20</v>
      </c>
      <c r="I47" s="76">
        <v>0</v>
      </c>
      <c r="J47" s="76">
        <v>0</v>
      </c>
      <c r="K47" s="76">
        <v>107</v>
      </c>
      <c r="L47" s="76">
        <v>99</v>
      </c>
      <c r="M47" s="76">
        <v>58</v>
      </c>
      <c r="N47" s="76">
        <v>56</v>
      </c>
      <c r="O47" s="76">
        <v>16</v>
      </c>
      <c r="P47" s="76">
        <v>40</v>
      </c>
      <c r="Q47" s="76">
        <v>100</v>
      </c>
      <c r="R47" s="76">
        <v>0.24099999999999999</v>
      </c>
      <c r="S47" s="76">
        <v>1.3</v>
      </c>
      <c r="T47" s="76">
        <v>17</v>
      </c>
      <c r="U47" s="77" t="s">
        <v>1173</v>
      </c>
      <c r="V47" s="76" t="s">
        <v>146</v>
      </c>
      <c r="W47" s="76">
        <v>0</v>
      </c>
      <c r="X47" s="76">
        <v>0</v>
      </c>
      <c r="Y47" s="76">
        <v>3</v>
      </c>
      <c r="Z47" s="76">
        <v>1</v>
      </c>
      <c r="AA47" s="76">
        <v>0</v>
      </c>
      <c r="AB47" s="76">
        <v>0</v>
      </c>
      <c r="AC47" s="76">
        <v>3</v>
      </c>
      <c r="AD47" s="76">
        <v>80</v>
      </c>
      <c r="AE47" s="76">
        <v>136</v>
      </c>
      <c r="AF47" s="76">
        <v>0</v>
      </c>
      <c r="AG47" s="76">
        <v>0</v>
      </c>
      <c r="AH47" s="76">
        <v>2</v>
      </c>
      <c r="AI47" s="76">
        <v>2</v>
      </c>
      <c r="AJ47" s="76">
        <v>0</v>
      </c>
      <c r="AK47" s="76">
        <v>458</v>
      </c>
      <c r="AL47" s="76">
        <v>1854</v>
      </c>
      <c r="AM47" s="202"/>
      <c r="AN47" s="77"/>
      <c r="AO47" s="202"/>
      <c r="AP47" s="202"/>
      <c r="AQ47" s="202"/>
      <c r="AR47" s="202"/>
      <c r="AS47" s="202"/>
      <c r="AT47" s="202"/>
      <c r="AU47" s="202"/>
      <c r="AV47" s="202"/>
      <c r="AW47" s="202"/>
      <c r="AX47" s="202"/>
      <c r="AY47" s="202"/>
    </row>
    <row r="48" spans="1:51" ht="25.5" x14ac:dyDescent="0.2">
      <c r="A48" s="76">
        <v>18</v>
      </c>
      <c r="B48" s="77" t="s">
        <v>497</v>
      </c>
      <c r="C48" s="76" t="s">
        <v>146</v>
      </c>
      <c r="D48" s="76">
        <v>8</v>
      </c>
      <c r="E48" s="76">
        <v>10</v>
      </c>
      <c r="F48" s="76">
        <v>4.78</v>
      </c>
      <c r="G48" s="76">
        <v>37</v>
      </c>
      <c r="H48" s="76">
        <v>21</v>
      </c>
      <c r="I48" s="76">
        <v>0</v>
      </c>
      <c r="J48" s="76">
        <v>0</v>
      </c>
      <c r="K48" s="76">
        <v>139.1</v>
      </c>
      <c r="L48" s="76">
        <v>130</v>
      </c>
      <c r="M48" s="76">
        <v>80</v>
      </c>
      <c r="N48" s="76">
        <v>74</v>
      </c>
      <c r="O48" s="76">
        <v>21</v>
      </c>
      <c r="P48" s="76">
        <v>55</v>
      </c>
      <c r="Q48" s="76">
        <v>93</v>
      </c>
      <c r="R48" s="76">
        <v>0.25</v>
      </c>
      <c r="S48" s="76">
        <v>1.33</v>
      </c>
      <c r="T48" s="76">
        <v>18</v>
      </c>
      <c r="U48" s="77" t="s">
        <v>497</v>
      </c>
      <c r="V48" s="76" t="s">
        <v>146</v>
      </c>
      <c r="W48" s="76">
        <v>0</v>
      </c>
      <c r="X48" s="76">
        <v>0</v>
      </c>
      <c r="Y48" s="76">
        <v>5</v>
      </c>
      <c r="Z48" s="76">
        <v>1</v>
      </c>
      <c r="AA48" s="76">
        <v>7</v>
      </c>
      <c r="AB48" s="76">
        <v>2</v>
      </c>
      <c r="AC48" s="76">
        <v>17</v>
      </c>
      <c r="AD48" s="76">
        <v>140</v>
      </c>
      <c r="AE48" s="76">
        <v>165</v>
      </c>
      <c r="AF48" s="76">
        <v>1</v>
      </c>
      <c r="AG48" s="76">
        <v>0</v>
      </c>
      <c r="AH48" s="76">
        <v>3</v>
      </c>
      <c r="AI48" s="76">
        <v>4</v>
      </c>
      <c r="AJ48" s="76">
        <v>0</v>
      </c>
      <c r="AK48" s="76">
        <v>588</v>
      </c>
      <c r="AL48" s="76">
        <v>2226</v>
      </c>
      <c r="AM48" s="202"/>
      <c r="AN48" s="77"/>
      <c r="AO48" s="202"/>
      <c r="AP48" s="202"/>
      <c r="AQ48" s="202"/>
      <c r="AR48" s="202"/>
      <c r="AS48" s="202"/>
      <c r="AT48" s="202"/>
      <c r="AU48" s="202"/>
      <c r="AV48" s="202"/>
      <c r="AW48" s="202"/>
      <c r="AX48" s="202"/>
      <c r="AY48" s="202"/>
    </row>
    <row r="49" spans="1:51" x14ac:dyDescent="0.2">
      <c r="A49" s="76">
        <v>19</v>
      </c>
      <c r="B49" s="77" t="s">
        <v>463</v>
      </c>
      <c r="C49" s="76" t="s">
        <v>146</v>
      </c>
      <c r="D49" s="76">
        <v>4</v>
      </c>
      <c r="E49" s="76">
        <v>0</v>
      </c>
      <c r="F49" s="76">
        <v>5.18</v>
      </c>
      <c r="G49" s="76">
        <v>20</v>
      </c>
      <c r="H49" s="76">
        <v>6</v>
      </c>
      <c r="I49" s="76">
        <v>0</v>
      </c>
      <c r="J49" s="76">
        <v>1</v>
      </c>
      <c r="K49" s="76">
        <v>40</v>
      </c>
      <c r="L49" s="76">
        <v>44</v>
      </c>
      <c r="M49" s="76">
        <v>23</v>
      </c>
      <c r="N49" s="76">
        <v>23</v>
      </c>
      <c r="O49" s="76">
        <v>5</v>
      </c>
      <c r="P49" s="76">
        <v>24</v>
      </c>
      <c r="Q49" s="76">
        <v>48</v>
      </c>
      <c r="R49" s="76">
        <v>0.27800000000000002</v>
      </c>
      <c r="S49" s="76">
        <v>1.7</v>
      </c>
      <c r="T49" s="76">
        <v>19</v>
      </c>
      <c r="U49" s="77" t="s">
        <v>463</v>
      </c>
      <c r="V49" s="76" t="s">
        <v>146</v>
      </c>
      <c r="W49" s="76">
        <v>0</v>
      </c>
      <c r="X49" s="76">
        <v>0</v>
      </c>
      <c r="Y49" s="76">
        <v>2</v>
      </c>
      <c r="Z49" s="76">
        <v>0</v>
      </c>
      <c r="AA49" s="76">
        <v>6</v>
      </c>
      <c r="AB49" s="76">
        <v>2</v>
      </c>
      <c r="AC49" s="76">
        <v>2</v>
      </c>
      <c r="AD49" s="76">
        <v>41</v>
      </c>
      <c r="AE49" s="76">
        <v>29</v>
      </c>
      <c r="AF49" s="76">
        <v>0</v>
      </c>
      <c r="AG49" s="76">
        <v>0</v>
      </c>
      <c r="AH49" s="76">
        <v>0</v>
      </c>
      <c r="AI49" s="76">
        <v>0</v>
      </c>
      <c r="AJ49" s="76">
        <v>0</v>
      </c>
      <c r="AK49" s="76">
        <v>188</v>
      </c>
      <c r="AL49" s="76">
        <v>739</v>
      </c>
      <c r="AM49" s="202"/>
      <c r="AN49" s="77"/>
      <c r="AO49" s="202"/>
      <c r="AP49" s="202"/>
      <c r="AQ49" s="202"/>
      <c r="AR49" s="202"/>
      <c r="AS49" s="202"/>
      <c r="AT49" s="202"/>
      <c r="AU49" s="202"/>
      <c r="AV49" s="202"/>
      <c r="AW49" s="202"/>
      <c r="AX49" s="202"/>
      <c r="AY49" s="202"/>
    </row>
    <row r="50" spans="1:51" ht="25.5" x14ac:dyDescent="0.2">
      <c r="A50" s="76">
        <v>20</v>
      </c>
      <c r="B50" s="77" t="s">
        <v>752</v>
      </c>
      <c r="C50" s="76" t="s">
        <v>146</v>
      </c>
      <c r="D50" s="76">
        <v>0</v>
      </c>
      <c r="E50" s="76">
        <v>0</v>
      </c>
      <c r="F50" s="76">
        <v>6.23</v>
      </c>
      <c r="G50" s="76">
        <v>14</v>
      </c>
      <c r="H50" s="76">
        <v>0</v>
      </c>
      <c r="I50" s="76">
        <v>0</v>
      </c>
      <c r="J50" s="76">
        <v>0</v>
      </c>
      <c r="K50" s="76">
        <v>13</v>
      </c>
      <c r="L50" s="76">
        <v>16</v>
      </c>
      <c r="M50" s="76">
        <v>9</v>
      </c>
      <c r="N50" s="76">
        <v>9</v>
      </c>
      <c r="O50" s="76">
        <v>4</v>
      </c>
      <c r="P50" s="76">
        <v>8</v>
      </c>
      <c r="Q50" s="76">
        <v>15</v>
      </c>
      <c r="R50" s="76">
        <v>0.32700000000000001</v>
      </c>
      <c r="S50" s="76">
        <v>1.85</v>
      </c>
      <c r="T50" s="76">
        <v>20</v>
      </c>
      <c r="U50" s="77" t="s">
        <v>752</v>
      </c>
      <c r="V50" s="76" t="s">
        <v>146</v>
      </c>
      <c r="W50" s="76">
        <v>0</v>
      </c>
      <c r="X50" s="76">
        <v>0</v>
      </c>
      <c r="Y50" s="76">
        <v>2</v>
      </c>
      <c r="Z50" s="76">
        <v>1</v>
      </c>
      <c r="AA50" s="76">
        <v>7</v>
      </c>
      <c r="AB50" s="76">
        <v>0</v>
      </c>
      <c r="AC50" s="76">
        <v>3</v>
      </c>
      <c r="AD50" s="76">
        <v>10</v>
      </c>
      <c r="AE50" s="76">
        <v>10</v>
      </c>
      <c r="AF50" s="76">
        <v>0</v>
      </c>
      <c r="AG50" s="76">
        <v>0</v>
      </c>
      <c r="AH50" s="76">
        <v>2</v>
      </c>
      <c r="AI50" s="76">
        <v>0</v>
      </c>
      <c r="AJ50" s="76">
        <v>0</v>
      </c>
      <c r="AK50" s="76">
        <v>61</v>
      </c>
      <c r="AL50" s="76">
        <v>225</v>
      </c>
      <c r="AM50" s="202"/>
      <c r="AN50" s="77"/>
      <c r="AO50" s="202"/>
      <c r="AP50" s="202"/>
      <c r="AQ50" s="202"/>
      <c r="AR50" s="202"/>
      <c r="AS50" s="202"/>
      <c r="AT50" s="202"/>
      <c r="AU50" s="202"/>
      <c r="AV50" s="202"/>
      <c r="AW50" s="202"/>
      <c r="AX50" s="202"/>
      <c r="AY50" s="202"/>
    </row>
    <row r="51" spans="1:51" x14ac:dyDescent="0.2">
      <c r="A51" s="76">
        <v>21</v>
      </c>
      <c r="B51" s="77" t="s">
        <v>477</v>
      </c>
      <c r="C51" s="76" t="s">
        <v>146</v>
      </c>
      <c r="D51" s="76">
        <v>0</v>
      </c>
      <c r="E51" s="76">
        <v>2</v>
      </c>
      <c r="F51" s="76">
        <v>6.39</v>
      </c>
      <c r="G51" s="76">
        <v>18</v>
      </c>
      <c r="H51" s="76">
        <v>0</v>
      </c>
      <c r="I51" s="76">
        <v>0</v>
      </c>
      <c r="J51" s="76">
        <v>3</v>
      </c>
      <c r="K51" s="76">
        <v>12.2</v>
      </c>
      <c r="L51" s="76">
        <v>13</v>
      </c>
      <c r="M51" s="76">
        <v>9</v>
      </c>
      <c r="N51" s="76">
        <v>9</v>
      </c>
      <c r="O51" s="76">
        <v>2</v>
      </c>
      <c r="P51" s="76">
        <v>8</v>
      </c>
      <c r="Q51" s="76">
        <v>12</v>
      </c>
      <c r="R51" s="76">
        <v>0.255</v>
      </c>
      <c r="S51" s="76">
        <v>1.66</v>
      </c>
      <c r="T51" s="76">
        <v>21</v>
      </c>
      <c r="U51" s="77" t="s">
        <v>477</v>
      </c>
      <c r="V51" s="76" t="s">
        <v>146</v>
      </c>
      <c r="W51" s="76">
        <v>0</v>
      </c>
      <c r="X51" s="76">
        <v>0</v>
      </c>
      <c r="Y51" s="76">
        <v>1</v>
      </c>
      <c r="Z51" s="76">
        <v>0</v>
      </c>
      <c r="AA51" s="76">
        <v>7</v>
      </c>
      <c r="AB51" s="76">
        <v>2</v>
      </c>
      <c r="AC51" s="76">
        <v>1</v>
      </c>
      <c r="AD51" s="76">
        <v>10</v>
      </c>
      <c r="AE51" s="76">
        <v>16</v>
      </c>
      <c r="AF51" s="76">
        <v>1</v>
      </c>
      <c r="AG51" s="76">
        <v>0</v>
      </c>
      <c r="AH51" s="76">
        <v>1</v>
      </c>
      <c r="AI51" s="76">
        <v>0</v>
      </c>
      <c r="AJ51" s="76">
        <v>0</v>
      </c>
      <c r="AK51" s="76">
        <v>60</v>
      </c>
      <c r="AL51" s="76">
        <v>235</v>
      </c>
      <c r="AM51" s="202"/>
      <c r="AN51" s="77"/>
      <c r="AO51" s="202"/>
      <c r="AP51" s="202"/>
      <c r="AQ51" s="202"/>
      <c r="AR51" s="202"/>
      <c r="AS51" s="202"/>
      <c r="AT51" s="202"/>
      <c r="AU51" s="202"/>
      <c r="AV51" s="202"/>
      <c r="AW51" s="202"/>
      <c r="AX51" s="202"/>
      <c r="AY51" s="202"/>
    </row>
    <row r="52" spans="1:51" ht="25.5" x14ac:dyDescent="0.2">
      <c r="A52" s="76">
        <v>22</v>
      </c>
      <c r="B52" s="77" t="s">
        <v>445</v>
      </c>
      <c r="C52" s="76" t="s">
        <v>146</v>
      </c>
      <c r="D52" s="76">
        <v>2</v>
      </c>
      <c r="E52" s="76">
        <v>0</v>
      </c>
      <c r="F52" s="76">
        <v>6.75</v>
      </c>
      <c r="G52" s="76">
        <v>5</v>
      </c>
      <c r="H52" s="76">
        <v>4</v>
      </c>
      <c r="I52" s="76">
        <v>0</v>
      </c>
      <c r="J52" s="76">
        <v>0</v>
      </c>
      <c r="K52" s="76">
        <v>21.1</v>
      </c>
      <c r="L52" s="76">
        <v>30</v>
      </c>
      <c r="M52" s="76">
        <v>17</v>
      </c>
      <c r="N52" s="76">
        <v>16</v>
      </c>
      <c r="O52" s="76">
        <v>3</v>
      </c>
      <c r="P52" s="76">
        <v>6</v>
      </c>
      <c r="Q52" s="76">
        <v>13</v>
      </c>
      <c r="R52" s="76">
        <v>0.33700000000000002</v>
      </c>
      <c r="S52" s="76">
        <v>1.69</v>
      </c>
      <c r="T52" s="76">
        <v>22</v>
      </c>
      <c r="U52" s="77" t="s">
        <v>445</v>
      </c>
      <c r="V52" s="76" t="s">
        <v>146</v>
      </c>
      <c r="W52" s="76">
        <v>0</v>
      </c>
      <c r="X52" s="76">
        <v>0</v>
      </c>
      <c r="Y52" s="76">
        <v>2</v>
      </c>
      <c r="Z52" s="76">
        <v>0</v>
      </c>
      <c r="AA52" s="76">
        <v>1</v>
      </c>
      <c r="AB52" s="76">
        <v>0</v>
      </c>
      <c r="AC52" s="76">
        <v>1</v>
      </c>
      <c r="AD52" s="76">
        <v>22</v>
      </c>
      <c r="AE52" s="76">
        <v>25</v>
      </c>
      <c r="AF52" s="76">
        <v>2</v>
      </c>
      <c r="AG52" s="76">
        <v>0</v>
      </c>
      <c r="AH52" s="76">
        <v>6</v>
      </c>
      <c r="AI52" s="76">
        <v>0</v>
      </c>
      <c r="AJ52" s="76">
        <v>0</v>
      </c>
      <c r="AK52" s="76">
        <v>98</v>
      </c>
      <c r="AL52" s="76">
        <v>358</v>
      </c>
      <c r="AM52" s="102"/>
      <c r="AN52" s="102"/>
      <c r="AO52" s="102"/>
      <c r="AP52" s="102"/>
      <c r="AQ52" s="102"/>
      <c r="AR52" s="102"/>
      <c r="AS52" s="102"/>
      <c r="AT52" s="102"/>
      <c r="AU52" s="102"/>
      <c r="AV52" s="102"/>
      <c r="AW52" s="102"/>
      <c r="AX52" s="102"/>
      <c r="AY52" s="102"/>
    </row>
    <row r="53" spans="1:51" ht="25.5" x14ac:dyDescent="0.2">
      <c r="A53" s="76">
        <v>23</v>
      </c>
      <c r="B53" s="77" t="s">
        <v>1175</v>
      </c>
      <c r="C53" s="76" t="s">
        <v>146</v>
      </c>
      <c r="D53" s="76">
        <v>0</v>
      </c>
      <c r="E53" s="76">
        <v>2</v>
      </c>
      <c r="F53" s="76">
        <v>6.95</v>
      </c>
      <c r="G53" s="76">
        <v>5</v>
      </c>
      <c r="H53" s="76">
        <v>5</v>
      </c>
      <c r="I53" s="76">
        <v>0</v>
      </c>
      <c r="J53" s="76">
        <v>0</v>
      </c>
      <c r="K53" s="76">
        <v>22</v>
      </c>
      <c r="L53" s="76">
        <v>23</v>
      </c>
      <c r="M53" s="76">
        <v>17</v>
      </c>
      <c r="N53" s="76">
        <v>17</v>
      </c>
      <c r="O53" s="76">
        <v>5</v>
      </c>
      <c r="P53" s="76">
        <v>20</v>
      </c>
      <c r="Q53" s="76">
        <v>21</v>
      </c>
      <c r="R53" s="76">
        <v>0.28399999999999997</v>
      </c>
      <c r="S53" s="76">
        <v>1.95</v>
      </c>
      <c r="T53" s="76">
        <v>23</v>
      </c>
      <c r="U53" s="77" t="s">
        <v>1175</v>
      </c>
      <c r="V53" s="76" t="s">
        <v>146</v>
      </c>
      <c r="W53" s="76">
        <v>0</v>
      </c>
      <c r="X53" s="76">
        <v>0</v>
      </c>
      <c r="Y53" s="76">
        <v>1</v>
      </c>
      <c r="Z53" s="76">
        <v>1</v>
      </c>
      <c r="AA53" s="76">
        <v>0</v>
      </c>
      <c r="AB53" s="76">
        <v>0</v>
      </c>
      <c r="AC53" s="76">
        <v>4</v>
      </c>
      <c r="AD53" s="76">
        <v>12</v>
      </c>
      <c r="AE53" s="76">
        <v>26</v>
      </c>
      <c r="AF53" s="76">
        <v>3</v>
      </c>
      <c r="AG53" s="76">
        <v>0</v>
      </c>
      <c r="AH53" s="76">
        <v>4</v>
      </c>
      <c r="AI53" s="76">
        <v>2</v>
      </c>
      <c r="AJ53" s="76">
        <v>0</v>
      </c>
      <c r="AK53" s="76">
        <v>103</v>
      </c>
      <c r="AL53" s="76">
        <v>419</v>
      </c>
      <c r="AM53" s="202"/>
      <c r="AN53" s="77"/>
      <c r="AO53" s="202"/>
      <c r="AP53" s="202"/>
      <c r="AQ53" s="202"/>
      <c r="AR53" s="202"/>
      <c r="AS53" s="202"/>
      <c r="AT53" s="202"/>
      <c r="AU53" s="202"/>
      <c r="AV53" s="202"/>
      <c r="AW53" s="202"/>
      <c r="AX53" s="202"/>
      <c r="AY53" s="202"/>
    </row>
    <row r="54" spans="1:51" x14ac:dyDescent="0.2">
      <c r="A54" s="76">
        <v>24</v>
      </c>
      <c r="B54" s="77" t="s">
        <v>820</v>
      </c>
      <c r="C54" s="76" t="s">
        <v>146</v>
      </c>
      <c r="D54" s="76">
        <v>0</v>
      </c>
      <c r="E54" s="76">
        <v>1</v>
      </c>
      <c r="F54" s="76">
        <v>12.91</v>
      </c>
      <c r="G54" s="76">
        <v>3</v>
      </c>
      <c r="H54" s="76">
        <v>1</v>
      </c>
      <c r="I54" s="76">
        <v>0</v>
      </c>
      <c r="J54" s="76">
        <v>0</v>
      </c>
      <c r="K54" s="76">
        <v>7.2</v>
      </c>
      <c r="L54" s="76">
        <v>15</v>
      </c>
      <c r="M54" s="76">
        <v>11</v>
      </c>
      <c r="N54" s="76">
        <v>11</v>
      </c>
      <c r="O54" s="76">
        <v>2</v>
      </c>
      <c r="P54" s="76">
        <v>5</v>
      </c>
      <c r="Q54" s="76">
        <v>3</v>
      </c>
      <c r="R54" s="76">
        <v>0.41699999999999998</v>
      </c>
      <c r="S54" s="76">
        <v>2.61</v>
      </c>
      <c r="T54" s="76">
        <v>24</v>
      </c>
      <c r="U54" s="77" t="s">
        <v>820</v>
      </c>
      <c r="V54" s="76" t="s">
        <v>146</v>
      </c>
      <c r="W54" s="76">
        <v>0</v>
      </c>
      <c r="X54" s="76">
        <v>0</v>
      </c>
      <c r="Y54" s="76">
        <v>0</v>
      </c>
      <c r="Z54" s="76">
        <v>1</v>
      </c>
      <c r="AA54" s="76">
        <v>2</v>
      </c>
      <c r="AB54" s="76">
        <v>0</v>
      </c>
      <c r="AC54" s="76">
        <v>1</v>
      </c>
      <c r="AD54" s="76">
        <v>10</v>
      </c>
      <c r="AE54" s="76">
        <v>8</v>
      </c>
      <c r="AF54" s="76">
        <v>0</v>
      </c>
      <c r="AG54" s="76">
        <v>0</v>
      </c>
      <c r="AH54" s="76">
        <v>0</v>
      </c>
      <c r="AI54" s="76">
        <v>0</v>
      </c>
      <c r="AJ54" s="76">
        <v>0</v>
      </c>
      <c r="AK54" s="76">
        <v>41</v>
      </c>
      <c r="AL54" s="76">
        <v>127</v>
      </c>
      <c r="AM54" s="202"/>
      <c r="AN54" s="77"/>
      <c r="AO54" s="202"/>
      <c r="AP54" s="202"/>
      <c r="AQ54" s="202"/>
      <c r="AR54" s="202"/>
      <c r="AS54" s="202"/>
      <c r="AT54" s="202"/>
      <c r="AU54" s="202"/>
      <c r="AV54" s="202"/>
      <c r="AW54" s="202"/>
      <c r="AX54" s="202"/>
      <c r="AY54" s="202"/>
    </row>
    <row r="55" spans="1:51" x14ac:dyDescent="0.2">
      <c r="A55" s="76">
        <v>25</v>
      </c>
      <c r="B55" s="77" t="s">
        <v>1308</v>
      </c>
      <c r="C55" s="76" t="s">
        <v>146</v>
      </c>
      <c r="D55" s="76">
        <v>0</v>
      </c>
      <c r="E55" s="76">
        <v>0</v>
      </c>
      <c r="F55" s="76">
        <v>23.63</v>
      </c>
      <c r="G55" s="76">
        <v>2</v>
      </c>
      <c r="H55" s="76">
        <v>0</v>
      </c>
      <c r="I55" s="76">
        <v>0</v>
      </c>
      <c r="J55" s="76">
        <v>0</v>
      </c>
      <c r="K55" s="76">
        <v>2.2000000000000002</v>
      </c>
      <c r="L55" s="76">
        <v>7</v>
      </c>
      <c r="M55" s="76">
        <v>8</v>
      </c>
      <c r="N55" s="76">
        <v>7</v>
      </c>
      <c r="O55" s="76">
        <v>2</v>
      </c>
      <c r="P55" s="76">
        <v>1</v>
      </c>
      <c r="Q55" s="76">
        <v>2</v>
      </c>
      <c r="R55" s="76">
        <v>0.438</v>
      </c>
      <c r="S55" s="76">
        <v>3</v>
      </c>
      <c r="T55" s="76">
        <v>25</v>
      </c>
      <c r="U55" s="77" t="s">
        <v>1308</v>
      </c>
      <c r="V55" s="76" t="s">
        <v>146</v>
      </c>
      <c r="W55" s="76">
        <v>0</v>
      </c>
      <c r="X55" s="76">
        <v>0</v>
      </c>
      <c r="Y55" s="76">
        <v>1</v>
      </c>
      <c r="Z55" s="76">
        <v>0</v>
      </c>
      <c r="AA55" s="76">
        <v>1</v>
      </c>
      <c r="AB55" s="76">
        <v>0</v>
      </c>
      <c r="AC55" s="76">
        <v>0</v>
      </c>
      <c r="AD55" s="76">
        <v>6</v>
      </c>
      <c r="AE55" s="76">
        <v>1</v>
      </c>
      <c r="AF55" s="76">
        <v>0</v>
      </c>
      <c r="AG55" s="76">
        <v>0</v>
      </c>
      <c r="AH55" s="76">
        <v>0</v>
      </c>
      <c r="AI55" s="76">
        <v>0</v>
      </c>
      <c r="AJ55" s="76">
        <v>0</v>
      </c>
      <c r="AK55" s="76">
        <v>18</v>
      </c>
      <c r="AL55" s="76">
        <v>48</v>
      </c>
      <c r="AM55" s="202"/>
      <c r="AN55" s="77"/>
      <c r="AO55" s="202"/>
      <c r="AP55" s="202"/>
      <c r="AQ55" s="202"/>
      <c r="AR55" s="202"/>
      <c r="AS55" s="202"/>
      <c r="AT55" s="202"/>
      <c r="AU55" s="202"/>
      <c r="AV55" s="202"/>
      <c r="AW55" s="202"/>
      <c r="AX55" s="202"/>
      <c r="AY55" s="202"/>
    </row>
    <row r="56" spans="1:51" x14ac:dyDescent="0.2">
      <c r="A56" s="225" t="s">
        <v>105</v>
      </c>
      <c r="B56" s="225" t="s">
        <v>106</v>
      </c>
      <c r="C56" s="225" t="s">
        <v>157</v>
      </c>
      <c r="D56" s="225" t="s">
        <v>85</v>
      </c>
      <c r="E56" s="225" t="s">
        <v>86</v>
      </c>
      <c r="F56" s="225" t="s">
        <v>107</v>
      </c>
      <c r="G56" s="225" t="s">
        <v>108</v>
      </c>
      <c r="H56" s="225" t="s">
        <v>88</v>
      </c>
      <c r="I56" s="225" t="s">
        <v>90</v>
      </c>
      <c r="J56" s="225" t="s">
        <v>158</v>
      </c>
      <c r="K56" s="225" t="s">
        <v>91</v>
      </c>
      <c r="L56" s="225" t="s">
        <v>92</v>
      </c>
      <c r="M56" s="225" t="s">
        <v>93</v>
      </c>
      <c r="N56" s="225" t="s">
        <v>94</v>
      </c>
      <c r="O56" s="225" t="s">
        <v>95</v>
      </c>
      <c r="P56" s="225" t="s">
        <v>96</v>
      </c>
      <c r="Q56" s="225" t="s">
        <v>97</v>
      </c>
      <c r="R56" s="225" t="s">
        <v>1071</v>
      </c>
      <c r="S56" s="225" t="s">
        <v>1072</v>
      </c>
      <c r="T56" s="225" t="s">
        <v>105</v>
      </c>
      <c r="U56" s="225" t="s">
        <v>106</v>
      </c>
      <c r="V56" s="225" t="s">
        <v>157</v>
      </c>
      <c r="W56" s="225" t="s">
        <v>89</v>
      </c>
      <c r="X56" s="225" t="s">
        <v>1073</v>
      </c>
      <c r="Y56" s="225" t="s">
        <v>1074</v>
      </c>
      <c r="Z56" s="225" t="s">
        <v>98</v>
      </c>
      <c r="AA56" s="225" t="s">
        <v>1075</v>
      </c>
      <c r="AB56" s="225" t="s">
        <v>1076</v>
      </c>
      <c r="AC56" s="225" t="s">
        <v>1077</v>
      </c>
      <c r="AD56" s="225" t="s">
        <v>1066</v>
      </c>
      <c r="AE56" s="225" t="s">
        <v>1067</v>
      </c>
      <c r="AF56" s="225" t="s">
        <v>1078</v>
      </c>
      <c r="AG56" s="225" t="s">
        <v>1079</v>
      </c>
      <c r="AH56" s="225" t="s">
        <v>1057</v>
      </c>
      <c r="AI56" s="225" t="s">
        <v>1058</v>
      </c>
      <c r="AJ56" s="225" t="s">
        <v>1080</v>
      </c>
      <c r="AK56" s="225" t="s">
        <v>109</v>
      </c>
      <c r="AL56" s="225" t="s">
        <v>1069</v>
      </c>
      <c r="AM56" s="202"/>
      <c r="AN56" s="77"/>
      <c r="AO56" s="202"/>
      <c r="AP56" s="202"/>
      <c r="AQ56" s="202"/>
      <c r="AR56" s="202"/>
      <c r="AS56" s="202"/>
      <c r="AT56" s="202"/>
      <c r="AU56" s="202"/>
      <c r="AV56" s="202"/>
      <c r="AW56" s="202"/>
      <c r="AX56" s="202"/>
      <c r="AY56" s="202"/>
    </row>
    <row r="57" spans="1:51" x14ac:dyDescent="0.2">
      <c r="A57" s="76">
        <v>1</v>
      </c>
      <c r="B57" s="77" t="s">
        <v>511</v>
      </c>
      <c r="C57" s="76" t="s">
        <v>147</v>
      </c>
      <c r="D57" s="76">
        <v>0</v>
      </c>
      <c r="E57" s="76">
        <v>0</v>
      </c>
      <c r="F57" s="76">
        <v>0</v>
      </c>
      <c r="G57" s="76">
        <v>1</v>
      </c>
      <c r="H57" s="76">
        <v>0</v>
      </c>
      <c r="I57" s="76">
        <v>0</v>
      </c>
      <c r="J57" s="76">
        <v>0</v>
      </c>
      <c r="K57" s="76">
        <v>1</v>
      </c>
      <c r="L57" s="76">
        <v>2</v>
      </c>
      <c r="M57" s="76">
        <v>0</v>
      </c>
      <c r="N57" s="76">
        <v>0</v>
      </c>
      <c r="O57" s="76">
        <v>0</v>
      </c>
      <c r="P57" s="76">
        <v>1</v>
      </c>
      <c r="Q57" s="76">
        <v>3</v>
      </c>
      <c r="R57" s="76">
        <v>0.4</v>
      </c>
      <c r="S57" s="76">
        <v>3</v>
      </c>
      <c r="T57" s="76">
        <v>1</v>
      </c>
      <c r="U57" s="77" t="s">
        <v>511</v>
      </c>
      <c r="V57" s="76" t="s">
        <v>147</v>
      </c>
      <c r="W57" s="76">
        <v>0</v>
      </c>
      <c r="X57" s="76">
        <v>0</v>
      </c>
      <c r="Y57" s="76">
        <v>0</v>
      </c>
      <c r="Z57" s="76">
        <v>0</v>
      </c>
      <c r="AA57" s="76">
        <v>1</v>
      </c>
      <c r="AB57" s="76">
        <v>0</v>
      </c>
      <c r="AC57" s="76">
        <v>0</v>
      </c>
      <c r="AD57" s="76">
        <v>0</v>
      </c>
      <c r="AE57" s="76">
        <v>0</v>
      </c>
      <c r="AF57" s="76">
        <v>0</v>
      </c>
      <c r="AG57" s="76">
        <v>0</v>
      </c>
      <c r="AH57" s="76">
        <v>0</v>
      </c>
      <c r="AI57" s="76">
        <v>0</v>
      </c>
      <c r="AJ57" s="76">
        <v>0</v>
      </c>
      <c r="AK57" s="76">
        <v>6</v>
      </c>
      <c r="AL57" s="76">
        <v>27</v>
      </c>
      <c r="AM57" s="202"/>
      <c r="AN57" s="77"/>
      <c r="AO57" s="202"/>
      <c r="AP57" s="202"/>
      <c r="AQ57" s="202"/>
      <c r="AR57" s="202"/>
      <c r="AS57" s="202"/>
      <c r="AT57" s="202"/>
      <c r="AU57" s="202"/>
      <c r="AV57" s="202"/>
      <c r="AW57" s="202"/>
      <c r="AX57" s="202"/>
      <c r="AY57" s="202"/>
    </row>
    <row r="58" spans="1:51" ht="25.5" x14ac:dyDescent="0.2">
      <c r="A58" s="76">
        <v>2</v>
      </c>
      <c r="B58" s="77" t="s">
        <v>395</v>
      </c>
      <c r="C58" s="76" t="s">
        <v>147</v>
      </c>
      <c r="D58" s="76">
        <v>4</v>
      </c>
      <c r="E58" s="76">
        <v>3</v>
      </c>
      <c r="F58" s="76">
        <v>2.08</v>
      </c>
      <c r="G58" s="76">
        <v>64</v>
      </c>
      <c r="H58" s="76">
        <v>0</v>
      </c>
      <c r="I58" s="76">
        <v>1</v>
      </c>
      <c r="J58" s="76">
        <v>3</v>
      </c>
      <c r="K58" s="76">
        <v>60.2</v>
      </c>
      <c r="L58" s="76">
        <v>57</v>
      </c>
      <c r="M58" s="76">
        <v>18</v>
      </c>
      <c r="N58" s="76">
        <v>14</v>
      </c>
      <c r="O58" s="76">
        <v>1</v>
      </c>
      <c r="P58" s="76">
        <v>28</v>
      </c>
      <c r="Q58" s="76">
        <v>46</v>
      </c>
      <c r="R58" s="76">
        <v>0.25900000000000001</v>
      </c>
      <c r="S58" s="76">
        <v>1.4</v>
      </c>
      <c r="T58" s="76">
        <v>2</v>
      </c>
      <c r="U58" s="77" t="s">
        <v>395</v>
      </c>
      <c r="V58" s="76" t="s">
        <v>147</v>
      </c>
      <c r="W58" s="76">
        <v>0</v>
      </c>
      <c r="X58" s="76">
        <v>0</v>
      </c>
      <c r="Y58" s="76">
        <v>3</v>
      </c>
      <c r="Z58" s="76">
        <v>0</v>
      </c>
      <c r="AA58" s="76">
        <v>15</v>
      </c>
      <c r="AB58" s="76">
        <v>10</v>
      </c>
      <c r="AC58" s="76">
        <v>11</v>
      </c>
      <c r="AD58" s="76">
        <v>81</v>
      </c>
      <c r="AE58" s="76">
        <v>46</v>
      </c>
      <c r="AF58" s="76">
        <v>4</v>
      </c>
      <c r="AG58" s="76">
        <v>0</v>
      </c>
      <c r="AH58" s="76">
        <v>1</v>
      </c>
      <c r="AI58" s="76">
        <v>1</v>
      </c>
      <c r="AJ58" s="76">
        <v>0</v>
      </c>
      <c r="AK58" s="76">
        <v>259</v>
      </c>
      <c r="AL58" s="76">
        <v>1027</v>
      </c>
      <c r="AM58" s="202"/>
      <c r="AN58" s="77"/>
      <c r="AO58" s="202"/>
      <c r="AP58" s="202"/>
      <c r="AQ58" s="202"/>
      <c r="AR58" s="202"/>
      <c r="AS58" s="202"/>
      <c r="AT58" s="202"/>
      <c r="AU58" s="202"/>
      <c r="AV58" s="202"/>
      <c r="AW58" s="202"/>
      <c r="AX58" s="202"/>
      <c r="AY58" s="202"/>
    </row>
    <row r="59" spans="1:51" x14ac:dyDescent="0.2">
      <c r="A59" s="76">
        <v>3</v>
      </c>
      <c r="B59" s="77" t="s">
        <v>517</v>
      </c>
      <c r="C59" s="76" t="s">
        <v>147</v>
      </c>
      <c r="D59" s="76">
        <v>5</v>
      </c>
      <c r="E59" s="76">
        <v>3</v>
      </c>
      <c r="F59" s="76">
        <v>2.29</v>
      </c>
      <c r="G59" s="76">
        <v>71</v>
      </c>
      <c r="H59" s="76">
        <v>0</v>
      </c>
      <c r="I59" s="76">
        <v>3</v>
      </c>
      <c r="J59" s="76">
        <v>12</v>
      </c>
      <c r="K59" s="76">
        <v>70.2</v>
      </c>
      <c r="L59" s="76">
        <v>48</v>
      </c>
      <c r="M59" s="76">
        <v>20</v>
      </c>
      <c r="N59" s="76">
        <v>18</v>
      </c>
      <c r="O59" s="76">
        <v>7</v>
      </c>
      <c r="P59" s="76">
        <v>15</v>
      </c>
      <c r="Q59" s="76">
        <v>80</v>
      </c>
      <c r="R59" s="76">
        <v>0.19</v>
      </c>
      <c r="S59" s="76">
        <v>0.89</v>
      </c>
      <c r="T59" s="76">
        <v>3</v>
      </c>
      <c r="U59" s="77" t="s">
        <v>517</v>
      </c>
      <c r="V59" s="76" t="s">
        <v>147</v>
      </c>
      <c r="W59" s="76">
        <v>0</v>
      </c>
      <c r="X59" s="76">
        <v>0</v>
      </c>
      <c r="Y59" s="76">
        <v>3</v>
      </c>
      <c r="Z59" s="76">
        <v>3</v>
      </c>
      <c r="AA59" s="76">
        <v>11</v>
      </c>
      <c r="AB59" s="76">
        <v>28</v>
      </c>
      <c r="AC59" s="76">
        <v>5</v>
      </c>
      <c r="AD59" s="76">
        <v>69</v>
      </c>
      <c r="AE59" s="76">
        <v>59</v>
      </c>
      <c r="AF59" s="76">
        <v>7</v>
      </c>
      <c r="AG59" s="76">
        <v>0</v>
      </c>
      <c r="AH59" s="76">
        <v>2</v>
      </c>
      <c r="AI59" s="76">
        <v>2</v>
      </c>
      <c r="AJ59" s="76">
        <v>1</v>
      </c>
      <c r="AK59" s="76">
        <v>274</v>
      </c>
      <c r="AL59" s="76">
        <v>1009</v>
      </c>
      <c r="AM59" s="202"/>
      <c r="AN59" s="77"/>
      <c r="AO59" s="202"/>
      <c r="AP59" s="202"/>
      <c r="AQ59" s="202"/>
      <c r="AR59" s="202"/>
      <c r="AS59" s="202"/>
      <c r="AT59" s="202"/>
      <c r="AU59" s="202"/>
      <c r="AV59" s="202"/>
      <c r="AW59" s="202"/>
      <c r="AX59" s="202"/>
      <c r="AY59" s="202"/>
    </row>
    <row r="60" spans="1:51" ht="25.5" x14ac:dyDescent="0.2">
      <c r="A60" s="76">
        <v>4</v>
      </c>
      <c r="B60" s="77" t="s">
        <v>353</v>
      </c>
      <c r="C60" s="76" t="s">
        <v>147</v>
      </c>
      <c r="D60" s="76">
        <v>1</v>
      </c>
      <c r="E60" s="76">
        <v>0</v>
      </c>
      <c r="F60" s="76">
        <v>2.2999999999999998</v>
      </c>
      <c r="G60" s="76">
        <v>25</v>
      </c>
      <c r="H60" s="76">
        <v>0</v>
      </c>
      <c r="I60" s="76">
        <v>0</v>
      </c>
      <c r="J60" s="76">
        <v>0</v>
      </c>
      <c r="K60" s="76">
        <v>27.1</v>
      </c>
      <c r="L60" s="76">
        <v>25</v>
      </c>
      <c r="M60" s="76">
        <v>7</v>
      </c>
      <c r="N60" s="76">
        <v>7</v>
      </c>
      <c r="O60" s="76">
        <v>2</v>
      </c>
      <c r="P60" s="76">
        <v>11</v>
      </c>
      <c r="Q60" s="76">
        <v>30</v>
      </c>
      <c r="R60" s="76">
        <v>0.248</v>
      </c>
      <c r="S60" s="76">
        <v>1.32</v>
      </c>
      <c r="T60" s="76">
        <v>4</v>
      </c>
      <c r="U60" s="77" t="s">
        <v>353</v>
      </c>
      <c r="V60" s="76" t="s">
        <v>147</v>
      </c>
      <c r="W60" s="76">
        <v>0</v>
      </c>
      <c r="X60" s="76">
        <v>0</v>
      </c>
      <c r="Y60" s="76">
        <v>0</v>
      </c>
      <c r="Z60" s="76">
        <v>1</v>
      </c>
      <c r="AA60" s="76">
        <v>6</v>
      </c>
      <c r="AB60" s="76">
        <v>2</v>
      </c>
      <c r="AC60" s="76">
        <v>1</v>
      </c>
      <c r="AD60" s="76">
        <v>21</v>
      </c>
      <c r="AE60" s="76">
        <v>27</v>
      </c>
      <c r="AF60" s="76">
        <v>2</v>
      </c>
      <c r="AG60" s="76">
        <v>0</v>
      </c>
      <c r="AH60" s="76">
        <v>3</v>
      </c>
      <c r="AI60" s="76">
        <v>1</v>
      </c>
      <c r="AJ60" s="76">
        <v>0</v>
      </c>
      <c r="AK60" s="76">
        <v>114</v>
      </c>
      <c r="AL60" s="76">
        <v>449</v>
      </c>
      <c r="AM60" s="202"/>
      <c r="AN60" s="77"/>
      <c r="AO60" s="202"/>
      <c r="AP60" s="202"/>
      <c r="AQ60" s="202"/>
      <c r="AR60" s="202"/>
      <c r="AS60" s="202"/>
      <c r="AT60" s="202"/>
      <c r="AU60" s="202"/>
      <c r="AV60" s="202"/>
      <c r="AW60" s="202"/>
      <c r="AX60" s="202"/>
      <c r="AY60" s="202"/>
    </row>
    <row r="61" spans="1:51" x14ac:dyDescent="0.2">
      <c r="A61" s="76">
        <v>5</v>
      </c>
      <c r="B61" s="77" t="s">
        <v>354</v>
      </c>
      <c r="C61" s="76" t="s">
        <v>147</v>
      </c>
      <c r="D61" s="76">
        <v>2</v>
      </c>
      <c r="E61" s="76">
        <v>0</v>
      </c>
      <c r="F61" s="76">
        <v>2.63</v>
      </c>
      <c r="G61" s="76">
        <v>53</v>
      </c>
      <c r="H61" s="76">
        <v>0</v>
      </c>
      <c r="I61" s="76">
        <v>1</v>
      </c>
      <c r="J61" s="76">
        <v>4</v>
      </c>
      <c r="K61" s="76">
        <v>37.200000000000003</v>
      </c>
      <c r="L61" s="76">
        <v>31</v>
      </c>
      <c r="M61" s="76">
        <v>11</v>
      </c>
      <c r="N61" s="76">
        <v>11</v>
      </c>
      <c r="O61" s="76">
        <v>2</v>
      </c>
      <c r="P61" s="76">
        <v>16</v>
      </c>
      <c r="Q61" s="76">
        <v>42</v>
      </c>
      <c r="R61" s="76">
        <v>0.22500000000000001</v>
      </c>
      <c r="S61" s="76">
        <v>1.25</v>
      </c>
      <c r="T61" s="76">
        <v>5</v>
      </c>
      <c r="U61" s="77" t="s">
        <v>354</v>
      </c>
      <c r="V61" s="76" t="s">
        <v>147</v>
      </c>
      <c r="W61" s="76">
        <v>0</v>
      </c>
      <c r="X61" s="76">
        <v>0</v>
      </c>
      <c r="Y61" s="76">
        <v>2</v>
      </c>
      <c r="Z61" s="76">
        <v>3</v>
      </c>
      <c r="AA61" s="76">
        <v>9</v>
      </c>
      <c r="AB61" s="76">
        <v>20</v>
      </c>
      <c r="AC61" s="76">
        <v>4</v>
      </c>
      <c r="AD61" s="76">
        <v>47</v>
      </c>
      <c r="AE61" s="76">
        <v>21</v>
      </c>
      <c r="AF61" s="76">
        <v>2</v>
      </c>
      <c r="AG61" s="76">
        <v>0</v>
      </c>
      <c r="AH61" s="76">
        <v>0</v>
      </c>
      <c r="AI61" s="76">
        <v>0</v>
      </c>
      <c r="AJ61" s="76">
        <v>0</v>
      </c>
      <c r="AK61" s="76">
        <v>159</v>
      </c>
      <c r="AL61" s="76">
        <v>615</v>
      </c>
      <c r="AM61" s="202"/>
      <c r="AN61" s="77"/>
      <c r="AO61" s="202"/>
      <c r="AP61" s="202"/>
      <c r="AQ61" s="202"/>
      <c r="AR61" s="202"/>
      <c r="AS61" s="202"/>
      <c r="AT61" s="202"/>
      <c r="AU61" s="202"/>
      <c r="AV61" s="202"/>
      <c r="AW61" s="202"/>
      <c r="AX61" s="202"/>
      <c r="AY61" s="202"/>
    </row>
    <row r="62" spans="1:51" x14ac:dyDescent="0.2">
      <c r="A62" s="76">
        <v>6</v>
      </c>
      <c r="B62" s="77" t="s">
        <v>756</v>
      </c>
      <c r="C62" s="76" t="s">
        <v>147</v>
      </c>
      <c r="D62" s="76">
        <v>0</v>
      </c>
      <c r="E62" s="76">
        <v>1</v>
      </c>
      <c r="F62" s="76">
        <v>2.63</v>
      </c>
      <c r="G62" s="76">
        <v>29</v>
      </c>
      <c r="H62" s="76">
        <v>0</v>
      </c>
      <c r="I62" s="76">
        <v>1</v>
      </c>
      <c r="J62" s="76">
        <v>2</v>
      </c>
      <c r="K62" s="76">
        <v>27.1</v>
      </c>
      <c r="L62" s="76">
        <v>21</v>
      </c>
      <c r="M62" s="76">
        <v>8</v>
      </c>
      <c r="N62" s="76">
        <v>8</v>
      </c>
      <c r="O62" s="76">
        <v>2</v>
      </c>
      <c r="P62" s="76">
        <v>20</v>
      </c>
      <c r="Q62" s="76">
        <v>25</v>
      </c>
      <c r="R62" s="76">
        <v>0.21199999999999999</v>
      </c>
      <c r="S62" s="76">
        <v>1.5</v>
      </c>
      <c r="T62" s="76">
        <v>6</v>
      </c>
      <c r="U62" s="77" t="s">
        <v>756</v>
      </c>
      <c r="V62" s="76" t="s">
        <v>147</v>
      </c>
      <c r="W62" s="76">
        <v>0</v>
      </c>
      <c r="X62" s="76">
        <v>0</v>
      </c>
      <c r="Y62" s="76">
        <v>0</v>
      </c>
      <c r="Z62" s="76">
        <v>3</v>
      </c>
      <c r="AA62" s="76">
        <v>12</v>
      </c>
      <c r="AB62" s="76">
        <v>5</v>
      </c>
      <c r="AC62" s="76">
        <v>4</v>
      </c>
      <c r="AD62" s="76">
        <v>31</v>
      </c>
      <c r="AE62" s="76">
        <v>22</v>
      </c>
      <c r="AF62" s="76">
        <v>3</v>
      </c>
      <c r="AG62" s="76">
        <v>0</v>
      </c>
      <c r="AH62" s="76">
        <v>0</v>
      </c>
      <c r="AI62" s="76">
        <v>0</v>
      </c>
      <c r="AJ62" s="76">
        <v>0</v>
      </c>
      <c r="AK62" s="76">
        <v>119</v>
      </c>
      <c r="AL62" s="76">
        <v>499</v>
      </c>
      <c r="AM62" s="202"/>
      <c r="AN62" s="77"/>
      <c r="AO62" s="202"/>
      <c r="AP62" s="202"/>
      <c r="AQ62" s="202"/>
      <c r="AR62" s="202"/>
      <c r="AS62" s="202"/>
      <c r="AT62" s="202"/>
      <c r="AU62" s="202"/>
      <c r="AV62" s="202"/>
      <c r="AW62" s="202"/>
      <c r="AX62" s="202"/>
      <c r="AY62" s="202"/>
    </row>
    <row r="63" spans="1:51" x14ac:dyDescent="0.2">
      <c r="A63" s="76">
        <v>7</v>
      </c>
      <c r="B63" s="77" t="s">
        <v>1309</v>
      </c>
      <c r="C63" s="76" t="s">
        <v>147</v>
      </c>
      <c r="D63" s="76">
        <v>1</v>
      </c>
      <c r="E63" s="76">
        <v>0</v>
      </c>
      <c r="F63" s="76">
        <v>3</v>
      </c>
      <c r="G63" s="76">
        <v>23</v>
      </c>
      <c r="H63" s="76">
        <v>0</v>
      </c>
      <c r="I63" s="76">
        <v>0</v>
      </c>
      <c r="J63" s="76">
        <v>0</v>
      </c>
      <c r="K63" s="76">
        <v>30</v>
      </c>
      <c r="L63" s="76">
        <v>20</v>
      </c>
      <c r="M63" s="76">
        <v>11</v>
      </c>
      <c r="N63" s="76">
        <v>10</v>
      </c>
      <c r="O63" s="76">
        <v>0</v>
      </c>
      <c r="P63" s="76">
        <v>17</v>
      </c>
      <c r="Q63" s="76">
        <v>30</v>
      </c>
      <c r="R63" s="76">
        <v>0.183</v>
      </c>
      <c r="S63" s="76">
        <v>1.23</v>
      </c>
      <c r="T63" s="76">
        <v>7</v>
      </c>
      <c r="U63" s="77" t="s">
        <v>1309</v>
      </c>
      <c r="V63" s="76" t="s">
        <v>147</v>
      </c>
      <c r="W63" s="76">
        <v>0</v>
      </c>
      <c r="X63" s="76">
        <v>0</v>
      </c>
      <c r="Y63" s="76">
        <v>5</v>
      </c>
      <c r="Z63" s="76">
        <v>2</v>
      </c>
      <c r="AA63" s="76">
        <v>7</v>
      </c>
      <c r="AB63" s="76">
        <v>1</v>
      </c>
      <c r="AC63" s="76">
        <v>1</v>
      </c>
      <c r="AD63" s="76">
        <v>26</v>
      </c>
      <c r="AE63" s="76">
        <v>37</v>
      </c>
      <c r="AF63" s="76">
        <v>4</v>
      </c>
      <c r="AG63" s="76">
        <v>0</v>
      </c>
      <c r="AH63" s="76">
        <v>1</v>
      </c>
      <c r="AI63" s="76">
        <v>0</v>
      </c>
      <c r="AJ63" s="76">
        <v>0</v>
      </c>
      <c r="AK63" s="76">
        <v>134</v>
      </c>
      <c r="AL63" s="76">
        <v>546</v>
      </c>
      <c r="AM63" s="202"/>
      <c r="AN63" s="77"/>
      <c r="AO63" s="202"/>
      <c r="AP63" s="202"/>
      <c r="AQ63" s="202"/>
      <c r="AR63" s="202"/>
      <c r="AS63" s="202"/>
      <c r="AT63" s="202"/>
      <c r="AU63" s="202"/>
      <c r="AV63" s="202"/>
      <c r="AW63" s="202"/>
      <c r="AX63" s="202"/>
      <c r="AY63" s="202"/>
    </row>
    <row r="64" spans="1:51" ht="25.5" x14ac:dyDescent="0.2">
      <c r="A64" s="76">
        <v>8</v>
      </c>
      <c r="B64" s="77" t="s">
        <v>514</v>
      </c>
      <c r="C64" s="76" t="s">
        <v>147</v>
      </c>
      <c r="D64" s="76">
        <v>13</v>
      </c>
      <c r="E64" s="76">
        <v>12</v>
      </c>
      <c r="F64" s="76">
        <v>3.2</v>
      </c>
      <c r="G64" s="76">
        <v>32</v>
      </c>
      <c r="H64" s="76">
        <v>32</v>
      </c>
      <c r="I64" s="76">
        <v>0</v>
      </c>
      <c r="J64" s="76">
        <v>0</v>
      </c>
      <c r="K64" s="76">
        <v>208</v>
      </c>
      <c r="L64" s="76">
        <v>192</v>
      </c>
      <c r="M64" s="76">
        <v>76</v>
      </c>
      <c r="N64" s="76">
        <v>74</v>
      </c>
      <c r="O64" s="76">
        <v>22</v>
      </c>
      <c r="P64" s="76">
        <v>50</v>
      </c>
      <c r="Q64" s="76">
        <v>181</v>
      </c>
      <c r="R64" s="76">
        <v>0.246</v>
      </c>
      <c r="S64" s="76">
        <v>1.1599999999999999</v>
      </c>
      <c r="T64" s="76">
        <v>8</v>
      </c>
      <c r="U64" s="77" t="s">
        <v>514</v>
      </c>
      <c r="V64" s="76" t="s">
        <v>147</v>
      </c>
      <c r="W64" s="76">
        <v>0</v>
      </c>
      <c r="X64" s="76">
        <v>0</v>
      </c>
      <c r="Y64" s="76">
        <v>4</v>
      </c>
      <c r="Z64" s="76">
        <v>1</v>
      </c>
      <c r="AA64" s="76">
        <v>0</v>
      </c>
      <c r="AB64" s="76">
        <v>0</v>
      </c>
      <c r="AC64" s="76">
        <v>18</v>
      </c>
      <c r="AD64" s="76">
        <v>184</v>
      </c>
      <c r="AE64" s="76">
        <v>226</v>
      </c>
      <c r="AF64" s="76">
        <v>10</v>
      </c>
      <c r="AG64" s="76">
        <v>1</v>
      </c>
      <c r="AH64" s="76">
        <v>6</v>
      </c>
      <c r="AI64" s="76">
        <v>3</v>
      </c>
      <c r="AJ64" s="76">
        <v>2</v>
      </c>
      <c r="AK64" s="76">
        <v>837</v>
      </c>
      <c r="AL64" s="76">
        <v>3282</v>
      </c>
      <c r="AM64" s="202"/>
      <c r="AN64" s="77"/>
      <c r="AO64" s="202"/>
      <c r="AP64" s="202"/>
      <c r="AQ64" s="202"/>
      <c r="AR64" s="202"/>
      <c r="AS64" s="202"/>
      <c r="AT64" s="202"/>
      <c r="AU64" s="202"/>
      <c r="AV64" s="202"/>
      <c r="AW64" s="202"/>
      <c r="AX64" s="202"/>
      <c r="AY64" s="202"/>
    </row>
    <row r="65" spans="1:51" x14ac:dyDescent="0.2">
      <c r="A65" s="76">
        <v>9</v>
      </c>
      <c r="B65" s="77" t="s">
        <v>510</v>
      </c>
      <c r="C65" s="76" t="s">
        <v>147</v>
      </c>
      <c r="D65" s="76">
        <v>17</v>
      </c>
      <c r="E65" s="76">
        <v>10</v>
      </c>
      <c r="F65" s="76">
        <v>3.34</v>
      </c>
      <c r="G65" s="76">
        <v>32</v>
      </c>
      <c r="H65" s="76">
        <v>32</v>
      </c>
      <c r="I65" s="76">
        <v>0</v>
      </c>
      <c r="J65" s="76">
        <v>0</v>
      </c>
      <c r="K65" s="76">
        <v>226.2</v>
      </c>
      <c r="L65" s="76">
        <v>190</v>
      </c>
      <c r="M65" s="76">
        <v>88</v>
      </c>
      <c r="N65" s="76">
        <v>84</v>
      </c>
      <c r="O65" s="76">
        <v>27</v>
      </c>
      <c r="P65" s="76">
        <v>45</v>
      </c>
      <c r="Q65" s="76">
        <v>233</v>
      </c>
      <c r="R65" s="76">
        <v>0.22700000000000001</v>
      </c>
      <c r="S65" s="76">
        <v>1.04</v>
      </c>
      <c r="T65" s="76">
        <v>9</v>
      </c>
      <c r="U65" s="77" t="s">
        <v>510</v>
      </c>
      <c r="V65" s="76" t="s">
        <v>147</v>
      </c>
      <c r="W65" s="76">
        <v>6</v>
      </c>
      <c r="X65" s="76">
        <v>1</v>
      </c>
      <c r="Y65" s="76">
        <v>17</v>
      </c>
      <c r="Z65" s="76">
        <v>2</v>
      </c>
      <c r="AA65" s="76">
        <v>0</v>
      </c>
      <c r="AB65" s="76">
        <v>0</v>
      </c>
      <c r="AC65" s="76">
        <v>16</v>
      </c>
      <c r="AD65" s="76">
        <v>196</v>
      </c>
      <c r="AE65" s="76">
        <v>228</v>
      </c>
      <c r="AF65" s="76">
        <v>2</v>
      </c>
      <c r="AG65" s="76">
        <v>0</v>
      </c>
      <c r="AH65" s="76">
        <v>5</v>
      </c>
      <c r="AI65" s="76">
        <v>2</v>
      </c>
      <c r="AJ65" s="76">
        <v>0</v>
      </c>
      <c r="AK65" s="76">
        <v>907</v>
      </c>
      <c r="AL65" s="76">
        <v>3431</v>
      </c>
      <c r="AM65" s="202"/>
      <c r="AN65" s="77"/>
      <c r="AO65" s="202"/>
      <c r="AP65" s="202"/>
      <c r="AQ65" s="202"/>
      <c r="AR65" s="202"/>
      <c r="AS65" s="202"/>
      <c r="AT65" s="202"/>
      <c r="AU65" s="202"/>
      <c r="AV65" s="202"/>
      <c r="AW65" s="202"/>
      <c r="AX65" s="202"/>
      <c r="AY65" s="202"/>
    </row>
    <row r="66" spans="1:51" ht="25.5" x14ac:dyDescent="0.2">
      <c r="A66" s="76">
        <v>10</v>
      </c>
      <c r="B66" s="77" t="s">
        <v>582</v>
      </c>
      <c r="C66" s="76" t="s">
        <v>147</v>
      </c>
      <c r="D66" s="76">
        <v>5</v>
      </c>
      <c r="E66" s="76">
        <v>3</v>
      </c>
      <c r="F66" s="76">
        <v>3.47</v>
      </c>
      <c r="G66" s="76">
        <v>62</v>
      </c>
      <c r="H66" s="76">
        <v>0</v>
      </c>
      <c r="I66" s="76">
        <v>37</v>
      </c>
      <c r="J66" s="76">
        <v>44</v>
      </c>
      <c r="K66" s="76">
        <v>62.1</v>
      </c>
      <c r="L66" s="76">
        <v>53</v>
      </c>
      <c r="M66" s="76">
        <v>24</v>
      </c>
      <c r="N66" s="76">
        <v>24</v>
      </c>
      <c r="O66" s="76">
        <v>6</v>
      </c>
      <c r="P66" s="76">
        <v>32</v>
      </c>
      <c r="Q66" s="76">
        <v>75</v>
      </c>
      <c r="R66" s="76">
        <v>0.23100000000000001</v>
      </c>
      <c r="S66" s="76">
        <v>1.36</v>
      </c>
      <c r="T66" s="76">
        <v>10</v>
      </c>
      <c r="U66" s="77" t="s">
        <v>582</v>
      </c>
      <c r="V66" s="76" t="s">
        <v>147</v>
      </c>
      <c r="W66" s="76">
        <v>0</v>
      </c>
      <c r="X66" s="76">
        <v>0</v>
      </c>
      <c r="Y66" s="76">
        <v>1</v>
      </c>
      <c r="Z66" s="76">
        <v>4</v>
      </c>
      <c r="AA66" s="76">
        <v>48</v>
      </c>
      <c r="AB66" s="76">
        <v>0</v>
      </c>
      <c r="AC66" s="76">
        <v>3</v>
      </c>
      <c r="AD66" s="76">
        <v>54</v>
      </c>
      <c r="AE66" s="76">
        <v>52</v>
      </c>
      <c r="AF66" s="76">
        <v>1</v>
      </c>
      <c r="AG66" s="76">
        <v>0</v>
      </c>
      <c r="AH66" s="76">
        <v>7</v>
      </c>
      <c r="AI66" s="76">
        <v>0</v>
      </c>
      <c r="AJ66" s="76">
        <v>0</v>
      </c>
      <c r="AK66" s="76">
        <v>267</v>
      </c>
      <c r="AL66" s="76">
        <v>1050</v>
      </c>
      <c r="AM66" s="202"/>
      <c r="AN66" s="77"/>
      <c r="AO66" s="202"/>
      <c r="AP66" s="202"/>
      <c r="AQ66" s="202"/>
      <c r="AR66" s="202"/>
      <c r="AS66" s="202"/>
      <c r="AT66" s="202"/>
      <c r="AU66" s="202"/>
      <c r="AV66" s="202"/>
      <c r="AW66" s="202"/>
      <c r="AX66" s="202"/>
      <c r="AY66" s="202"/>
    </row>
    <row r="67" spans="1:51" ht="25.5" x14ac:dyDescent="0.2">
      <c r="A67" s="76">
        <v>11</v>
      </c>
      <c r="B67" s="77" t="s">
        <v>409</v>
      </c>
      <c r="C67" s="76" t="s">
        <v>147</v>
      </c>
      <c r="D67" s="76">
        <v>5</v>
      </c>
      <c r="E67" s="76">
        <v>8</v>
      </c>
      <c r="F67" s="76">
        <v>3.73</v>
      </c>
      <c r="G67" s="76">
        <v>24</v>
      </c>
      <c r="H67" s="76">
        <v>23</v>
      </c>
      <c r="I67" s="76">
        <v>0</v>
      </c>
      <c r="J67" s="76">
        <v>0</v>
      </c>
      <c r="K67" s="76">
        <v>135</v>
      </c>
      <c r="L67" s="76">
        <v>132</v>
      </c>
      <c r="M67" s="76">
        <v>61</v>
      </c>
      <c r="N67" s="76">
        <v>56</v>
      </c>
      <c r="O67" s="76">
        <v>11</v>
      </c>
      <c r="P67" s="76">
        <v>35</v>
      </c>
      <c r="Q67" s="76">
        <v>95</v>
      </c>
      <c r="R67" s="76">
        <v>0.254</v>
      </c>
      <c r="S67" s="76">
        <v>1.24</v>
      </c>
      <c r="T67" s="76">
        <v>11</v>
      </c>
      <c r="U67" s="77" t="s">
        <v>409</v>
      </c>
      <c r="V67" s="76" t="s">
        <v>147</v>
      </c>
      <c r="W67" s="76">
        <v>0</v>
      </c>
      <c r="X67" s="76">
        <v>0</v>
      </c>
      <c r="Y67" s="76">
        <v>6</v>
      </c>
      <c r="Z67" s="76">
        <v>1</v>
      </c>
      <c r="AA67" s="76">
        <v>0</v>
      </c>
      <c r="AB67" s="76">
        <v>0</v>
      </c>
      <c r="AC67" s="76">
        <v>10</v>
      </c>
      <c r="AD67" s="76">
        <v>137</v>
      </c>
      <c r="AE67" s="76">
        <v>161</v>
      </c>
      <c r="AF67" s="76">
        <v>3</v>
      </c>
      <c r="AG67" s="76">
        <v>0</v>
      </c>
      <c r="AH67" s="76">
        <v>10</v>
      </c>
      <c r="AI67" s="76">
        <v>1</v>
      </c>
      <c r="AJ67" s="76">
        <v>0</v>
      </c>
      <c r="AK67" s="76">
        <v>566</v>
      </c>
      <c r="AL67" s="76">
        <v>2100</v>
      </c>
      <c r="AM67" s="202"/>
      <c r="AN67" s="77"/>
      <c r="AO67" s="202"/>
      <c r="AP67" s="202"/>
      <c r="AQ67" s="202"/>
      <c r="AR67" s="202"/>
      <c r="AS67" s="202"/>
      <c r="AT67" s="202"/>
      <c r="AU67" s="202"/>
      <c r="AV67" s="202"/>
      <c r="AW67" s="202"/>
      <c r="AX67" s="202"/>
      <c r="AY67" s="202"/>
    </row>
    <row r="68" spans="1:51" x14ac:dyDescent="0.2">
      <c r="A68" s="76">
        <v>12</v>
      </c>
      <c r="B68" s="77" t="s">
        <v>1177</v>
      </c>
      <c r="C68" s="76" t="s">
        <v>147</v>
      </c>
      <c r="D68" s="76">
        <v>9</v>
      </c>
      <c r="E68" s="76">
        <v>10</v>
      </c>
      <c r="F68" s="76">
        <v>4.04</v>
      </c>
      <c r="G68" s="76">
        <v>28</v>
      </c>
      <c r="H68" s="76">
        <v>28</v>
      </c>
      <c r="I68" s="76">
        <v>0</v>
      </c>
      <c r="J68" s="76">
        <v>0</v>
      </c>
      <c r="K68" s="76">
        <v>165</v>
      </c>
      <c r="L68" s="76">
        <v>176</v>
      </c>
      <c r="M68" s="76">
        <v>82</v>
      </c>
      <c r="N68" s="76">
        <v>74</v>
      </c>
      <c r="O68" s="76">
        <v>23</v>
      </c>
      <c r="P68" s="76">
        <v>54</v>
      </c>
      <c r="Q68" s="76">
        <v>168</v>
      </c>
      <c r="R68" s="76">
        <v>0.27300000000000002</v>
      </c>
      <c r="S68" s="76">
        <v>1.39</v>
      </c>
      <c r="T68" s="76">
        <v>12</v>
      </c>
      <c r="U68" s="77" t="s">
        <v>1177</v>
      </c>
      <c r="V68" s="76" t="s">
        <v>147</v>
      </c>
      <c r="W68" s="76">
        <v>0</v>
      </c>
      <c r="X68" s="76">
        <v>0</v>
      </c>
      <c r="Y68" s="76">
        <v>6</v>
      </c>
      <c r="Z68" s="76">
        <v>3</v>
      </c>
      <c r="AA68" s="76">
        <v>0</v>
      </c>
      <c r="AB68" s="76">
        <v>0</v>
      </c>
      <c r="AC68" s="76">
        <v>14</v>
      </c>
      <c r="AD68" s="76">
        <v>148</v>
      </c>
      <c r="AE68" s="76">
        <v>162</v>
      </c>
      <c r="AF68" s="76">
        <v>11</v>
      </c>
      <c r="AG68" s="76">
        <v>1</v>
      </c>
      <c r="AH68" s="76">
        <v>17</v>
      </c>
      <c r="AI68" s="76">
        <v>3</v>
      </c>
      <c r="AJ68" s="76">
        <v>1</v>
      </c>
      <c r="AK68" s="76">
        <v>715</v>
      </c>
      <c r="AL68" s="76">
        <v>2795</v>
      </c>
      <c r="AM68" s="202"/>
      <c r="AN68" s="77"/>
      <c r="AO68" s="202"/>
      <c r="AP68" s="202"/>
      <c r="AQ68" s="202"/>
      <c r="AR68" s="202"/>
      <c r="AS68" s="202"/>
      <c r="AT68" s="202"/>
      <c r="AU68" s="202"/>
      <c r="AV68" s="202"/>
      <c r="AW68" s="202"/>
      <c r="AX68" s="202"/>
      <c r="AY68" s="202"/>
    </row>
    <row r="69" spans="1:51" ht="25.5" x14ac:dyDescent="0.2">
      <c r="A69" s="76">
        <v>13</v>
      </c>
      <c r="B69" s="77" t="s">
        <v>1310</v>
      </c>
      <c r="C69" s="76" t="s">
        <v>147</v>
      </c>
      <c r="D69" s="76">
        <v>1</v>
      </c>
      <c r="E69" s="76">
        <v>0</v>
      </c>
      <c r="F69" s="76">
        <v>4.3499999999999996</v>
      </c>
      <c r="G69" s="76">
        <v>11</v>
      </c>
      <c r="H69" s="76">
        <v>0</v>
      </c>
      <c r="I69" s="76">
        <v>0</v>
      </c>
      <c r="J69" s="76">
        <v>0</v>
      </c>
      <c r="K69" s="76">
        <v>10.1</v>
      </c>
      <c r="L69" s="76">
        <v>10</v>
      </c>
      <c r="M69" s="76">
        <v>6</v>
      </c>
      <c r="N69" s="76">
        <v>5</v>
      </c>
      <c r="O69" s="76">
        <v>0</v>
      </c>
      <c r="P69" s="76">
        <v>5</v>
      </c>
      <c r="Q69" s="76">
        <v>6</v>
      </c>
      <c r="R69" s="76">
        <v>0.25</v>
      </c>
      <c r="S69" s="76">
        <v>1.45</v>
      </c>
      <c r="T69" s="76">
        <v>13</v>
      </c>
      <c r="U69" s="77" t="s">
        <v>1310</v>
      </c>
      <c r="V69" s="76" t="s">
        <v>147</v>
      </c>
      <c r="W69" s="76">
        <v>0</v>
      </c>
      <c r="X69" s="76">
        <v>0</v>
      </c>
      <c r="Y69" s="76">
        <v>2</v>
      </c>
      <c r="Z69" s="76">
        <v>0</v>
      </c>
      <c r="AA69" s="76">
        <v>3</v>
      </c>
      <c r="AB69" s="76">
        <v>0</v>
      </c>
      <c r="AC69" s="76">
        <v>1</v>
      </c>
      <c r="AD69" s="76">
        <v>6</v>
      </c>
      <c r="AE69" s="76">
        <v>18</v>
      </c>
      <c r="AF69" s="76">
        <v>0</v>
      </c>
      <c r="AG69" s="76">
        <v>0</v>
      </c>
      <c r="AH69" s="76">
        <v>2</v>
      </c>
      <c r="AI69" s="76">
        <v>1</v>
      </c>
      <c r="AJ69" s="76">
        <v>0</v>
      </c>
      <c r="AK69" s="76">
        <v>47</v>
      </c>
      <c r="AL69" s="76">
        <v>180</v>
      </c>
      <c r="AM69" s="202"/>
      <c r="AN69" s="77"/>
      <c r="AO69" s="202"/>
      <c r="AP69" s="202"/>
      <c r="AQ69" s="202"/>
      <c r="AR69" s="202"/>
      <c r="AS69" s="202"/>
      <c r="AT69" s="202"/>
      <c r="AU69" s="202"/>
      <c r="AV69" s="202"/>
      <c r="AW69" s="202"/>
      <c r="AX69" s="202"/>
      <c r="AY69" s="202"/>
    </row>
    <row r="70" spans="1:51" ht="25.5" x14ac:dyDescent="0.2">
      <c r="A70" s="76">
        <v>14</v>
      </c>
      <c r="B70" s="77" t="s">
        <v>513</v>
      </c>
      <c r="C70" s="76" t="s">
        <v>147</v>
      </c>
      <c r="D70" s="76">
        <v>0</v>
      </c>
      <c r="E70" s="76">
        <v>0</v>
      </c>
      <c r="F70" s="76">
        <v>4.5</v>
      </c>
      <c r="G70" s="76">
        <v>9</v>
      </c>
      <c r="H70" s="76">
        <v>0</v>
      </c>
      <c r="I70" s="76">
        <v>0</v>
      </c>
      <c r="J70" s="76">
        <v>0</v>
      </c>
      <c r="K70" s="76">
        <v>8</v>
      </c>
      <c r="L70" s="76">
        <v>8</v>
      </c>
      <c r="M70" s="76">
        <v>5</v>
      </c>
      <c r="N70" s="76">
        <v>4</v>
      </c>
      <c r="O70" s="76">
        <v>1</v>
      </c>
      <c r="P70" s="76">
        <v>8</v>
      </c>
      <c r="Q70" s="76">
        <v>7</v>
      </c>
      <c r="R70" s="76">
        <v>0.26700000000000002</v>
      </c>
      <c r="S70" s="76">
        <v>2</v>
      </c>
      <c r="T70" s="76">
        <v>14</v>
      </c>
      <c r="U70" s="77" t="s">
        <v>513</v>
      </c>
      <c r="V70" s="76" t="s">
        <v>147</v>
      </c>
      <c r="W70" s="76">
        <v>0</v>
      </c>
      <c r="X70" s="76">
        <v>0</v>
      </c>
      <c r="Y70" s="76">
        <v>0</v>
      </c>
      <c r="Z70" s="76">
        <v>0</v>
      </c>
      <c r="AA70" s="76">
        <v>1</v>
      </c>
      <c r="AB70" s="76">
        <v>1</v>
      </c>
      <c r="AC70" s="76">
        <v>2</v>
      </c>
      <c r="AD70" s="76">
        <v>12</v>
      </c>
      <c r="AE70" s="76">
        <v>4</v>
      </c>
      <c r="AF70" s="76">
        <v>3</v>
      </c>
      <c r="AG70" s="76">
        <v>0</v>
      </c>
      <c r="AH70" s="76">
        <v>1</v>
      </c>
      <c r="AI70" s="76">
        <v>0</v>
      </c>
      <c r="AJ70" s="76">
        <v>0</v>
      </c>
      <c r="AK70" s="76">
        <v>39</v>
      </c>
      <c r="AL70" s="76">
        <v>156</v>
      </c>
      <c r="AM70" s="202"/>
      <c r="AN70" s="77"/>
      <c r="AO70" s="202"/>
      <c r="AP70" s="202"/>
      <c r="AQ70" s="202"/>
      <c r="AR70" s="202"/>
      <c r="AS70" s="202"/>
      <c r="AT70" s="202"/>
      <c r="AU70" s="202"/>
      <c r="AV70" s="202"/>
      <c r="AW70" s="202"/>
      <c r="AX70" s="202"/>
      <c r="AY70" s="202"/>
    </row>
    <row r="71" spans="1:51" x14ac:dyDescent="0.2">
      <c r="A71" s="76">
        <v>15</v>
      </c>
      <c r="B71" s="77" t="s">
        <v>360</v>
      </c>
      <c r="C71" s="76" t="s">
        <v>147</v>
      </c>
      <c r="D71" s="76">
        <v>6</v>
      </c>
      <c r="E71" s="76">
        <v>2</v>
      </c>
      <c r="F71" s="76">
        <v>4.62</v>
      </c>
      <c r="G71" s="76">
        <v>11</v>
      </c>
      <c r="H71" s="76">
        <v>11</v>
      </c>
      <c r="I71" s="76">
        <v>0</v>
      </c>
      <c r="J71" s="76">
        <v>0</v>
      </c>
      <c r="K71" s="76">
        <v>60.1</v>
      </c>
      <c r="L71" s="76">
        <v>63</v>
      </c>
      <c r="M71" s="76">
        <v>33</v>
      </c>
      <c r="N71" s="76">
        <v>31</v>
      </c>
      <c r="O71" s="76">
        <v>10</v>
      </c>
      <c r="P71" s="76">
        <v>25</v>
      </c>
      <c r="Q71" s="76">
        <v>32</v>
      </c>
      <c r="R71" s="76">
        <v>0.27</v>
      </c>
      <c r="S71" s="76">
        <v>1.46</v>
      </c>
      <c r="T71" s="76">
        <v>15</v>
      </c>
      <c r="U71" s="77" t="s">
        <v>360</v>
      </c>
      <c r="V71" s="76" t="s">
        <v>147</v>
      </c>
      <c r="W71" s="76">
        <v>0</v>
      </c>
      <c r="X71" s="76">
        <v>0</v>
      </c>
      <c r="Y71" s="76">
        <v>1</v>
      </c>
      <c r="Z71" s="76">
        <v>1</v>
      </c>
      <c r="AA71" s="76">
        <v>0</v>
      </c>
      <c r="AB71" s="76">
        <v>0</v>
      </c>
      <c r="AC71" s="76">
        <v>5</v>
      </c>
      <c r="AD71" s="76">
        <v>74</v>
      </c>
      <c r="AE71" s="76">
        <v>70</v>
      </c>
      <c r="AF71" s="76">
        <v>1</v>
      </c>
      <c r="AG71" s="76">
        <v>0</v>
      </c>
      <c r="AH71" s="76">
        <v>11</v>
      </c>
      <c r="AI71" s="76">
        <v>2</v>
      </c>
      <c r="AJ71" s="76">
        <v>0</v>
      </c>
      <c r="AK71" s="76">
        <v>265</v>
      </c>
      <c r="AL71" s="76">
        <v>1007</v>
      </c>
      <c r="AM71" s="202"/>
      <c r="AN71" s="77"/>
      <c r="AO71" s="202"/>
      <c r="AP71" s="202"/>
      <c r="AQ71" s="202"/>
      <c r="AR71" s="202"/>
      <c r="AS71" s="202"/>
      <c r="AT71" s="202"/>
      <c r="AU71" s="202"/>
      <c r="AV71" s="202"/>
      <c r="AW71" s="202"/>
      <c r="AX71" s="202"/>
      <c r="AY71" s="202"/>
    </row>
    <row r="72" spans="1:51" x14ac:dyDescent="0.2">
      <c r="A72" s="76">
        <v>16</v>
      </c>
      <c r="B72" s="77" t="s">
        <v>1311</v>
      </c>
      <c r="C72" s="76" t="s">
        <v>147</v>
      </c>
      <c r="D72" s="76">
        <v>0</v>
      </c>
      <c r="E72" s="76">
        <v>1</v>
      </c>
      <c r="F72" s="76">
        <v>5.5</v>
      </c>
      <c r="G72" s="76">
        <v>12</v>
      </c>
      <c r="H72" s="76">
        <v>0</v>
      </c>
      <c r="I72" s="76">
        <v>0</v>
      </c>
      <c r="J72" s="76">
        <v>0</v>
      </c>
      <c r="K72" s="76">
        <v>18</v>
      </c>
      <c r="L72" s="76">
        <v>20</v>
      </c>
      <c r="M72" s="76">
        <v>12</v>
      </c>
      <c r="N72" s="76">
        <v>11</v>
      </c>
      <c r="O72" s="76">
        <v>0</v>
      </c>
      <c r="P72" s="76">
        <v>12</v>
      </c>
      <c r="Q72" s="76">
        <v>15</v>
      </c>
      <c r="R72" s="76">
        <v>0.27800000000000002</v>
      </c>
      <c r="S72" s="76">
        <v>1.78</v>
      </c>
      <c r="T72" s="76">
        <v>16</v>
      </c>
      <c r="U72" s="77" t="s">
        <v>1311</v>
      </c>
      <c r="V72" s="76" t="s">
        <v>147</v>
      </c>
      <c r="W72" s="76">
        <v>0</v>
      </c>
      <c r="X72" s="76">
        <v>0</v>
      </c>
      <c r="Y72" s="76">
        <v>0</v>
      </c>
      <c r="Z72" s="76">
        <v>1</v>
      </c>
      <c r="AA72" s="76">
        <v>7</v>
      </c>
      <c r="AB72" s="76">
        <v>0</v>
      </c>
      <c r="AC72" s="76">
        <v>3</v>
      </c>
      <c r="AD72" s="76">
        <v>25</v>
      </c>
      <c r="AE72" s="76">
        <v>12</v>
      </c>
      <c r="AF72" s="76">
        <v>2</v>
      </c>
      <c r="AG72" s="76">
        <v>0</v>
      </c>
      <c r="AH72" s="76">
        <v>1</v>
      </c>
      <c r="AI72" s="76">
        <v>0</v>
      </c>
      <c r="AJ72" s="76">
        <v>0</v>
      </c>
      <c r="AK72" s="76">
        <v>84</v>
      </c>
      <c r="AL72" s="76">
        <v>330</v>
      </c>
      <c r="AM72" s="202"/>
      <c r="AN72" s="77"/>
      <c r="AO72" s="202"/>
      <c r="AP72" s="202"/>
      <c r="AQ72" s="202"/>
      <c r="AR72" s="202"/>
      <c r="AS72" s="202"/>
      <c r="AT72" s="202"/>
      <c r="AU72" s="202"/>
      <c r="AV72" s="202"/>
      <c r="AW72" s="202"/>
      <c r="AX72" s="202"/>
      <c r="AY72" s="202"/>
    </row>
    <row r="73" spans="1:51" x14ac:dyDescent="0.2">
      <c r="A73" s="76">
        <v>17</v>
      </c>
      <c r="B73" s="77" t="s">
        <v>1312</v>
      </c>
      <c r="C73" s="76" t="s">
        <v>147</v>
      </c>
      <c r="D73" s="76">
        <v>0</v>
      </c>
      <c r="E73" s="76">
        <v>0</v>
      </c>
      <c r="F73" s="76">
        <v>6.23</v>
      </c>
      <c r="G73" s="76">
        <v>5</v>
      </c>
      <c r="H73" s="76">
        <v>0</v>
      </c>
      <c r="I73" s="76">
        <v>0</v>
      </c>
      <c r="J73" s="76">
        <v>0</v>
      </c>
      <c r="K73" s="76">
        <v>4.0999999999999996</v>
      </c>
      <c r="L73" s="76">
        <v>7</v>
      </c>
      <c r="M73" s="76">
        <v>3</v>
      </c>
      <c r="N73" s="76">
        <v>3</v>
      </c>
      <c r="O73" s="76">
        <v>1</v>
      </c>
      <c r="P73" s="76">
        <v>0</v>
      </c>
      <c r="Q73" s="76">
        <v>1</v>
      </c>
      <c r="R73" s="76">
        <v>0.35</v>
      </c>
      <c r="S73" s="76">
        <v>1.62</v>
      </c>
      <c r="T73" s="76">
        <v>17</v>
      </c>
      <c r="U73" s="77" t="s">
        <v>1312</v>
      </c>
      <c r="V73" s="76" t="s">
        <v>147</v>
      </c>
      <c r="W73" s="76">
        <v>0</v>
      </c>
      <c r="X73" s="76">
        <v>0</v>
      </c>
      <c r="Y73" s="76">
        <v>1</v>
      </c>
      <c r="Z73" s="76">
        <v>0</v>
      </c>
      <c r="AA73" s="76">
        <v>1</v>
      </c>
      <c r="AB73" s="76">
        <v>0</v>
      </c>
      <c r="AC73" s="76">
        <v>0</v>
      </c>
      <c r="AD73" s="76">
        <v>6</v>
      </c>
      <c r="AE73" s="76">
        <v>6</v>
      </c>
      <c r="AF73" s="76">
        <v>0</v>
      </c>
      <c r="AG73" s="76">
        <v>0</v>
      </c>
      <c r="AH73" s="76">
        <v>1</v>
      </c>
      <c r="AI73" s="76">
        <v>0</v>
      </c>
      <c r="AJ73" s="76">
        <v>0</v>
      </c>
      <c r="AK73" s="76">
        <v>21</v>
      </c>
      <c r="AL73" s="76">
        <v>76</v>
      </c>
      <c r="AM73" s="202"/>
      <c r="AN73" s="77"/>
      <c r="AO73" s="202"/>
      <c r="AP73" s="202"/>
      <c r="AQ73" s="202"/>
      <c r="AR73" s="202"/>
      <c r="AS73" s="202"/>
      <c r="AT73" s="202"/>
      <c r="AU73" s="202"/>
      <c r="AV73" s="202"/>
      <c r="AW73" s="202"/>
      <c r="AX73" s="202"/>
      <c r="AY73" s="202"/>
    </row>
    <row r="74" spans="1:51" ht="25.5" x14ac:dyDescent="0.2">
      <c r="A74" s="76">
        <v>18</v>
      </c>
      <c r="B74" s="77" t="s">
        <v>524</v>
      </c>
      <c r="C74" s="76" t="s">
        <v>147</v>
      </c>
      <c r="D74" s="76">
        <v>2</v>
      </c>
      <c r="E74" s="76">
        <v>6</v>
      </c>
      <c r="F74" s="76">
        <v>6.31</v>
      </c>
      <c r="G74" s="76">
        <v>58</v>
      </c>
      <c r="H74" s="76">
        <v>1</v>
      </c>
      <c r="I74" s="76">
        <v>0</v>
      </c>
      <c r="J74" s="76">
        <v>4</v>
      </c>
      <c r="K74" s="76">
        <v>51.1</v>
      </c>
      <c r="L74" s="76">
        <v>67</v>
      </c>
      <c r="M74" s="76">
        <v>44</v>
      </c>
      <c r="N74" s="76">
        <v>36</v>
      </c>
      <c r="O74" s="76">
        <v>10</v>
      </c>
      <c r="P74" s="76">
        <v>19</v>
      </c>
      <c r="Q74" s="76">
        <v>30</v>
      </c>
      <c r="R74" s="76">
        <v>0.32100000000000001</v>
      </c>
      <c r="S74" s="76">
        <v>1.68</v>
      </c>
      <c r="T74" s="76">
        <v>18</v>
      </c>
      <c r="U74" s="77" t="s">
        <v>524</v>
      </c>
      <c r="V74" s="76" t="s">
        <v>147</v>
      </c>
      <c r="W74" s="76">
        <v>0</v>
      </c>
      <c r="X74" s="76">
        <v>0</v>
      </c>
      <c r="Y74" s="76">
        <v>3</v>
      </c>
      <c r="Z74" s="76">
        <v>1</v>
      </c>
      <c r="AA74" s="76">
        <v>11</v>
      </c>
      <c r="AB74" s="76">
        <v>13</v>
      </c>
      <c r="AC74" s="76">
        <v>4</v>
      </c>
      <c r="AD74" s="76">
        <v>63</v>
      </c>
      <c r="AE74" s="76">
        <v>54</v>
      </c>
      <c r="AF74" s="76">
        <v>4</v>
      </c>
      <c r="AG74" s="76">
        <v>0</v>
      </c>
      <c r="AH74" s="76">
        <v>3</v>
      </c>
      <c r="AI74" s="76">
        <v>2</v>
      </c>
      <c r="AJ74" s="76">
        <v>0</v>
      </c>
      <c r="AK74" s="76">
        <v>237</v>
      </c>
      <c r="AL74" s="76">
        <v>891</v>
      </c>
      <c r="AM74" s="202"/>
      <c r="AN74" s="77"/>
      <c r="AO74" s="202"/>
      <c r="AP74" s="202"/>
      <c r="AQ74" s="202"/>
      <c r="AR74" s="202"/>
      <c r="AS74" s="202"/>
      <c r="AT74" s="202"/>
      <c r="AU74" s="202"/>
      <c r="AV74" s="202"/>
      <c r="AW74" s="202"/>
      <c r="AX74" s="202"/>
      <c r="AY74" s="202"/>
    </row>
    <row r="75" spans="1:51" x14ac:dyDescent="0.2">
      <c r="A75" s="76">
        <v>19</v>
      </c>
      <c r="B75" s="77" t="s">
        <v>1178</v>
      </c>
      <c r="C75" s="76" t="s">
        <v>147</v>
      </c>
      <c r="D75" s="76">
        <v>2</v>
      </c>
      <c r="E75" s="76">
        <v>2</v>
      </c>
      <c r="F75" s="76">
        <v>6.39</v>
      </c>
      <c r="G75" s="76">
        <v>25</v>
      </c>
      <c r="H75" s="76">
        <v>0</v>
      </c>
      <c r="I75" s="76">
        <v>0</v>
      </c>
      <c r="J75" s="76">
        <v>1</v>
      </c>
      <c r="K75" s="76">
        <v>25.1</v>
      </c>
      <c r="L75" s="76">
        <v>31</v>
      </c>
      <c r="M75" s="76">
        <v>18</v>
      </c>
      <c r="N75" s="76">
        <v>18</v>
      </c>
      <c r="O75" s="76">
        <v>3</v>
      </c>
      <c r="P75" s="76">
        <v>17</v>
      </c>
      <c r="Q75" s="76">
        <v>20</v>
      </c>
      <c r="R75" s="76">
        <v>0.30099999999999999</v>
      </c>
      <c r="S75" s="76">
        <v>1.89</v>
      </c>
      <c r="T75" s="76">
        <v>19</v>
      </c>
      <c r="U75" s="77" t="s">
        <v>1178</v>
      </c>
      <c r="V75" s="76" t="s">
        <v>147</v>
      </c>
      <c r="W75" s="76">
        <v>0</v>
      </c>
      <c r="X75" s="76">
        <v>0</v>
      </c>
      <c r="Y75" s="76">
        <v>2</v>
      </c>
      <c r="Z75" s="76">
        <v>1</v>
      </c>
      <c r="AA75" s="76">
        <v>4</v>
      </c>
      <c r="AB75" s="76">
        <v>5</v>
      </c>
      <c r="AC75" s="76">
        <v>2</v>
      </c>
      <c r="AD75" s="76">
        <v>27</v>
      </c>
      <c r="AE75" s="76">
        <v>26</v>
      </c>
      <c r="AF75" s="76">
        <v>0</v>
      </c>
      <c r="AG75" s="76">
        <v>0</v>
      </c>
      <c r="AH75" s="76">
        <v>2</v>
      </c>
      <c r="AI75" s="76">
        <v>0</v>
      </c>
      <c r="AJ75" s="76">
        <v>0</v>
      </c>
      <c r="AK75" s="76">
        <v>123</v>
      </c>
      <c r="AL75" s="76">
        <v>465</v>
      </c>
      <c r="AM75" s="202"/>
      <c r="AN75" s="77"/>
      <c r="AO75" s="202"/>
      <c r="AP75" s="202"/>
      <c r="AQ75" s="202"/>
      <c r="AR75" s="202"/>
      <c r="AS75" s="202"/>
      <c r="AT75" s="202"/>
      <c r="AU75" s="202"/>
      <c r="AV75" s="202"/>
      <c r="AW75" s="202"/>
      <c r="AX75" s="202"/>
      <c r="AY75" s="202"/>
    </row>
    <row r="76" spans="1:51" x14ac:dyDescent="0.2">
      <c r="A76" s="76">
        <v>20</v>
      </c>
      <c r="B76" s="77" t="s">
        <v>394</v>
      </c>
      <c r="C76" s="76" t="s">
        <v>147</v>
      </c>
      <c r="D76" s="76">
        <v>1</v>
      </c>
      <c r="E76" s="76">
        <v>2</v>
      </c>
      <c r="F76" s="76">
        <v>6.57</v>
      </c>
      <c r="G76" s="76">
        <v>18</v>
      </c>
      <c r="H76" s="76">
        <v>2</v>
      </c>
      <c r="I76" s="76">
        <v>0</v>
      </c>
      <c r="J76" s="76">
        <v>0</v>
      </c>
      <c r="K76" s="76">
        <v>24.2</v>
      </c>
      <c r="L76" s="76">
        <v>33</v>
      </c>
      <c r="M76" s="76">
        <v>27</v>
      </c>
      <c r="N76" s="76">
        <v>18</v>
      </c>
      <c r="O76" s="76">
        <v>5</v>
      </c>
      <c r="P76" s="76">
        <v>16</v>
      </c>
      <c r="Q76" s="76">
        <v>18</v>
      </c>
      <c r="R76" s="76">
        <v>0.32400000000000001</v>
      </c>
      <c r="S76" s="76">
        <v>1.99</v>
      </c>
      <c r="T76" s="76">
        <v>20</v>
      </c>
      <c r="U76" s="77" t="s">
        <v>394</v>
      </c>
      <c r="V76" s="76" t="s">
        <v>147</v>
      </c>
      <c r="W76" s="76">
        <v>0</v>
      </c>
      <c r="X76" s="76">
        <v>0</v>
      </c>
      <c r="Y76" s="76">
        <v>2</v>
      </c>
      <c r="Z76" s="76">
        <v>1</v>
      </c>
      <c r="AA76" s="76">
        <v>8</v>
      </c>
      <c r="AB76" s="76">
        <v>2</v>
      </c>
      <c r="AC76" s="76">
        <v>3</v>
      </c>
      <c r="AD76" s="76">
        <v>34</v>
      </c>
      <c r="AE76" s="76">
        <v>19</v>
      </c>
      <c r="AF76" s="76">
        <v>2</v>
      </c>
      <c r="AG76" s="76">
        <v>0</v>
      </c>
      <c r="AH76" s="76">
        <v>4</v>
      </c>
      <c r="AI76" s="76">
        <v>0</v>
      </c>
      <c r="AJ76" s="76">
        <v>0</v>
      </c>
      <c r="AK76" s="76">
        <v>122</v>
      </c>
      <c r="AL76" s="76">
        <v>456</v>
      </c>
      <c r="AM76" s="202"/>
      <c r="AN76" s="77"/>
      <c r="AO76" s="202"/>
      <c r="AP76" s="202"/>
      <c r="AQ76" s="202"/>
      <c r="AR76" s="202"/>
      <c r="AS76" s="202"/>
      <c r="AT76" s="202"/>
      <c r="AU76" s="202"/>
      <c r="AV76" s="202"/>
      <c r="AW76" s="202"/>
      <c r="AX76" s="202"/>
      <c r="AY76" s="202"/>
    </row>
    <row r="77" spans="1:51" ht="25.5" x14ac:dyDescent="0.2">
      <c r="A77" s="76">
        <v>21</v>
      </c>
      <c r="B77" s="77" t="s">
        <v>556</v>
      </c>
      <c r="C77" s="76" t="s">
        <v>147</v>
      </c>
      <c r="D77" s="76">
        <v>4</v>
      </c>
      <c r="E77" s="76">
        <v>12</v>
      </c>
      <c r="F77" s="76">
        <v>6.77</v>
      </c>
      <c r="G77" s="76">
        <v>22</v>
      </c>
      <c r="H77" s="76">
        <v>22</v>
      </c>
      <c r="I77" s="76">
        <v>0</v>
      </c>
      <c r="J77" s="76">
        <v>0</v>
      </c>
      <c r="K77" s="76">
        <v>114.1</v>
      </c>
      <c r="L77" s="76">
        <v>139</v>
      </c>
      <c r="M77" s="76">
        <v>89</v>
      </c>
      <c r="N77" s="76">
        <v>86</v>
      </c>
      <c r="O77" s="76">
        <v>31</v>
      </c>
      <c r="P77" s="76">
        <v>55</v>
      </c>
      <c r="Q77" s="76">
        <v>78</v>
      </c>
      <c r="R77" s="76">
        <v>0.29599999999999999</v>
      </c>
      <c r="S77" s="76">
        <v>1.7</v>
      </c>
      <c r="T77" s="76">
        <v>21</v>
      </c>
      <c r="U77" s="77" t="s">
        <v>556</v>
      </c>
      <c r="V77" s="76" t="s">
        <v>147</v>
      </c>
      <c r="W77" s="76">
        <v>1</v>
      </c>
      <c r="X77" s="76">
        <v>0</v>
      </c>
      <c r="Y77" s="76">
        <v>7</v>
      </c>
      <c r="Z77" s="76">
        <v>1</v>
      </c>
      <c r="AA77" s="76">
        <v>0</v>
      </c>
      <c r="AB77" s="76">
        <v>0</v>
      </c>
      <c r="AC77" s="76">
        <v>8</v>
      </c>
      <c r="AD77" s="76">
        <v>114</v>
      </c>
      <c r="AE77" s="76">
        <v>143</v>
      </c>
      <c r="AF77" s="76">
        <v>7</v>
      </c>
      <c r="AG77" s="76">
        <v>0</v>
      </c>
      <c r="AH77" s="76">
        <v>10</v>
      </c>
      <c r="AI77" s="76">
        <v>1</v>
      </c>
      <c r="AJ77" s="76">
        <v>0</v>
      </c>
      <c r="AK77" s="76">
        <v>538</v>
      </c>
      <c r="AL77" s="76">
        <v>2052</v>
      </c>
      <c r="AM77" s="102"/>
      <c r="AN77" s="102"/>
      <c r="AO77" s="102"/>
      <c r="AP77" s="102"/>
      <c r="AQ77" s="102"/>
      <c r="AR77" s="102"/>
      <c r="AS77" s="102"/>
      <c r="AT77" s="102"/>
      <c r="AU77" s="102"/>
      <c r="AV77" s="102"/>
      <c r="AW77" s="102"/>
      <c r="AX77" s="102"/>
      <c r="AY77" s="102"/>
    </row>
    <row r="78" spans="1:51" ht="25.5" x14ac:dyDescent="0.2">
      <c r="A78" s="76">
        <v>22</v>
      </c>
      <c r="B78" s="77" t="s">
        <v>512</v>
      </c>
      <c r="C78" s="76" t="s">
        <v>147</v>
      </c>
      <c r="D78" s="76">
        <v>0</v>
      </c>
      <c r="E78" s="76">
        <v>2</v>
      </c>
      <c r="F78" s="76">
        <v>6.94</v>
      </c>
      <c r="G78" s="76">
        <v>2</v>
      </c>
      <c r="H78" s="76">
        <v>2</v>
      </c>
      <c r="I78" s="76">
        <v>0</v>
      </c>
      <c r="J78" s="76">
        <v>0</v>
      </c>
      <c r="K78" s="76">
        <v>11.2</v>
      </c>
      <c r="L78" s="76">
        <v>14</v>
      </c>
      <c r="M78" s="76">
        <v>9</v>
      </c>
      <c r="N78" s="76">
        <v>9</v>
      </c>
      <c r="O78" s="76">
        <v>5</v>
      </c>
      <c r="P78" s="76">
        <v>6</v>
      </c>
      <c r="Q78" s="76">
        <v>11</v>
      </c>
      <c r="R78" s="76">
        <v>0.30399999999999999</v>
      </c>
      <c r="S78" s="76">
        <v>1.71</v>
      </c>
      <c r="T78" s="76">
        <v>22</v>
      </c>
      <c r="U78" s="77" t="s">
        <v>512</v>
      </c>
      <c r="V78" s="76" t="s">
        <v>147</v>
      </c>
      <c r="W78" s="76">
        <v>0</v>
      </c>
      <c r="X78" s="76">
        <v>0</v>
      </c>
      <c r="Y78" s="76">
        <v>0</v>
      </c>
      <c r="Z78" s="76">
        <v>0</v>
      </c>
      <c r="AA78" s="76">
        <v>0</v>
      </c>
      <c r="AB78" s="76">
        <v>0</v>
      </c>
      <c r="AC78" s="76">
        <v>2</v>
      </c>
      <c r="AD78" s="76">
        <v>11</v>
      </c>
      <c r="AE78" s="76">
        <v>11</v>
      </c>
      <c r="AF78" s="76">
        <v>0</v>
      </c>
      <c r="AG78" s="76">
        <v>0</v>
      </c>
      <c r="AH78" s="76">
        <v>0</v>
      </c>
      <c r="AI78" s="76">
        <v>0</v>
      </c>
      <c r="AJ78" s="76">
        <v>0</v>
      </c>
      <c r="AK78" s="76">
        <v>53</v>
      </c>
      <c r="AL78" s="76">
        <v>219</v>
      </c>
      <c r="AM78" s="202"/>
      <c r="AN78" s="77"/>
      <c r="AO78" s="202"/>
      <c r="AP78" s="202"/>
      <c r="AQ78" s="202"/>
      <c r="AR78" s="202"/>
      <c r="AS78" s="202"/>
      <c r="AT78" s="202"/>
      <c r="AU78" s="202"/>
      <c r="AV78" s="202"/>
      <c r="AW78" s="202"/>
      <c r="AX78" s="202"/>
      <c r="AY78" s="202"/>
    </row>
    <row r="79" spans="1:51" x14ac:dyDescent="0.2">
      <c r="A79" s="76">
        <v>23</v>
      </c>
      <c r="B79" s="77" t="s">
        <v>518</v>
      </c>
      <c r="C79" s="76" t="s">
        <v>147</v>
      </c>
      <c r="D79" s="76">
        <v>0</v>
      </c>
      <c r="E79" s="76">
        <v>4</v>
      </c>
      <c r="F79" s="76">
        <v>7.25</v>
      </c>
      <c r="G79" s="76">
        <v>4</v>
      </c>
      <c r="H79" s="76">
        <v>4</v>
      </c>
      <c r="I79" s="76">
        <v>0</v>
      </c>
      <c r="J79" s="76">
        <v>0</v>
      </c>
      <c r="K79" s="76">
        <v>22.1</v>
      </c>
      <c r="L79" s="76">
        <v>28</v>
      </c>
      <c r="M79" s="76">
        <v>20</v>
      </c>
      <c r="N79" s="76">
        <v>18</v>
      </c>
      <c r="O79" s="76">
        <v>5</v>
      </c>
      <c r="P79" s="76">
        <v>11</v>
      </c>
      <c r="Q79" s="76">
        <v>16</v>
      </c>
      <c r="R79" s="76">
        <v>0.32200000000000001</v>
      </c>
      <c r="S79" s="76">
        <v>1.75</v>
      </c>
      <c r="T79" s="76">
        <v>23</v>
      </c>
      <c r="U79" s="77" t="s">
        <v>518</v>
      </c>
      <c r="V79" s="76" t="s">
        <v>147</v>
      </c>
      <c r="W79" s="76">
        <v>0</v>
      </c>
      <c r="X79" s="76">
        <v>0</v>
      </c>
      <c r="Y79" s="76">
        <v>0</v>
      </c>
      <c r="Z79" s="76">
        <v>0</v>
      </c>
      <c r="AA79" s="76">
        <v>0</v>
      </c>
      <c r="AB79" s="76">
        <v>0</v>
      </c>
      <c r="AC79" s="76">
        <v>4</v>
      </c>
      <c r="AD79" s="76">
        <v>15</v>
      </c>
      <c r="AE79" s="76">
        <v>30</v>
      </c>
      <c r="AF79" s="76">
        <v>1</v>
      </c>
      <c r="AG79" s="76">
        <v>0</v>
      </c>
      <c r="AH79" s="76">
        <v>1</v>
      </c>
      <c r="AI79" s="76">
        <v>0</v>
      </c>
      <c r="AJ79" s="76">
        <v>0</v>
      </c>
      <c r="AK79" s="76">
        <v>100</v>
      </c>
      <c r="AL79" s="76">
        <v>387</v>
      </c>
      <c r="AM79" s="202"/>
      <c r="AN79" s="77"/>
      <c r="AO79" s="202"/>
      <c r="AP79" s="202"/>
      <c r="AQ79" s="202"/>
      <c r="AR79" s="202"/>
      <c r="AS79" s="202"/>
      <c r="AT79" s="202"/>
      <c r="AU79" s="202"/>
      <c r="AV79" s="202"/>
      <c r="AW79" s="202"/>
      <c r="AX79" s="202"/>
      <c r="AY79" s="202"/>
    </row>
    <row r="80" spans="1:51" ht="25.5" x14ac:dyDescent="0.2">
      <c r="A80" s="76">
        <v>24</v>
      </c>
      <c r="B80" s="77" t="s">
        <v>789</v>
      </c>
      <c r="C80" s="76" t="s">
        <v>147</v>
      </c>
      <c r="D80" s="76">
        <v>0</v>
      </c>
      <c r="E80" s="76">
        <v>1</v>
      </c>
      <c r="F80" s="76">
        <v>8.4600000000000009</v>
      </c>
      <c r="G80" s="76">
        <v>7</v>
      </c>
      <c r="H80" s="76">
        <v>5</v>
      </c>
      <c r="I80" s="76">
        <v>0</v>
      </c>
      <c r="J80" s="76">
        <v>0</v>
      </c>
      <c r="K80" s="76">
        <v>27.2</v>
      </c>
      <c r="L80" s="76">
        <v>34</v>
      </c>
      <c r="M80" s="76">
        <v>26</v>
      </c>
      <c r="N80" s="76">
        <v>26</v>
      </c>
      <c r="O80" s="76">
        <v>9</v>
      </c>
      <c r="P80" s="76">
        <v>12</v>
      </c>
      <c r="Q80" s="76">
        <v>16</v>
      </c>
      <c r="R80" s="76">
        <v>0.29299999999999998</v>
      </c>
      <c r="S80" s="76">
        <v>1.66</v>
      </c>
      <c r="T80" s="76">
        <v>24</v>
      </c>
      <c r="U80" s="77" t="s">
        <v>789</v>
      </c>
      <c r="V80" s="76" t="s">
        <v>147</v>
      </c>
      <c r="W80" s="76">
        <v>0</v>
      </c>
      <c r="X80" s="76">
        <v>0</v>
      </c>
      <c r="Y80" s="76">
        <v>0</v>
      </c>
      <c r="Z80" s="76">
        <v>0</v>
      </c>
      <c r="AA80" s="76">
        <v>2</v>
      </c>
      <c r="AB80" s="76">
        <v>0</v>
      </c>
      <c r="AC80" s="76">
        <v>0</v>
      </c>
      <c r="AD80" s="76">
        <v>31</v>
      </c>
      <c r="AE80" s="76">
        <v>37</v>
      </c>
      <c r="AF80" s="76">
        <v>1</v>
      </c>
      <c r="AG80" s="76">
        <v>0</v>
      </c>
      <c r="AH80" s="76">
        <v>0</v>
      </c>
      <c r="AI80" s="76">
        <v>0</v>
      </c>
      <c r="AJ80" s="76">
        <v>0</v>
      </c>
      <c r="AK80" s="76">
        <v>130</v>
      </c>
      <c r="AL80" s="76">
        <v>524</v>
      </c>
      <c r="AM80" s="202"/>
      <c r="AN80" s="77"/>
      <c r="AO80" s="202"/>
      <c r="AP80" s="202"/>
      <c r="AQ80" s="202"/>
      <c r="AR80" s="202"/>
      <c r="AS80" s="202"/>
      <c r="AT80" s="202"/>
      <c r="AU80" s="202"/>
      <c r="AV80" s="202"/>
      <c r="AW80" s="202"/>
      <c r="AX80" s="202"/>
      <c r="AY80" s="202"/>
    </row>
    <row r="81" spans="1:51" ht="25.5" x14ac:dyDescent="0.2">
      <c r="A81" s="76">
        <v>25</v>
      </c>
      <c r="B81" s="77" t="s">
        <v>1313</v>
      </c>
      <c r="C81" s="76" t="s">
        <v>147</v>
      </c>
      <c r="D81" s="76">
        <v>0</v>
      </c>
      <c r="E81" s="76">
        <v>2</v>
      </c>
      <c r="F81" s="76">
        <v>8.49</v>
      </c>
      <c r="G81" s="76">
        <v>8</v>
      </c>
      <c r="H81" s="76">
        <v>0</v>
      </c>
      <c r="I81" s="76">
        <v>0</v>
      </c>
      <c r="J81" s="76">
        <v>1</v>
      </c>
      <c r="K81" s="76">
        <v>11.2</v>
      </c>
      <c r="L81" s="76">
        <v>12</v>
      </c>
      <c r="M81" s="76">
        <v>11</v>
      </c>
      <c r="N81" s="76">
        <v>11</v>
      </c>
      <c r="O81" s="76">
        <v>2</v>
      </c>
      <c r="P81" s="76">
        <v>7</v>
      </c>
      <c r="Q81" s="76">
        <v>10</v>
      </c>
      <c r="R81" s="76">
        <v>0.27300000000000002</v>
      </c>
      <c r="S81" s="76">
        <v>1.63</v>
      </c>
      <c r="T81" s="76">
        <v>25</v>
      </c>
      <c r="U81" s="77" t="s">
        <v>1313</v>
      </c>
      <c r="V81" s="76" t="s">
        <v>147</v>
      </c>
      <c r="W81" s="76">
        <v>0</v>
      </c>
      <c r="X81" s="76">
        <v>0</v>
      </c>
      <c r="Y81" s="76">
        <v>2</v>
      </c>
      <c r="Z81" s="76">
        <v>0</v>
      </c>
      <c r="AA81" s="76">
        <v>4</v>
      </c>
      <c r="AB81" s="76">
        <v>0</v>
      </c>
      <c r="AC81" s="76">
        <v>2</v>
      </c>
      <c r="AD81" s="76">
        <v>14</v>
      </c>
      <c r="AE81" s="76">
        <v>8</v>
      </c>
      <c r="AF81" s="76">
        <v>2</v>
      </c>
      <c r="AG81" s="76">
        <v>0</v>
      </c>
      <c r="AH81" s="76">
        <v>1</v>
      </c>
      <c r="AI81" s="76">
        <v>1</v>
      </c>
      <c r="AJ81" s="76">
        <v>0</v>
      </c>
      <c r="AK81" s="76">
        <v>53</v>
      </c>
      <c r="AL81" s="76">
        <v>213</v>
      </c>
      <c r="AM81" s="202"/>
      <c r="AN81" s="77"/>
      <c r="AO81" s="202"/>
      <c r="AP81" s="202"/>
      <c r="AQ81" s="202"/>
      <c r="AR81" s="202"/>
      <c r="AS81" s="202"/>
      <c r="AT81" s="202"/>
      <c r="AU81" s="202"/>
      <c r="AV81" s="202"/>
      <c r="AW81" s="202"/>
      <c r="AX81" s="202"/>
      <c r="AY81" s="202"/>
    </row>
    <row r="82" spans="1:51" x14ac:dyDescent="0.2">
      <c r="A82" s="76">
        <v>26</v>
      </c>
      <c r="B82" s="77" t="s">
        <v>1314</v>
      </c>
      <c r="C82" s="76" t="s">
        <v>147</v>
      </c>
      <c r="D82" s="76">
        <v>0</v>
      </c>
      <c r="E82" s="76">
        <v>0</v>
      </c>
      <c r="F82" s="76">
        <v>9</v>
      </c>
      <c r="G82" s="76">
        <v>1</v>
      </c>
      <c r="H82" s="76">
        <v>0</v>
      </c>
      <c r="I82" s="76">
        <v>0</v>
      </c>
      <c r="J82" s="76">
        <v>0</v>
      </c>
      <c r="K82" s="76">
        <v>1</v>
      </c>
      <c r="L82" s="76">
        <v>1</v>
      </c>
      <c r="M82" s="76">
        <v>1</v>
      </c>
      <c r="N82" s="76">
        <v>1</v>
      </c>
      <c r="O82" s="76">
        <v>0</v>
      </c>
      <c r="P82" s="76">
        <v>0</v>
      </c>
      <c r="Q82" s="76">
        <v>0</v>
      </c>
      <c r="R82" s="76">
        <v>0.25</v>
      </c>
      <c r="S82" s="76">
        <v>1</v>
      </c>
      <c r="T82" s="76">
        <v>26</v>
      </c>
      <c r="U82" s="77" t="s">
        <v>1314</v>
      </c>
      <c r="V82" s="76" t="s">
        <v>147</v>
      </c>
      <c r="W82" s="76">
        <v>0</v>
      </c>
      <c r="X82" s="76">
        <v>0</v>
      </c>
      <c r="Y82" s="76">
        <v>0</v>
      </c>
      <c r="Z82" s="76">
        <v>0</v>
      </c>
      <c r="AA82" s="76">
        <v>1</v>
      </c>
      <c r="AB82" s="76">
        <v>0</v>
      </c>
      <c r="AC82" s="76">
        <v>0</v>
      </c>
      <c r="AD82" s="76">
        <v>3</v>
      </c>
      <c r="AE82" s="76">
        <v>0</v>
      </c>
      <c r="AF82" s="76">
        <v>0</v>
      </c>
      <c r="AG82" s="76">
        <v>0</v>
      </c>
      <c r="AH82" s="76">
        <v>0</v>
      </c>
      <c r="AI82" s="76">
        <v>0</v>
      </c>
      <c r="AJ82" s="76">
        <v>0</v>
      </c>
      <c r="AK82" s="76">
        <v>4</v>
      </c>
      <c r="AL82" s="76">
        <v>13</v>
      </c>
      <c r="AM82" s="202"/>
      <c r="AN82" s="77"/>
      <c r="AO82" s="202"/>
      <c r="AP82" s="202"/>
      <c r="AQ82" s="202"/>
      <c r="AR82" s="202"/>
      <c r="AS82" s="202"/>
      <c r="AT82" s="202"/>
      <c r="AU82" s="202"/>
      <c r="AV82" s="202"/>
      <c r="AW82" s="202"/>
      <c r="AX82" s="202"/>
      <c r="AY82" s="202"/>
    </row>
    <row r="83" spans="1:51" x14ac:dyDescent="0.2">
      <c r="A83" s="76">
        <v>27</v>
      </c>
      <c r="B83" s="77" t="s">
        <v>1315</v>
      </c>
      <c r="C83" s="76" t="s">
        <v>147</v>
      </c>
      <c r="D83" s="76">
        <v>0</v>
      </c>
      <c r="E83" s="76">
        <v>0</v>
      </c>
      <c r="F83" s="76">
        <v>10.8</v>
      </c>
      <c r="G83" s="76">
        <v>3</v>
      </c>
      <c r="H83" s="76">
        <v>0</v>
      </c>
      <c r="I83" s="76">
        <v>0</v>
      </c>
      <c r="J83" s="76">
        <v>0</v>
      </c>
      <c r="K83" s="76">
        <v>1.2</v>
      </c>
      <c r="L83" s="76">
        <v>6</v>
      </c>
      <c r="M83" s="76">
        <v>2</v>
      </c>
      <c r="N83" s="76">
        <v>2</v>
      </c>
      <c r="O83" s="76">
        <v>0</v>
      </c>
      <c r="P83" s="76">
        <v>3</v>
      </c>
      <c r="Q83" s="76">
        <v>0</v>
      </c>
      <c r="R83" s="76">
        <v>0.66700000000000004</v>
      </c>
      <c r="S83" s="76">
        <v>5.4</v>
      </c>
      <c r="T83" s="76">
        <v>27</v>
      </c>
      <c r="U83" s="77" t="s">
        <v>1315</v>
      </c>
      <c r="V83" s="76" t="s">
        <v>147</v>
      </c>
      <c r="W83" s="76">
        <v>0</v>
      </c>
      <c r="X83" s="76">
        <v>0</v>
      </c>
      <c r="Y83" s="76">
        <v>0</v>
      </c>
      <c r="Z83" s="76">
        <v>1</v>
      </c>
      <c r="AA83" s="76">
        <v>2</v>
      </c>
      <c r="AB83" s="76">
        <v>0</v>
      </c>
      <c r="AC83" s="76">
        <v>0</v>
      </c>
      <c r="AD83" s="76">
        <v>1</v>
      </c>
      <c r="AE83" s="76">
        <v>2</v>
      </c>
      <c r="AF83" s="76">
        <v>0</v>
      </c>
      <c r="AG83" s="76">
        <v>0</v>
      </c>
      <c r="AH83" s="76">
        <v>0</v>
      </c>
      <c r="AI83" s="76">
        <v>0</v>
      </c>
      <c r="AJ83" s="76">
        <v>0</v>
      </c>
      <c r="AK83" s="76">
        <v>12</v>
      </c>
      <c r="AL83" s="76">
        <v>41</v>
      </c>
      <c r="AM83" s="202"/>
      <c r="AN83" s="77"/>
      <c r="AO83" s="202"/>
      <c r="AP83" s="202"/>
      <c r="AQ83" s="202"/>
      <c r="AR83" s="202"/>
      <c r="AS83" s="202"/>
      <c r="AT83" s="202"/>
      <c r="AU83" s="202"/>
      <c r="AV83" s="202"/>
      <c r="AW83" s="202"/>
      <c r="AX83" s="202"/>
      <c r="AY83" s="202"/>
    </row>
    <row r="84" spans="1:51" x14ac:dyDescent="0.2">
      <c r="A84" s="76">
        <v>28</v>
      </c>
      <c r="B84" s="77" t="s">
        <v>791</v>
      </c>
      <c r="C84" s="76" t="s">
        <v>147</v>
      </c>
      <c r="D84" s="76">
        <v>0</v>
      </c>
      <c r="E84" s="76">
        <v>0</v>
      </c>
      <c r="F84" s="76">
        <v>11.57</v>
      </c>
      <c r="G84" s="76">
        <v>3</v>
      </c>
      <c r="H84" s="76">
        <v>0</v>
      </c>
      <c r="I84" s="76">
        <v>0</v>
      </c>
      <c r="J84" s="76">
        <v>0</v>
      </c>
      <c r="K84" s="76">
        <v>2.1</v>
      </c>
      <c r="L84" s="76">
        <v>2</v>
      </c>
      <c r="M84" s="76">
        <v>3</v>
      </c>
      <c r="N84" s="76">
        <v>3</v>
      </c>
      <c r="O84" s="76">
        <v>0</v>
      </c>
      <c r="P84" s="76">
        <v>1</v>
      </c>
      <c r="Q84" s="76">
        <v>2</v>
      </c>
      <c r="R84" s="76">
        <v>0.25</v>
      </c>
      <c r="S84" s="76">
        <v>1.29</v>
      </c>
      <c r="T84" s="76">
        <v>28</v>
      </c>
      <c r="U84" s="77" t="s">
        <v>791</v>
      </c>
      <c r="V84" s="76" t="s">
        <v>147</v>
      </c>
      <c r="W84" s="76">
        <v>0</v>
      </c>
      <c r="X84" s="76">
        <v>0</v>
      </c>
      <c r="Y84" s="76">
        <v>1</v>
      </c>
      <c r="Z84" s="76">
        <v>0</v>
      </c>
      <c r="AA84" s="76">
        <v>2</v>
      </c>
      <c r="AB84" s="76">
        <v>0</v>
      </c>
      <c r="AC84" s="76">
        <v>0</v>
      </c>
      <c r="AD84" s="76">
        <v>2</v>
      </c>
      <c r="AE84" s="76">
        <v>2</v>
      </c>
      <c r="AF84" s="76">
        <v>0</v>
      </c>
      <c r="AG84" s="76">
        <v>0</v>
      </c>
      <c r="AH84" s="76">
        <v>0</v>
      </c>
      <c r="AI84" s="76">
        <v>0</v>
      </c>
      <c r="AJ84" s="76">
        <v>0</v>
      </c>
      <c r="AK84" s="76">
        <v>10</v>
      </c>
      <c r="AL84" s="76">
        <v>43</v>
      </c>
      <c r="AM84" s="202"/>
      <c r="AN84" s="77"/>
      <c r="AO84" s="202"/>
      <c r="AP84" s="202"/>
      <c r="AQ84" s="202"/>
      <c r="AR84" s="202"/>
      <c r="AS84" s="202"/>
      <c r="AT84" s="202"/>
      <c r="AU84" s="202"/>
      <c r="AV84" s="202"/>
      <c r="AW84" s="202"/>
      <c r="AX84" s="202"/>
      <c r="AY84" s="202"/>
    </row>
    <row r="85" spans="1:51" x14ac:dyDescent="0.2">
      <c r="A85" s="225" t="s">
        <v>105</v>
      </c>
      <c r="B85" s="225" t="s">
        <v>106</v>
      </c>
      <c r="C85" s="225" t="s">
        <v>157</v>
      </c>
      <c r="D85" s="225" t="s">
        <v>85</v>
      </c>
      <c r="E85" s="225" t="s">
        <v>86</v>
      </c>
      <c r="F85" s="225" t="s">
        <v>107</v>
      </c>
      <c r="G85" s="225" t="s">
        <v>108</v>
      </c>
      <c r="H85" s="225" t="s">
        <v>88</v>
      </c>
      <c r="I85" s="225" t="s">
        <v>90</v>
      </c>
      <c r="J85" s="225" t="s">
        <v>158</v>
      </c>
      <c r="K85" s="225" t="s">
        <v>91</v>
      </c>
      <c r="L85" s="225" t="s">
        <v>92</v>
      </c>
      <c r="M85" s="225" t="s">
        <v>93</v>
      </c>
      <c r="N85" s="225" t="s">
        <v>94</v>
      </c>
      <c r="O85" s="225" t="s">
        <v>95</v>
      </c>
      <c r="P85" s="225" t="s">
        <v>96</v>
      </c>
      <c r="Q85" s="225" t="s">
        <v>97</v>
      </c>
      <c r="R85" s="225" t="s">
        <v>1071</v>
      </c>
      <c r="S85" s="225" t="s">
        <v>1072</v>
      </c>
      <c r="T85" s="225" t="s">
        <v>105</v>
      </c>
      <c r="U85" s="225" t="s">
        <v>106</v>
      </c>
      <c r="V85" s="225" t="s">
        <v>157</v>
      </c>
      <c r="W85" s="225" t="s">
        <v>89</v>
      </c>
      <c r="X85" s="225" t="s">
        <v>1073</v>
      </c>
      <c r="Y85" s="225" t="s">
        <v>1074</v>
      </c>
      <c r="Z85" s="225" t="s">
        <v>98</v>
      </c>
      <c r="AA85" s="225" t="s">
        <v>1075</v>
      </c>
      <c r="AB85" s="225" t="s">
        <v>1076</v>
      </c>
      <c r="AC85" s="225" t="s">
        <v>1077</v>
      </c>
      <c r="AD85" s="225" t="s">
        <v>1066</v>
      </c>
      <c r="AE85" s="225" t="s">
        <v>1067</v>
      </c>
      <c r="AF85" s="225" t="s">
        <v>1078</v>
      </c>
      <c r="AG85" s="225" t="s">
        <v>1079</v>
      </c>
      <c r="AH85" s="225" t="s">
        <v>1057</v>
      </c>
      <c r="AI85" s="225" t="s">
        <v>1058</v>
      </c>
      <c r="AJ85" s="225" t="s">
        <v>1080</v>
      </c>
      <c r="AK85" s="225" t="s">
        <v>109</v>
      </c>
      <c r="AL85" s="225" t="s">
        <v>1069</v>
      </c>
      <c r="AM85" s="202"/>
      <c r="AN85" s="77"/>
      <c r="AO85" s="202"/>
      <c r="AP85" s="202"/>
      <c r="AQ85" s="202"/>
      <c r="AR85" s="202"/>
      <c r="AS85" s="202"/>
      <c r="AT85" s="202"/>
      <c r="AU85" s="202"/>
      <c r="AV85" s="202"/>
      <c r="AW85" s="202"/>
      <c r="AX85" s="202"/>
      <c r="AY85" s="202"/>
    </row>
    <row r="86" spans="1:51" x14ac:dyDescent="0.2">
      <c r="A86" s="76">
        <v>1</v>
      </c>
      <c r="B86" s="77" t="s">
        <v>594</v>
      </c>
      <c r="C86" s="76" t="s">
        <v>148</v>
      </c>
      <c r="D86" s="76">
        <v>5</v>
      </c>
      <c r="E86" s="76">
        <v>1</v>
      </c>
      <c r="F86" s="76">
        <v>1.53</v>
      </c>
      <c r="G86" s="76">
        <v>62</v>
      </c>
      <c r="H86" s="76">
        <v>0</v>
      </c>
      <c r="I86" s="76">
        <v>1</v>
      </c>
      <c r="J86" s="76">
        <v>2</v>
      </c>
      <c r="K86" s="76">
        <v>70.2</v>
      </c>
      <c r="L86" s="76">
        <v>54</v>
      </c>
      <c r="M86" s="76">
        <v>14</v>
      </c>
      <c r="N86" s="76">
        <v>12</v>
      </c>
      <c r="O86" s="76">
        <v>2</v>
      </c>
      <c r="P86" s="76">
        <v>10</v>
      </c>
      <c r="Q86" s="76">
        <v>57</v>
      </c>
      <c r="R86" s="76">
        <v>0.21099999999999999</v>
      </c>
      <c r="S86" s="76">
        <v>0.91</v>
      </c>
      <c r="T86" s="76">
        <v>1</v>
      </c>
      <c r="U86" s="77" t="s">
        <v>594</v>
      </c>
      <c r="V86" s="76" t="s">
        <v>148</v>
      </c>
      <c r="W86" s="76">
        <v>0</v>
      </c>
      <c r="X86" s="76">
        <v>0</v>
      </c>
      <c r="Y86" s="76">
        <v>0</v>
      </c>
      <c r="Z86" s="76">
        <v>1</v>
      </c>
      <c r="AA86" s="76">
        <v>20</v>
      </c>
      <c r="AB86" s="76">
        <v>3</v>
      </c>
      <c r="AC86" s="76">
        <v>11</v>
      </c>
      <c r="AD86" s="76">
        <v>104</v>
      </c>
      <c r="AE86" s="76">
        <v>44</v>
      </c>
      <c r="AF86" s="76">
        <v>2</v>
      </c>
      <c r="AG86" s="76">
        <v>0</v>
      </c>
      <c r="AH86" s="76">
        <v>1</v>
      </c>
      <c r="AI86" s="76">
        <v>0</v>
      </c>
      <c r="AJ86" s="76">
        <v>0</v>
      </c>
      <c r="AK86" s="76">
        <v>269</v>
      </c>
      <c r="AL86" s="76">
        <v>1001</v>
      </c>
      <c r="AM86" s="202"/>
      <c r="AN86" s="77"/>
      <c r="AO86" s="202"/>
      <c r="AP86" s="202"/>
      <c r="AQ86" s="202"/>
      <c r="AR86" s="202"/>
      <c r="AS86" s="202"/>
      <c r="AT86" s="202"/>
      <c r="AU86" s="202"/>
      <c r="AV86" s="202"/>
      <c r="AW86" s="202"/>
      <c r="AX86" s="202"/>
      <c r="AY86" s="202"/>
    </row>
    <row r="87" spans="1:51" x14ac:dyDescent="0.2">
      <c r="A87" s="76">
        <v>2</v>
      </c>
      <c r="B87" s="77" t="s">
        <v>499</v>
      </c>
      <c r="C87" s="76" t="s">
        <v>148</v>
      </c>
      <c r="D87" s="76">
        <v>4</v>
      </c>
      <c r="E87" s="76">
        <v>0</v>
      </c>
      <c r="F87" s="76">
        <v>1.55</v>
      </c>
      <c r="G87" s="76">
        <v>26</v>
      </c>
      <c r="H87" s="76">
        <v>0</v>
      </c>
      <c r="I87" s="76">
        <v>3</v>
      </c>
      <c r="J87" s="76">
        <v>3</v>
      </c>
      <c r="K87" s="76">
        <v>29</v>
      </c>
      <c r="L87" s="76">
        <v>14</v>
      </c>
      <c r="M87" s="76">
        <v>5</v>
      </c>
      <c r="N87" s="76">
        <v>5</v>
      </c>
      <c r="O87" s="76">
        <v>3</v>
      </c>
      <c r="P87" s="76">
        <v>2</v>
      </c>
      <c r="Q87" s="76">
        <v>46</v>
      </c>
      <c r="R87" s="76">
        <v>0.13900000000000001</v>
      </c>
      <c r="S87" s="76">
        <v>0.55000000000000004</v>
      </c>
      <c r="T87" s="76">
        <v>2</v>
      </c>
      <c r="U87" s="77" t="s">
        <v>499</v>
      </c>
      <c r="V87" s="76" t="s">
        <v>148</v>
      </c>
      <c r="W87" s="76">
        <v>0</v>
      </c>
      <c r="X87" s="76">
        <v>0</v>
      </c>
      <c r="Y87" s="76">
        <v>0</v>
      </c>
      <c r="Z87" s="76">
        <v>0</v>
      </c>
      <c r="AA87" s="76">
        <v>7</v>
      </c>
      <c r="AB87" s="76">
        <v>9</v>
      </c>
      <c r="AC87" s="76">
        <v>0</v>
      </c>
      <c r="AD87" s="76">
        <v>26</v>
      </c>
      <c r="AE87" s="76">
        <v>15</v>
      </c>
      <c r="AF87" s="76">
        <v>1</v>
      </c>
      <c r="AG87" s="76">
        <v>0</v>
      </c>
      <c r="AH87" s="76">
        <v>1</v>
      </c>
      <c r="AI87" s="76">
        <v>0</v>
      </c>
      <c r="AJ87" s="76">
        <v>0</v>
      </c>
      <c r="AK87" s="76">
        <v>103</v>
      </c>
      <c r="AL87" s="76">
        <v>411</v>
      </c>
      <c r="AM87" s="202"/>
      <c r="AN87" s="77"/>
      <c r="AO87" s="202"/>
      <c r="AP87" s="202"/>
      <c r="AQ87" s="202"/>
      <c r="AR87" s="202"/>
      <c r="AS87" s="202"/>
      <c r="AT87" s="202"/>
      <c r="AU87" s="202"/>
      <c r="AV87" s="202"/>
      <c r="AW87" s="202"/>
      <c r="AX87" s="202"/>
      <c r="AY87" s="202"/>
    </row>
    <row r="88" spans="1:51" x14ac:dyDescent="0.2">
      <c r="A88" s="76">
        <v>3</v>
      </c>
      <c r="B88" s="77" t="s">
        <v>1316</v>
      </c>
      <c r="C88" s="76" t="s">
        <v>148</v>
      </c>
      <c r="D88" s="76">
        <v>1</v>
      </c>
      <c r="E88" s="76">
        <v>0</v>
      </c>
      <c r="F88" s="76">
        <v>1.64</v>
      </c>
      <c r="G88" s="76">
        <v>4</v>
      </c>
      <c r="H88" s="76">
        <v>1</v>
      </c>
      <c r="I88" s="76">
        <v>0</v>
      </c>
      <c r="J88" s="76">
        <v>0</v>
      </c>
      <c r="K88" s="76">
        <v>11</v>
      </c>
      <c r="L88" s="76">
        <v>6</v>
      </c>
      <c r="M88" s="76">
        <v>2</v>
      </c>
      <c r="N88" s="76">
        <v>2</v>
      </c>
      <c r="O88" s="76">
        <v>0</v>
      </c>
      <c r="P88" s="76">
        <v>0</v>
      </c>
      <c r="Q88" s="76">
        <v>6</v>
      </c>
      <c r="R88" s="76">
        <v>0.16700000000000001</v>
      </c>
      <c r="S88" s="76">
        <v>0.55000000000000004</v>
      </c>
      <c r="T88" s="76">
        <v>3</v>
      </c>
      <c r="U88" s="77" t="s">
        <v>1316</v>
      </c>
      <c r="V88" s="76" t="s">
        <v>148</v>
      </c>
      <c r="W88" s="76">
        <v>0</v>
      </c>
      <c r="X88" s="76">
        <v>0</v>
      </c>
      <c r="Y88" s="76">
        <v>0</v>
      </c>
      <c r="Z88" s="76">
        <v>0</v>
      </c>
      <c r="AA88" s="76">
        <v>1</v>
      </c>
      <c r="AB88" s="76">
        <v>0</v>
      </c>
      <c r="AC88" s="76">
        <v>3</v>
      </c>
      <c r="AD88" s="76">
        <v>15</v>
      </c>
      <c r="AE88" s="76">
        <v>10</v>
      </c>
      <c r="AF88" s="76">
        <v>0</v>
      </c>
      <c r="AG88" s="76">
        <v>0</v>
      </c>
      <c r="AH88" s="76">
        <v>0</v>
      </c>
      <c r="AI88" s="76">
        <v>0</v>
      </c>
      <c r="AJ88" s="76">
        <v>0</v>
      </c>
      <c r="AK88" s="76">
        <v>37</v>
      </c>
      <c r="AL88" s="76">
        <v>127</v>
      </c>
      <c r="AM88" s="202"/>
      <c r="AN88" s="77"/>
      <c r="AO88" s="202"/>
      <c r="AP88" s="202"/>
      <c r="AQ88" s="202"/>
      <c r="AR88" s="202"/>
      <c r="AS88" s="202"/>
      <c r="AT88" s="202"/>
      <c r="AU88" s="202"/>
      <c r="AV88" s="202"/>
      <c r="AW88" s="202"/>
      <c r="AX88" s="202"/>
      <c r="AY88" s="202"/>
    </row>
    <row r="89" spans="1:51" ht="25.5" x14ac:dyDescent="0.2">
      <c r="A89" s="76">
        <v>4</v>
      </c>
      <c r="B89" s="77" t="s">
        <v>589</v>
      </c>
      <c r="C89" s="76" t="s">
        <v>148</v>
      </c>
      <c r="D89" s="76">
        <v>0</v>
      </c>
      <c r="E89" s="76">
        <v>0</v>
      </c>
      <c r="F89" s="76">
        <v>2.25</v>
      </c>
      <c r="G89" s="76">
        <v>20</v>
      </c>
      <c r="H89" s="76">
        <v>0</v>
      </c>
      <c r="I89" s="76">
        <v>0</v>
      </c>
      <c r="J89" s="76">
        <v>0</v>
      </c>
      <c r="K89" s="76">
        <v>20</v>
      </c>
      <c r="L89" s="76">
        <v>12</v>
      </c>
      <c r="M89" s="76">
        <v>6</v>
      </c>
      <c r="N89" s="76">
        <v>5</v>
      </c>
      <c r="O89" s="76">
        <v>1</v>
      </c>
      <c r="P89" s="76">
        <v>11</v>
      </c>
      <c r="Q89" s="76">
        <v>18</v>
      </c>
      <c r="R89" s="76">
        <v>0.17599999999999999</v>
      </c>
      <c r="S89" s="76">
        <v>1.1499999999999999</v>
      </c>
      <c r="T89" s="76">
        <v>4</v>
      </c>
      <c r="U89" s="77" t="s">
        <v>589</v>
      </c>
      <c r="V89" s="76" t="s">
        <v>148</v>
      </c>
      <c r="W89" s="76">
        <v>0</v>
      </c>
      <c r="X89" s="76">
        <v>0</v>
      </c>
      <c r="Y89" s="76">
        <v>1</v>
      </c>
      <c r="Z89" s="76">
        <v>3</v>
      </c>
      <c r="AA89" s="76">
        <v>5</v>
      </c>
      <c r="AB89" s="76">
        <v>0</v>
      </c>
      <c r="AC89" s="76">
        <v>0</v>
      </c>
      <c r="AD89" s="76">
        <v>24</v>
      </c>
      <c r="AE89" s="76">
        <v>16</v>
      </c>
      <c r="AF89" s="76">
        <v>1</v>
      </c>
      <c r="AG89" s="76">
        <v>0</v>
      </c>
      <c r="AH89" s="76">
        <v>1</v>
      </c>
      <c r="AI89" s="76">
        <v>2</v>
      </c>
      <c r="AJ89" s="76">
        <v>0</v>
      </c>
      <c r="AK89" s="76">
        <v>82</v>
      </c>
      <c r="AL89" s="76">
        <v>354</v>
      </c>
      <c r="AM89" s="202"/>
      <c r="AN89" s="77"/>
      <c r="AO89" s="202"/>
      <c r="AP89" s="202"/>
      <c r="AQ89" s="202"/>
      <c r="AR89" s="202"/>
      <c r="AS89" s="202"/>
      <c r="AT89" s="202"/>
      <c r="AU89" s="202"/>
      <c r="AV89" s="202"/>
      <c r="AW89" s="202"/>
      <c r="AX89" s="202"/>
      <c r="AY89" s="202"/>
    </row>
    <row r="90" spans="1:51" x14ac:dyDescent="0.2">
      <c r="A90" s="76">
        <v>5</v>
      </c>
      <c r="B90" s="77" t="s">
        <v>522</v>
      </c>
      <c r="C90" s="76" t="s">
        <v>148</v>
      </c>
      <c r="D90" s="76">
        <v>3</v>
      </c>
      <c r="E90" s="76">
        <v>5</v>
      </c>
      <c r="F90" s="76">
        <v>2.5099999999999998</v>
      </c>
      <c r="G90" s="76">
        <v>67</v>
      </c>
      <c r="H90" s="76">
        <v>0</v>
      </c>
      <c r="I90" s="76">
        <v>32</v>
      </c>
      <c r="J90" s="76">
        <v>35</v>
      </c>
      <c r="K90" s="76">
        <v>68</v>
      </c>
      <c r="L90" s="76">
        <v>41</v>
      </c>
      <c r="M90" s="76">
        <v>23</v>
      </c>
      <c r="N90" s="76">
        <v>19</v>
      </c>
      <c r="O90" s="76">
        <v>8</v>
      </c>
      <c r="P90" s="76">
        <v>27</v>
      </c>
      <c r="Q90" s="76">
        <v>87</v>
      </c>
      <c r="R90" s="76">
        <v>0.17699999999999999</v>
      </c>
      <c r="S90" s="76">
        <v>1</v>
      </c>
      <c r="T90" s="76">
        <v>5</v>
      </c>
      <c r="U90" s="77" t="s">
        <v>522</v>
      </c>
      <c r="V90" s="76" t="s">
        <v>148</v>
      </c>
      <c r="W90" s="76">
        <v>0</v>
      </c>
      <c r="X90" s="76">
        <v>0</v>
      </c>
      <c r="Y90" s="76">
        <v>0</v>
      </c>
      <c r="Z90" s="76">
        <v>2</v>
      </c>
      <c r="AA90" s="76">
        <v>55</v>
      </c>
      <c r="AB90" s="76">
        <v>0</v>
      </c>
      <c r="AC90" s="76">
        <v>7</v>
      </c>
      <c r="AD90" s="76">
        <v>57</v>
      </c>
      <c r="AE90" s="76">
        <v>52</v>
      </c>
      <c r="AF90" s="76">
        <v>3</v>
      </c>
      <c r="AG90" s="76">
        <v>0</v>
      </c>
      <c r="AH90" s="76">
        <v>2</v>
      </c>
      <c r="AI90" s="76">
        <v>3</v>
      </c>
      <c r="AJ90" s="76">
        <v>0</v>
      </c>
      <c r="AK90" s="76">
        <v>264</v>
      </c>
      <c r="AL90" s="76">
        <v>1133</v>
      </c>
      <c r="AM90" s="202"/>
      <c r="AN90" s="77"/>
      <c r="AO90" s="202"/>
      <c r="AP90" s="202"/>
      <c r="AQ90" s="202"/>
      <c r="AR90" s="202"/>
      <c r="AS90" s="202"/>
      <c r="AT90" s="202"/>
      <c r="AU90" s="202"/>
      <c r="AV90" s="202"/>
      <c r="AW90" s="202"/>
      <c r="AX90" s="202"/>
      <c r="AY90" s="202"/>
    </row>
    <row r="91" spans="1:51" ht="25.5" x14ac:dyDescent="0.2">
      <c r="A91" s="76">
        <v>6</v>
      </c>
      <c r="B91" s="77" t="s">
        <v>1179</v>
      </c>
      <c r="C91" s="76" t="s">
        <v>148</v>
      </c>
      <c r="D91" s="76">
        <v>0</v>
      </c>
      <c r="E91" s="76">
        <v>0</v>
      </c>
      <c r="F91" s="76">
        <v>2.5299999999999998</v>
      </c>
      <c r="G91" s="76">
        <v>10</v>
      </c>
      <c r="H91" s="76">
        <v>0</v>
      </c>
      <c r="I91" s="76">
        <v>0</v>
      </c>
      <c r="J91" s="76">
        <v>0</v>
      </c>
      <c r="K91" s="76">
        <v>10.199999999999999</v>
      </c>
      <c r="L91" s="76">
        <v>9</v>
      </c>
      <c r="M91" s="76">
        <v>3</v>
      </c>
      <c r="N91" s="76">
        <v>3</v>
      </c>
      <c r="O91" s="76">
        <v>1</v>
      </c>
      <c r="P91" s="76">
        <v>5</v>
      </c>
      <c r="Q91" s="76">
        <v>7</v>
      </c>
      <c r="R91" s="76">
        <v>0.23699999999999999</v>
      </c>
      <c r="S91" s="76">
        <v>1.31</v>
      </c>
      <c r="T91" s="76">
        <v>6</v>
      </c>
      <c r="U91" s="77" t="s">
        <v>1179</v>
      </c>
      <c r="V91" s="76" t="s">
        <v>148</v>
      </c>
      <c r="W91" s="76">
        <v>0</v>
      </c>
      <c r="X91" s="76">
        <v>0</v>
      </c>
      <c r="Y91" s="76">
        <v>0</v>
      </c>
      <c r="Z91" s="76">
        <v>2</v>
      </c>
      <c r="AA91" s="76">
        <v>2</v>
      </c>
      <c r="AB91" s="76">
        <v>0</v>
      </c>
      <c r="AC91" s="76">
        <v>1</v>
      </c>
      <c r="AD91" s="76">
        <v>13</v>
      </c>
      <c r="AE91" s="76">
        <v>10</v>
      </c>
      <c r="AF91" s="76">
        <v>1</v>
      </c>
      <c r="AG91" s="76">
        <v>0</v>
      </c>
      <c r="AH91" s="76">
        <v>1</v>
      </c>
      <c r="AI91" s="76">
        <v>0</v>
      </c>
      <c r="AJ91" s="76">
        <v>0</v>
      </c>
      <c r="AK91" s="76">
        <v>44</v>
      </c>
      <c r="AL91" s="76">
        <v>201</v>
      </c>
      <c r="AM91" s="202"/>
      <c r="AN91" s="77"/>
      <c r="AO91" s="202"/>
      <c r="AP91" s="202"/>
      <c r="AQ91" s="202"/>
      <c r="AR91" s="202"/>
      <c r="AS91" s="202"/>
      <c r="AT91" s="202"/>
      <c r="AU91" s="202"/>
      <c r="AV91" s="202"/>
      <c r="AW91" s="202"/>
      <c r="AX91" s="202"/>
      <c r="AY91" s="202"/>
    </row>
    <row r="92" spans="1:51" ht="25.5" x14ac:dyDescent="0.2">
      <c r="A92" s="76">
        <v>7</v>
      </c>
      <c r="B92" s="77" t="s">
        <v>373</v>
      </c>
      <c r="C92" s="76" t="s">
        <v>148</v>
      </c>
      <c r="D92" s="76">
        <v>2</v>
      </c>
      <c r="E92" s="76">
        <v>1</v>
      </c>
      <c r="F92" s="76">
        <v>3.12</v>
      </c>
      <c r="G92" s="76">
        <v>53</v>
      </c>
      <c r="H92" s="76">
        <v>0</v>
      </c>
      <c r="I92" s="76">
        <v>0</v>
      </c>
      <c r="J92" s="76">
        <v>1</v>
      </c>
      <c r="K92" s="76">
        <v>43.1</v>
      </c>
      <c r="L92" s="76">
        <v>40</v>
      </c>
      <c r="M92" s="76">
        <v>20</v>
      </c>
      <c r="N92" s="76">
        <v>15</v>
      </c>
      <c r="O92" s="76">
        <v>7</v>
      </c>
      <c r="P92" s="76">
        <v>22</v>
      </c>
      <c r="Q92" s="76">
        <v>36</v>
      </c>
      <c r="R92" s="76">
        <v>0.24099999999999999</v>
      </c>
      <c r="S92" s="76">
        <v>1.43</v>
      </c>
      <c r="T92" s="76">
        <v>7</v>
      </c>
      <c r="U92" s="77" t="s">
        <v>373</v>
      </c>
      <c r="V92" s="76" t="s">
        <v>148</v>
      </c>
      <c r="W92" s="76">
        <v>0</v>
      </c>
      <c r="X92" s="76">
        <v>0</v>
      </c>
      <c r="Y92" s="76">
        <v>0</v>
      </c>
      <c r="Z92" s="76">
        <v>2</v>
      </c>
      <c r="AA92" s="76">
        <v>8</v>
      </c>
      <c r="AB92" s="76">
        <v>6</v>
      </c>
      <c r="AC92" s="76">
        <v>5</v>
      </c>
      <c r="AD92" s="76">
        <v>55</v>
      </c>
      <c r="AE92" s="76">
        <v>36</v>
      </c>
      <c r="AF92" s="76">
        <v>0</v>
      </c>
      <c r="AG92" s="76">
        <v>0</v>
      </c>
      <c r="AH92" s="76">
        <v>0</v>
      </c>
      <c r="AI92" s="76">
        <v>1</v>
      </c>
      <c r="AJ92" s="76">
        <v>0</v>
      </c>
      <c r="AK92" s="76">
        <v>189</v>
      </c>
      <c r="AL92" s="76">
        <v>744</v>
      </c>
      <c r="AM92" s="202"/>
      <c r="AN92" s="77"/>
      <c r="AO92" s="202"/>
      <c r="AP92" s="202"/>
      <c r="AQ92" s="202"/>
      <c r="AR92" s="202"/>
      <c r="AS92" s="202"/>
      <c r="AT92" s="202"/>
      <c r="AU92" s="202"/>
      <c r="AV92" s="202"/>
      <c r="AW92" s="202"/>
      <c r="AX92" s="202"/>
      <c r="AY92" s="202"/>
    </row>
    <row r="93" spans="1:51" x14ac:dyDescent="0.2">
      <c r="A93" s="76">
        <v>8</v>
      </c>
      <c r="B93" s="77" t="s">
        <v>529</v>
      </c>
      <c r="C93" s="76" t="s">
        <v>148</v>
      </c>
      <c r="D93" s="76">
        <v>18</v>
      </c>
      <c r="E93" s="76">
        <v>9</v>
      </c>
      <c r="F93" s="76">
        <v>3.14</v>
      </c>
      <c r="G93" s="76">
        <v>32</v>
      </c>
      <c r="H93" s="76">
        <v>32</v>
      </c>
      <c r="I93" s="76">
        <v>0</v>
      </c>
      <c r="J93" s="76">
        <v>0</v>
      </c>
      <c r="K93" s="76">
        <v>215</v>
      </c>
      <c r="L93" s="76">
        <v>170</v>
      </c>
      <c r="M93" s="76">
        <v>82</v>
      </c>
      <c r="N93" s="76">
        <v>75</v>
      </c>
      <c r="O93" s="76">
        <v>22</v>
      </c>
      <c r="P93" s="76">
        <v>57</v>
      </c>
      <c r="Q93" s="76">
        <v>227</v>
      </c>
      <c r="R93" s="76">
        <v>0.216</v>
      </c>
      <c r="S93" s="76">
        <v>1.06</v>
      </c>
      <c r="T93" s="76">
        <v>8</v>
      </c>
      <c r="U93" s="77" t="s">
        <v>529</v>
      </c>
      <c r="V93" s="76" t="s">
        <v>148</v>
      </c>
      <c r="W93" s="76">
        <v>3</v>
      </c>
      <c r="X93" s="76">
        <v>2</v>
      </c>
      <c r="Y93" s="76">
        <v>7</v>
      </c>
      <c r="Z93" s="76">
        <v>1</v>
      </c>
      <c r="AA93" s="76">
        <v>0</v>
      </c>
      <c r="AB93" s="76">
        <v>0</v>
      </c>
      <c r="AC93" s="76">
        <v>17</v>
      </c>
      <c r="AD93" s="76">
        <v>213</v>
      </c>
      <c r="AE93" s="76">
        <v>186</v>
      </c>
      <c r="AF93" s="76">
        <v>5</v>
      </c>
      <c r="AG93" s="76">
        <v>1</v>
      </c>
      <c r="AH93" s="76">
        <v>4</v>
      </c>
      <c r="AI93" s="76">
        <v>7</v>
      </c>
      <c r="AJ93" s="76">
        <v>1</v>
      </c>
      <c r="AK93" s="76">
        <v>860</v>
      </c>
      <c r="AL93" s="76">
        <v>3189</v>
      </c>
      <c r="AM93" s="202"/>
      <c r="AN93" s="77"/>
      <c r="AO93" s="202"/>
      <c r="AP93" s="202"/>
      <c r="AQ93" s="202"/>
      <c r="AR93" s="202"/>
      <c r="AS93" s="202"/>
      <c r="AT93" s="202"/>
      <c r="AU93" s="202"/>
      <c r="AV93" s="202"/>
      <c r="AW93" s="202"/>
      <c r="AX93" s="202"/>
      <c r="AY93" s="202"/>
    </row>
    <row r="94" spans="1:51" x14ac:dyDescent="0.2">
      <c r="A94" s="76">
        <v>9</v>
      </c>
      <c r="B94" s="77" t="s">
        <v>525</v>
      </c>
      <c r="C94" s="76" t="s">
        <v>148</v>
      </c>
      <c r="D94" s="76">
        <v>2</v>
      </c>
      <c r="E94" s="76">
        <v>5</v>
      </c>
      <c r="F94" s="76">
        <v>3.24</v>
      </c>
      <c r="G94" s="76">
        <v>75</v>
      </c>
      <c r="H94" s="76">
        <v>0</v>
      </c>
      <c r="I94" s="76">
        <v>1</v>
      </c>
      <c r="J94" s="76">
        <v>4</v>
      </c>
      <c r="K94" s="76">
        <v>66.2</v>
      </c>
      <c r="L94" s="76">
        <v>56</v>
      </c>
      <c r="M94" s="76">
        <v>26</v>
      </c>
      <c r="N94" s="76">
        <v>24</v>
      </c>
      <c r="O94" s="76">
        <v>8</v>
      </c>
      <c r="P94" s="76">
        <v>28</v>
      </c>
      <c r="Q94" s="76">
        <v>69</v>
      </c>
      <c r="R94" s="76">
        <v>0.23</v>
      </c>
      <c r="S94" s="76">
        <v>1.26</v>
      </c>
      <c r="T94" s="76">
        <v>9</v>
      </c>
      <c r="U94" s="77" t="s">
        <v>525</v>
      </c>
      <c r="V94" s="76" t="s">
        <v>148</v>
      </c>
      <c r="W94" s="76">
        <v>0</v>
      </c>
      <c r="X94" s="76">
        <v>0</v>
      </c>
      <c r="Y94" s="76">
        <v>1</v>
      </c>
      <c r="Z94" s="76">
        <v>3</v>
      </c>
      <c r="AA94" s="76">
        <v>9</v>
      </c>
      <c r="AB94" s="76">
        <v>25</v>
      </c>
      <c r="AC94" s="76">
        <v>8</v>
      </c>
      <c r="AD94" s="76">
        <v>78</v>
      </c>
      <c r="AE94" s="76">
        <v>43</v>
      </c>
      <c r="AF94" s="76">
        <v>2</v>
      </c>
      <c r="AG94" s="76">
        <v>0</v>
      </c>
      <c r="AH94" s="76">
        <v>5</v>
      </c>
      <c r="AI94" s="76">
        <v>1</v>
      </c>
      <c r="AJ94" s="76">
        <v>1</v>
      </c>
      <c r="AK94" s="76">
        <v>275</v>
      </c>
      <c r="AL94" s="76">
        <v>1158</v>
      </c>
      <c r="AM94" s="202"/>
      <c r="AN94" s="77"/>
      <c r="AO94" s="202"/>
      <c r="AP94" s="202"/>
      <c r="AQ94" s="202"/>
      <c r="AR94" s="202"/>
      <c r="AS94" s="202"/>
      <c r="AT94" s="202"/>
      <c r="AU94" s="202"/>
      <c r="AV94" s="202"/>
      <c r="AW94" s="202"/>
      <c r="AX94" s="202"/>
      <c r="AY94" s="202"/>
    </row>
    <row r="95" spans="1:51" ht="25.5" x14ac:dyDescent="0.2">
      <c r="A95" s="76">
        <v>10</v>
      </c>
      <c r="B95" s="77" t="s">
        <v>533</v>
      </c>
      <c r="C95" s="76" t="s">
        <v>148</v>
      </c>
      <c r="D95" s="76">
        <v>11</v>
      </c>
      <c r="E95" s="76">
        <v>8</v>
      </c>
      <c r="F95" s="76">
        <v>3.32</v>
      </c>
      <c r="G95" s="76">
        <v>25</v>
      </c>
      <c r="H95" s="76">
        <v>25</v>
      </c>
      <c r="I95" s="76">
        <v>0</v>
      </c>
      <c r="J95" s="76">
        <v>0</v>
      </c>
      <c r="K95" s="76">
        <v>146.1</v>
      </c>
      <c r="L95" s="76">
        <v>134</v>
      </c>
      <c r="M95" s="76">
        <v>64</v>
      </c>
      <c r="N95" s="76">
        <v>54</v>
      </c>
      <c r="O95" s="76">
        <v>21</v>
      </c>
      <c r="P95" s="76">
        <v>34</v>
      </c>
      <c r="Q95" s="76">
        <v>150</v>
      </c>
      <c r="R95" s="76">
        <v>0.24</v>
      </c>
      <c r="S95" s="76">
        <v>1.1499999999999999</v>
      </c>
      <c r="T95" s="76">
        <v>10</v>
      </c>
      <c r="U95" s="77" t="s">
        <v>533</v>
      </c>
      <c r="V95" s="76" t="s">
        <v>148</v>
      </c>
      <c r="W95" s="76">
        <v>1</v>
      </c>
      <c r="X95" s="76">
        <v>1</v>
      </c>
      <c r="Y95" s="76">
        <v>3</v>
      </c>
      <c r="Z95" s="76">
        <v>2</v>
      </c>
      <c r="AA95" s="76">
        <v>0</v>
      </c>
      <c r="AB95" s="76">
        <v>0</v>
      </c>
      <c r="AC95" s="76">
        <v>9</v>
      </c>
      <c r="AD95" s="76">
        <v>157</v>
      </c>
      <c r="AE95" s="76">
        <v>121</v>
      </c>
      <c r="AF95" s="76">
        <v>4</v>
      </c>
      <c r="AG95" s="76">
        <v>1</v>
      </c>
      <c r="AH95" s="76">
        <v>4</v>
      </c>
      <c r="AI95" s="76">
        <v>4</v>
      </c>
      <c r="AJ95" s="76">
        <v>1</v>
      </c>
      <c r="AK95" s="76">
        <v>599</v>
      </c>
      <c r="AL95" s="76">
        <v>2246</v>
      </c>
      <c r="AM95" s="202"/>
      <c r="AN95" s="77"/>
      <c r="AO95" s="202"/>
      <c r="AP95" s="202"/>
      <c r="AQ95" s="202"/>
      <c r="AR95" s="202"/>
      <c r="AS95" s="202"/>
      <c r="AT95" s="202"/>
      <c r="AU95" s="202"/>
      <c r="AV95" s="202"/>
      <c r="AW95" s="202"/>
      <c r="AX95" s="202"/>
      <c r="AY95" s="202"/>
    </row>
    <row r="96" spans="1:51" x14ac:dyDescent="0.2">
      <c r="A96" s="76">
        <v>11</v>
      </c>
      <c r="B96" s="77" t="s">
        <v>793</v>
      </c>
      <c r="C96" s="76" t="s">
        <v>148</v>
      </c>
      <c r="D96" s="76">
        <v>0</v>
      </c>
      <c r="E96" s="76">
        <v>0</v>
      </c>
      <c r="F96" s="76">
        <v>3.38</v>
      </c>
      <c r="G96" s="76">
        <v>4</v>
      </c>
      <c r="H96" s="76">
        <v>0</v>
      </c>
      <c r="I96" s="76">
        <v>0</v>
      </c>
      <c r="J96" s="76">
        <v>0</v>
      </c>
      <c r="K96" s="76">
        <v>2.2000000000000002</v>
      </c>
      <c r="L96" s="76">
        <v>6</v>
      </c>
      <c r="M96" s="76">
        <v>1</v>
      </c>
      <c r="N96" s="76">
        <v>1</v>
      </c>
      <c r="O96" s="76">
        <v>0</v>
      </c>
      <c r="P96" s="76">
        <v>0</v>
      </c>
      <c r="Q96" s="76">
        <v>2</v>
      </c>
      <c r="R96" s="76">
        <v>0.5</v>
      </c>
      <c r="S96" s="76">
        <v>2.25</v>
      </c>
      <c r="T96" s="76">
        <v>11</v>
      </c>
      <c r="U96" s="77" t="s">
        <v>793</v>
      </c>
      <c r="V96" s="76" t="s">
        <v>148</v>
      </c>
      <c r="W96" s="76">
        <v>0</v>
      </c>
      <c r="X96" s="76">
        <v>0</v>
      </c>
      <c r="Y96" s="76">
        <v>1</v>
      </c>
      <c r="Z96" s="76">
        <v>0</v>
      </c>
      <c r="AA96" s="76">
        <v>0</v>
      </c>
      <c r="AB96" s="76">
        <v>0</v>
      </c>
      <c r="AC96" s="76">
        <v>0</v>
      </c>
      <c r="AD96" s="76">
        <v>2</v>
      </c>
      <c r="AE96" s="76">
        <v>3</v>
      </c>
      <c r="AF96" s="76">
        <v>0</v>
      </c>
      <c r="AG96" s="76">
        <v>0</v>
      </c>
      <c r="AH96" s="76">
        <v>0</v>
      </c>
      <c r="AI96" s="76">
        <v>1</v>
      </c>
      <c r="AJ96" s="76">
        <v>1</v>
      </c>
      <c r="AK96" s="76">
        <v>14</v>
      </c>
      <c r="AL96" s="76">
        <v>53</v>
      </c>
      <c r="AM96" s="202"/>
      <c r="AN96" s="77"/>
      <c r="AO96" s="202"/>
      <c r="AP96" s="202"/>
      <c r="AQ96" s="202"/>
      <c r="AR96" s="202"/>
      <c r="AS96" s="202"/>
      <c r="AT96" s="202"/>
      <c r="AU96" s="202"/>
      <c r="AV96" s="202"/>
      <c r="AW96" s="202"/>
      <c r="AX96" s="202"/>
      <c r="AY96" s="202"/>
    </row>
    <row r="97" spans="1:51" ht="25.5" x14ac:dyDescent="0.2">
      <c r="A97" s="76">
        <v>12</v>
      </c>
      <c r="B97" s="77" t="s">
        <v>528</v>
      </c>
      <c r="C97" s="76" t="s">
        <v>148</v>
      </c>
      <c r="D97" s="76">
        <v>3</v>
      </c>
      <c r="E97" s="76">
        <v>2</v>
      </c>
      <c r="F97" s="76">
        <v>3.44</v>
      </c>
      <c r="G97" s="76">
        <v>53</v>
      </c>
      <c r="H97" s="76">
        <v>2</v>
      </c>
      <c r="I97" s="76">
        <v>0</v>
      </c>
      <c r="J97" s="76">
        <v>1</v>
      </c>
      <c r="K97" s="76">
        <v>52.1</v>
      </c>
      <c r="L97" s="76">
        <v>53</v>
      </c>
      <c r="M97" s="76">
        <v>21</v>
      </c>
      <c r="N97" s="76">
        <v>20</v>
      </c>
      <c r="O97" s="76">
        <v>6</v>
      </c>
      <c r="P97" s="76">
        <v>23</v>
      </c>
      <c r="Q97" s="76">
        <v>54</v>
      </c>
      <c r="R97" s="76">
        <v>0.25600000000000001</v>
      </c>
      <c r="S97" s="76">
        <v>1.45</v>
      </c>
      <c r="T97" s="76">
        <v>12</v>
      </c>
      <c r="U97" s="77" t="s">
        <v>528</v>
      </c>
      <c r="V97" s="76" t="s">
        <v>148</v>
      </c>
      <c r="W97" s="76">
        <v>0</v>
      </c>
      <c r="X97" s="76">
        <v>0</v>
      </c>
      <c r="Y97" s="76">
        <v>2</v>
      </c>
      <c r="Z97" s="76">
        <v>2</v>
      </c>
      <c r="AA97" s="76">
        <v>11</v>
      </c>
      <c r="AB97" s="76">
        <v>7</v>
      </c>
      <c r="AC97" s="76">
        <v>1</v>
      </c>
      <c r="AD97" s="76">
        <v>37</v>
      </c>
      <c r="AE97" s="76">
        <v>64</v>
      </c>
      <c r="AF97" s="76">
        <v>3</v>
      </c>
      <c r="AG97" s="76">
        <v>0</v>
      </c>
      <c r="AH97" s="76">
        <v>8</v>
      </c>
      <c r="AI97" s="76">
        <v>0</v>
      </c>
      <c r="AJ97" s="76">
        <v>0</v>
      </c>
      <c r="AK97" s="76">
        <v>233</v>
      </c>
      <c r="AL97" s="76">
        <v>932</v>
      </c>
      <c r="AM97" s="202"/>
      <c r="AN97" s="77"/>
      <c r="AO97" s="202"/>
      <c r="AP97" s="202"/>
      <c r="AQ97" s="202"/>
      <c r="AR97" s="202"/>
      <c r="AS97" s="202"/>
      <c r="AT97" s="202"/>
      <c r="AU97" s="202"/>
      <c r="AV97" s="202"/>
      <c r="AW97" s="202"/>
      <c r="AX97" s="202"/>
      <c r="AY97" s="202"/>
    </row>
    <row r="98" spans="1:51" x14ac:dyDescent="0.2">
      <c r="A98" s="76">
        <v>13</v>
      </c>
      <c r="B98" s="77" t="s">
        <v>486</v>
      </c>
      <c r="C98" s="76" t="s">
        <v>148</v>
      </c>
      <c r="D98" s="76">
        <v>2</v>
      </c>
      <c r="E98" s="76">
        <v>2</v>
      </c>
      <c r="F98" s="76">
        <v>3.74</v>
      </c>
      <c r="G98" s="76">
        <v>21</v>
      </c>
      <c r="H98" s="76">
        <v>0</v>
      </c>
      <c r="I98" s="76">
        <v>0</v>
      </c>
      <c r="J98" s="76">
        <v>1</v>
      </c>
      <c r="K98" s="76">
        <v>21.2</v>
      </c>
      <c r="L98" s="76">
        <v>21</v>
      </c>
      <c r="M98" s="76">
        <v>10</v>
      </c>
      <c r="N98" s="76">
        <v>9</v>
      </c>
      <c r="O98" s="76">
        <v>1</v>
      </c>
      <c r="P98" s="76">
        <v>5</v>
      </c>
      <c r="Q98" s="76">
        <v>17</v>
      </c>
      <c r="R98" s="76">
        <v>0.25600000000000001</v>
      </c>
      <c r="S98" s="76">
        <v>1.2</v>
      </c>
      <c r="T98" s="76">
        <v>13</v>
      </c>
      <c r="U98" s="77" t="s">
        <v>486</v>
      </c>
      <c r="V98" s="76" t="s">
        <v>148</v>
      </c>
      <c r="W98" s="76">
        <v>0</v>
      </c>
      <c r="X98" s="76">
        <v>0</v>
      </c>
      <c r="Y98" s="76">
        <v>2</v>
      </c>
      <c r="Z98" s="76">
        <v>1</v>
      </c>
      <c r="AA98" s="76">
        <v>5</v>
      </c>
      <c r="AB98" s="76">
        <v>0</v>
      </c>
      <c r="AC98" s="76">
        <v>3</v>
      </c>
      <c r="AD98" s="76">
        <v>28</v>
      </c>
      <c r="AE98" s="76">
        <v>17</v>
      </c>
      <c r="AF98" s="76">
        <v>0</v>
      </c>
      <c r="AG98" s="76">
        <v>0</v>
      </c>
      <c r="AH98" s="76">
        <v>3</v>
      </c>
      <c r="AI98" s="76">
        <v>0</v>
      </c>
      <c r="AJ98" s="76">
        <v>0</v>
      </c>
      <c r="AK98" s="76">
        <v>90</v>
      </c>
      <c r="AL98" s="76">
        <v>305</v>
      </c>
      <c r="AM98" s="202"/>
      <c r="AN98" s="77"/>
      <c r="AO98" s="202"/>
      <c r="AP98" s="202"/>
      <c r="AQ98" s="202"/>
      <c r="AR98" s="202"/>
      <c r="AS98" s="202"/>
      <c r="AT98" s="202"/>
      <c r="AU98" s="202"/>
      <c r="AV98" s="202"/>
      <c r="AW98" s="202"/>
      <c r="AX98" s="202"/>
      <c r="AY98" s="202"/>
    </row>
    <row r="99" spans="1:51" ht="25.5" x14ac:dyDescent="0.2">
      <c r="A99" s="76">
        <v>14</v>
      </c>
      <c r="B99" s="77" t="s">
        <v>523</v>
      </c>
      <c r="C99" s="76" t="s">
        <v>148</v>
      </c>
      <c r="D99" s="76">
        <v>11</v>
      </c>
      <c r="E99" s="76">
        <v>6</v>
      </c>
      <c r="F99" s="76">
        <v>3.87</v>
      </c>
      <c r="G99" s="76">
        <v>25</v>
      </c>
      <c r="H99" s="76">
        <v>25</v>
      </c>
      <c r="I99" s="76">
        <v>0</v>
      </c>
      <c r="J99" s="76">
        <v>0</v>
      </c>
      <c r="K99" s="76">
        <v>137.1</v>
      </c>
      <c r="L99" s="76">
        <v>121</v>
      </c>
      <c r="M99" s="76">
        <v>61</v>
      </c>
      <c r="N99" s="76">
        <v>59</v>
      </c>
      <c r="O99" s="76">
        <v>16</v>
      </c>
      <c r="P99" s="76">
        <v>63</v>
      </c>
      <c r="Q99" s="76">
        <v>161</v>
      </c>
      <c r="R99" s="76">
        <v>0.23499999999999999</v>
      </c>
      <c r="S99" s="76">
        <v>1.34</v>
      </c>
      <c r="T99" s="76">
        <v>14</v>
      </c>
      <c r="U99" s="77" t="s">
        <v>523</v>
      </c>
      <c r="V99" s="76" t="s">
        <v>148</v>
      </c>
      <c r="W99" s="76">
        <v>0</v>
      </c>
      <c r="X99" s="76">
        <v>0</v>
      </c>
      <c r="Y99" s="76">
        <v>2</v>
      </c>
      <c r="Z99" s="76">
        <v>3</v>
      </c>
      <c r="AA99" s="76">
        <v>0</v>
      </c>
      <c r="AB99" s="76">
        <v>0</v>
      </c>
      <c r="AC99" s="76">
        <v>9</v>
      </c>
      <c r="AD99" s="76">
        <v>122</v>
      </c>
      <c r="AE99" s="76">
        <v>115</v>
      </c>
      <c r="AF99" s="76">
        <v>9</v>
      </c>
      <c r="AG99" s="76">
        <v>3</v>
      </c>
      <c r="AH99" s="76">
        <v>4</v>
      </c>
      <c r="AI99" s="76">
        <v>5</v>
      </c>
      <c r="AJ99" s="76">
        <v>1</v>
      </c>
      <c r="AK99" s="76">
        <v>584</v>
      </c>
      <c r="AL99" s="76">
        <v>2403</v>
      </c>
      <c r="AM99" s="202"/>
      <c r="AN99" s="77"/>
      <c r="AO99" s="202"/>
      <c r="AP99" s="202"/>
      <c r="AQ99" s="202"/>
      <c r="AR99" s="202"/>
      <c r="AS99" s="202"/>
      <c r="AT99" s="202"/>
      <c r="AU99" s="202"/>
      <c r="AV99" s="202"/>
      <c r="AW99" s="202"/>
      <c r="AX99" s="202"/>
      <c r="AY99" s="202"/>
    </row>
    <row r="100" spans="1:51" x14ac:dyDescent="0.2">
      <c r="A100" s="76">
        <v>15</v>
      </c>
      <c r="B100" s="77" t="s">
        <v>531</v>
      </c>
      <c r="C100" s="76" t="s">
        <v>148</v>
      </c>
      <c r="D100" s="76">
        <v>12</v>
      </c>
      <c r="E100" s="76">
        <v>8</v>
      </c>
      <c r="F100" s="76">
        <v>4.26</v>
      </c>
      <c r="G100" s="76">
        <v>35</v>
      </c>
      <c r="H100" s="76">
        <v>28</v>
      </c>
      <c r="I100" s="76">
        <v>0</v>
      </c>
      <c r="J100" s="76">
        <v>0</v>
      </c>
      <c r="K100" s="76">
        <v>190</v>
      </c>
      <c r="L100" s="76">
        <v>179</v>
      </c>
      <c r="M100" s="76">
        <v>96</v>
      </c>
      <c r="N100" s="76">
        <v>90</v>
      </c>
      <c r="O100" s="76">
        <v>20</v>
      </c>
      <c r="P100" s="76">
        <v>70</v>
      </c>
      <c r="Q100" s="76">
        <v>168</v>
      </c>
      <c r="R100" s="76">
        <v>0.248</v>
      </c>
      <c r="S100" s="76">
        <v>1.31</v>
      </c>
      <c r="T100" s="76">
        <v>15</v>
      </c>
      <c r="U100" s="77" t="s">
        <v>531</v>
      </c>
      <c r="V100" s="76" t="s">
        <v>148</v>
      </c>
      <c r="W100" s="76">
        <v>1</v>
      </c>
      <c r="X100" s="76">
        <v>0</v>
      </c>
      <c r="Y100" s="76">
        <v>9</v>
      </c>
      <c r="Z100" s="76">
        <v>1</v>
      </c>
      <c r="AA100" s="76">
        <v>3</v>
      </c>
      <c r="AB100" s="76">
        <v>0</v>
      </c>
      <c r="AC100" s="76">
        <v>12</v>
      </c>
      <c r="AD100" s="76">
        <v>217</v>
      </c>
      <c r="AE100" s="76">
        <v>168</v>
      </c>
      <c r="AF100" s="76">
        <v>3</v>
      </c>
      <c r="AG100" s="76">
        <v>0</v>
      </c>
      <c r="AH100" s="76">
        <v>5</v>
      </c>
      <c r="AI100" s="76">
        <v>5</v>
      </c>
      <c r="AJ100" s="76">
        <v>0</v>
      </c>
      <c r="AK100" s="76">
        <v>811</v>
      </c>
      <c r="AL100" s="76">
        <v>3092</v>
      </c>
      <c r="AM100" s="202"/>
      <c r="AN100" s="77"/>
      <c r="AO100" s="202"/>
      <c r="AP100" s="202"/>
      <c r="AQ100" s="202"/>
      <c r="AR100" s="202"/>
      <c r="AS100" s="202"/>
      <c r="AT100" s="202"/>
      <c r="AU100" s="202"/>
      <c r="AV100" s="202"/>
      <c r="AW100" s="202"/>
      <c r="AX100" s="202"/>
      <c r="AY100" s="202"/>
    </row>
    <row r="101" spans="1:51" x14ac:dyDescent="0.2">
      <c r="A101" s="76">
        <v>16</v>
      </c>
      <c r="B101" s="77" t="s">
        <v>520</v>
      </c>
      <c r="C101" s="76" t="s">
        <v>148</v>
      </c>
      <c r="D101" s="76">
        <v>13</v>
      </c>
      <c r="E101" s="76">
        <v>9</v>
      </c>
      <c r="F101" s="76">
        <v>4.4000000000000004</v>
      </c>
      <c r="G101" s="76">
        <v>30</v>
      </c>
      <c r="H101" s="76">
        <v>29</v>
      </c>
      <c r="I101" s="76">
        <v>0</v>
      </c>
      <c r="J101" s="76">
        <v>0</v>
      </c>
      <c r="K101" s="76">
        <v>174</v>
      </c>
      <c r="L101" s="76">
        <v>187</v>
      </c>
      <c r="M101" s="76">
        <v>97</v>
      </c>
      <c r="N101" s="76">
        <v>85</v>
      </c>
      <c r="O101" s="76">
        <v>36</v>
      </c>
      <c r="P101" s="76">
        <v>20</v>
      </c>
      <c r="Q101" s="76">
        <v>118</v>
      </c>
      <c r="R101" s="76">
        <v>0.26900000000000002</v>
      </c>
      <c r="S101" s="76">
        <v>1.19</v>
      </c>
      <c r="T101" s="76">
        <v>16</v>
      </c>
      <c r="U101" s="77" t="s">
        <v>520</v>
      </c>
      <c r="V101" s="76" t="s">
        <v>148</v>
      </c>
      <c r="W101" s="76">
        <v>0</v>
      </c>
      <c r="X101" s="76">
        <v>0</v>
      </c>
      <c r="Y101" s="76">
        <v>3</v>
      </c>
      <c r="Z101" s="76">
        <v>2</v>
      </c>
      <c r="AA101" s="76">
        <v>1</v>
      </c>
      <c r="AB101" s="76">
        <v>0</v>
      </c>
      <c r="AC101" s="76">
        <v>6</v>
      </c>
      <c r="AD101" s="76">
        <v>219</v>
      </c>
      <c r="AE101" s="76">
        <v>178</v>
      </c>
      <c r="AF101" s="76">
        <v>4</v>
      </c>
      <c r="AG101" s="76">
        <v>0</v>
      </c>
      <c r="AH101" s="76">
        <v>3</v>
      </c>
      <c r="AI101" s="76">
        <v>1</v>
      </c>
      <c r="AJ101" s="76">
        <v>0</v>
      </c>
      <c r="AK101" s="76">
        <v>725</v>
      </c>
      <c r="AL101" s="76">
        <v>2612</v>
      </c>
      <c r="AM101" s="202"/>
      <c r="AN101" s="77"/>
      <c r="AO101" s="202"/>
      <c r="AP101" s="202"/>
      <c r="AQ101" s="202"/>
      <c r="AR101" s="202"/>
      <c r="AS101" s="202"/>
      <c r="AT101" s="202"/>
      <c r="AU101" s="202"/>
      <c r="AV101" s="202"/>
      <c r="AW101" s="202"/>
      <c r="AX101" s="202"/>
      <c r="AY101" s="202"/>
    </row>
    <row r="102" spans="1:51" ht="25.5" x14ac:dyDescent="0.2">
      <c r="A102" s="76">
        <v>17</v>
      </c>
      <c r="B102" s="77" t="s">
        <v>1317</v>
      </c>
      <c r="C102" s="76" t="s">
        <v>148</v>
      </c>
      <c r="D102" s="76">
        <v>0</v>
      </c>
      <c r="E102" s="76">
        <v>0</v>
      </c>
      <c r="F102" s="76">
        <v>4.82</v>
      </c>
      <c r="G102" s="76">
        <v>8</v>
      </c>
      <c r="H102" s="76">
        <v>0</v>
      </c>
      <c r="I102" s="76">
        <v>0</v>
      </c>
      <c r="J102" s="76">
        <v>0</v>
      </c>
      <c r="K102" s="76">
        <v>9.1</v>
      </c>
      <c r="L102" s="76">
        <v>12</v>
      </c>
      <c r="M102" s="76">
        <v>6</v>
      </c>
      <c r="N102" s="76">
        <v>5</v>
      </c>
      <c r="O102" s="76">
        <v>0</v>
      </c>
      <c r="P102" s="76">
        <v>5</v>
      </c>
      <c r="Q102" s="76">
        <v>12</v>
      </c>
      <c r="R102" s="76">
        <v>0.308</v>
      </c>
      <c r="S102" s="76">
        <v>1.82</v>
      </c>
      <c r="T102" s="76">
        <v>17</v>
      </c>
      <c r="U102" s="77" t="s">
        <v>1317</v>
      </c>
      <c r="V102" s="76" t="s">
        <v>148</v>
      </c>
      <c r="W102" s="76">
        <v>0</v>
      </c>
      <c r="X102" s="76">
        <v>0</v>
      </c>
      <c r="Y102" s="76">
        <v>2</v>
      </c>
      <c r="Z102" s="76">
        <v>1</v>
      </c>
      <c r="AA102" s="76">
        <v>0</v>
      </c>
      <c r="AB102" s="76">
        <v>0</v>
      </c>
      <c r="AC102" s="76">
        <v>1</v>
      </c>
      <c r="AD102" s="76">
        <v>11</v>
      </c>
      <c r="AE102" s="76">
        <v>4</v>
      </c>
      <c r="AF102" s="76">
        <v>1</v>
      </c>
      <c r="AG102" s="76">
        <v>0</v>
      </c>
      <c r="AH102" s="76">
        <v>2</v>
      </c>
      <c r="AI102" s="76">
        <v>1</v>
      </c>
      <c r="AJ102" s="76">
        <v>0</v>
      </c>
      <c r="AK102" s="76">
        <v>46</v>
      </c>
      <c r="AL102" s="76">
        <v>180</v>
      </c>
      <c r="AM102" s="202"/>
      <c r="AN102" s="77"/>
      <c r="AO102" s="202"/>
      <c r="AP102" s="202"/>
      <c r="AQ102" s="202"/>
      <c r="AR102" s="202"/>
      <c r="AS102" s="202"/>
      <c r="AT102" s="202"/>
      <c r="AU102" s="202"/>
      <c r="AV102" s="202"/>
      <c r="AW102" s="202"/>
      <c r="AX102" s="202"/>
      <c r="AY102" s="202"/>
    </row>
    <row r="103" spans="1:51" ht="25.5" x14ac:dyDescent="0.2">
      <c r="A103" s="76">
        <v>18</v>
      </c>
      <c r="B103" s="77" t="s">
        <v>792</v>
      </c>
      <c r="C103" s="76" t="s">
        <v>148</v>
      </c>
      <c r="D103" s="76">
        <v>0</v>
      </c>
      <c r="E103" s="76">
        <v>0</v>
      </c>
      <c r="F103" s="76">
        <v>5.0599999999999996</v>
      </c>
      <c r="G103" s="76">
        <v>29</v>
      </c>
      <c r="H103" s="76">
        <v>0</v>
      </c>
      <c r="I103" s="76">
        <v>0</v>
      </c>
      <c r="J103" s="76">
        <v>0</v>
      </c>
      <c r="K103" s="76">
        <v>16</v>
      </c>
      <c r="L103" s="76">
        <v>16</v>
      </c>
      <c r="M103" s="76">
        <v>9</v>
      </c>
      <c r="N103" s="76">
        <v>9</v>
      </c>
      <c r="O103" s="76">
        <v>0</v>
      </c>
      <c r="P103" s="76">
        <v>7</v>
      </c>
      <c r="Q103" s="76">
        <v>17</v>
      </c>
      <c r="R103" s="76">
        <v>0.25800000000000001</v>
      </c>
      <c r="S103" s="76">
        <v>1.44</v>
      </c>
      <c r="T103" s="76">
        <v>18</v>
      </c>
      <c r="U103" s="77" t="s">
        <v>792</v>
      </c>
      <c r="V103" s="76" t="s">
        <v>148</v>
      </c>
      <c r="W103" s="76">
        <v>0</v>
      </c>
      <c r="X103" s="76">
        <v>0</v>
      </c>
      <c r="Y103" s="76">
        <v>0</v>
      </c>
      <c r="Z103" s="76">
        <v>2</v>
      </c>
      <c r="AA103" s="76">
        <v>4</v>
      </c>
      <c r="AB103" s="76">
        <v>3</v>
      </c>
      <c r="AC103" s="76">
        <v>1</v>
      </c>
      <c r="AD103" s="76">
        <v>20</v>
      </c>
      <c r="AE103" s="76">
        <v>10</v>
      </c>
      <c r="AF103" s="76">
        <v>1</v>
      </c>
      <c r="AG103" s="76">
        <v>1</v>
      </c>
      <c r="AH103" s="76">
        <v>1</v>
      </c>
      <c r="AI103" s="76">
        <v>0</v>
      </c>
      <c r="AJ103" s="76">
        <v>0</v>
      </c>
      <c r="AK103" s="76">
        <v>70</v>
      </c>
      <c r="AL103" s="76">
        <v>285</v>
      </c>
      <c r="AM103" s="202"/>
      <c r="AN103" s="77"/>
      <c r="AO103" s="202"/>
      <c r="AP103" s="202"/>
      <c r="AQ103" s="202"/>
      <c r="AR103" s="202"/>
      <c r="AS103" s="202"/>
      <c r="AT103" s="202"/>
      <c r="AU103" s="202"/>
      <c r="AV103" s="202"/>
      <c r="AW103" s="202"/>
      <c r="AX103" s="202"/>
      <c r="AY103" s="202"/>
    </row>
    <row r="104" spans="1:51" ht="25.5" x14ac:dyDescent="0.2">
      <c r="A104" s="76">
        <v>19</v>
      </c>
      <c r="B104" s="77" t="s">
        <v>1318</v>
      </c>
      <c r="C104" s="76" t="s">
        <v>148</v>
      </c>
      <c r="D104" s="76">
        <v>3</v>
      </c>
      <c r="E104" s="76">
        <v>3</v>
      </c>
      <c r="F104" s="76">
        <v>5.26</v>
      </c>
      <c r="G104" s="76">
        <v>17</v>
      </c>
      <c r="H104" s="76">
        <v>10</v>
      </c>
      <c r="I104" s="76">
        <v>0</v>
      </c>
      <c r="J104" s="76">
        <v>0</v>
      </c>
      <c r="K104" s="76">
        <v>53</v>
      </c>
      <c r="L104" s="76">
        <v>50</v>
      </c>
      <c r="M104" s="76">
        <v>31</v>
      </c>
      <c r="N104" s="76">
        <v>31</v>
      </c>
      <c r="O104" s="76">
        <v>8</v>
      </c>
      <c r="P104" s="76">
        <v>29</v>
      </c>
      <c r="Q104" s="76">
        <v>50</v>
      </c>
      <c r="R104" s="76">
        <v>0.246</v>
      </c>
      <c r="S104" s="76">
        <v>1.49</v>
      </c>
      <c r="T104" s="76">
        <v>19</v>
      </c>
      <c r="U104" s="77" t="s">
        <v>1318</v>
      </c>
      <c r="V104" s="76" t="s">
        <v>148</v>
      </c>
      <c r="W104" s="76">
        <v>0</v>
      </c>
      <c r="X104" s="76">
        <v>0</v>
      </c>
      <c r="Y104" s="76">
        <v>0</v>
      </c>
      <c r="Z104" s="76">
        <v>0</v>
      </c>
      <c r="AA104" s="76">
        <v>3</v>
      </c>
      <c r="AB104" s="76">
        <v>0</v>
      </c>
      <c r="AC104" s="76">
        <v>1</v>
      </c>
      <c r="AD104" s="76">
        <v>47</v>
      </c>
      <c r="AE104" s="76">
        <v>57</v>
      </c>
      <c r="AF104" s="76">
        <v>2</v>
      </c>
      <c r="AG104" s="76">
        <v>0</v>
      </c>
      <c r="AH104" s="76">
        <v>5</v>
      </c>
      <c r="AI104" s="76">
        <v>0</v>
      </c>
      <c r="AJ104" s="76">
        <v>0</v>
      </c>
      <c r="AK104" s="76">
        <v>233</v>
      </c>
      <c r="AL104" s="76">
        <v>967</v>
      </c>
      <c r="AM104" s="202"/>
      <c r="AN104" s="77"/>
      <c r="AO104" s="202"/>
      <c r="AP104" s="202"/>
      <c r="AQ104" s="202"/>
      <c r="AR104" s="202"/>
      <c r="AS104" s="202"/>
      <c r="AT104" s="202"/>
      <c r="AU104" s="202"/>
      <c r="AV104" s="202"/>
      <c r="AW104" s="202"/>
      <c r="AX104" s="202"/>
      <c r="AY104" s="202"/>
    </row>
    <row r="105" spans="1:51" ht="25.5" x14ac:dyDescent="0.2">
      <c r="A105" s="76">
        <v>20</v>
      </c>
      <c r="B105" s="77" t="s">
        <v>480</v>
      </c>
      <c r="C105" s="76" t="s">
        <v>148</v>
      </c>
      <c r="D105" s="76">
        <v>0</v>
      </c>
      <c r="E105" s="76">
        <v>0</v>
      </c>
      <c r="F105" s="76">
        <v>5.79</v>
      </c>
      <c r="G105" s="76">
        <v>7</v>
      </c>
      <c r="H105" s="76">
        <v>0</v>
      </c>
      <c r="I105" s="76">
        <v>0</v>
      </c>
      <c r="J105" s="76">
        <v>1</v>
      </c>
      <c r="K105" s="76">
        <v>4.2</v>
      </c>
      <c r="L105" s="76">
        <v>3</v>
      </c>
      <c r="M105" s="76">
        <v>3</v>
      </c>
      <c r="N105" s="76">
        <v>3</v>
      </c>
      <c r="O105" s="76">
        <v>1</v>
      </c>
      <c r="P105" s="76">
        <v>4</v>
      </c>
      <c r="Q105" s="76">
        <v>3</v>
      </c>
      <c r="R105" s="76">
        <v>0.188</v>
      </c>
      <c r="S105" s="76">
        <v>1.5</v>
      </c>
      <c r="T105" s="76">
        <v>20</v>
      </c>
      <c r="U105" s="77" t="s">
        <v>480</v>
      </c>
      <c r="V105" s="76" t="s">
        <v>148</v>
      </c>
      <c r="W105" s="76">
        <v>0</v>
      </c>
      <c r="X105" s="76">
        <v>0</v>
      </c>
      <c r="Y105" s="76">
        <v>0</v>
      </c>
      <c r="Z105" s="76">
        <v>0</v>
      </c>
      <c r="AA105" s="76">
        <v>0</v>
      </c>
      <c r="AB105" s="76">
        <v>0</v>
      </c>
      <c r="AC105" s="76">
        <v>1</v>
      </c>
      <c r="AD105" s="76">
        <v>7</v>
      </c>
      <c r="AE105" s="76">
        <v>4</v>
      </c>
      <c r="AF105" s="76">
        <v>0</v>
      </c>
      <c r="AG105" s="76">
        <v>0</v>
      </c>
      <c r="AH105" s="76">
        <v>0</v>
      </c>
      <c r="AI105" s="76">
        <v>0</v>
      </c>
      <c r="AJ105" s="76">
        <v>0</v>
      </c>
      <c r="AK105" s="76">
        <v>21</v>
      </c>
      <c r="AL105" s="76">
        <v>91</v>
      </c>
      <c r="AM105" s="102"/>
      <c r="AN105" s="102"/>
      <c r="AO105" s="102"/>
      <c r="AP105" s="102"/>
      <c r="AQ105" s="102"/>
      <c r="AR105" s="102"/>
      <c r="AS105" s="102"/>
      <c r="AT105" s="102"/>
      <c r="AU105" s="102"/>
      <c r="AV105" s="102"/>
      <c r="AW105" s="102"/>
      <c r="AX105" s="102"/>
      <c r="AY105" s="102"/>
    </row>
    <row r="106" spans="1:51" ht="25.5" x14ac:dyDescent="0.2">
      <c r="A106" s="76">
        <v>21</v>
      </c>
      <c r="B106" s="77" t="s">
        <v>747</v>
      </c>
      <c r="C106" s="76" t="s">
        <v>148</v>
      </c>
      <c r="D106" s="76">
        <v>2</v>
      </c>
      <c r="E106" s="76">
        <v>5</v>
      </c>
      <c r="F106" s="76">
        <v>6.68</v>
      </c>
      <c r="G106" s="76">
        <v>19</v>
      </c>
      <c r="H106" s="76">
        <v>9</v>
      </c>
      <c r="I106" s="76">
        <v>0</v>
      </c>
      <c r="J106" s="76">
        <v>0</v>
      </c>
      <c r="K106" s="76">
        <v>60.2</v>
      </c>
      <c r="L106" s="76">
        <v>85</v>
      </c>
      <c r="M106" s="76">
        <v>45</v>
      </c>
      <c r="N106" s="76">
        <v>45</v>
      </c>
      <c r="O106" s="76">
        <v>13</v>
      </c>
      <c r="P106" s="76">
        <v>13</v>
      </c>
      <c r="Q106" s="76">
        <v>54</v>
      </c>
      <c r="R106" s="76">
        <v>0.33300000000000002</v>
      </c>
      <c r="S106" s="76">
        <v>1.62</v>
      </c>
      <c r="T106" s="76">
        <v>21</v>
      </c>
      <c r="U106" s="77" t="s">
        <v>747</v>
      </c>
      <c r="V106" s="76" t="s">
        <v>148</v>
      </c>
      <c r="W106" s="76">
        <v>0</v>
      </c>
      <c r="X106" s="76">
        <v>0</v>
      </c>
      <c r="Y106" s="76">
        <v>1</v>
      </c>
      <c r="Z106" s="76">
        <v>3</v>
      </c>
      <c r="AA106" s="76">
        <v>2</v>
      </c>
      <c r="AB106" s="76">
        <v>0</v>
      </c>
      <c r="AC106" s="76">
        <v>4</v>
      </c>
      <c r="AD106" s="76">
        <v>58</v>
      </c>
      <c r="AE106" s="76">
        <v>59</v>
      </c>
      <c r="AF106" s="76">
        <v>5</v>
      </c>
      <c r="AG106" s="76">
        <v>0</v>
      </c>
      <c r="AH106" s="76">
        <v>0</v>
      </c>
      <c r="AI106" s="76">
        <v>1</v>
      </c>
      <c r="AJ106" s="76">
        <v>0</v>
      </c>
      <c r="AK106" s="76">
        <v>270</v>
      </c>
      <c r="AL106" s="76">
        <v>996</v>
      </c>
      <c r="AM106" s="202"/>
      <c r="AN106" s="77"/>
      <c r="AO106" s="202"/>
      <c r="AP106" s="202"/>
      <c r="AQ106" s="202"/>
      <c r="AR106" s="202"/>
      <c r="AS106" s="202"/>
      <c r="AT106" s="202"/>
      <c r="AU106" s="202"/>
      <c r="AV106" s="202"/>
      <c r="AW106" s="202"/>
      <c r="AX106" s="202"/>
      <c r="AY106" s="202"/>
    </row>
    <row r="107" spans="1:51" x14ac:dyDescent="0.2">
      <c r="A107" s="76">
        <v>22</v>
      </c>
      <c r="B107" s="77" t="s">
        <v>1319</v>
      </c>
      <c r="C107" s="76" t="s">
        <v>148</v>
      </c>
      <c r="D107" s="76">
        <v>1</v>
      </c>
      <c r="E107" s="76">
        <v>3</v>
      </c>
      <c r="F107" s="76">
        <v>7.2</v>
      </c>
      <c r="G107" s="76">
        <v>11</v>
      </c>
      <c r="H107" s="76">
        <v>0</v>
      </c>
      <c r="I107" s="76">
        <v>0</v>
      </c>
      <c r="J107" s="76">
        <v>0</v>
      </c>
      <c r="K107" s="76">
        <v>10</v>
      </c>
      <c r="L107" s="76">
        <v>12</v>
      </c>
      <c r="M107" s="76">
        <v>9</v>
      </c>
      <c r="N107" s="76">
        <v>8</v>
      </c>
      <c r="O107" s="76">
        <v>2</v>
      </c>
      <c r="P107" s="76">
        <v>7</v>
      </c>
      <c r="Q107" s="76">
        <v>10</v>
      </c>
      <c r="R107" s="76">
        <v>0.27900000000000003</v>
      </c>
      <c r="S107" s="76">
        <v>1.9</v>
      </c>
      <c r="T107" s="76">
        <v>22</v>
      </c>
      <c r="U107" s="77" t="s">
        <v>1319</v>
      </c>
      <c r="V107" s="76" t="s">
        <v>148</v>
      </c>
      <c r="W107" s="76">
        <v>0</v>
      </c>
      <c r="X107" s="76">
        <v>0</v>
      </c>
      <c r="Y107" s="76">
        <v>0</v>
      </c>
      <c r="Z107" s="76">
        <v>1</v>
      </c>
      <c r="AA107" s="76">
        <v>5</v>
      </c>
      <c r="AB107" s="76">
        <v>0</v>
      </c>
      <c r="AC107" s="76">
        <v>0</v>
      </c>
      <c r="AD107" s="76">
        <v>8</v>
      </c>
      <c r="AE107" s="76">
        <v>13</v>
      </c>
      <c r="AF107" s="76">
        <v>1</v>
      </c>
      <c r="AG107" s="76">
        <v>1</v>
      </c>
      <c r="AH107" s="76">
        <v>0</v>
      </c>
      <c r="AI107" s="76">
        <v>0</v>
      </c>
      <c r="AJ107" s="76">
        <v>0</v>
      </c>
      <c r="AK107" s="76">
        <v>50</v>
      </c>
      <c r="AL107" s="76">
        <v>186</v>
      </c>
      <c r="AM107" s="202"/>
      <c r="AN107" s="77"/>
      <c r="AO107" s="202"/>
      <c r="AP107" s="202"/>
      <c r="AQ107" s="202"/>
      <c r="AR107" s="202"/>
      <c r="AS107" s="202"/>
      <c r="AT107" s="202"/>
      <c r="AU107" s="202"/>
      <c r="AV107" s="202"/>
      <c r="AW107" s="202"/>
      <c r="AX107" s="202"/>
      <c r="AY107" s="202"/>
    </row>
    <row r="108" spans="1:51" x14ac:dyDescent="0.2">
      <c r="A108" s="76">
        <v>23</v>
      </c>
      <c r="B108" s="77" t="s">
        <v>1320</v>
      </c>
      <c r="C108" s="76" t="s">
        <v>148</v>
      </c>
      <c r="D108" s="76">
        <v>0</v>
      </c>
      <c r="E108" s="76">
        <v>0</v>
      </c>
      <c r="F108" s="76">
        <v>7.36</v>
      </c>
      <c r="G108" s="76">
        <v>2</v>
      </c>
      <c r="H108" s="76">
        <v>0</v>
      </c>
      <c r="I108" s="76">
        <v>0</v>
      </c>
      <c r="J108" s="76">
        <v>0</v>
      </c>
      <c r="K108" s="76">
        <v>3.2</v>
      </c>
      <c r="L108" s="76">
        <v>5</v>
      </c>
      <c r="M108" s="76">
        <v>3</v>
      </c>
      <c r="N108" s="76">
        <v>3</v>
      </c>
      <c r="O108" s="76">
        <v>1</v>
      </c>
      <c r="P108" s="76">
        <v>2</v>
      </c>
      <c r="Q108" s="76">
        <v>3</v>
      </c>
      <c r="R108" s="76">
        <v>0.313</v>
      </c>
      <c r="S108" s="76">
        <v>1.91</v>
      </c>
      <c r="T108" s="76">
        <v>23</v>
      </c>
      <c r="U108" s="77" t="s">
        <v>1320</v>
      </c>
      <c r="V108" s="76" t="s">
        <v>148</v>
      </c>
      <c r="W108" s="76">
        <v>0</v>
      </c>
      <c r="X108" s="76">
        <v>0</v>
      </c>
      <c r="Y108" s="76">
        <v>0</v>
      </c>
      <c r="Z108" s="76">
        <v>0</v>
      </c>
      <c r="AA108" s="76">
        <v>1</v>
      </c>
      <c r="AB108" s="76">
        <v>0</v>
      </c>
      <c r="AC108" s="76">
        <v>0</v>
      </c>
      <c r="AD108" s="76">
        <v>2</v>
      </c>
      <c r="AE108" s="76">
        <v>6</v>
      </c>
      <c r="AF108" s="76">
        <v>1</v>
      </c>
      <c r="AG108" s="76">
        <v>0</v>
      </c>
      <c r="AH108" s="76">
        <v>0</v>
      </c>
      <c r="AI108" s="76">
        <v>0</v>
      </c>
      <c r="AJ108" s="76">
        <v>0</v>
      </c>
      <c r="AK108" s="76">
        <v>18</v>
      </c>
      <c r="AL108" s="76">
        <v>79</v>
      </c>
      <c r="AM108" s="202"/>
      <c r="AN108" s="77"/>
      <c r="AO108" s="202"/>
      <c r="AP108" s="202"/>
      <c r="AQ108" s="202"/>
      <c r="AR108" s="202"/>
      <c r="AS108" s="202"/>
      <c r="AT108" s="202"/>
      <c r="AU108" s="202"/>
      <c r="AV108" s="202"/>
      <c r="AW108" s="202"/>
      <c r="AX108" s="202"/>
      <c r="AY108" s="202"/>
    </row>
    <row r="109" spans="1:51" ht="25.5" x14ac:dyDescent="0.2">
      <c r="A109" s="76">
        <v>24</v>
      </c>
      <c r="B109" s="77" t="s">
        <v>794</v>
      </c>
      <c r="C109" s="76" t="s">
        <v>148</v>
      </c>
      <c r="D109" s="76">
        <v>0</v>
      </c>
      <c r="E109" s="76">
        <v>0</v>
      </c>
      <c r="F109" s="76">
        <v>9.82</v>
      </c>
      <c r="G109" s="76">
        <v>19</v>
      </c>
      <c r="H109" s="76">
        <v>0</v>
      </c>
      <c r="I109" s="76">
        <v>0</v>
      </c>
      <c r="J109" s="76">
        <v>0</v>
      </c>
      <c r="K109" s="76">
        <v>18.100000000000001</v>
      </c>
      <c r="L109" s="76">
        <v>27</v>
      </c>
      <c r="M109" s="76">
        <v>22</v>
      </c>
      <c r="N109" s="76">
        <v>20</v>
      </c>
      <c r="O109" s="76">
        <v>5</v>
      </c>
      <c r="P109" s="76">
        <v>7</v>
      </c>
      <c r="Q109" s="76">
        <v>17</v>
      </c>
      <c r="R109" s="76">
        <v>0.33300000000000002</v>
      </c>
      <c r="S109" s="76">
        <v>1.85</v>
      </c>
      <c r="T109" s="76">
        <v>24</v>
      </c>
      <c r="U109" s="77" t="s">
        <v>794</v>
      </c>
      <c r="V109" s="76" t="s">
        <v>148</v>
      </c>
      <c r="W109" s="76">
        <v>0</v>
      </c>
      <c r="X109" s="76">
        <v>0</v>
      </c>
      <c r="Y109" s="76">
        <v>0</v>
      </c>
      <c r="Z109" s="76">
        <v>1</v>
      </c>
      <c r="AA109" s="76">
        <v>11</v>
      </c>
      <c r="AB109" s="76">
        <v>0</v>
      </c>
      <c r="AC109" s="76">
        <v>2</v>
      </c>
      <c r="AD109" s="76">
        <v>19</v>
      </c>
      <c r="AE109" s="76">
        <v>18</v>
      </c>
      <c r="AF109" s="76">
        <v>0</v>
      </c>
      <c r="AG109" s="76">
        <v>0</v>
      </c>
      <c r="AH109" s="76">
        <v>1</v>
      </c>
      <c r="AI109" s="76">
        <v>0</v>
      </c>
      <c r="AJ109" s="76">
        <v>0</v>
      </c>
      <c r="AK109" s="76">
        <v>88</v>
      </c>
      <c r="AL109" s="76">
        <v>317</v>
      </c>
      <c r="AM109" s="202"/>
      <c r="AN109" s="77"/>
      <c r="AO109" s="202"/>
      <c r="AP109" s="202"/>
      <c r="AQ109" s="202"/>
      <c r="AR109" s="202"/>
      <c r="AS109" s="202"/>
      <c r="AT109" s="202"/>
      <c r="AU109" s="202"/>
      <c r="AV109" s="202"/>
      <c r="AW109" s="202"/>
      <c r="AX109" s="202"/>
      <c r="AY109" s="202"/>
    </row>
    <row r="110" spans="1:51" ht="25.5" x14ac:dyDescent="0.2">
      <c r="A110" s="76">
        <v>25</v>
      </c>
      <c r="B110" s="77" t="s">
        <v>1321</v>
      </c>
      <c r="C110" s="76" t="s">
        <v>148</v>
      </c>
      <c r="D110" s="76">
        <v>0</v>
      </c>
      <c r="E110" s="76">
        <v>0</v>
      </c>
      <c r="F110" s="76">
        <v>11.57</v>
      </c>
      <c r="G110" s="76">
        <v>2</v>
      </c>
      <c r="H110" s="76">
        <v>0</v>
      </c>
      <c r="I110" s="76">
        <v>0</v>
      </c>
      <c r="J110" s="76">
        <v>0</v>
      </c>
      <c r="K110" s="76">
        <v>4.2</v>
      </c>
      <c r="L110" s="76">
        <v>9</v>
      </c>
      <c r="M110" s="76">
        <v>6</v>
      </c>
      <c r="N110" s="76">
        <v>6</v>
      </c>
      <c r="O110" s="76">
        <v>2</v>
      </c>
      <c r="P110" s="76">
        <v>5</v>
      </c>
      <c r="Q110" s="76">
        <v>5</v>
      </c>
      <c r="R110" s="76">
        <v>0.40899999999999997</v>
      </c>
      <c r="S110" s="76">
        <v>3</v>
      </c>
      <c r="T110" s="76">
        <v>25</v>
      </c>
      <c r="U110" s="77" t="s">
        <v>1321</v>
      </c>
      <c r="V110" s="76" t="s">
        <v>148</v>
      </c>
      <c r="W110" s="76">
        <v>0</v>
      </c>
      <c r="X110" s="76">
        <v>0</v>
      </c>
      <c r="Y110" s="76">
        <v>0</v>
      </c>
      <c r="Z110" s="76">
        <v>0</v>
      </c>
      <c r="AA110" s="76">
        <v>0</v>
      </c>
      <c r="AB110" s="76">
        <v>0</v>
      </c>
      <c r="AC110" s="76">
        <v>1</v>
      </c>
      <c r="AD110" s="76">
        <v>4</v>
      </c>
      <c r="AE110" s="76">
        <v>4</v>
      </c>
      <c r="AF110" s="76">
        <v>0</v>
      </c>
      <c r="AG110" s="76">
        <v>0</v>
      </c>
      <c r="AH110" s="76">
        <v>0</v>
      </c>
      <c r="AI110" s="76">
        <v>0</v>
      </c>
      <c r="AJ110" s="76">
        <v>0</v>
      </c>
      <c r="AK110" s="76">
        <v>27</v>
      </c>
      <c r="AL110" s="76">
        <v>120</v>
      </c>
      <c r="AM110" s="202"/>
      <c r="AN110" s="77"/>
      <c r="AO110" s="202"/>
      <c r="AP110" s="202"/>
      <c r="AQ110" s="202"/>
      <c r="AR110" s="202"/>
      <c r="AS110" s="202"/>
      <c r="AT110" s="202"/>
      <c r="AU110" s="202"/>
      <c r="AV110" s="202"/>
      <c r="AW110" s="202"/>
      <c r="AX110" s="202"/>
      <c r="AY110" s="202"/>
    </row>
    <row r="111" spans="1:51" ht="25.5" x14ac:dyDescent="0.2">
      <c r="A111" s="76">
        <v>26</v>
      </c>
      <c r="B111" s="77" t="s">
        <v>1322</v>
      </c>
      <c r="C111" s="76" t="s">
        <v>148</v>
      </c>
      <c r="D111" s="76">
        <v>0</v>
      </c>
      <c r="E111" s="76">
        <v>0</v>
      </c>
      <c r="F111" s="76">
        <v>12</v>
      </c>
      <c r="G111" s="76">
        <v>2</v>
      </c>
      <c r="H111" s="76">
        <v>0</v>
      </c>
      <c r="I111" s="76">
        <v>0</v>
      </c>
      <c r="J111" s="76">
        <v>0</v>
      </c>
      <c r="K111" s="76">
        <v>3</v>
      </c>
      <c r="L111" s="76">
        <v>4</v>
      </c>
      <c r="M111" s="76">
        <v>4</v>
      </c>
      <c r="N111" s="76">
        <v>4</v>
      </c>
      <c r="O111" s="76">
        <v>1</v>
      </c>
      <c r="P111" s="76">
        <v>0</v>
      </c>
      <c r="Q111" s="76">
        <v>0</v>
      </c>
      <c r="R111" s="76">
        <v>0.308</v>
      </c>
      <c r="S111" s="76">
        <v>1.33</v>
      </c>
      <c r="T111" s="76">
        <v>26</v>
      </c>
      <c r="U111" s="77" t="s">
        <v>1322</v>
      </c>
      <c r="V111" s="76" t="s">
        <v>148</v>
      </c>
      <c r="W111" s="76">
        <v>0</v>
      </c>
      <c r="X111" s="76">
        <v>0</v>
      </c>
      <c r="Y111" s="76">
        <v>0</v>
      </c>
      <c r="Z111" s="76">
        <v>0</v>
      </c>
      <c r="AA111" s="76">
        <v>2</v>
      </c>
      <c r="AB111" s="76">
        <v>0</v>
      </c>
      <c r="AC111" s="76">
        <v>0</v>
      </c>
      <c r="AD111" s="76">
        <v>2</v>
      </c>
      <c r="AE111" s="76">
        <v>7</v>
      </c>
      <c r="AF111" s="76">
        <v>0</v>
      </c>
      <c r="AG111" s="76">
        <v>0</v>
      </c>
      <c r="AH111" s="76">
        <v>0</v>
      </c>
      <c r="AI111" s="76">
        <v>0</v>
      </c>
      <c r="AJ111" s="76">
        <v>0</v>
      </c>
      <c r="AK111" s="76">
        <v>13</v>
      </c>
      <c r="AL111" s="76">
        <v>43</v>
      </c>
      <c r="AM111" s="202"/>
      <c r="AN111" s="77"/>
      <c r="AO111" s="202"/>
      <c r="AP111" s="202"/>
      <c r="AQ111" s="202"/>
      <c r="AR111" s="202"/>
      <c r="AS111" s="202"/>
      <c r="AT111" s="202"/>
      <c r="AU111" s="202"/>
      <c r="AV111" s="202"/>
      <c r="AW111" s="202"/>
      <c r="AX111" s="202"/>
      <c r="AY111" s="202"/>
    </row>
    <row r="112" spans="1:51" ht="25.5" x14ac:dyDescent="0.2">
      <c r="A112" s="76">
        <v>27</v>
      </c>
      <c r="B112" s="77" t="s">
        <v>405</v>
      </c>
      <c r="C112" s="76" t="s">
        <v>148</v>
      </c>
      <c r="D112" s="76">
        <v>1</v>
      </c>
      <c r="E112" s="76">
        <v>0</v>
      </c>
      <c r="F112" s="76">
        <v>21</v>
      </c>
      <c r="G112" s="76">
        <v>7</v>
      </c>
      <c r="H112" s="76">
        <v>0</v>
      </c>
      <c r="I112" s="76">
        <v>0</v>
      </c>
      <c r="J112" s="76">
        <v>0</v>
      </c>
      <c r="K112" s="76">
        <v>3</v>
      </c>
      <c r="L112" s="76">
        <v>4</v>
      </c>
      <c r="M112" s="76">
        <v>7</v>
      </c>
      <c r="N112" s="76">
        <v>7</v>
      </c>
      <c r="O112" s="76">
        <v>1</v>
      </c>
      <c r="P112" s="76">
        <v>5</v>
      </c>
      <c r="Q112" s="76">
        <v>4</v>
      </c>
      <c r="R112" s="76">
        <v>0.308</v>
      </c>
      <c r="S112" s="76">
        <v>3</v>
      </c>
      <c r="T112" s="76">
        <v>27</v>
      </c>
      <c r="U112" s="77" t="s">
        <v>405</v>
      </c>
      <c r="V112" s="76" t="s">
        <v>148</v>
      </c>
      <c r="W112" s="76">
        <v>0</v>
      </c>
      <c r="X112" s="76">
        <v>0</v>
      </c>
      <c r="Y112" s="76">
        <v>0</v>
      </c>
      <c r="Z112" s="76">
        <v>1</v>
      </c>
      <c r="AA112" s="76">
        <v>1</v>
      </c>
      <c r="AB112" s="76">
        <v>1</v>
      </c>
      <c r="AC112" s="76">
        <v>0</v>
      </c>
      <c r="AD112" s="76">
        <v>3</v>
      </c>
      <c r="AE112" s="76">
        <v>2</v>
      </c>
      <c r="AF112" s="76">
        <v>0</v>
      </c>
      <c r="AG112" s="76">
        <v>0</v>
      </c>
      <c r="AH112" s="76">
        <v>0</v>
      </c>
      <c r="AI112" s="76">
        <v>0</v>
      </c>
      <c r="AJ112" s="76">
        <v>0</v>
      </c>
      <c r="AK112" s="76">
        <v>18</v>
      </c>
      <c r="AL112" s="76">
        <v>72</v>
      </c>
      <c r="AM112" s="202"/>
      <c r="AN112" s="77"/>
      <c r="AO112" s="202"/>
      <c r="AP112" s="202"/>
      <c r="AQ112" s="202"/>
      <c r="AR112" s="202"/>
      <c r="AS112" s="202"/>
      <c r="AT112" s="202"/>
      <c r="AU112" s="202"/>
      <c r="AV112" s="202"/>
      <c r="AW112" s="202"/>
      <c r="AX112" s="202"/>
      <c r="AY112" s="202"/>
    </row>
    <row r="113" spans="1:51" x14ac:dyDescent="0.2">
      <c r="A113" s="225" t="s">
        <v>105</v>
      </c>
      <c r="B113" s="225" t="s">
        <v>106</v>
      </c>
      <c r="C113" s="225" t="s">
        <v>157</v>
      </c>
      <c r="D113" s="225" t="s">
        <v>85</v>
      </c>
      <c r="E113" s="225" t="s">
        <v>86</v>
      </c>
      <c r="F113" s="225" t="s">
        <v>107</v>
      </c>
      <c r="G113" s="225" t="s">
        <v>108</v>
      </c>
      <c r="H113" s="225" t="s">
        <v>88</v>
      </c>
      <c r="I113" s="225" t="s">
        <v>90</v>
      </c>
      <c r="J113" s="225" t="s">
        <v>158</v>
      </c>
      <c r="K113" s="225" t="s">
        <v>91</v>
      </c>
      <c r="L113" s="225" t="s">
        <v>92</v>
      </c>
      <c r="M113" s="225" t="s">
        <v>93</v>
      </c>
      <c r="N113" s="225" t="s">
        <v>94</v>
      </c>
      <c r="O113" s="225" t="s">
        <v>95</v>
      </c>
      <c r="P113" s="225" t="s">
        <v>96</v>
      </c>
      <c r="Q113" s="225" t="s">
        <v>97</v>
      </c>
      <c r="R113" s="225" t="s">
        <v>1071</v>
      </c>
      <c r="S113" s="225" t="s">
        <v>1072</v>
      </c>
      <c r="T113" s="225" t="s">
        <v>105</v>
      </c>
      <c r="U113" s="225" t="s">
        <v>106</v>
      </c>
      <c r="V113" s="225" t="s">
        <v>157</v>
      </c>
      <c r="W113" s="225" t="s">
        <v>89</v>
      </c>
      <c r="X113" s="225" t="s">
        <v>1073</v>
      </c>
      <c r="Y113" s="225" t="s">
        <v>1074</v>
      </c>
      <c r="Z113" s="225" t="s">
        <v>98</v>
      </c>
      <c r="AA113" s="225" t="s">
        <v>1075</v>
      </c>
      <c r="AB113" s="225" t="s">
        <v>1076</v>
      </c>
      <c r="AC113" s="225" t="s">
        <v>1077</v>
      </c>
      <c r="AD113" s="225" t="s">
        <v>1066</v>
      </c>
      <c r="AE113" s="225" t="s">
        <v>1067</v>
      </c>
      <c r="AF113" s="225" t="s">
        <v>1078</v>
      </c>
      <c r="AG113" s="225" t="s">
        <v>1079</v>
      </c>
      <c r="AH113" s="225" t="s">
        <v>1057</v>
      </c>
      <c r="AI113" s="225" t="s">
        <v>1058</v>
      </c>
      <c r="AJ113" s="225" t="s">
        <v>1080</v>
      </c>
      <c r="AK113" s="225" t="s">
        <v>109</v>
      </c>
      <c r="AL113" s="225" t="s">
        <v>1069</v>
      </c>
      <c r="AM113" s="202"/>
      <c r="AN113" s="77"/>
      <c r="AO113" s="202"/>
      <c r="AP113" s="202"/>
      <c r="AQ113" s="202"/>
      <c r="AR113" s="202"/>
      <c r="AS113" s="202"/>
      <c r="AT113" s="202"/>
      <c r="AU113" s="202"/>
      <c r="AV113" s="202"/>
      <c r="AW113" s="202"/>
      <c r="AX113" s="202"/>
      <c r="AY113" s="202"/>
    </row>
    <row r="114" spans="1:51" ht="25.5" x14ac:dyDescent="0.2">
      <c r="A114" s="76">
        <v>1</v>
      </c>
      <c r="B114" s="77" t="s">
        <v>1323</v>
      </c>
      <c r="C114" s="76" t="s">
        <v>149</v>
      </c>
      <c r="D114" s="76">
        <v>0</v>
      </c>
      <c r="E114" s="76">
        <v>0</v>
      </c>
      <c r="F114" s="76">
        <v>0</v>
      </c>
      <c r="G114" s="76">
        <v>1</v>
      </c>
      <c r="H114" s="76">
        <v>0</v>
      </c>
      <c r="I114" s="76">
        <v>0</v>
      </c>
      <c r="J114" s="76">
        <v>0</v>
      </c>
      <c r="K114" s="76">
        <v>0.2</v>
      </c>
      <c r="L114" s="76">
        <v>0</v>
      </c>
      <c r="M114" s="76">
        <v>0</v>
      </c>
      <c r="N114" s="76">
        <v>0</v>
      </c>
      <c r="O114" s="76">
        <v>0</v>
      </c>
      <c r="P114" s="76">
        <v>2</v>
      </c>
      <c r="Q114" s="76">
        <v>0</v>
      </c>
      <c r="R114" s="76">
        <v>0</v>
      </c>
      <c r="S114" s="76">
        <v>3</v>
      </c>
      <c r="T114" s="76">
        <v>1</v>
      </c>
      <c r="U114" s="77" t="s">
        <v>1323</v>
      </c>
      <c r="V114" s="76" t="s">
        <v>149</v>
      </c>
      <c r="W114" s="76">
        <v>0</v>
      </c>
      <c r="X114" s="76">
        <v>0</v>
      </c>
      <c r="Y114" s="76">
        <v>0</v>
      </c>
      <c r="Z114" s="76">
        <v>0</v>
      </c>
      <c r="AA114" s="76">
        <v>1</v>
      </c>
      <c r="AB114" s="76">
        <v>0</v>
      </c>
      <c r="AC114" s="76">
        <v>0</v>
      </c>
      <c r="AD114" s="76">
        <v>2</v>
      </c>
      <c r="AE114" s="76">
        <v>0</v>
      </c>
      <c r="AF114" s="76">
        <v>0</v>
      </c>
      <c r="AG114" s="76">
        <v>0</v>
      </c>
      <c r="AH114" s="76">
        <v>0</v>
      </c>
      <c r="AI114" s="76">
        <v>0</v>
      </c>
      <c r="AJ114" s="76">
        <v>0</v>
      </c>
      <c r="AK114" s="76">
        <v>4</v>
      </c>
      <c r="AL114" s="76">
        <v>17</v>
      </c>
      <c r="AM114" s="202"/>
      <c r="AN114" s="77"/>
      <c r="AO114" s="202"/>
      <c r="AP114" s="202"/>
      <c r="AQ114" s="202"/>
      <c r="AR114" s="202"/>
      <c r="AS114" s="202"/>
      <c r="AT114" s="202"/>
      <c r="AU114" s="202"/>
      <c r="AV114" s="202"/>
      <c r="AW114" s="202"/>
      <c r="AX114" s="202"/>
      <c r="AY114" s="202"/>
    </row>
    <row r="115" spans="1:51" ht="25.5" x14ac:dyDescent="0.2">
      <c r="A115" s="76">
        <v>2</v>
      </c>
      <c r="B115" s="77" t="s">
        <v>1209</v>
      </c>
      <c r="C115" s="76" t="s">
        <v>149</v>
      </c>
      <c r="D115" s="76">
        <v>0</v>
      </c>
      <c r="E115" s="76">
        <v>0</v>
      </c>
      <c r="F115" s="76">
        <v>1.93</v>
      </c>
      <c r="G115" s="76">
        <v>3</v>
      </c>
      <c r="H115" s="76">
        <v>0</v>
      </c>
      <c r="I115" s="76">
        <v>0</v>
      </c>
      <c r="J115" s="76">
        <v>0</v>
      </c>
      <c r="K115" s="76">
        <v>4.2</v>
      </c>
      <c r="L115" s="76">
        <v>8</v>
      </c>
      <c r="M115" s="76">
        <v>1</v>
      </c>
      <c r="N115" s="76">
        <v>1</v>
      </c>
      <c r="O115" s="76">
        <v>0</v>
      </c>
      <c r="P115" s="76">
        <v>2</v>
      </c>
      <c r="Q115" s="76">
        <v>1</v>
      </c>
      <c r="R115" s="76">
        <v>0.42099999999999999</v>
      </c>
      <c r="S115" s="76">
        <v>2.14</v>
      </c>
      <c r="T115" s="76">
        <v>2</v>
      </c>
      <c r="U115" s="77" t="s">
        <v>1209</v>
      </c>
      <c r="V115" s="76" t="s">
        <v>149</v>
      </c>
      <c r="W115" s="76">
        <v>0</v>
      </c>
      <c r="X115" s="76">
        <v>0</v>
      </c>
      <c r="Y115" s="76">
        <v>0</v>
      </c>
      <c r="Z115" s="76">
        <v>0</v>
      </c>
      <c r="AA115" s="76">
        <v>0</v>
      </c>
      <c r="AB115" s="76">
        <v>0</v>
      </c>
      <c r="AC115" s="76">
        <v>3</v>
      </c>
      <c r="AD115" s="76">
        <v>7</v>
      </c>
      <c r="AE115" s="76">
        <v>3</v>
      </c>
      <c r="AF115" s="76">
        <v>0</v>
      </c>
      <c r="AG115" s="76">
        <v>0</v>
      </c>
      <c r="AH115" s="76">
        <v>0</v>
      </c>
      <c r="AI115" s="76">
        <v>0</v>
      </c>
      <c r="AJ115" s="76">
        <v>0</v>
      </c>
      <c r="AK115" s="76">
        <v>21</v>
      </c>
      <c r="AL115" s="76">
        <v>77</v>
      </c>
      <c r="AM115" s="202"/>
      <c r="AN115" s="77"/>
      <c r="AO115" s="202"/>
      <c r="AP115" s="202"/>
      <c r="AQ115" s="202"/>
      <c r="AR115" s="202"/>
      <c r="AS115" s="202"/>
      <c r="AT115" s="202"/>
      <c r="AU115" s="202"/>
      <c r="AV115" s="202"/>
      <c r="AW115" s="202"/>
      <c r="AX115" s="202"/>
      <c r="AY115" s="202"/>
    </row>
    <row r="116" spans="1:51" ht="25.5" x14ac:dyDescent="0.2">
      <c r="A116" s="76">
        <v>3</v>
      </c>
      <c r="B116" s="77" t="s">
        <v>507</v>
      </c>
      <c r="C116" s="76" t="s">
        <v>149</v>
      </c>
      <c r="D116" s="76">
        <v>4</v>
      </c>
      <c r="E116" s="76">
        <v>0</v>
      </c>
      <c r="F116" s="76">
        <v>2.96</v>
      </c>
      <c r="G116" s="76">
        <v>62</v>
      </c>
      <c r="H116" s="76">
        <v>0</v>
      </c>
      <c r="I116" s="76">
        <v>0</v>
      </c>
      <c r="J116" s="76">
        <v>4</v>
      </c>
      <c r="K116" s="76">
        <v>73</v>
      </c>
      <c r="L116" s="76">
        <v>68</v>
      </c>
      <c r="M116" s="76">
        <v>26</v>
      </c>
      <c r="N116" s="76">
        <v>24</v>
      </c>
      <c r="O116" s="76">
        <v>5</v>
      </c>
      <c r="P116" s="76">
        <v>21</v>
      </c>
      <c r="Q116" s="76">
        <v>49</v>
      </c>
      <c r="R116" s="76">
        <v>0.252</v>
      </c>
      <c r="S116" s="76">
        <v>1.22</v>
      </c>
      <c r="T116" s="76">
        <v>3</v>
      </c>
      <c r="U116" s="77" t="s">
        <v>507</v>
      </c>
      <c r="V116" s="76" t="s">
        <v>149</v>
      </c>
      <c r="W116" s="76">
        <v>0</v>
      </c>
      <c r="X116" s="76">
        <v>0</v>
      </c>
      <c r="Y116" s="76">
        <v>1</v>
      </c>
      <c r="Z116" s="76">
        <v>5</v>
      </c>
      <c r="AA116" s="76">
        <v>6</v>
      </c>
      <c r="AB116" s="76">
        <v>14</v>
      </c>
      <c r="AC116" s="76">
        <v>8</v>
      </c>
      <c r="AD116" s="76">
        <v>73</v>
      </c>
      <c r="AE116" s="76">
        <v>85</v>
      </c>
      <c r="AF116" s="76">
        <v>2</v>
      </c>
      <c r="AG116" s="76">
        <v>0</v>
      </c>
      <c r="AH116" s="76">
        <v>1</v>
      </c>
      <c r="AI116" s="76">
        <v>0</v>
      </c>
      <c r="AJ116" s="76">
        <v>1</v>
      </c>
      <c r="AK116" s="76">
        <v>297</v>
      </c>
      <c r="AL116" s="76">
        <v>1130</v>
      </c>
      <c r="AM116" s="202"/>
      <c r="AN116" s="77"/>
      <c r="AO116" s="202"/>
      <c r="AP116" s="202"/>
      <c r="AQ116" s="202"/>
      <c r="AR116" s="202"/>
      <c r="AS116" s="202"/>
      <c r="AT116" s="202"/>
      <c r="AU116" s="202"/>
      <c r="AV116" s="202"/>
      <c r="AW116" s="202"/>
      <c r="AX116" s="202"/>
      <c r="AY116" s="202"/>
    </row>
    <row r="117" spans="1:51" ht="25.5" x14ac:dyDescent="0.2">
      <c r="A117" s="76">
        <v>4</v>
      </c>
      <c r="B117" s="77" t="s">
        <v>1181</v>
      </c>
      <c r="C117" s="76" t="s">
        <v>149</v>
      </c>
      <c r="D117" s="76">
        <v>5</v>
      </c>
      <c r="E117" s="76">
        <v>2</v>
      </c>
      <c r="F117" s="76">
        <v>2.97</v>
      </c>
      <c r="G117" s="76">
        <v>37</v>
      </c>
      <c r="H117" s="76">
        <v>0</v>
      </c>
      <c r="I117" s="76">
        <v>0</v>
      </c>
      <c r="J117" s="76">
        <v>2</v>
      </c>
      <c r="K117" s="76">
        <v>36.1</v>
      </c>
      <c r="L117" s="76">
        <v>23</v>
      </c>
      <c r="M117" s="76">
        <v>12</v>
      </c>
      <c r="N117" s="76">
        <v>12</v>
      </c>
      <c r="O117" s="76">
        <v>5</v>
      </c>
      <c r="P117" s="76">
        <v>12</v>
      </c>
      <c r="Q117" s="76">
        <v>45</v>
      </c>
      <c r="R117" s="76">
        <v>0.18099999999999999</v>
      </c>
      <c r="S117" s="76">
        <v>0.96</v>
      </c>
      <c r="T117" s="76">
        <v>4</v>
      </c>
      <c r="U117" s="77" t="s">
        <v>1181</v>
      </c>
      <c r="V117" s="76" t="s">
        <v>149</v>
      </c>
      <c r="W117" s="76">
        <v>0</v>
      </c>
      <c r="X117" s="76">
        <v>0</v>
      </c>
      <c r="Y117" s="76">
        <v>3</v>
      </c>
      <c r="Z117" s="76">
        <v>1</v>
      </c>
      <c r="AA117" s="76">
        <v>7</v>
      </c>
      <c r="AB117" s="76">
        <v>6</v>
      </c>
      <c r="AC117" s="76">
        <v>2</v>
      </c>
      <c r="AD117" s="76">
        <v>22</v>
      </c>
      <c r="AE117" s="76">
        <v>39</v>
      </c>
      <c r="AF117" s="76">
        <v>1</v>
      </c>
      <c r="AG117" s="76">
        <v>1</v>
      </c>
      <c r="AH117" s="76">
        <v>3</v>
      </c>
      <c r="AI117" s="76">
        <v>2</v>
      </c>
      <c r="AJ117" s="76">
        <v>0</v>
      </c>
      <c r="AK117" s="76">
        <v>144</v>
      </c>
      <c r="AL117" s="76">
        <v>565</v>
      </c>
      <c r="AM117" s="202"/>
      <c r="AN117" s="77"/>
      <c r="AO117" s="202"/>
      <c r="AP117" s="202"/>
      <c r="AQ117" s="202"/>
      <c r="AR117" s="202"/>
      <c r="AS117" s="202"/>
      <c r="AT117" s="202"/>
      <c r="AU117" s="202"/>
      <c r="AV117" s="202"/>
      <c r="AW117" s="202"/>
      <c r="AX117" s="202"/>
      <c r="AY117" s="202"/>
    </row>
    <row r="118" spans="1:51" ht="25.5" x14ac:dyDescent="0.2">
      <c r="A118" s="76">
        <v>5</v>
      </c>
      <c r="B118" s="77" t="s">
        <v>540</v>
      </c>
      <c r="C118" s="76" t="s">
        <v>149</v>
      </c>
      <c r="D118" s="76">
        <v>16</v>
      </c>
      <c r="E118" s="76">
        <v>9</v>
      </c>
      <c r="F118" s="76">
        <v>3.04</v>
      </c>
      <c r="G118" s="76">
        <v>34</v>
      </c>
      <c r="H118" s="76">
        <v>34</v>
      </c>
      <c r="I118" s="76">
        <v>0</v>
      </c>
      <c r="J118" s="76">
        <v>0</v>
      </c>
      <c r="K118" s="76">
        <v>227.2</v>
      </c>
      <c r="L118" s="76">
        <v>171</v>
      </c>
      <c r="M118" s="76">
        <v>81</v>
      </c>
      <c r="N118" s="76">
        <v>77</v>
      </c>
      <c r="O118" s="76">
        <v>30</v>
      </c>
      <c r="P118" s="76">
        <v>57</v>
      </c>
      <c r="Q118" s="76">
        <v>254</v>
      </c>
      <c r="R118" s="76">
        <v>0.20699999999999999</v>
      </c>
      <c r="S118" s="76">
        <v>1</v>
      </c>
      <c r="T118" s="76">
        <v>5</v>
      </c>
      <c r="U118" s="77" t="s">
        <v>540</v>
      </c>
      <c r="V118" s="76" t="s">
        <v>149</v>
      </c>
      <c r="W118" s="76">
        <v>2</v>
      </c>
      <c r="X118" s="76">
        <v>0</v>
      </c>
      <c r="Y118" s="76">
        <v>8</v>
      </c>
      <c r="Z118" s="76">
        <v>1</v>
      </c>
      <c r="AA118" s="76">
        <v>0</v>
      </c>
      <c r="AB118" s="76">
        <v>0</v>
      </c>
      <c r="AC118" s="76">
        <v>8</v>
      </c>
      <c r="AD118" s="76">
        <v>153</v>
      </c>
      <c r="AE118" s="76">
        <v>260</v>
      </c>
      <c r="AF118" s="76">
        <v>6</v>
      </c>
      <c r="AG118" s="76">
        <v>0</v>
      </c>
      <c r="AH118" s="76">
        <v>5</v>
      </c>
      <c r="AI118" s="76">
        <v>6</v>
      </c>
      <c r="AJ118" s="76">
        <v>3</v>
      </c>
      <c r="AK118" s="76">
        <v>903</v>
      </c>
      <c r="AL118" s="76">
        <v>3668</v>
      </c>
      <c r="AM118" s="202"/>
      <c r="AN118" s="77"/>
      <c r="AO118" s="202"/>
      <c r="AP118" s="202"/>
      <c r="AQ118" s="202"/>
      <c r="AR118" s="202"/>
      <c r="AS118" s="202"/>
      <c r="AT118" s="202"/>
      <c r="AU118" s="202"/>
      <c r="AV118" s="202"/>
      <c r="AW118" s="202"/>
      <c r="AX118" s="202"/>
      <c r="AY118" s="202"/>
    </row>
    <row r="119" spans="1:51" ht="25.5" x14ac:dyDescent="0.2">
      <c r="A119" s="76">
        <v>6</v>
      </c>
      <c r="B119" s="77" t="s">
        <v>1324</v>
      </c>
      <c r="C119" s="76" t="s">
        <v>149</v>
      </c>
      <c r="D119" s="76">
        <v>11</v>
      </c>
      <c r="E119" s="76">
        <v>7</v>
      </c>
      <c r="F119" s="76">
        <v>3.06</v>
      </c>
      <c r="G119" s="76">
        <v>26</v>
      </c>
      <c r="H119" s="76">
        <v>26</v>
      </c>
      <c r="I119" s="76">
        <v>0</v>
      </c>
      <c r="J119" s="76">
        <v>0</v>
      </c>
      <c r="K119" s="76">
        <v>159</v>
      </c>
      <c r="L119" s="76">
        <v>136</v>
      </c>
      <c r="M119" s="76">
        <v>57</v>
      </c>
      <c r="N119" s="76">
        <v>54</v>
      </c>
      <c r="O119" s="76">
        <v>16</v>
      </c>
      <c r="P119" s="76">
        <v>42</v>
      </c>
      <c r="Q119" s="76">
        <v>132</v>
      </c>
      <c r="R119" s="76">
        <v>0.23100000000000001</v>
      </c>
      <c r="S119" s="76">
        <v>1.1200000000000001</v>
      </c>
      <c r="T119" s="76">
        <v>6</v>
      </c>
      <c r="U119" s="77" t="s">
        <v>1324</v>
      </c>
      <c r="V119" s="76" t="s">
        <v>149</v>
      </c>
      <c r="W119" s="76">
        <v>1</v>
      </c>
      <c r="X119" s="76">
        <v>1</v>
      </c>
      <c r="Y119" s="76">
        <v>9</v>
      </c>
      <c r="Z119" s="76">
        <v>1</v>
      </c>
      <c r="AA119" s="76">
        <v>0</v>
      </c>
      <c r="AB119" s="76">
        <v>0</v>
      </c>
      <c r="AC119" s="76">
        <v>17</v>
      </c>
      <c r="AD119" s="76">
        <v>179</v>
      </c>
      <c r="AE119" s="76">
        <v>149</v>
      </c>
      <c r="AF119" s="76">
        <v>1</v>
      </c>
      <c r="AG119" s="76">
        <v>1</v>
      </c>
      <c r="AH119" s="76">
        <v>4</v>
      </c>
      <c r="AI119" s="76">
        <v>2</v>
      </c>
      <c r="AJ119" s="76">
        <v>0</v>
      </c>
      <c r="AK119" s="76">
        <v>647</v>
      </c>
      <c r="AL119" s="76">
        <v>2473</v>
      </c>
      <c r="AM119" s="202"/>
      <c r="AN119" s="77"/>
      <c r="AO119" s="202"/>
      <c r="AP119" s="202"/>
      <c r="AQ119" s="202"/>
      <c r="AR119" s="202"/>
      <c r="AS119" s="202"/>
      <c r="AT119" s="202"/>
      <c r="AU119" s="202"/>
      <c r="AV119" s="202"/>
      <c r="AW119" s="202"/>
      <c r="AX119" s="202"/>
      <c r="AY119" s="202"/>
    </row>
    <row r="120" spans="1:51" x14ac:dyDescent="0.2">
      <c r="A120" s="76">
        <v>7</v>
      </c>
      <c r="B120" s="77" t="s">
        <v>796</v>
      </c>
      <c r="C120" s="76" t="s">
        <v>149</v>
      </c>
      <c r="D120" s="76">
        <v>4</v>
      </c>
      <c r="E120" s="76">
        <v>2</v>
      </c>
      <c r="F120" s="76">
        <v>3.07</v>
      </c>
      <c r="G120" s="76">
        <v>56</v>
      </c>
      <c r="H120" s="76">
        <v>0</v>
      </c>
      <c r="I120" s="76">
        <v>0</v>
      </c>
      <c r="J120" s="76">
        <v>1</v>
      </c>
      <c r="K120" s="76">
        <v>55.2</v>
      </c>
      <c r="L120" s="76">
        <v>48</v>
      </c>
      <c r="M120" s="76">
        <v>21</v>
      </c>
      <c r="N120" s="76">
        <v>19</v>
      </c>
      <c r="O120" s="76">
        <v>2</v>
      </c>
      <c r="P120" s="76">
        <v>15</v>
      </c>
      <c r="Q120" s="76">
        <v>35</v>
      </c>
      <c r="R120" s="76">
        <v>0.23400000000000001</v>
      </c>
      <c r="S120" s="76">
        <v>1.1299999999999999</v>
      </c>
      <c r="T120" s="76">
        <v>7</v>
      </c>
      <c r="U120" s="77" t="s">
        <v>796</v>
      </c>
      <c r="V120" s="76" t="s">
        <v>149</v>
      </c>
      <c r="W120" s="76">
        <v>0</v>
      </c>
      <c r="X120" s="76">
        <v>0</v>
      </c>
      <c r="Y120" s="76">
        <v>3</v>
      </c>
      <c r="Z120" s="76">
        <v>5</v>
      </c>
      <c r="AA120" s="76">
        <v>14</v>
      </c>
      <c r="AB120" s="76">
        <v>4</v>
      </c>
      <c r="AC120" s="76">
        <v>7</v>
      </c>
      <c r="AD120" s="76">
        <v>81</v>
      </c>
      <c r="AE120" s="76">
        <v>44</v>
      </c>
      <c r="AF120" s="76">
        <v>1</v>
      </c>
      <c r="AG120" s="76">
        <v>0</v>
      </c>
      <c r="AH120" s="76">
        <v>4</v>
      </c>
      <c r="AI120" s="76">
        <v>2</v>
      </c>
      <c r="AJ120" s="76">
        <v>1</v>
      </c>
      <c r="AK120" s="76">
        <v>226</v>
      </c>
      <c r="AL120" s="76">
        <v>837</v>
      </c>
      <c r="AM120" s="202"/>
      <c r="AN120" s="77"/>
      <c r="AO120" s="202"/>
      <c r="AP120" s="202"/>
      <c r="AQ120" s="202"/>
      <c r="AR120" s="202"/>
      <c r="AS120" s="202"/>
      <c r="AT120" s="202"/>
      <c r="AU120" s="202"/>
      <c r="AV120" s="202"/>
      <c r="AW120" s="202"/>
      <c r="AX120" s="202"/>
      <c r="AY120" s="202"/>
    </row>
    <row r="121" spans="1:51" ht="25.5" x14ac:dyDescent="0.2">
      <c r="A121" s="76">
        <v>8</v>
      </c>
      <c r="B121" s="77" t="s">
        <v>400</v>
      </c>
      <c r="C121" s="76" t="s">
        <v>149</v>
      </c>
      <c r="D121" s="76">
        <v>3</v>
      </c>
      <c r="E121" s="76">
        <v>4</v>
      </c>
      <c r="F121" s="76">
        <v>3.24</v>
      </c>
      <c r="G121" s="76">
        <v>61</v>
      </c>
      <c r="H121" s="76">
        <v>0</v>
      </c>
      <c r="I121" s="76">
        <v>44</v>
      </c>
      <c r="J121" s="76">
        <v>49</v>
      </c>
      <c r="K121" s="76">
        <v>58.1</v>
      </c>
      <c r="L121" s="76">
        <v>45</v>
      </c>
      <c r="M121" s="76">
        <v>24</v>
      </c>
      <c r="N121" s="76">
        <v>21</v>
      </c>
      <c r="O121" s="76">
        <v>6</v>
      </c>
      <c r="P121" s="76">
        <v>21</v>
      </c>
      <c r="Q121" s="76">
        <v>52</v>
      </c>
      <c r="R121" s="76">
        <v>0.214</v>
      </c>
      <c r="S121" s="76">
        <v>1.1299999999999999</v>
      </c>
      <c r="T121" s="76">
        <v>8</v>
      </c>
      <c r="U121" s="77" t="s">
        <v>400</v>
      </c>
      <c r="V121" s="76" t="s">
        <v>149</v>
      </c>
      <c r="W121" s="76">
        <v>0</v>
      </c>
      <c r="X121" s="76">
        <v>0</v>
      </c>
      <c r="Y121" s="76">
        <v>1</v>
      </c>
      <c r="Z121" s="76">
        <v>1</v>
      </c>
      <c r="AA121" s="76">
        <v>55</v>
      </c>
      <c r="AB121" s="76">
        <v>0</v>
      </c>
      <c r="AC121" s="76">
        <v>4</v>
      </c>
      <c r="AD121" s="76">
        <v>71</v>
      </c>
      <c r="AE121" s="76">
        <v>45</v>
      </c>
      <c r="AF121" s="76">
        <v>4</v>
      </c>
      <c r="AG121" s="76">
        <v>0</v>
      </c>
      <c r="AH121" s="76">
        <v>2</v>
      </c>
      <c r="AI121" s="76">
        <v>1</v>
      </c>
      <c r="AJ121" s="76">
        <v>0</v>
      </c>
      <c r="AK121" s="76">
        <v>235</v>
      </c>
      <c r="AL121" s="76">
        <v>928</v>
      </c>
      <c r="AM121" s="202"/>
      <c r="AN121" s="77"/>
      <c r="AO121" s="202"/>
      <c r="AP121" s="202"/>
      <c r="AQ121" s="202"/>
      <c r="AR121" s="202"/>
      <c r="AS121" s="202"/>
      <c r="AT121" s="202"/>
      <c r="AU121" s="202"/>
      <c r="AV121" s="202"/>
      <c r="AW121" s="202"/>
      <c r="AX121" s="202"/>
      <c r="AY121" s="202"/>
    </row>
    <row r="122" spans="1:51" x14ac:dyDescent="0.2">
      <c r="A122" s="76">
        <v>9</v>
      </c>
      <c r="B122" s="77" t="s">
        <v>831</v>
      </c>
      <c r="C122" s="76" t="s">
        <v>149</v>
      </c>
      <c r="D122" s="76">
        <v>4</v>
      </c>
      <c r="E122" s="76">
        <v>2</v>
      </c>
      <c r="F122" s="76">
        <v>3.38</v>
      </c>
      <c r="G122" s="76">
        <v>14</v>
      </c>
      <c r="H122" s="76">
        <v>13</v>
      </c>
      <c r="I122" s="76">
        <v>0</v>
      </c>
      <c r="J122" s="76">
        <v>0</v>
      </c>
      <c r="K122" s="76">
        <v>69.099999999999994</v>
      </c>
      <c r="L122" s="76">
        <v>75</v>
      </c>
      <c r="M122" s="76">
        <v>30</v>
      </c>
      <c r="N122" s="76">
        <v>26</v>
      </c>
      <c r="O122" s="76">
        <v>10</v>
      </c>
      <c r="P122" s="76">
        <v>22</v>
      </c>
      <c r="Q122" s="76">
        <v>71</v>
      </c>
      <c r="R122" s="76">
        <v>0.27100000000000002</v>
      </c>
      <c r="S122" s="76">
        <v>1.4</v>
      </c>
      <c r="T122" s="76">
        <v>9</v>
      </c>
      <c r="U122" s="77" t="s">
        <v>831</v>
      </c>
      <c r="V122" s="76" t="s">
        <v>149</v>
      </c>
      <c r="W122" s="76">
        <v>0</v>
      </c>
      <c r="X122" s="76">
        <v>0</v>
      </c>
      <c r="Y122" s="76">
        <v>0</v>
      </c>
      <c r="Z122" s="76">
        <v>0</v>
      </c>
      <c r="AA122" s="76">
        <v>1</v>
      </c>
      <c r="AB122" s="76">
        <v>0</v>
      </c>
      <c r="AC122" s="76">
        <v>3</v>
      </c>
      <c r="AD122" s="76">
        <v>60</v>
      </c>
      <c r="AE122" s="76">
        <v>74</v>
      </c>
      <c r="AF122" s="76">
        <v>1</v>
      </c>
      <c r="AG122" s="76">
        <v>0</v>
      </c>
      <c r="AH122" s="76">
        <v>1</v>
      </c>
      <c r="AI122" s="76">
        <v>1</v>
      </c>
      <c r="AJ122" s="76">
        <v>0</v>
      </c>
      <c r="AK122" s="76">
        <v>302</v>
      </c>
      <c r="AL122" s="76">
        <v>1190</v>
      </c>
      <c r="AM122" s="202"/>
      <c r="AN122" s="77"/>
      <c r="AO122" s="202"/>
      <c r="AP122" s="202"/>
      <c r="AQ122" s="202"/>
      <c r="AR122" s="202"/>
      <c r="AS122" s="202"/>
      <c r="AT122" s="202"/>
      <c r="AU122" s="202"/>
      <c r="AV122" s="202"/>
      <c r="AW122" s="202"/>
      <c r="AX122" s="202"/>
      <c r="AY122" s="202"/>
    </row>
    <row r="123" spans="1:51" x14ac:dyDescent="0.2">
      <c r="A123" s="76">
        <v>10</v>
      </c>
      <c r="B123" s="77" t="s">
        <v>795</v>
      </c>
      <c r="C123" s="76" t="s">
        <v>149</v>
      </c>
      <c r="D123" s="76">
        <v>1</v>
      </c>
      <c r="E123" s="76">
        <v>0</v>
      </c>
      <c r="F123" s="76">
        <v>3.51</v>
      </c>
      <c r="G123" s="76">
        <v>21</v>
      </c>
      <c r="H123" s="76">
        <v>0</v>
      </c>
      <c r="I123" s="76">
        <v>0</v>
      </c>
      <c r="J123" s="76">
        <v>0</v>
      </c>
      <c r="K123" s="76">
        <v>25.2</v>
      </c>
      <c r="L123" s="76">
        <v>25</v>
      </c>
      <c r="M123" s="76">
        <v>11</v>
      </c>
      <c r="N123" s="76">
        <v>10</v>
      </c>
      <c r="O123" s="76">
        <v>2</v>
      </c>
      <c r="P123" s="76">
        <v>12</v>
      </c>
      <c r="Q123" s="76">
        <v>20</v>
      </c>
      <c r="R123" s="76">
        <v>0.253</v>
      </c>
      <c r="S123" s="76">
        <v>1.44</v>
      </c>
      <c r="T123" s="76">
        <v>10</v>
      </c>
      <c r="U123" s="77" t="s">
        <v>795</v>
      </c>
      <c r="V123" s="76" t="s">
        <v>149</v>
      </c>
      <c r="W123" s="76">
        <v>0</v>
      </c>
      <c r="X123" s="76">
        <v>0</v>
      </c>
      <c r="Y123" s="76">
        <v>0</v>
      </c>
      <c r="Z123" s="76">
        <v>1</v>
      </c>
      <c r="AA123" s="76">
        <v>10</v>
      </c>
      <c r="AB123" s="76">
        <v>0</v>
      </c>
      <c r="AC123" s="76">
        <v>3</v>
      </c>
      <c r="AD123" s="76">
        <v>29</v>
      </c>
      <c r="AE123" s="76">
        <v>26</v>
      </c>
      <c r="AF123" s="76">
        <v>1</v>
      </c>
      <c r="AG123" s="76">
        <v>0</v>
      </c>
      <c r="AH123" s="76">
        <v>1</v>
      </c>
      <c r="AI123" s="76">
        <v>0</v>
      </c>
      <c r="AJ123" s="76">
        <v>0</v>
      </c>
      <c r="AK123" s="76">
        <v>112</v>
      </c>
      <c r="AL123" s="76">
        <v>444</v>
      </c>
      <c r="AM123" s="202"/>
      <c r="AN123" s="77"/>
      <c r="AO123" s="202"/>
      <c r="AP123" s="202"/>
      <c r="AQ123" s="202"/>
      <c r="AR123" s="202"/>
      <c r="AS123" s="202"/>
      <c r="AT123" s="202"/>
      <c r="AU123" s="202"/>
      <c r="AV123" s="202"/>
      <c r="AW123" s="202"/>
      <c r="AX123" s="202"/>
      <c r="AY123" s="202"/>
    </row>
    <row r="124" spans="1:51" x14ac:dyDescent="0.2">
      <c r="A124" s="76">
        <v>11</v>
      </c>
      <c r="B124" s="77" t="s">
        <v>426</v>
      </c>
      <c r="C124" s="76" t="s">
        <v>149</v>
      </c>
      <c r="D124" s="76">
        <v>4</v>
      </c>
      <c r="E124" s="76">
        <v>5</v>
      </c>
      <c r="F124" s="76">
        <v>4.1399999999999997</v>
      </c>
      <c r="G124" s="76">
        <v>66</v>
      </c>
      <c r="H124" s="76">
        <v>0</v>
      </c>
      <c r="I124" s="76">
        <v>1</v>
      </c>
      <c r="J124" s="76">
        <v>6</v>
      </c>
      <c r="K124" s="76">
        <v>58.2</v>
      </c>
      <c r="L124" s="76">
        <v>61</v>
      </c>
      <c r="M124" s="76">
        <v>29</v>
      </c>
      <c r="N124" s="76">
        <v>27</v>
      </c>
      <c r="O124" s="76">
        <v>6</v>
      </c>
      <c r="P124" s="76">
        <v>17</v>
      </c>
      <c r="Q124" s="76">
        <v>65</v>
      </c>
      <c r="R124" s="76">
        <v>0.26300000000000001</v>
      </c>
      <c r="S124" s="76">
        <v>1.33</v>
      </c>
      <c r="T124" s="76">
        <v>11</v>
      </c>
      <c r="U124" s="77" t="s">
        <v>426</v>
      </c>
      <c r="V124" s="76" t="s">
        <v>149</v>
      </c>
      <c r="W124" s="76">
        <v>0</v>
      </c>
      <c r="X124" s="76">
        <v>0</v>
      </c>
      <c r="Y124" s="76">
        <v>1</v>
      </c>
      <c r="Z124" s="76">
        <v>2</v>
      </c>
      <c r="AA124" s="76">
        <v>10</v>
      </c>
      <c r="AB124" s="76">
        <v>25</v>
      </c>
      <c r="AC124" s="76">
        <v>7</v>
      </c>
      <c r="AD124" s="76">
        <v>66</v>
      </c>
      <c r="AE124" s="76">
        <v>41</v>
      </c>
      <c r="AF124" s="76">
        <v>4</v>
      </c>
      <c r="AG124" s="76">
        <v>0</v>
      </c>
      <c r="AH124" s="76">
        <v>5</v>
      </c>
      <c r="AI124" s="76">
        <v>1</v>
      </c>
      <c r="AJ124" s="76">
        <v>1</v>
      </c>
      <c r="AK124" s="76">
        <v>251</v>
      </c>
      <c r="AL124" s="76">
        <v>996</v>
      </c>
      <c r="AM124" s="202"/>
      <c r="AN124" s="77"/>
      <c r="AO124" s="202"/>
      <c r="AP124" s="202"/>
      <c r="AQ124" s="202"/>
      <c r="AR124" s="202"/>
      <c r="AS124" s="202"/>
      <c r="AT124" s="202"/>
      <c r="AU124" s="202"/>
      <c r="AV124" s="202"/>
      <c r="AW124" s="202"/>
      <c r="AX124" s="202"/>
      <c r="AY124" s="202"/>
    </row>
    <row r="125" spans="1:51" ht="25.5" x14ac:dyDescent="0.2">
      <c r="A125" s="76">
        <v>12</v>
      </c>
      <c r="B125" s="77" t="s">
        <v>1325</v>
      </c>
      <c r="C125" s="76" t="s">
        <v>149</v>
      </c>
      <c r="D125" s="76">
        <v>0</v>
      </c>
      <c r="E125" s="76">
        <v>0</v>
      </c>
      <c r="F125" s="76">
        <v>4.32</v>
      </c>
      <c r="G125" s="76">
        <v>4</v>
      </c>
      <c r="H125" s="76">
        <v>0</v>
      </c>
      <c r="I125" s="76">
        <v>0</v>
      </c>
      <c r="J125" s="76">
        <v>0</v>
      </c>
      <c r="K125" s="76">
        <v>8.1</v>
      </c>
      <c r="L125" s="76">
        <v>12</v>
      </c>
      <c r="M125" s="76">
        <v>4</v>
      </c>
      <c r="N125" s="76">
        <v>4</v>
      </c>
      <c r="O125" s="76">
        <v>0</v>
      </c>
      <c r="P125" s="76">
        <v>5</v>
      </c>
      <c r="Q125" s="76">
        <v>8</v>
      </c>
      <c r="R125" s="76">
        <v>0.33300000000000002</v>
      </c>
      <c r="S125" s="76">
        <v>2.04</v>
      </c>
      <c r="T125" s="76">
        <v>12</v>
      </c>
      <c r="U125" s="77" t="s">
        <v>1325</v>
      </c>
      <c r="V125" s="76" t="s">
        <v>149</v>
      </c>
      <c r="W125" s="76">
        <v>0</v>
      </c>
      <c r="X125" s="76">
        <v>0</v>
      </c>
      <c r="Y125" s="76">
        <v>0</v>
      </c>
      <c r="Z125" s="76">
        <v>0</v>
      </c>
      <c r="AA125" s="76">
        <v>1</v>
      </c>
      <c r="AB125" s="76">
        <v>0</v>
      </c>
      <c r="AC125" s="76">
        <v>0</v>
      </c>
      <c r="AD125" s="76">
        <v>11</v>
      </c>
      <c r="AE125" s="76">
        <v>6</v>
      </c>
      <c r="AF125" s="76">
        <v>2</v>
      </c>
      <c r="AG125" s="76">
        <v>0</v>
      </c>
      <c r="AH125" s="76">
        <v>0</v>
      </c>
      <c r="AI125" s="76">
        <v>0</v>
      </c>
      <c r="AJ125" s="76">
        <v>0</v>
      </c>
      <c r="AK125" s="76">
        <v>42</v>
      </c>
      <c r="AL125" s="76">
        <v>167</v>
      </c>
      <c r="AM125" s="202"/>
      <c r="AN125" s="77"/>
      <c r="AO125" s="202"/>
      <c r="AP125" s="202"/>
      <c r="AQ125" s="202"/>
      <c r="AR125" s="202"/>
      <c r="AS125" s="202"/>
      <c r="AT125" s="202"/>
      <c r="AU125" s="202"/>
      <c r="AV125" s="202"/>
      <c r="AW125" s="202"/>
      <c r="AX125" s="202"/>
      <c r="AY125" s="202"/>
    </row>
    <row r="126" spans="1:51" x14ac:dyDescent="0.2">
      <c r="A126" s="76">
        <v>13</v>
      </c>
      <c r="B126" s="77" t="s">
        <v>1182</v>
      </c>
      <c r="C126" s="76" t="s">
        <v>149</v>
      </c>
      <c r="D126" s="76">
        <v>6</v>
      </c>
      <c r="E126" s="76">
        <v>5</v>
      </c>
      <c r="F126" s="76">
        <v>4.53</v>
      </c>
      <c r="G126" s="76">
        <v>20</v>
      </c>
      <c r="H126" s="76">
        <v>18</v>
      </c>
      <c r="I126" s="76">
        <v>0</v>
      </c>
      <c r="J126" s="76">
        <v>0</v>
      </c>
      <c r="K126" s="76">
        <v>97.1</v>
      </c>
      <c r="L126" s="76">
        <v>97</v>
      </c>
      <c r="M126" s="76">
        <v>51</v>
      </c>
      <c r="N126" s="76">
        <v>49</v>
      </c>
      <c r="O126" s="76">
        <v>17</v>
      </c>
      <c r="P126" s="76">
        <v>29</v>
      </c>
      <c r="Q126" s="76">
        <v>82</v>
      </c>
      <c r="R126" s="76">
        <v>0.25800000000000001</v>
      </c>
      <c r="S126" s="76">
        <v>1.29</v>
      </c>
      <c r="T126" s="76">
        <v>13</v>
      </c>
      <c r="U126" s="77" t="s">
        <v>1182</v>
      </c>
      <c r="V126" s="76" t="s">
        <v>149</v>
      </c>
      <c r="W126" s="76">
        <v>0</v>
      </c>
      <c r="X126" s="76">
        <v>0</v>
      </c>
      <c r="Y126" s="76">
        <v>4</v>
      </c>
      <c r="Z126" s="76">
        <v>0</v>
      </c>
      <c r="AA126" s="76">
        <v>1</v>
      </c>
      <c r="AB126" s="76">
        <v>0</v>
      </c>
      <c r="AC126" s="76">
        <v>8</v>
      </c>
      <c r="AD126" s="76">
        <v>82</v>
      </c>
      <c r="AE126" s="76">
        <v>118</v>
      </c>
      <c r="AF126" s="76">
        <v>1</v>
      </c>
      <c r="AG126" s="76">
        <v>0</v>
      </c>
      <c r="AH126" s="76">
        <v>2</v>
      </c>
      <c r="AI126" s="76">
        <v>3</v>
      </c>
      <c r="AJ126" s="76">
        <v>1</v>
      </c>
      <c r="AK126" s="76">
        <v>412</v>
      </c>
      <c r="AL126" s="76">
        <v>1683</v>
      </c>
      <c r="AM126" s="202"/>
      <c r="AN126" s="77"/>
      <c r="AO126" s="202"/>
      <c r="AP126" s="202"/>
      <c r="AQ126" s="202"/>
      <c r="AR126" s="202"/>
      <c r="AS126" s="202"/>
      <c r="AT126" s="202"/>
      <c r="AU126" s="202"/>
      <c r="AV126" s="202"/>
      <c r="AW126" s="202"/>
      <c r="AX126" s="202"/>
      <c r="AY126" s="202"/>
    </row>
    <row r="127" spans="1:51" ht="25.5" x14ac:dyDescent="0.2">
      <c r="A127" s="76">
        <v>14</v>
      </c>
      <c r="B127" s="77" t="s">
        <v>802</v>
      </c>
      <c r="C127" s="76" t="s">
        <v>149</v>
      </c>
      <c r="D127" s="76">
        <v>0</v>
      </c>
      <c r="E127" s="76">
        <v>1</v>
      </c>
      <c r="F127" s="76">
        <v>4.5999999999999996</v>
      </c>
      <c r="G127" s="76">
        <v>14</v>
      </c>
      <c r="H127" s="76">
        <v>1</v>
      </c>
      <c r="I127" s="76">
        <v>0</v>
      </c>
      <c r="J127" s="76">
        <v>0</v>
      </c>
      <c r="K127" s="76">
        <v>29.1</v>
      </c>
      <c r="L127" s="76">
        <v>25</v>
      </c>
      <c r="M127" s="76">
        <v>15</v>
      </c>
      <c r="N127" s="76">
        <v>15</v>
      </c>
      <c r="O127" s="76">
        <v>4</v>
      </c>
      <c r="P127" s="76">
        <v>20</v>
      </c>
      <c r="Q127" s="76">
        <v>27</v>
      </c>
      <c r="R127" s="76">
        <v>0.23100000000000001</v>
      </c>
      <c r="S127" s="76">
        <v>1.53</v>
      </c>
      <c r="T127" s="76">
        <v>14</v>
      </c>
      <c r="U127" s="77" t="s">
        <v>802</v>
      </c>
      <c r="V127" s="76" t="s">
        <v>149</v>
      </c>
      <c r="W127" s="76">
        <v>0</v>
      </c>
      <c r="X127" s="76">
        <v>0</v>
      </c>
      <c r="Y127" s="76">
        <v>1</v>
      </c>
      <c r="Z127" s="76">
        <v>1</v>
      </c>
      <c r="AA127" s="76">
        <v>7</v>
      </c>
      <c r="AB127" s="76">
        <v>0</v>
      </c>
      <c r="AC127" s="76">
        <v>3</v>
      </c>
      <c r="AD127" s="76">
        <v>33</v>
      </c>
      <c r="AE127" s="76">
        <v>25</v>
      </c>
      <c r="AF127" s="76">
        <v>2</v>
      </c>
      <c r="AG127" s="76">
        <v>0</v>
      </c>
      <c r="AH127" s="76">
        <v>2</v>
      </c>
      <c r="AI127" s="76">
        <v>0</v>
      </c>
      <c r="AJ127" s="76">
        <v>0</v>
      </c>
      <c r="AK127" s="76">
        <v>131</v>
      </c>
      <c r="AL127" s="76">
        <v>505</v>
      </c>
      <c r="AM127" s="202"/>
      <c r="AN127" s="77"/>
      <c r="AO127" s="202"/>
      <c r="AP127" s="202"/>
      <c r="AQ127" s="202"/>
      <c r="AR127" s="202"/>
      <c r="AS127" s="202"/>
      <c r="AT127" s="202"/>
      <c r="AU127" s="202"/>
      <c r="AV127" s="202"/>
      <c r="AW127" s="202"/>
      <c r="AX127" s="202"/>
      <c r="AY127" s="202"/>
    </row>
    <row r="128" spans="1:51" ht="25.5" x14ac:dyDescent="0.2">
      <c r="A128" s="76">
        <v>15</v>
      </c>
      <c r="B128" s="77" t="s">
        <v>476</v>
      </c>
      <c r="C128" s="76" t="s">
        <v>149</v>
      </c>
      <c r="D128" s="76">
        <v>9</v>
      </c>
      <c r="E128" s="76">
        <v>7</v>
      </c>
      <c r="F128" s="76">
        <v>4.87</v>
      </c>
      <c r="G128" s="76">
        <v>19</v>
      </c>
      <c r="H128" s="76">
        <v>18</v>
      </c>
      <c r="I128" s="76">
        <v>0</v>
      </c>
      <c r="J128" s="76">
        <v>0</v>
      </c>
      <c r="K128" s="76">
        <v>105.1</v>
      </c>
      <c r="L128" s="76">
        <v>118</v>
      </c>
      <c r="M128" s="76">
        <v>63</v>
      </c>
      <c r="N128" s="76">
        <v>57</v>
      </c>
      <c r="O128" s="76">
        <v>14</v>
      </c>
      <c r="P128" s="76">
        <v>26</v>
      </c>
      <c r="Q128" s="76">
        <v>66</v>
      </c>
      <c r="R128" s="76">
        <v>0.28399999999999997</v>
      </c>
      <c r="S128" s="76">
        <v>1.37</v>
      </c>
      <c r="T128" s="76">
        <v>15</v>
      </c>
      <c r="U128" s="77" t="s">
        <v>476</v>
      </c>
      <c r="V128" s="76" t="s">
        <v>149</v>
      </c>
      <c r="W128" s="76">
        <v>0</v>
      </c>
      <c r="X128" s="76">
        <v>0</v>
      </c>
      <c r="Y128" s="76">
        <v>2</v>
      </c>
      <c r="Z128" s="76">
        <v>0</v>
      </c>
      <c r="AA128" s="76">
        <v>1</v>
      </c>
      <c r="AB128" s="76">
        <v>0</v>
      </c>
      <c r="AC128" s="76">
        <v>8</v>
      </c>
      <c r="AD128" s="76">
        <v>115</v>
      </c>
      <c r="AE128" s="76">
        <v>123</v>
      </c>
      <c r="AF128" s="76">
        <v>3</v>
      </c>
      <c r="AG128" s="76">
        <v>0</v>
      </c>
      <c r="AH128" s="76">
        <v>6</v>
      </c>
      <c r="AI128" s="76">
        <v>3</v>
      </c>
      <c r="AJ128" s="76">
        <v>1</v>
      </c>
      <c r="AK128" s="76">
        <v>450</v>
      </c>
      <c r="AL128" s="76">
        <v>1707</v>
      </c>
      <c r="AM128" s="202"/>
      <c r="AN128" s="77"/>
      <c r="AO128" s="202"/>
      <c r="AP128" s="202"/>
      <c r="AQ128" s="202"/>
      <c r="AR128" s="202"/>
      <c r="AS128" s="202"/>
      <c r="AT128" s="202"/>
      <c r="AU128" s="202"/>
      <c r="AV128" s="202"/>
      <c r="AW128" s="202"/>
      <c r="AX128" s="202"/>
      <c r="AY128" s="202"/>
    </row>
    <row r="129" spans="1:51" ht="25.5" x14ac:dyDescent="0.2">
      <c r="A129" s="76">
        <v>16</v>
      </c>
      <c r="B129" s="77" t="s">
        <v>578</v>
      </c>
      <c r="C129" s="76" t="s">
        <v>149</v>
      </c>
      <c r="D129" s="76">
        <v>4</v>
      </c>
      <c r="E129" s="76">
        <v>10</v>
      </c>
      <c r="F129" s="76">
        <v>5.07</v>
      </c>
      <c r="G129" s="76">
        <v>24</v>
      </c>
      <c r="H129" s="76">
        <v>22</v>
      </c>
      <c r="I129" s="76">
        <v>0</v>
      </c>
      <c r="J129" s="76">
        <v>0</v>
      </c>
      <c r="K129" s="76">
        <v>119</v>
      </c>
      <c r="L129" s="76">
        <v>160</v>
      </c>
      <c r="M129" s="76">
        <v>76</v>
      </c>
      <c r="N129" s="76">
        <v>67</v>
      </c>
      <c r="O129" s="76">
        <v>15</v>
      </c>
      <c r="P129" s="76">
        <v>46</v>
      </c>
      <c r="Q129" s="76">
        <v>56</v>
      </c>
      <c r="R129" s="76">
        <v>0.33200000000000002</v>
      </c>
      <c r="S129" s="76">
        <v>1.73</v>
      </c>
      <c r="T129" s="76">
        <v>16</v>
      </c>
      <c r="U129" s="77" t="s">
        <v>578</v>
      </c>
      <c r="V129" s="76" t="s">
        <v>149</v>
      </c>
      <c r="W129" s="76">
        <v>0</v>
      </c>
      <c r="X129" s="76">
        <v>0</v>
      </c>
      <c r="Y129" s="76">
        <v>6</v>
      </c>
      <c r="Z129" s="76">
        <v>0</v>
      </c>
      <c r="AA129" s="76">
        <v>0</v>
      </c>
      <c r="AB129" s="76">
        <v>0</v>
      </c>
      <c r="AC129" s="76">
        <v>24</v>
      </c>
      <c r="AD129" s="76">
        <v>170</v>
      </c>
      <c r="AE129" s="76">
        <v>103</v>
      </c>
      <c r="AF129" s="76">
        <v>3</v>
      </c>
      <c r="AG129" s="76">
        <v>0</v>
      </c>
      <c r="AH129" s="76">
        <v>8</v>
      </c>
      <c r="AI129" s="76">
        <v>2</v>
      </c>
      <c r="AJ129" s="76">
        <v>0</v>
      </c>
      <c r="AK129" s="76">
        <v>541</v>
      </c>
      <c r="AL129" s="76">
        <v>2054</v>
      </c>
      <c r="AM129" s="202"/>
      <c r="AN129" s="77"/>
      <c r="AO129" s="202"/>
      <c r="AP129" s="202"/>
      <c r="AQ129" s="202"/>
      <c r="AR129" s="202"/>
      <c r="AS129" s="202"/>
      <c r="AT129" s="202"/>
      <c r="AU129" s="202"/>
      <c r="AV129" s="202"/>
      <c r="AW129" s="202"/>
      <c r="AX129" s="202"/>
      <c r="AY129" s="202"/>
    </row>
    <row r="130" spans="1:51" ht="25.5" x14ac:dyDescent="0.2">
      <c r="A130" s="76">
        <v>17</v>
      </c>
      <c r="B130" s="77" t="s">
        <v>816</v>
      </c>
      <c r="C130" s="76" t="s">
        <v>149</v>
      </c>
      <c r="D130" s="76">
        <v>5</v>
      </c>
      <c r="E130" s="76">
        <v>4</v>
      </c>
      <c r="F130" s="76">
        <v>5.82</v>
      </c>
      <c r="G130" s="76">
        <v>50</v>
      </c>
      <c r="H130" s="76">
        <v>3</v>
      </c>
      <c r="I130" s="76">
        <v>2</v>
      </c>
      <c r="J130" s="76">
        <v>3</v>
      </c>
      <c r="K130" s="76">
        <v>60.1</v>
      </c>
      <c r="L130" s="76">
        <v>58</v>
      </c>
      <c r="M130" s="76">
        <v>39</v>
      </c>
      <c r="N130" s="76">
        <v>39</v>
      </c>
      <c r="O130" s="76">
        <v>3</v>
      </c>
      <c r="P130" s="76">
        <v>22</v>
      </c>
      <c r="Q130" s="76">
        <v>59</v>
      </c>
      <c r="R130" s="76">
        <v>0.25700000000000001</v>
      </c>
      <c r="S130" s="76">
        <v>1.33</v>
      </c>
      <c r="T130" s="76">
        <v>17</v>
      </c>
      <c r="U130" s="77" t="s">
        <v>816</v>
      </c>
      <c r="V130" s="76" t="s">
        <v>149</v>
      </c>
      <c r="W130" s="76">
        <v>0</v>
      </c>
      <c r="X130" s="76">
        <v>0</v>
      </c>
      <c r="Y130" s="76">
        <v>4</v>
      </c>
      <c r="Z130" s="76">
        <v>1</v>
      </c>
      <c r="AA130" s="76">
        <v>4</v>
      </c>
      <c r="AB130" s="76">
        <v>16</v>
      </c>
      <c r="AC130" s="76">
        <v>5</v>
      </c>
      <c r="AD130" s="76">
        <v>60</v>
      </c>
      <c r="AE130" s="76">
        <v>53</v>
      </c>
      <c r="AF130" s="76">
        <v>0</v>
      </c>
      <c r="AG130" s="76">
        <v>0</v>
      </c>
      <c r="AH130" s="76">
        <v>4</v>
      </c>
      <c r="AI130" s="76">
        <v>3</v>
      </c>
      <c r="AJ130" s="76">
        <v>0</v>
      </c>
      <c r="AK130" s="76">
        <v>256</v>
      </c>
      <c r="AL130" s="76">
        <v>983</v>
      </c>
      <c r="AM130" s="202"/>
      <c r="AN130" s="77"/>
      <c r="AO130" s="202"/>
      <c r="AP130" s="202"/>
      <c r="AQ130" s="202"/>
      <c r="AR130" s="202"/>
      <c r="AS130" s="202"/>
      <c r="AT130" s="202"/>
      <c r="AU130" s="202"/>
      <c r="AV130" s="202"/>
      <c r="AW130" s="202"/>
      <c r="AX130" s="202"/>
      <c r="AY130" s="202"/>
    </row>
    <row r="131" spans="1:51" ht="25.5" x14ac:dyDescent="0.2">
      <c r="A131" s="76">
        <v>18</v>
      </c>
      <c r="B131" s="77" t="s">
        <v>537</v>
      </c>
      <c r="C131" s="76" t="s">
        <v>149</v>
      </c>
      <c r="D131" s="76">
        <v>7</v>
      </c>
      <c r="E131" s="76">
        <v>13</v>
      </c>
      <c r="F131" s="76">
        <v>5.87</v>
      </c>
      <c r="G131" s="76">
        <v>35</v>
      </c>
      <c r="H131" s="76">
        <v>26</v>
      </c>
      <c r="I131" s="76">
        <v>0</v>
      </c>
      <c r="J131" s="76">
        <v>0</v>
      </c>
      <c r="K131" s="76">
        <v>153.1</v>
      </c>
      <c r="L131" s="76">
        <v>171</v>
      </c>
      <c r="M131" s="76">
        <v>108</v>
      </c>
      <c r="N131" s="76">
        <v>100</v>
      </c>
      <c r="O131" s="76">
        <v>30</v>
      </c>
      <c r="P131" s="76">
        <v>53</v>
      </c>
      <c r="Q131" s="76">
        <v>135</v>
      </c>
      <c r="R131" s="76">
        <v>0.28499999999999998</v>
      </c>
      <c r="S131" s="76">
        <v>1.46</v>
      </c>
      <c r="T131" s="76">
        <v>18</v>
      </c>
      <c r="U131" s="77" t="s">
        <v>537</v>
      </c>
      <c r="V131" s="76" t="s">
        <v>149</v>
      </c>
      <c r="W131" s="76">
        <v>0</v>
      </c>
      <c r="X131" s="76">
        <v>0</v>
      </c>
      <c r="Y131" s="76">
        <v>5</v>
      </c>
      <c r="Z131" s="76">
        <v>1</v>
      </c>
      <c r="AA131" s="76">
        <v>3</v>
      </c>
      <c r="AB131" s="76">
        <v>0</v>
      </c>
      <c r="AC131" s="76">
        <v>13</v>
      </c>
      <c r="AD131" s="76">
        <v>137</v>
      </c>
      <c r="AE131" s="76">
        <v>167</v>
      </c>
      <c r="AF131" s="76">
        <v>7</v>
      </c>
      <c r="AG131" s="76">
        <v>2</v>
      </c>
      <c r="AH131" s="76">
        <v>22</v>
      </c>
      <c r="AI131" s="76">
        <v>9</v>
      </c>
      <c r="AJ131" s="76">
        <v>1</v>
      </c>
      <c r="AK131" s="76">
        <v>668</v>
      </c>
      <c r="AL131" s="76">
        <v>2577</v>
      </c>
      <c r="AM131" s="202"/>
      <c r="AN131" s="77"/>
      <c r="AO131" s="202"/>
      <c r="AP131" s="202"/>
      <c r="AQ131" s="202"/>
      <c r="AR131" s="202"/>
      <c r="AS131" s="202"/>
      <c r="AT131" s="202"/>
      <c r="AU131" s="202"/>
      <c r="AV131" s="202"/>
      <c r="AW131" s="202"/>
      <c r="AX131" s="202"/>
      <c r="AY131" s="202"/>
    </row>
    <row r="132" spans="1:51" ht="25.5" x14ac:dyDescent="0.2">
      <c r="A132" s="76">
        <v>19</v>
      </c>
      <c r="B132" s="77" t="s">
        <v>411</v>
      </c>
      <c r="C132" s="76" t="s">
        <v>149</v>
      </c>
      <c r="D132" s="76">
        <v>0</v>
      </c>
      <c r="E132" s="76">
        <v>0</v>
      </c>
      <c r="F132" s="76">
        <v>6.75</v>
      </c>
      <c r="G132" s="76">
        <v>6</v>
      </c>
      <c r="H132" s="76">
        <v>0</v>
      </c>
      <c r="I132" s="76">
        <v>0</v>
      </c>
      <c r="J132" s="76">
        <v>0</v>
      </c>
      <c r="K132" s="76">
        <v>5.0999999999999996</v>
      </c>
      <c r="L132" s="76">
        <v>7</v>
      </c>
      <c r="M132" s="76">
        <v>4</v>
      </c>
      <c r="N132" s="76">
        <v>4</v>
      </c>
      <c r="O132" s="76">
        <v>1</v>
      </c>
      <c r="P132" s="76">
        <v>5</v>
      </c>
      <c r="Q132" s="76">
        <v>4</v>
      </c>
      <c r="R132" s="76">
        <v>0.318</v>
      </c>
      <c r="S132" s="76">
        <v>2.25</v>
      </c>
      <c r="T132" s="76">
        <v>19</v>
      </c>
      <c r="U132" s="77" t="s">
        <v>411</v>
      </c>
      <c r="V132" s="76" t="s">
        <v>149</v>
      </c>
      <c r="W132" s="76">
        <v>0</v>
      </c>
      <c r="X132" s="76">
        <v>0</v>
      </c>
      <c r="Y132" s="76">
        <v>0</v>
      </c>
      <c r="Z132" s="76">
        <v>1</v>
      </c>
      <c r="AA132" s="76">
        <v>2</v>
      </c>
      <c r="AB132" s="76">
        <v>0</v>
      </c>
      <c r="AC132" s="76">
        <v>2</v>
      </c>
      <c r="AD132" s="76">
        <v>6</v>
      </c>
      <c r="AE132" s="76">
        <v>5</v>
      </c>
      <c r="AF132" s="76">
        <v>2</v>
      </c>
      <c r="AG132" s="76">
        <v>0</v>
      </c>
      <c r="AH132" s="76">
        <v>0</v>
      </c>
      <c r="AI132" s="76">
        <v>0</v>
      </c>
      <c r="AJ132" s="76">
        <v>0</v>
      </c>
      <c r="AK132" s="76">
        <v>27</v>
      </c>
      <c r="AL132" s="76">
        <v>100</v>
      </c>
      <c r="AM132" s="202"/>
      <c r="AN132" s="77"/>
      <c r="AO132" s="202"/>
      <c r="AP132" s="202"/>
      <c r="AQ132" s="202"/>
      <c r="AR132" s="202"/>
      <c r="AS132" s="202"/>
      <c r="AT132" s="202"/>
      <c r="AU132" s="202"/>
      <c r="AV132" s="202"/>
      <c r="AW132" s="202"/>
      <c r="AX132" s="202"/>
      <c r="AY132" s="202"/>
    </row>
    <row r="133" spans="1:51" ht="25.5" x14ac:dyDescent="0.2">
      <c r="A133" s="76">
        <v>20</v>
      </c>
      <c r="B133" s="77" t="s">
        <v>799</v>
      </c>
      <c r="C133" s="76" t="s">
        <v>149</v>
      </c>
      <c r="D133" s="76">
        <v>1</v>
      </c>
      <c r="E133" s="76">
        <v>0</v>
      </c>
      <c r="F133" s="76">
        <v>7.11</v>
      </c>
      <c r="G133" s="76">
        <v>19</v>
      </c>
      <c r="H133" s="76">
        <v>0</v>
      </c>
      <c r="I133" s="76">
        <v>0</v>
      </c>
      <c r="J133" s="76">
        <v>0</v>
      </c>
      <c r="K133" s="76">
        <v>19</v>
      </c>
      <c r="L133" s="76">
        <v>28</v>
      </c>
      <c r="M133" s="76">
        <v>15</v>
      </c>
      <c r="N133" s="76">
        <v>15</v>
      </c>
      <c r="O133" s="76">
        <v>3</v>
      </c>
      <c r="P133" s="76">
        <v>7</v>
      </c>
      <c r="Q133" s="76">
        <v>10</v>
      </c>
      <c r="R133" s="76">
        <v>0.34599999999999997</v>
      </c>
      <c r="S133" s="76">
        <v>1.84</v>
      </c>
      <c r="T133" s="76">
        <v>20</v>
      </c>
      <c r="U133" s="77" t="s">
        <v>799</v>
      </c>
      <c r="V133" s="76" t="s">
        <v>149</v>
      </c>
      <c r="W133" s="76">
        <v>0</v>
      </c>
      <c r="X133" s="76">
        <v>0</v>
      </c>
      <c r="Y133" s="76">
        <v>1</v>
      </c>
      <c r="Z133" s="76">
        <v>1</v>
      </c>
      <c r="AA133" s="76">
        <v>4</v>
      </c>
      <c r="AB133" s="76">
        <v>2</v>
      </c>
      <c r="AC133" s="76">
        <v>2</v>
      </c>
      <c r="AD133" s="76">
        <v>28</v>
      </c>
      <c r="AE133" s="76">
        <v>16</v>
      </c>
      <c r="AF133" s="76">
        <v>1</v>
      </c>
      <c r="AG133" s="76">
        <v>0</v>
      </c>
      <c r="AH133" s="76">
        <v>0</v>
      </c>
      <c r="AI133" s="76">
        <v>1</v>
      </c>
      <c r="AJ133" s="76">
        <v>0</v>
      </c>
      <c r="AK133" s="76">
        <v>90</v>
      </c>
      <c r="AL133" s="76">
        <v>346</v>
      </c>
      <c r="AM133" s="102"/>
      <c r="AN133" s="102"/>
      <c r="AO133" s="102"/>
      <c r="AP133" s="102"/>
      <c r="AQ133" s="102"/>
      <c r="AR133" s="102"/>
      <c r="AS133" s="102"/>
      <c r="AT133" s="102"/>
      <c r="AU133" s="102"/>
      <c r="AV133" s="102"/>
      <c r="AW133" s="102"/>
      <c r="AX133" s="102"/>
      <c r="AY133" s="102"/>
    </row>
    <row r="134" spans="1:51" x14ac:dyDescent="0.2">
      <c r="A134" s="76">
        <v>21</v>
      </c>
      <c r="B134" s="77" t="s">
        <v>569</v>
      </c>
      <c r="C134" s="76" t="s">
        <v>149</v>
      </c>
      <c r="D134" s="76">
        <v>1</v>
      </c>
      <c r="E134" s="76">
        <v>3</v>
      </c>
      <c r="F134" s="76">
        <v>7.11</v>
      </c>
      <c r="G134" s="76">
        <v>54</v>
      </c>
      <c r="H134" s="76">
        <v>0</v>
      </c>
      <c r="I134" s="76">
        <v>0</v>
      </c>
      <c r="J134" s="76">
        <v>1</v>
      </c>
      <c r="K134" s="76">
        <v>49.1</v>
      </c>
      <c r="L134" s="76">
        <v>57</v>
      </c>
      <c r="M134" s="76">
        <v>41</v>
      </c>
      <c r="N134" s="76">
        <v>39</v>
      </c>
      <c r="O134" s="76">
        <v>12</v>
      </c>
      <c r="P134" s="76">
        <v>21</v>
      </c>
      <c r="Q134" s="76">
        <v>49</v>
      </c>
      <c r="R134" s="76">
        <v>0.29099999999999998</v>
      </c>
      <c r="S134" s="76">
        <v>1.58</v>
      </c>
      <c r="T134" s="76">
        <v>21</v>
      </c>
      <c r="U134" s="77" t="s">
        <v>569</v>
      </c>
      <c r="V134" s="76" t="s">
        <v>149</v>
      </c>
      <c r="W134" s="76">
        <v>0</v>
      </c>
      <c r="X134" s="76">
        <v>0</v>
      </c>
      <c r="Y134" s="76">
        <v>1</v>
      </c>
      <c r="Z134" s="76">
        <v>2</v>
      </c>
      <c r="AA134" s="76">
        <v>26</v>
      </c>
      <c r="AB134" s="76">
        <v>8</v>
      </c>
      <c r="AC134" s="76">
        <v>0</v>
      </c>
      <c r="AD134" s="76">
        <v>39</v>
      </c>
      <c r="AE134" s="76">
        <v>57</v>
      </c>
      <c r="AF134" s="76">
        <v>2</v>
      </c>
      <c r="AG134" s="76">
        <v>0</v>
      </c>
      <c r="AH134" s="76">
        <v>0</v>
      </c>
      <c r="AI134" s="76">
        <v>3</v>
      </c>
      <c r="AJ134" s="76">
        <v>0</v>
      </c>
      <c r="AK134" s="76">
        <v>224</v>
      </c>
      <c r="AL134" s="76">
        <v>868</v>
      </c>
      <c r="AM134" s="202"/>
      <c r="AN134" s="77"/>
      <c r="AO134" s="202"/>
      <c r="AP134" s="202"/>
      <c r="AQ134" s="202"/>
      <c r="AR134" s="202"/>
      <c r="AS134" s="202"/>
      <c r="AT134" s="202"/>
      <c r="AU134" s="202"/>
      <c r="AV134" s="202"/>
      <c r="AW134" s="202"/>
      <c r="AX134" s="202"/>
      <c r="AY134" s="202"/>
    </row>
    <row r="135" spans="1:51" ht="25.5" x14ac:dyDescent="0.2">
      <c r="A135" s="76">
        <v>22</v>
      </c>
      <c r="B135" s="77" t="s">
        <v>1326</v>
      </c>
      <c r="C135" s="76" t="s">
        <v>149</v>
      </c>
      <c r="D135" s="76">
        <v>1</v>
      </c>
      <c r="E135" s="76">
        <v>1</v>
      </c>
      <c r="F135" s="76">
        <v>7.45</v>
      </c>
      <c r="G135" s="76">
        <v>6</v>
      </c>
      <c r="H135" s="76">
        <v>0</v>
      </c>
      <c r="I135" s="76">
        <v>0</v>
      </c>
      <c r="J135" s="76">
        <v>0</v>
      </c>
      <c r="K135" s="76">
        <v>9.1999999999999993</v>
      </c>
      <c r="L135" s="76">
        <v>17</v>
      </c>
      <c r="M135" s="76">
        <v>8</v>
      </c>
      <c r="N135" s="76">
        <v>8</v>
      </c>
      <c r="O135" s="76">
        <v>0</v>
      </c>
      <c r="P135" s="76">
        <v>3</v>
      </c>
      <c r="Q135" s="76">
        <v>10</v>
      </c>
      <c r="R135" s="76">
        <v>0.39500000000000002</v>
      </c>
      <c r="S135" s="76">
        <v>2.0699999999999998</v>
      </c>
      <c r="T135" s="76">
        <v>22</v>
      </c>
      <c r="U135" s="77" t="s">
        <v>1326</v>
      </c>
      <c r="V135" s="76" t="s">
        <v>149</v>
      </c>
      <c r="W135" s="76">
        <v>0</v>
      </c>
      <c r="X135" s="76">
        <v>0</v>
      </c>
      <c r="Y135" s="76">
        <v>1</v>
      </c>
      <c r="Z135" s="76">
        <v>0</v>
      </c>
      <c r="AA135" s="76">
        <v>2</v>
      </c>
      <c r="AB135" s="76">
        <v>0</v>
      </c>
      <c r="AC135" s="76">
        <v>1</v>
      </c>
      <c r="AD135" s="76">
        <v>9</v>
      </c>
      <c r="AE135" s="76">
        <v>9</v>
      </c>
      <c r="AF135" s="76">
        <v>0</v>
      </c>
      <c r="AG135" s="76">
        <v>0</v>
      </c>
      <c r="AH135" s="76">
        <v>0</v>
      </c>
      <c r="AI135" s="76">
        <v>0</v>
      </c>
      <c r="AJ135" s="76">
        <v>0</v>
      </c>
      <c r="AK135" s="76">
        <v>49</v>
      </c>
      <c r="AL135" s="76">
        <v>153</v>
      </c>
      <c r="AM135" s="202"/>
      <c r="AN135" s="77"/>
      <c r="AO135" s="202"/>
      <c r="AP135" s="202"/>
      <c r="AQ135" s="202"/>
      <c r="AR135" s="202"/>
      <c r="AS135" s="202"/>
      <c r="AT135" s="202"/>
      <c r="AU135" s="202"/>
      <c r="AV135" s="202"/>
      <c r="AW135" s="202"/>
      <c r="AX135" s="202"/>
      <c r="AY135" s="202"/>
    </row>
    <row r="136" spans="1:51" ht="25.5" x14ac:dyDescent="0.2">
      <c r="A136" s="76">
        <v>23</v>
      </c>
      <c r="B136" s="77" t="s">
        <v>1327</v>
      </c>
      <c r="C136" s="76" t="s">
        <v>149</v>
      </c>
      <c r="D136" s="76">
        <v>0</v>
      </c>
      <c r="E136" s="76">
        <v>0</v>
      </c>
      <c r="F136" s="76">
        <v>16.88</v>
      </c>
      <c r="G136" s="76">
        <v>5</v>
      </c>
      <c r="H136" s="76">
        <v>0</v>
      </c>
      <c r="I136" s="76">
        <v>0</v>
      </c>
      <c r="J136" s="76">
        <v>0</v>
      </c>
      <c r="K136" s="76">
        <v>2.2000000000000002</v>
      </c>
      <c r="L136" s="76">
        <v>7</v>
      </c>
      <c r="M136" s="76">
        <v>5</v>
      </c>
      <c r="N136" s="76">
        <v>5</v>
      </c>
      <c r="O136" s="76">
        <v>1</v>
      </c>
      <c r="P136" s="76">
        <v>2</v>
      </c>
      <c r="Q136" s="76">
        <v>2</v>
      </c>
      <c r="R136" s="76">
        <v>0.53800000000000003</v>
      </c>
      <c r="S136" s="76">
        <v>3.38</v>
      </c>
      <c r="T136" s="76">
        <v>23</v>
      </c>
      <c r="U136" s="77" t="s">
        <v>1327</v>
      </c>
      <c r="V136" s="76" t="s">
        <v>149</v>
      </c>
      <c r="W136" s="76">
        <v>0</v>
      </c>
      <c r="X136" s="76">
        <v>0</v>
      </c>
      <c r="Y136" s="76">
        <v>0</v>
      </c>
      <c r="Z136" s="76">
        <v>1</v>
      </c>
      <c r="AA136" s="76">
        <v>3</v>
      </c>
      <c r="AB136" s="76">
        <v>0</v>
      </c>
      <c r="AC136" s="76">
        <v>1</v>
      </c>
      <c r="AD136" s="76">
        <v>3</v>
      </c>
      <c r="AE136" s="76">
        <v>2</v>
      </c>
      <c r="AF136" s="76">
        <v>0</v>
      </c>
      <c r="AG136" s="76">
        <v>0</v>
      </c>
      <c r="AH136" s="76">
        <v>1</v>
      </c>
      <c r="AI136" s="76">
        <v>0</v>
      </c>
      <c r="AJ136" s="76">
        <v>0</v>
      </c>
      <c r="AK136" s="76">
        <v>16</v>
      </c>
      <c r="AL136" s="76">
        <v>64</v>
      </c>
      <c r="AM136" s="202"/>
      <c r="AN136" s="77"/>
      <c r="AO136" s="202"/>
      <c r="AP136" s="202"/>
      <c r="AQ136" s="202"/>
      <c r="AR136" s="202"/>
      <c r="AS136" s="202"/>
      <c r="AT136" s="202"/>
      <c r="AU136" s="202"/>
      <c r="AV136" s="202"/>
      <c r="AW136" s="202"/>
      <c r="AX136" s="202"/>
      <c r="AY136" s="202"/>
    </row>
    <row r="137" spans="1:51" x14ac:dyDescent="0.2">
      <c r="A137" s="225" t="s">
        <v>105</v>
      </c>
      <c r="B137" s="225" t="s">
        <v>106</v>
      </c>
      <c r="C137" s="225" t="s">
        <v>157</v>
      </c>
      <c r="D137" s="225" t="s">
        <v>85</v>
      </c>
      <c r="E137" s="225" t="s">
        <v>86</v>
      </c>
      <c r="F137" s="225" t="s">
        <v>107</v>
      </c>
      <c r="G137" s="225" t="s">
        <v>108</v>
      </c>
      <c r="H137" s="225" t="s">
        <v>88</v>
      </c>
      <c r="I137" s="225" t="s">
        <v>90</v>
      </c>
      <c r="J137" s="225" t="s">
        <v>158</v>
      </c>
      <c r="K137" s="225" t="s">
        <v>91</v>
      </c>
      <c r="L137" s="225" t="s">
        <v>92</v>
      </c>
      <c r="M137" s="225" t="s">
        <v>93</v>
      </c>
      <c r="N137" s="225" t="s">
        <v>94</v>
      </c>
      <c r="O137" s="225" t="s">
        <v>95</v>
      </c>
      <c r="P137" s="225" t="s">
        <v>96</v>
      </c>
      <c r="Q137" s="225" t="s">
        <v>97</v>
      </c>
      <c r="R137" s="225" t="s">
        <v>1071</v>
      </c>
      <c r="S137" s="225" t="s">
        <v>1072</v>
      </c>
      <c r="T137" s="225" t="s">
        <v>105</v>
      </c>
      <c r="U137" s="225" t="s">
        <v>106</v>
      </c>
      <c r="V137" s="225" t="s">
        <v>157</v>
      </c>
      <c r="W137" s="225" t="s">
        <v>89</v>
      </c>
      <c r="X137" s="225" t="s">
        <v>1073</v>
      </c>
      <c r="Y137" s="225" t="s">
        <v>1074</v>
      </c>
      <c r="Z137" s="225" t="s">
        <v>98</v>
      </c>
      <c r="AA137" s="225" t="s">
        <v>1075</v>
      </c>
      <c r="AB137" s="225" t="s">
        <v>1076</v>
      </c>
      <c r="AC137" s="225" t="s">
        <v>1077</v>
      </c>
      <c r="AD137" s="225" t="s">
        <v>1066</v>
      </c>
      <c r="AE137" s="225" t="s">
        <v>1067</v>
      </c>
      <c r="AF137" s="225" t="s">
        <v>1078</v>
      </c>
      <c r="AG137" s="225" t="s">
        <v>1079</v>
      </c>
      <c r="AH137" s="225" t="s">
        <v>1057</v>
      </c>
      <c r="AI137" s="225" t="s">
        <v>1058</v>
      </c>
      <c r="AJ137" s="225" t="s">
        <v>1080</v>
      </c>
      <c r="AK137" s="225" t="s">
        <v>109</v>
      </c>
      <c r="AL137" s="225" t="s">
        <v>1069</v>
      </c>
      <c r="AM137" s="202"/>
      <c r="AN137" s="77"/>
      <c r="AO137" s="202"/>
      <c r="AP137" s="202"/>
      <c r="AQ137" s="202"/>
      <c r="AR137" s="202"/>
      <c r="AS137" s="202"/>
      <c r="AT137" s="202"/>
      <c r="AU137" s="202"/>
      <c r="AV137" s="202"/>
      <c r="AW137" s="202"/>
      <c r="AX137" s="202"/>
      <c r="AY137" s="202"/>
    </row>
    <row r="138" spans="1:51" ht="25.5" x14ac:dyDescent="0.2">
      <c r="A138" s="76">
        <v>1</v>
      </c>
      <c r="B138" s="77" t="s">
        <v>1328</v>
      </c>
      <c r="C138" s="76" t="s">
        <v>164</v>
      </c>
      <c r="D138" s="76">
        <v>4</v>
      </c>
      <c r="E138" s="76">
        <v>4</v>
      </c>
      <c r="F138" s="76">
        <v>2.16</v>
      </c>
      <c r="G138" s="76">
        <v>48</v>
      </c>
      <c r="H138" s="76">
        <v>5</v>
      </c>
      <c r="I138" s="76">
        <v>1</v>
      </c>
      <c r="J138" s="76">
        <v>1</v>
      </c>
      <c r="K138" s="76">
        <v>108.1</v>
      </c>
      <c r="L138" s="76">
        <v>79</v>
      </c>
      <c r="M138" s="76">
        <v>26</v>
      </c>
      <c r="N138" s="76">
        <v>26</v>
      </c>
      <c r="O138" s="76">
        <v>4</v>
      </c>
      <c r="P138" s="76">
        <v>20</v>
      </c>
      <c r="Q138" s="76">
        <v>104</v>
      </c>
      <c r="R138" s="76">
        <v>0.20599999999999999</v>
      </c>
      <c r="S138" s="76">
        <v>0.91</v>
      </c>
      <c r="T138" s="76">
        <v>1</v>
      </c>
      <c r="U138" s="77" t="s">
        <v>1328</v>
      </c>
      <c r="V138" s="76" t="s">
        <v>164</v>
      </c>
      <c r="W138" s="76">
        <v>0</v>
      </c>
      <c r="X138" s="76">
        <v>0</v>
      </c>
      <c r="Y138" s="76">
        <v>3</v>
      </c>
      <c r="Z138" s="76">
        <v>0</v>
      </c>
      <c r="AA138" s="76">
        <v>16</v>
      </c>
      <c r="AB138" s="76">
        <v>5</v>
      </c>
      <c r="AC138" s="76">
        <v>10</v>
      </c>
      <c r="AD138" s="76">
        <v>76</v>
      </c>
      <c r="AE138" s="76">
        <v>126</v>
      </c>
      <c r="AF138" s="76">
        <v>2</v>
      </c>
      <c r="AG138" s="76">
        <v>0</v>
      </c>
      <c r="AH138" s="76">
        <v>9</v>
      </c>
      <c r="AI138" s="76">
        <v>4</v>
      </c>
      <c r="AJ138" s="76">
        <v>2</v>
      </c>
      <c r="AK138" s="76">
        <v>408</v>
      </c>
      <c r="AL138" s="76">
        <v>1577</v>
      </c>
      <c r="AM138" s="202"/>
      <c r="AN138" s="77"/>
      <c r="AO138" s="202"/>
      <c r="AP138" s="202"/>
      <c r="AQ138" s="202"/>
      <c r="AR138" s="202"/>
      <c r="AS138" s="202"/>
      <c r="AT138" s="202"/>
      <c r="AU138" s="202"/>
      <c r="AV138" s="202"/>
      <c r="AW138" s="202"/>
      <c r="AX138" s="202"/>
      <c r="AY138" s="202"/>
    </row>
    <row r="139" spans="1:51" x14ac:dyDescent="0.2">
      <c r="A139" s="76">
        <v>2</v>
      </c>
      <c r="B139" s="77" t="s">
        <v>321</v>
      </c>
      <c r="C139" s="76" t="s">
        <v>164</v>
      </c>
      <c r="D139" s="76">
        <v>1</v>
      </c>
      <c r="E139" s="76">
        <v>2</v>
      </c>
      <c r="F139" s="76">
        <v>2.25</v>
      </c>
      <c r="G139" s="76">
        <v>66</v>
      </c>
      <c r="H139" s="76">
        <v>0</v>
      </c>
      <c r="I139" s="76">
        <v>12</v>
      </c>
      <c r="J139" s="76">
        <v>15</v>
      </c>
      <c r="K139" s="76">
        <v>64</v>
      </c>
      <c r="L139" s="76">
        <v>52</v>
      </c>
      <c r="M139" s="76">
        <v>17</v>
      </c>
      <c r="N139" s="76">
        <v>16</v>
      </c>
      <c r="O139" s="76">
        <v>3</v>
      </c>
      <c r="P139" s="76">
        <v>15</v>
      </c>
      <c r="Q139" s="76">
        <v>69</v>
      </c>
      <c r="R139" s="76">
        <v>0.22</v>
      </c>
      <c r="S139" s="76">
        <v>1.05</v>
      </c>
      <c r="T139" s="76">
        <v>2</v>
      </c>
      <c r="U139" s="77" t="s">
        <v>321</v>
      </c>
      <c r="V139" s="76" t="s">
        <v>164</v>
      </c>
      <c r="W139" s="76">
        <v>0</v>
      </c>
      <c r="X139" s="76">
        <v>0</v>
      </c>
      <c r="Y139" s="76">
        <v>1</v>
      </c>
      <c r="Z139" s="76">
        <v>1</v>
      </c>
      <c r="AA139" s="76">
        <v>19</v>
      </c>
      <c r="AB139" s="76">
        <v>28</v>
      </c>
      <c r="AC139" s="76">
        <v>6</v>
      </c>
      <c r="AD139" s="76">
        <v>72</v>
      </c>
      <c r="AE139" s="76">
        <v>46</v>
      </c>
      <c r="AF139" s="76">
        <v>4</v>
      </c>
      <c r="AG139" s="76">
        <v>0</v>
      </c>
      <c r="AH139" s="76">
        <v>11</v>
      </c>
      <c r="AI139" s="76">
        <v>1</v>
      </c>
      <c r="AJ139" s="76">
        <v>0</v>
      </c>
      <c r="AK139" s="76">
        <v>255</v>
      </c>
      <c r="AL139" s="76">
        <v>1045</v>
      </c>
      <c r="AM139" s="202"/>
      <c r="AN139" s="77"/>
      <c r="AO139" s="202"/>
      <c r="AP139" s="202"/>
      <c r="AQ139" s="202"/>
      <c r="AR139" s="202"/>
      <c r="AS139" s="202"/>
      <c r="AT139" s="202"/>
      <c r="AU139" s="202"/>
      <c r="AV139" s="202"/>
      <c r="AW139" s="202"/>
      <c r="AX139" s="202"/>
      <c r="AY139" s="202"/>
    </row>
    <row r="140" spans="1:51" ht="25.5" x14ac:dyDescent="0.2">
      <c r="A140" s="76">
        <v>3</v>
      </c>
      <c r="B140" s="77" t="s">
        <v>345</v>
      </c>
      <c r="C140" s="76" t="s">
        <v>164</v>
      </c>
      <c r="D140" s="76">
        <v>5</v>
      </c>
      <c r="E140" s="76">
        <v>3</v>
      </c>
      <c r="F140" s="76">
        <v>2.9</v>
      </c>
      <c r="G140" s="76">
        <v>26</v>
      </c>
      <c r="H140" s="76">
        <v>5</v>
      </c>
      <c r="I140" s="76">
        <v>0</v>
      </c>
      <c r="J140" s="76">
        <v>1</v>
      </c>
      <c r="K140" s="76">
        <v>62</v>
      </c>
      <c r="L140" s="76">
        <v>64</v>
      </c>
      <c r="M140" s="76">
        <v>27</v>
      </c>
      <c r="N140" s="76">
        <v>20</v>
      </c>
      <c r="O140" s="76">
        <v>8</v>
      </c>
      <c r="P140" s="76">
        <v>13</v>
      </c>
      <c r="Q140" s="76">
        <v>42</v>
      </c>
      <c r="R140" s="76">
        <v>0.26400000000000001</v>
      </c>
      <c r="S140" s="76">
        <v>1.24</v>
      </c>
      <c r="T140" s="76">
        <v>3</v>
      </c>
      <c r="U140" s="77" t="s">
        <v>345</v>
      </c>
      <c r="V140" s="76" t="s">
        <v>164</v>
      </c>
      <c r="W140" s="76">
        <v>0</v>
      </c>
      <c r="X140" s="76">
        <v>0</v>
      </c>
      <c r="Y140" s="76">
        <v>3</v>
      </c>
      <c r="Z140" s="76">
        <v>3</v>
      </c>
      <c r="AA140" s="76">
        <v>9</v>
      </c>
      <c r="AB140" s="76">
        <v>0</v>
      </c>
      <c r="AC140" s="76">
        <v>4</v>
      </c>
      <c r="AD140" s="76">
        <v>80</v>
      </c>
      <c r="AE140" s="76">
        <v>63</v>
      </c>
      <c r="AF140" s="76">
        <v>0</v>
      </c>
      <c r="AG140" s="76">
        <v>0</v>
      </c>
      <c r="AH140" s="76">
        <v>6</v>
      </c>
      <c r="AI140" s="76">
        <v>2</v>
      </c>
      <c r="AJ140" s="76">
        <v>0</v>
      </c>
      <c r="AK140" s="76">
        <v>265</v>
      </c>
      <c r="AL140" s="76">
        <v>1004</v>
      </c>
      <c r="AM140" s="202"/>
      <c r="AN140" s="77"/>
      <c r="AO140" s="202"/>
      <c r="AP140" s="202"/>
      <c r="AQ140" s="202"/>
      <c r="AR140" s="202"/>
      <c r="AS140" s="202"/>
      <c r="AT140" s="202"/>
      <c r="AU140" s="202"/>
      <c r="AV140" s="202"/>
      <c r="AW140" s="202"/>
      <c r="AX140" s="202"/>
      <c r="AY140" s="202"/>
    </row>
    <row r="141" spans="1:51" ht="25.5" x14ac:dyDescent="0.2">
      <c r="A141" s="76">
        <v>4</v>
      </c>
      <c r="B141" s="77" t="s">
        <v>599</v>
      </c>
      <c r="C141" s="76" t="s">
        <v>164</v>
      </c>
      <c r="D141" s="76">
        <v>2</v>
      </c>
      <c r="E141" s="76">
        <v>2</v>
      </c>
      <c r="F141" s="76">
        <v>3.06</v>
      </c>
      <c r="G141" s="76">
        <v>60</v>
      </c>
      <c r="H141" s="76">
        <v>0</v>
      </c>
      <c r="I141" s="76">
        <v>0</v>
      </c>
      <c r="J141" s="76">
        <v>0</v>
      </c>
      <c r="K141" s="76">
        <v>47</v>
      </c>
      <c r="L141" s="76">
        <v>33</v>
      </c>
      <c r="M141" s="76">
        <v>17</v>
      </c>
      <c r="N141" s="76">
        <v>16</v>
      </c>
      <c r="O141" s="76">
        <v>6</v>
      </c>
      <c r="P141" s="76">
        <v>11</v>
      </c>
      <c r="Q141" s="76">
        <v>43</v>
      </c>
      <c r="R141" s="76">
        <v>0.19400000000000001</v>
      </c>
      <c r="S141" s="76">
        <v>0.94</v>
      </c>
      <c r="T141" s="76">
        <v>4</v>
      </c>
      <c r="U141" s="77" t="s">
        <v>599</v>
      </c>
      <c r="V141" s="76" t="s">
        <v>164</v>
      </c>
      <c r="W141" s="76">
        <v>0</v>
      </c>
      <c r="X141" s="76">
        <v>0</v>
      </c>
      <c r="Y141" s="76">
        <v>0</v>
      </c>
      <c r="Z141" s="76">
        <v>7</v>
      </c>
      <c r="AA141" s="76">
        <v>9</v>
      </c>
      <c r="AB141" s="76">
        <v>18</v>
      </c>
      <c r="AC141" s="76">
        <v>2</v>
      </c>
      <c r="AD141" s="76">
        <v>41</v>
      </c>
      <c r="AE141" s="76">
        <v>57</v>
      </c>
      <c r="AF141" s="76">
        <v>1</v>
      </c>
      <c r="AG141" s="76">
        <v>0</v>
      </c>
      <c r="AH141" s="76">
        <v>1</v>
      </c>
      <c r="AI141" s="76">
        <v>1</v>
      </c>
      <c r="AJ141" s="76">
        <v>0</v>
      </c>
      <c r="AK141" s="76">
        <v>185</v>
      </c>
      <c r="AL141" s="76">
        <v>712</v>
      </c>
      <c r="AM141" s="202"/>
      <c r="AN141" s="77"/>
      <c r="AO141" s="202"/>
      <c r="AP141" s="202"/>
      <c r="AQ141" s="202"/>
      <c r="AR141" s="202"/>
      <c r="AS141" s="202"/>
      <c r="AT141" s="202"/>
      <c r="AU141" s="202"/>
      <c r="AV141" s="202"/>
      <c r="AW141" s="202"/>
      <c r="AX141" s="202"/>
      <c r="AY141" s="202"/>
    </row>
    <row r="142" spans="1:51" ht="25.5" x14ac:dyDescent="0.2">
      <c r="A142" s="76">
        <v>5</v>
      </c>
      <c r="B142" s="77" t="s">
        <v>1183</v>
      </c>
      <c r="C142" s="76" t="s">
        <v>164</v>
      </c>
      <c r="D142" s="76">
        <v>6</v>
      </c>
      <c r="E142" s="76">
        <v>5</v>
      </c>
      <c r="F142" s="76">
        <v>3.22</v>
      </c>
      <c r="G142" s="76">
        <v>14</v>
      </c>
      <c r="H142" s="76">
        <v>14</v>
      </c>
      <c r="I142" s="76">
        <v>0</v>
      </c>
      <c r="J142" s="76">
        <v>0</v>
      </c>
      <c r="K142" s="76">
        <v>81</v>
      </c>
      <c r="L142" s="76">
        <v>80</v>
      </c>
      <c r="M142" s="76">
        <v>29</v>
      </c>
      <c r="N142" s="76">
        <v>29</v>
      </c>
      <c r="O142" s="76">
        <v>5</v>
      </c>
      <c r="P142" s="76">
        <v>45</v>
      </c>
      <c r="Q142" s="76">
        <v>106</v>
      </c>
      <c r="R142" s="76">
        <v>0.26100000000000001</v>
      </c>
      <c r="S142" s="76">
        <v>1.54</v>
      </c>
      <c r="T142" s="76">
        <v>5</v>
      </c>
      <c r="U142" s="77" t="s">
        <v>1183</v>
      </c>
      <c r="V142" s="76" t="s">
        <v>164</v>
      </c>
      <c r="W142" s="76">
        <v>0</v>
      </c>
      <c r="X142" s="76">
        <v>0</v>
      </c>
      <c r="Y142" s="76">
        <v>0</v>
      </c>
      <c r="Z142" s="76">
        <v>1</v>
      </c>
      <c r="AA142" s="76">
        <v>0</v>
      </c>
      <c r="AB142" s="76">
        <v>0</v>
      </c>
      <c r="AC142" s="76">
        <v>10</v>
      </c>
      <c r="AD142" s="76">
        <v>85</v>
      </c>
      <c r="AE142" s="76">
        <v>36</v>
      </c>
      <c r="AF142" s="76">
        <v>9</v>
      </c>
      <c r="AG142" s="76">
        <v>2</v>
      </c>
      <c r="AH142" s="76">
        <v>0</v>
      </c>
      <c r="AI142" s="76">
        <v>2</v>
      </c>
      <c r="AJ142" s="76">
        <v>0</v>
      </c>
      <c r="AK142" s="76">
        <v>352</v>
      </c>
      <c r="AL142" s="76">
        <v>1342</v>
      </c>
      <c r="AM142" s="202"/>
      <c r="AN142" s="77"/>
      <c r="AO142" s="202"/>
      <c r="AP142" s="202"/>
      <c r="AQ142" s="202"/>
      <c r="AR142" s="202"/>
      <c r="AS142" s="202"/>
      <c r="AT142" s="202"/>
      <c r="AU142" s="202"/>
      <c r="AV142" s="202"/>
      <c r="AW142" s="202"/>
      <c r="AX142" s="202"/>
      <c r="AY142" s="202"/>
    </row>
    <row r="143" spans="1:51" ht="25.5" x14ac:dyDescent="0.2">
      <c r="A143" s="76">
        <v>6</v>
      </c>
      <c r="B143" s="77" t="s">
        <v>440</v>
      </c>
      <c r="C143" s="76" t="s">
        <v>164</v>
      </c>
      <c r="D143" s="76">
        <v>4</v>
      </c>
      <c r="E143" s="76">
        <v>3</v>
      </c>
      <c r="F143" s="76">
        <v>3.28</v>
      </c>
      <c r="G143" s="76">
        <v>59</v>
      </c>
      <c r="H143" s="76">
        <v>0</v>
      </c>
      <c r="I143" s="76">
        <v>15</v>
      </c>
      <c r="J143" s="76">
        <v>21</v>
      </c>
      <c r="K143" s="76">
        <v>57.2</v>
      </c>
      <c r="L143" s="76">
        <v>38</v>
      </c>
      <c r="M143" s="76">
        <v>23</v>
      </c>
      <c r="N143" s="76">
        <v>21</v>
      </c>
      <c r="O143" s="76">
        <v>5</v>
      </c>
      <c r="P143" s="76">
        <v>18</v>
      </c>
      <c r="Q143" s="76">
        <v>67</v>
      </c>
      <c r="R143" s="76">
        <v>0.183</v>
      </c>
      <c r="S143" s="76">
        <v>0.97</v>
      </c>
      <c r="T143" s="76">
        <v>6</v>
      </c>
      <c r="U143" s="77" t="s">
        <v>440</v>
      </c>
      <c r="V143" s="76" t="s">
        <v>164</v>
      </c>
      <c r="W143" s="76">
        <v>0</v>
      </c>
      <c r="X143" s="76">
        <v>0</v>
      </c>
      <c r="Y143" s="76">
        <v>2</v>
      </c>
      <c r="Z143" s="76">
        <v>2</v>
      </c>
      <c r="AA143" s="76">
        <v>25</v>
      </c>
      <c r="AB143" s="76">
        <v>15</v>
      </c>
      <c r="AC143" s="76">
        <v>3</v>
      </c>
      <c r="AD143" s="76">
        <v>75</v>
      </c>
      <c r="AE143" s="76">
        <v>30</v>
      </c>
      <c r="AF143" s="76">
        <v>6</v>
      </c>
      <c r="AG143" s="76">
        <v>0</v>
      </c>
      <c r="AH143" s="76">
        <v>7</v>
      </c>
      <c r="AI143" s="76">
        <v>1</v>
      </c>
      <c r="AJ143" s="76">
        <v>0</v>
      </c>
      <c r="AK143" s="76">
        <v>230</v>
      </c>
      <c r="AL143" s="76">
        <v>852</v>
      </c>
      <c r="AM143" s="202"/>
      <c r="AN143" s="77"/>
      <c r="AO143" s="202"/>
      <c r="AP143" s="202"/>
      <c r="AQ143" s="202"/>
      <c r="AR143" s="202"/>
      <c r="AS143" s="202"/>
      <c r="AT143" s="202"/>
      <c r="AU143" s="202"/>
      <c r="AV143" s="202"/>
      <c r="AW143" s="202"/>
      <c r="AX143" s="202"/>
      <c r="AY143" s="202"/>
    </row>
    <row r="144" spans="1:51" ht="25.5" x14ac:dyDescent="0.2">
      <c r="A144" s="76">
        <v>7</v>
      </c>
      <c r="B144" s="77" t="s">
        <v>1329</v>
      </c>
      <c r="C144" s="76" t="s">
        <v>164</v>
      </c>
      <c r="D144" s="76">
        <v>1</v>
      </c>
      <c r="E144" s="76">
        <v>0</v>
      </c>
      <c r="F144" s="76">
        <v>3.52</v>
      </c>
      <c r="G144" s="76">
        <v>14</v>
      </c>
      <c r="H144" s="76">
        <v>0</v>
      </c>
      <c r="I144" s="76">
        <v>0</v>
      </c>
      <c r="J144" s="76">
        <v>0</v>
      </c>
      <c r="K144" s="76">
        <v>15.1</v>
      </c>
      <c r="L144" s="76">
        <v>13</v>
      </c>
      <c r="M144" s="76">
        <v>6</v>
      </c>
      <c r="N144" s="76">
        <v>6</v>
      </c>
      <c r="O144" s="76">
        <v>2</v>
      </c>
      <c r="P144" s="76">
        <v>4</v>
      </c>
      <c r="Q144" s="76">
        <v>16</v>
      </c>
      <c r="R144" s="76">
        <v>0.23200000000000001</v>
      </c>
      <c r="S144" s="76">
        <v>1.1100000000000001</v>
      </c>
      <c r="T144" s="76">
        <v>7</v>
      </c>
      <c r="U144" s="77" t="s">
        <v>1329</v>
      </c>
      <c r="V144" s="76" t="s">
        <v>164</v>
      </c>
      <c r="W144" s="76">
        <v>0</v>
      </c>
      <c r="X144" s="76">
        <v>0</v>
      </c>
      <c r="Y144" s="76">
        <v>0</v>
      </c>
      <c r="Z144" s="76">
        <v>0</v>
      </c>
      <c r="AA144" s="76">
        <v>4</v>
      </c>
      <c r="AB144" s="76">
        <v>0</v>
      </c>
      <c r="AC144" s="76">
        <v>1</v>
      </c>
      <c r="AD144" s="76">
        <v>13</v>
      </c>
      <c r="AE144" s="76">
        <v>14</v>
      </c>
      <c r="AF144" s="76">
        <v>2</v>
      </c>
      <c r="AG144" s="76">
        <v>0</v>
      </c>
      <c r="AH144" s="76">
        <v>1</v>
      </c>
      <c r="AI144" s="76">
        <v>2</v>
      </c>
      <c r="AJ144" s="76">
        <v>1</v>
      </c>
      <c r="AK144" s="76">
        <v>60</v>
      </c>
      <c r="AL144" s="76">
        <v>238</v>
      </c>
      <c r="AM144" s="202"/>
      <c r="AN144" s="77"/>
      <c r="AO144" s="202"/>
      <c r="AP144" s="202"/>
      <c r="AQ144" s="202"/>
      <c r="AR144" s="202"/>
      <c r="AS144" s="202"/>
      <c r="AT144" s="202"/>
      <c r="AU144" s="202"/>
      <c r="AV144" s="202"/>
      <c r="AW144" s="202"/>
      <c r="AX144" s="202"/>
      <c r="AY144" s="202"/>
    </row>
    <row r="145" spans="1:51" ht="25.5" x14ac:dyDescent="0.2">
      <c r="A145" s="76">
        <v>8</v>
      </c>
      <c r="B145" s="77" t="s">
        <v>552</v>
      </c>
      <c r="C145" s="76" t="s">
        <v>164</v>
      </c>
      <c r="D145" s="76">
        <v>0</v>
      </c>
      <c r="E145" s="76">
        <v>1</v>
      </c>
      <c r="F145" s="76">
        <v>3.69</v>
      </c>
      <c r="G145" s="76">
        <v>10</v>
      </c>
      <c r="H145" s="76">
        <v>5</v>
      </c>
      <c r="I145" s="76">
        <v>0</v>
      </c>
      <c r="J145" s="76">
        <v>0</v>
      </c>
      <c r="K145" s="76">
        <v>31.2</v>
      </c>
      <c r="L145" s="76">
        <v>21</v>
      </c>
      <c r="M145" s="76">
        <v>15</v>
      </c>
      <c r="N145" s="76">
        <v>13</v>
      </c>
      <c r="O145" s="76">
        <v>6</v>
      </c>
      <c r="P145" s="76">
        <v>14</v>
      </c>
      <c r="Q145" s="76">
        <v>28</v>
      </c>
      <c r="R145" s="76">
        <v>0.186</v>
      </c>
      <c r="S145" s="76">
        <v>1.1100000000000001</v>
      </c>
      <c r="T145" s="76">
        <v>8</v>
      </c>
      <c r="U145" s="77" t="s">
        <v>552</v>
      </c>
      <c r="V145" s="76" t="s">
        <v>164</v>
      </c>
      <c r="W145" s="76">
        <v>0</v>
      </c>
      <c r="X145" s="76">
        <v>0</v>
      </c>
      <c r="Y145" s="76">
        <v>0</v>
      </c>
      <c r="Z145" s="76">
        <v>0</v>
      </c>
      <c r="AA145" s="76">
        <v>3</v>
      </c>
      <c r="AB145" s="76">
        <v>0</v>
      </c>
      <c r="AC145" s="76">
        <v>3</v>
      </c>
      <c r="AD145" s="76">
        <v>31</v>
      </c>
      <c r="AE145" s="76">
        <v>33</v>
      </c>
      <c r="AF145" s="76">
        <v>2</v>
      </c>
      <c r="AG145" s="76">
        <v>0</v>
      </c>
      <c r="AH145" s="76">
        <v>2</v>
      </c>
      <c r="AI145" s="76">
        <v>1</v>
      </c>
      <c r="AJ145" s="76">
        <v>0</v>
      </c>
      <c r="AK145" s="76">
        <v>127</v>
      </c>
      <c r="AL145" s="76">
        <v>492</v>
      </c>
      <c r="AM145" s="202"/>
      <c r="AN145" s="77"/>
      <c r="AO145" s="202"/>
      <c r="AP145" s="202"/>
      <c r="AQ145" s="202"/>
      <c r="AR145" s="202"/>
      <c r="AS145" s="202"/>
      <c r="AT145" s="202"/>
      <c r="AU145" s="202"/>
      <c r="AV145" s="202"/>
      <c r="AW145" s="202"/>
      <c r="AX145" s="202"/>
      <c r="AY145" s="202"/>
    </row>
    <row r="146" spans="1:51" ht="25.5" x14ac:dyDescent="0.2">
      <c r="A146" s="76">
        <v>9</v>
      </c>
      <c r="B146" s="77" t="s">
        <v>1330</v>
      </c>
      <c r="C146" s="76" t="s">
        <v>164</v>
      </c>
      <c r="D146" s="76">
        <v>4</v>
      </c>
      <c r="E146" s="76">
        <v>4</v>
      </c>
      <c r="F146" s="76">
        <v>4.0599999999999996</v>
      </c>
      <c r="G146" s="76">
        <v>11</v>
      </c>
      <c r="H146" s="76">
        <v>10</v>
      </c>
      <c r="I146" s="76">
        <v>0</v>
      </c>
      <c r="J146" s="76">
        <v>0</v>
      </c>
      <c r="K146" s="76">
        <v>62</v>
      </c>
      <c r="L146" s="76">
        <v>59</v>
      </c>
      <c r="M146" s="76">
        <v>28</v>
      </c>
      <c r="N146" s="76">
        <v>28</v>
      </c>
      <c r="O146" s="76">
        <v>9</v>
      </c>
      <c r="P146" s="76">
        <v>16</v>
      </c>
      <c r="Q146" s="76">
        <v>55</v>
      </c>
      <c r="R146" s="76">
        <v>0.25</v>
      </c>
      <c r="S146" s="76">
        <v>1.21</v>
      </c>
      <c r="T146" s="76">
        <v>9</v>
      </c>
      <c r="U146" s="77" t="s">
        <v>1330</v>
      </c>
      <c r="V146" s="76" t="s">
        <v>164</v>
      </c>
      <c r="W146" s="76">
        <v>0</v>
      </c>
      <c r="X146" s="76">
        <v>0</v>
      </c>
      <c r="Y146" s="76">
        <v>3</v>
      </c>
      <c r="Z146" s="76">
        <v>0</v>
      </c>
      <c r="AA146" s="76">
        <v>1</v>
      </c>
      <c r="AB146" s="76">
        <v>0</v>
      </c>
      <c r="AC146" s="76">
        <v>4</v>
      </c>
      <c r="AD146" s="76">
        <v>66</v>
      </c>
      <c r="AE146" s="76">
        <v>57</v>
      </c>
      <c r="AF146" s="76">
        <v>0</v>
      </c>
      <c r="AG146" s="76">
        <v>0</v>
      </c>
      <c r="AH146" s="76">
        <v>0</v>
      </c>
      <c r="AI146" s="76">
        <v>0</v>
      </c>
      <c r="AJ146" s="76">
        <v>0</v>
      </c>
      <c r="AK146" s="76">
        <v>256</v>
      </c>
      <c r="AL146" s="76">
        <v>980</v>
      </c>
      <c r="AM146" s="202"/>
      <c r="AN146" s="77"/>
      <c r="AO146" s="202"/>
      <c r="AP146" s="202"/>
      <c r="AQ146" s="202"/>
      <c r="AR146" s="202"/>
      <c r="AS146" s="202"/>
      <c r="AT146" s="202"/>
      <c r="AU146" s="202"/>
      <c r="AV146" s="202"/>
      <c r="AW146" s="202"/>
      <c r="AX146" s="202"/>
      <c r="AY146" s="202"/>
    </row>
    <row r="147" spans="1:51" x14ac:dyDescent="0.2">
      <c r="A147" s="76">
        <v>10</v>
      </c>
      <c r="B147" s="77" t="s">
        <v>774</v>
      </c>
      <c r="C147" s="76" t="s">
        <v>164</v>
      </c>
      <c r="D147" s="76">
        <v>2</v>
      </c>
      <c r="E147" s="76">
        <v>5</v>
      </c>
      <c r="F147" s="76">
        <v>4.1100000000000003</v>
      </c>
      <c r="G147" s="76">
        <v>69</v>
      </c>
      <c r="H147" s="76">
        <v>0</v>
      </c>
      <c r="I147" s="76">
        <v>15</v>
      </c>
      <c r="J147" s="76">
        <v>20</v>
      </c>
      <c r="K147" s="76">
        <v>65.2</v>
      </c>
      <c r="L147" s="76">
        <v>60</v>
      </c>
      <c r="M147" s="76">
        <v>32</v>
      </c>
      <c r="N147" s="76">
        <v>30</v>
      </c>
      <c r="O147" s="76">
        <v>8</v>
      </c>
      <c r="P147" s="76">
        <v>25</v>
      </c>
      <c r="Q147" s="76">
        <v>102</v>
      </c>
      <c r="R147" s="76">
        <v>0.23400000000000001</v>
      </c>
      <c r="S147" s="76">
        <v>1.29</v>
      </c>
      <c r="T147" s="76">
        <v>10</v>
      </c>
      <c r="U147" s="77" t="s">
        <v>774</v>
      </c>
      <c r="V147" s="76" t="s">
        <v>164</v>
      </c>
      <c r="W147" s="76">
        <v>0</v>
      </c>
      <c r="X147" s="76">
        <v>0</v>
      </c>
      <c r="Y147" s="76">
        <v>2</v>
      </c>
      <c r="Z147" s="76">
        <v>1</v>
      </c>
      <c r="AA147" s="76">
        <v>24</v>
      </c>
      <c r="AB147" s="76">
        <v>18</v>
      </c>
      <c r="AC147" s="76">
        <v>0</v>
      </c>
      <c r="AD147" s="76">
        <v>50</v>
      </c>
      <c r="AE147" s="76">
        <v>47</v>
      </c>
      <c r="AF147" s="76">
        <v>14</v>
      </c>
      <c r="AG147" s="76">
        <v>0</v>
      </c>
      <c r="AH147" s="76">
        <v>5</v>
      </c>
      <c r="AI147" s="76">
        <v>0</v>
      </c>
      <c r="AJ147" s="76">
        <v>0</v>
      </c>
      <c r="AK147" s="76">
        <v>286</v>
      </c>
      <c r="AL147" s="76">
        <v>1117</v>
      </c>
      <c r="AM147" s="202"/>
      <c r="AN147" s="77"/>
      <c r="AO147" s="202"/>
      <c r="AP147" s="202"/>
      <c r="AQ147" s="202"/>
      <c r="AR147" s="202"/>
      <c r="AS147" s="202"/>
      <c r="AT147" s="202"/>
      <c r="AU147" s="202"/>
      <c r="AV147" s="202"/>
      <c r="AW147" s="202"/>
      <c r="AX147" s="202"/>
      <c r="AY147" s="202"/>
    </row>
    <row r="148" spans="1:51" ht="25.5" x14ac:dyDescent="0.2">
      <c r="A148" s="76">
        <v>11</v>
      </c>
      <c r="B148" s="77" t="s">
        <v>374</v>
      </c>
      <c r="C148" s="76" t="s">
        <v>164</v>
      </c>
      <c r="D148" s="76">
        <v>13</v>
      </c>
      <c r="E148" s="76">
        <v>10</v>
      </c>
      <c r="F148" s="76">
        <v>4.34</v>
      </c>
      <c r="G148" s="76">
        <v>33</v>
      </c>
      <c r="H148" s="76">
        <v>33</v>
      </c>
      <c r="I148" s="76">
        <v>0</v>
      </c>
      <c r="J148" s="76">
        <v>0</v>
      </c>
      <c r="K148" s="76">
        <v>184.2</v>
      </c>
      <c r="L148" s="76">
        <v>206</v>
      </c>
      <c r="M148" s="76">
        <v>92</v>
      </c>
      <c r="N148" s="76">
        <v>89</v>
      </c>
      <c r="O148" s="76">
        <v>25</v>
      </c>
      <c r="P148" s="76">
        <v>54</v>
      </c>
      <c r="Q148" s="76">
        <v>177</v>
      </c>
      <c r="R148" s="76">
        <v>0.28199999999999997</v>
      </c>
      <c r="S148" s="76">
        <v>1.41</v>
      </c>
      <c r="T148" s="76">
        <v>11</v>
      </c>
      <c r="U148" s="77" t="s">
        <v>374</v>
      </c>
      <c r="V148" s="76" t="s">
        <v>164</v>
      </c>
      <c r="W148" s="76">
        <v>1</v>
      </c>
      <c r="X148" s="76">
        <v>0</v>
      </c>
      <c r="Y148" s="76">
        <v>5</v>
      </c>
      <c r="Z148" s="76">
        <v>1</v>
      </c>
      <c r="AA148" s="76">
        <v>0</v>
      </c>
      <c r="AB148" s="76">
        <v>0</v>
      </c>
      <c r="AC148" s="76">
        <v>15</v>
      </c>
      <c r="AD148" s="76">
        <v>168</v>
      </c>
      <c r="AE148" s="76">
        <v>185</v>
      </c>
      <c r="AF148" s="76">
        <v>9</v>
      </c>
      <c r="AG148" s="76">
        <v>0</v>
      </c>
      <c r="AH148" s="76">
        <v>4</v>
      </c>
      <c r="AI148" s="76">
        <v>3</v>
      </c>
      <c r="AJ148" s="76">
        <v>0</v>
      </c>
      <c r="AK148" s="76">
        <v>796</v>
      </c>
      <c r="AL148" s="76">
        <v>3159</v>
      </c>
      <c r="AM148" s="202"/>
      <c r="AN148" s="77"/>
      <c r="AO148" s="202"/>
      <c r="AP148" s="202"/>
      <c r="AQ148" s="202"/>
      <c r="AR148" s="202"/>
      <c r="AS148" s="202"/>
      <c r="AT148" s="202"/>
      <c r="AU148" s="202"/>
      <c r="AV148" s="202"/>
      <c r="AW148" s="202"/>
      <c r="AX148" s="202"/>
      <c r="AY148" s="202"/>
    </row>
    <row r="149" spans="1:51" x14ac:dyDescent="0.2">
      <c r="A149" s="76">
        <v>12</v>
      </c>
      <c r="B149" s="77" t="s">
        <v>1185</v>
      </c>
      <c r="C149" s="76" t="s">
        <v>164</v>
      </c>
      <c r="D149" s="76">
        <v>8</v>
      </c>
      <c r="E149" s="76">
        <v>1</v>
      </c>
      <c r="F149" s="76">
        <v>4.43</v>
      </c>
      <c r="G149" s="76">
        <v>47</v>
      </c>
      <c r="H149" s="76">
        <v>0</v>
      </c>
      <c r="I149" s="76">
        <v>0</v>
      </c>
      <c r="J149" s="76">
        <v>3</v>
      </c>
      <c r="K149" s="76">
        <v>65</v>
      </c>
      <c r="L149" s="76">
        <v>55</v>
      </c>
      <c r="M149" s="76">
        <v>33</v>
      </c>
      <c r="N149" s="76">
        <v>32</v>
      </c>
      <c r="O149" s="76">
        <v>10</v>
      </c>
      <c r="P149" s="76">
        <v>22</v>
      </c>
      <c r="Q149" s="76">
        <v>95</v>
      </c>
      <c r="R149" s="76">
        <v>0.224</v>
      </c>
      <c r="S149" s="76">
        <v>1.18</v>
      </c>
      <c r="T149" s="76">
        <v>12</v>
      </c>
      <c r="U149" s="77" t="s">
        <v>1185</v>
      </c>
      <c r="V149" s="76" t="s">
        <v>164</v>
      </c>
      <c r="W149" s="76">
        <v>0</v>
      </c>
      <c r="X149" s="76">
        <v>0</v>
      </c>
      <c r="Y149" s="76">
        <v>0</v>
      </c>
      <c r="Z149" s="76">
        <v>0</v>
      </c>
      <c r="AA149" s="76">
        <v>17</v>
      </c>
      <c r="AB149" s="76">
        <v>5</v>
      </c>
      <c r="AC149" s="76">
        <v>1</v>
      </c>
      <c r="AD149" s="76">
        <v>42</v>
      </c>
      <c r="AE149" s="76">
        <v>56</v>
      </c>
      <c r="AF149" s="76">
        <v>6</v>
      </c>
      <c r="AG149" s="76">
        <v>0</v>
      </c>
      <c r="AH149" s="76">
        <v>5</v>
      </c>
      <c r="AI149" s="76">
        <v>1</v>
      </c>
      <c r="AJ149" s="76">
        <v>0</v>
      </c>
      <c r="AK149" s="76">
        <v>270</v>
      </c>
      <c r="AL149" s="76">
        <v>1148</v>
      </c>
      <c r="AM149" s="202"/>
      <c r="AN149" s="77"/>
      <c r="AO149" s="202"/>
      <c r="AP149" s="202"/>
      <c r="AQ149" s="202"/>
      <c r="AR149" s="202"/>
      <c r="AS149" s="202"/>
      <c r="AT149" s="202"/>
      <c r="AU149" s="202"/>
      <c r="AV149" s="202"/>
      <c r="AW149" s="202"/>
      <c r="AX149" s="202"/>
      <c r="AY149" s="202"/>
    </row>
    <row r="150" spans="1:51" x14ac:dyDescent="0.2">
      <c r="A150" s="76">
        <v>13</v>
      </c>
      <c r="B150" s="77" t="s">
        <v>410</v>
      </c>
      <c r="C150" s="76" t="s">
        <v>164</v>
      </c>
      <c r="D150" s="76">
        <v>11</v>
      </c>
      <c r="E150" s="76">
        <v>8</v>
      </c>
      <c r="F150" s="76">
        <v>4.4800000000000004</v>
      </c>
      <c r="G150" s="76">
        <v>31</v>
      </c>
      <c r="H150" s="76">
        <v>30</v>
      </c>
      <c r="I150" s="76">
        <v>0</v>
      </c>
      <c r="J150" s="76">
        <v>0</v>
      </c>
      <c r="K150" s="76">
        <v>168.2</v>
      </c>
      <c r="L150" s="76">
        <v>187</v>
      </c>
      <c r="M150" s="76">
        <v>89</v>
      </c>
      <c r="N150" s="76">
        <v>84</v>
      </c>
      <c r="O150" s="76">
        <v>26</v>
      </c>
      <c r="P150" s="76">
        <v>42</v>
      </c>
      <c r="Q150" s="76">
        <v>134</v>
      </c>
      <c r="R150" s="76">
        <v>0.28000000000000003</v>
      </c>
      <c r="S150" s="76">
        <v>1.36</v>
      </c>
      <c r="T150" s="76">
        <v>13</v>
      </c>
      <c r="U150" s="77" t="s">
        <v>410</v>
      </c>
      <c r="V150" s="76" t="s">
        <v>164</v>
      </c>
      <c r="W150" s="76">
        <v>0</v>
      </c>
      <c r="X150" s="76">
        <v>0</v>
      </c>
      <c r="Y150" s="76">
        <v>7</v>
      </c>
      <c r="Z150" s="76">
        <v>0</v>
      </c>
      <c r="AA150" s="76">
        <v>0</v>
      </c>
      <c r="AB150" s="76">
        <v>0</v>
      </c>
      <c r="AC150" s="76">
        <v>6</v>
      </c>
      <c r="AD150" s="76">
        <v>177</v>
      </c>
      <c r="AE150" s="76">
        <v>177</v>
      </c>
      <c r="AF150" s="76">
        <v>17</v>
      </c>
      <c r="AG150" s="76">
        <v>0</v>
      </c>
      <c r="AH150" s="76">
        <v>5</v>
      </c>
      <c r="AI150" s="76">
        <v>7</v>
      </c>
      <c r="AJ150" s="76">
        <v>1</v>
      </c>
      <c r="AK150" s="76">
        <v>724</v>
      </c>
      <c r="AL150" s="76">
        <v>2771</v>
      </c>
      <c r="AM150" s="202"/>
      <c r="AN150" s="77"/>
      <c r="AO150" s="202"/>
      <c r="AP150" s="202"/>
      <c r="AQ150" s="202"/>
      <c r="AR150" s="202"/>
      <c r="AS150" s="202"/>
      <c r="AT150" s="202"/>
      <c r="AU150" s="202"/>
      <c r="AV150" s="202"/>
      <c r="AW150" s="202"/>
      <c r="AX150" s="202"/>
      <c r="AY150" s="202"/>
    </row>
    <row r="151" spans="1:51" x14ac:dyDescent="0.2">
      <c r="A151" s="76">
        <v>14</v>
      </c>
      <c r="B151" s="77" t="s">
        <v>1331</v>
      </c>
      <c r="C151" s="76" t="s">
        <v>164</v>
      </c>
      <c r="D151" s="76">
        <v>1</v>
      </c>
      <c r="E151" s="76">
        <v>1</v>
      </c>
      <c r="F151" s="76">
        <v>4.5</v>
      </c>
      <c r="G151" s="76">
        <v>22</v>
      </c>
      <c r="H151" s="76">
        <v>0</v>
      </c>
      <c r="I151" s="76">
        <v>0</v>
      </c>
      <c r="J151" s="76">
        <v>1</v>
      </c>
      <c r="K151" s="76">
        <v>22</v>
      </c>
      <c r="L151" s="76">
        <v>16</v>
      </c>
      <c r="M151" s="76">
        <v>12</v>
      </c>
      <c r="N151" s="76">
        <v>11</v>
      </c>
      <c r="O151" s="76">
        <v>5</v>
      </c>
      <c r="P151" s="76">
        <v>9</v>
      </c>
      <c r="Q151" s="76">
        <v>28</v>
      </c>
      <c r="R151" s="76">
        <v>0.20300000000000001</v>
      </c>
      <c r="S151" s="76">
        <v>1.1399999999999999</v>
      </c>
      <c r="T151" s="76">
        <v>14</v>
      </c>
      <c r="U151" s="77" t="s">
        <v>1331</v>
      </c>
      <c r="V151" s="76" t="s">
        <v>164</v>
      </c>
      <c r="W151" s="76">
        <v>0</v>
      </c>
      <c r="X151" s="76">
        <v>0</v>
      </c>
      <c r="Y151" s="76">
        <v>1</v>
      </c>
      <c r="Z151" s="76">
        <v>1</v>
      </c>
      <c r="AA151" s="76">
        <v>7</v>
      </c>
      <c r="AB151" s="76">
        <v>1</v>
      </c>
      <c r="AC151" s="76">
        <v>1</v>
      </c>
      <c r="AD151" s="76">
        <v>24</v>
      </c>
      <c r="AE151" s="76">
        <v>13</v>
      </c>
      <c r="AF151" s="76">
        <v>3</v>
      </c>
      <c r="AG151" s="76">
        <v>0</v>
      </c>
      <c r="AH151" s="76">
        <v>1</v>
      </c>
      <c r="AI151" s="76">
        <v>0</v>
      </c>
      <c r="AJ151" s="76">
        <v>0</v>
      </c>
      <c r="AK151" s="76">
        <v>91</v>
      </c>
      <c r="AL151" s="76">
        <v>375</v>
      </c>
      <c r="AM151" s="202"/>
      <c r="AN151" s="77"/>
      <c r="AO151" s="202"/>
      <c r="AP151" s="202"/>
      <c r="AQ151" s="202"/>
      <c r="AR151" s="202"/>
      <c r="AS151" s="202"/>
      <c r="AT151" s="202"/>
      <c r="AU151" s="202"/>
      <c r="AV151" s="202"/>
      <c r="AW151" s="202"/>
      <c r="AX151" s="202"/>
      <c r="AY151" s="202"/>
    </row>
    <row r="152" spans="1:51" ht="25.5" x14ac:dyDescent="0.2">
      <c r="A152" s="76">
        <v>15</v>
      </c>
      <c r="B152" s="77" t="s">
        <v>551</v>
      </c>
      <c r="C152" s="76" t="s">
        <v>164</v>
      </c>
      <c r="D152" s="76">
        <v>9</v>
      </c>
      <c r="E152" s="76">
        <v>12</v>
      </c>
      <c r="F152" s="76">
        <v>4.55</v>
      </c>
      <c r="G152" s="76">
        <v>26</v>
      </c>
      <c r="H152" s="76">
        <v>26</v>
      </c>
      <c r="I152" s="76">
        <v>0</v>
      </c>
      <c r="J152" s="76">
        <v>0</v>
      </c>
      <c r="K152" s="76">
        <v>168</v>
      </c>
      <c r="L152" s="76">
        <v>168</v>
      </c>
      <c r="M152" s="76">
        <v>88</v>
      </c>
      <c r="N152" s="76">
        <v>85</v>
      </c>
      <c r="O152" s="76">
        <v>20</v>
      </c>
      <c r="P152" s="76">
        <v>48</v>
      </c>
      <c r="Q152" s="76">
        <v>144</v>
      </c>
      <c r="R152" s="76">
        <v>0.25900000000000001</v>
      </c>
      <c r="S152" s="76">
        <v>1.29</v>
      </c>
      <c r="T152" s="76">
        <v>15</v>
      </c>
      <c r="U152" s="77" t="s">
        <v>551</v>
      </c>
      <c r="V152" s="76" t="s">
        <v>164</v>
      </c>
      <c r="W152" s="76">
        <v>1</v>
      </c>
      <c r="X152" s="76">
        <v>1</v>
      </c>
      <c r="Y152" s="76">
        <v>2</v>
      </c>
      <c r="Z152" s="76">
        <v>1</v>
      </c>
      <c r="AA152" s="76">
        <v>0</v>
      </c>
      <c r="AB152" s="76">
        <v>0</v>
      </c>
      <c r="AC152" s="76">
        <v>16</v>
      </c>
      <c r="AD152" s="76">
        <v>227</v>
      </c>
      <c r="AE152" s="76">
        <v>112</v>
      </c>
      <c r="AF152" s="76">
        <v>9</v>
      </c>
      <c r="AG152" s="76">
        <v>0</v>
      </c>
      <c r="AH152" s="76">
        <v>2</v>
      </c>
      <c r="AI152" s="76">
        <v>2</v>
      </c>
      <c r="AJ152" s="76">
        <v>0</v>
      </c>
      <c r="AK152" s="76">
        <v>701</v>
      </c>
      <c r="AL152" s="76">
        <v>2670</v>
      </c>
      <c r="AM152" s="202"/>
      <c r="AN152" s="77"/>
      <c r="AO152" s="202"/>
      <c r="AP152" s="202"/>
      <c r="AQ152" s="202"/>
      <c r="AR152" s="202"/>
      <c r="AS152" s="202"/>
      <c r="AT152" s="202"/>
      <c r="AU152" s="202"/>
      <c r="AV152" s="202"/>
      <c r="AW152" s="202"/>
      <c r="AX152" s="202"/>
      <c r="AY152" s="202"/>
    </row>
    <row r="153" spans="1:51" x14ac:dyDescent="0.2">
      <c r="A153" s="76">
        <v>16</v>
      </c>
      <c r="B153" s="77" t="s">
        <v>541</v>
      </c>
      <c r="C153" s="76" t="s">
        <v>164</v>
      </c>
      <c r="D153" s="76">
        <v>12</v>
      </c>
      <c r="E153" s="76">
        <v>13</v>
      </c>
      <c r="F153" s="76">
        <v>4.6399999999999997</v>
      </c>
      <c r="G153" s="76">
        <v>32</v>
      </c>
      <c r="H153" s="76">
        <v>32</v>
      </c>
      <c r="I153" s="76">
        <v>0</v>
      </c>
      <c r="J153" s="76">
        <v>0</v>
      </c>
      <c r="K153" s="76">
        <v>180.1</v>
      </c>
      <c r="L153" s="76">
        <v>195</v>
      </c>
      <c r="M153" s="76">
        <v>98</v>
      </c>
      <c r="N153" s="76">
        <v>93</v>
      </c>
      <c r="O153" s="76">
        <v>24</v>
      </c>
      <c r="P153" s="76">
        <v>62</v>
      </c>
      <c r="Q153" s="76">
        <v>115</v>
      </c>
      <c r="R153" s="76">
        <v>0.27600000000000002</v>
      </c>
      <c r="S153" s="76">
        <v>1.43</v>
      </c>
      <c r="T153" s="76">
        <v>16</v>
      </c>
      <c r="U153" s="77" t="s">
        <v>541</v>
      </c>
      <c r="V153" s="76" t="s">
        <v>164</v>
      </c>
      <c r="W153" s="76">
        <v>0</v>
      </c>
      <c r="X153" s="76">
        <v>0</v>
      </c>
      <c r="Y153" s="76">
        <v>7</v>
      </c>
      <c r="Z153" s="76">
        <v>1</v>
      </c>
      <c r="AA153" s="76">
        <v>0</v>
      </c>
      <c r="AB153" s="76">
        <v>0</v>
      </c>
      <c r="AC153" s="76">
        <v>20</v>
      </c>
      <c r="AD153" s="76">
        <v>215</v>
      </c>
      <c r="AE153" s="76">
        <v>184</v>
      </c>
      <c r="AF153" s="76">
        <v>10</v>
      </c>
      <c r="AG153" s="76">
        <v>0</v>
      </c>
      <c r="AH153" s="76">
        <v>3</v>
      </c>
      <c r="AI153" s="76">
        <v>3</v>
      </c>
      <c r="AJ153" s="76">
        <v>0</v>
      </c>
      <c r="AK153" s="76">
        <v>779</v>
      </c>
      <c r="AL153" s="76">
        <v>3000</v>
      </c>
      <c r="AM153" s="202"/>
      <c r="AN153" s="77"/>
      <c r="AO153" s="202"/>
      <c r="AP153" s="202"/>
      <c r="AQ153" s="202"/>
      <c r="AR153" s="202"/>
      <c r="AS153" s="202"/>
      <c r="AT153" s="202"/>
      <c r="AU153" s="202"/>
      <c r="AV153" s="202"/>
      <c r="AW153" s="202"/>
      <c r="AX153" s="202"/>
      <c r="AY153" s="202"/>
    </row>
    <row r="154" spans="1:51" x14ac:dyDescent="0.2">
      <c r="A154" s="76">
        <v>17</v>
      </c>
      <c r="B154" s="77" t="s">
        <v>328</v>
      </c>
      <c r="C154" s="76" t="s">
        <v>164</v>
      </c>
      <c r="D154" s="76">
        <v>1</v>
      </c>
      <c r="E154" s="76">
        <v>2</v>
      </c>
      <c r="F154" s="76">
        <v>4.95</v>
      </c>
      <c r="G154" s="76">
        <v>60</v>
      </c>
      <c r="H154" s="76">
        <v>0</v>
      </c>
      <c r="I154" s="76">
        <v>1</v>
      </c>
      <c r="J154" s="76">
        <v>2</v>
      </c>
      <c r="K154" s="76">
        <v>43.2</v>
      </c>
      <c r="L154" s="76">
        <v>52</v>
      </c>
      <c r="M154" s="76">
        <v>26</v>
      </c>
      <c r="N154" s="76">
        <v>24</v>
      </c>
      <c r="O154" s="76">
        <v>12</v>
      </c>
      <c r="P154" s="76">
        <v>18</v>
      </c>
      <c r="Q154" s="76">
        <v>40</v>
      </c>
      <c r="R154" s="76">
        <v>0.29699999999999999</v>
      </c>
      <c r="S154" s="76">
        <v>1.6</v>
      </c>
      <c r="T154" s="76">
        <v>17</v>
      </c>
      <c r="U154" s="77" t="s">
        <v>328</v>
      </c>
      <c r="V154" s="76" t="s">
        <v>164</v>
      </c>
      <c r="W154" s="76">
        <v>0</v>
      </c>
      <c r="X154" s="76">
        <v>0</v>
      </c>
      <c r="Y154" s="76">
        <v>1</v>
      </c>
      <c r="Z154" s="76">
        <v>0</v>
      </c>
      <c r="AA154" s="76">
        <v>13</v>
      </c>
      <c r="AB154" s="76">
        <v>12</v>
      </c>
      <c r="AC154" s="76">
        <v>6</v>
      </c>
      <c r="AD154" s="76">
        <v>37</v>
      </c>
      <c r="AE154" s="76">
        <v>47</v>
      </c>
      <c r="AF154" s="76">
        <v>0</v>
      </c>
      <c r="AG154" s="76">
        <v>0</v>
      </c>
      <c r="AH154" s="76">
        <v>2</v>
      </c>
      <c r="AI154" s="76">
        <v>1</v>
      </c>
      <c r="AJ154" s="76">
        <v>1</v>
      </c>
      <c r="AK154" s="76">
        <v>195</v>
      </c>
      <c r="AL154" s="76">
        <v>780</v>
      </c>
      <c r="AM154" s="202"/>
      <c r="AN154" s="77"/>
      <c r="AO154" s="202"/>
      <c r="AP154" s="202"/>
      <c r="AQ154" s="202"/>
      <c r="AR154" s="202"/>
      <c r="AS154" s="202"/>
      <c r="AT154" s="202"/>
      <c r="AU154" s="202"/>
      <c r="AV154" s="202"/>
      <c r="AW154" s="202"/>
      <c r="AX154" s="202"/>
      <c r="AY154" s="202"/>
    </row>
    <row r="155" spans="1:51" ht="25.5" x14ac:dyDescent="0.2">
      <c r="A155" s="76">
        <v>18</v>
      </c>
      <c r="B155" s="77" t="s">
        <v>1332</v>
      </c>
      <c r="C155" s="76" t="s">
        <v>164</v>
      </c>
      <c r="D155" s="76">
        <v>0</v>
      </c>
      <c r="E155" s="76">
        <v>1</v>
      </c>
      <c r="F155" s="76">
        <v>5.14</v>
      </c>
      <c r="G155" s="76">
        <v>3</v>
      </c>
      <c r="H155" s="76">
        <v>1</v>
      </c>
      <c r="I155" s="76">
        <v>0</v>
      </c>
      <c r="J155" s="76">
        <v>0</v>
      </c>
      <c r="K155" s="76">
        <v>7</v>
      </c>
      <c r="L155" s="76">
        <v>6</v>
      </c>
      <c r="M155" s="76">
        <v>4</v>
      </c>
      <c r="N155" s="76">
        <v>4</v>
      </c>
      <c r="O155" s="76">
        <v>0</v>
      </c>
      <c r="P155" s="76">
        <v>3</v>
      </c>
      <c r="Q155" s="76">
        <v>2</v>
      </c>
      <c r="R155" s="76">
        <v>0.24</v>
      </c>
      <c r="S155" s="76">
        <v>1.29</v>
      </c>
      <c r="T155" s="76">
        <v>18</v>
      </c>
      <c r="U155" s="77" t="s">
        <v>1332</v>
      </c>
      <c r="V155" s="76" t="s">
        <v>164</v>
      </c>
      <c r="W155" s="76">
        <v>0</v>
      </c>
      <c r="X155" s="76">
        <v>0</v>
      </c>
      <c r="Y155" s="76">
        <v>1</v>
      </c>
      <c r="Z155" s="76">
        <v>0</v>
      </c>
      <c r="AA155" s="76">
        <v>1</v>
      </c>
      <c r="AB155" s="76">
        <v>0</v>
      </c>
      <c r="AC155" s="76">
        <v>2</v>
      </c>
      <c r="AD155" s="76">
        <v>8</v>
      </c>
      <c r="AE155" s="76">
        <v>9</v>
      </c>
      <c r="AF155" s="76">
        <v>2</v>
      </c>
      <c r="AG155" s="76">
        <v>0</v>
      </c>
      <c r="AH155" s="76">
        <v>1</v>
      </c>
      <c r="AI155" s="76">
        <v>0</v>
      </c>
      <c r="AJ155" s="76">
        <v>0</v>
      </c>
      <c r="AK155" s="76">
        <v>29</v>
      </c>
      <c r="AL155" s="76">
        <v>126</v>
      </c>
      <c r="AM155" s="202"/>
      <c r="AN155" s="77"/>
      <c r="AO155" s="202"/>
      <c r="AP155" s="202"/>
      <c r="AQ155" s="202"/>
      <c r="AR155" s="202"/>
      <c r="AS155" s="202"/>
      <c r="AT155" s="202"/>
      <c r="AU155" s="202"/>
      <c r="AV155" s="202"/>
      <c r="AW155" s="202"/>
      <c r="AX155" s="202"/>
      <c r="AY155" s="202"/>
    </row>
    <row r="156" spans="1:51" x14ac:dyDescent="0.2">
      <c r="A156" s="76">
        <v>19</v>
      </c>
      <c r="B156" s="77" t="s">
        <v>550</v>
      </c>
      <c r="C156" s="76" t="s">
        <v>164</v>
      </c>
      <c r="D156" s="76">
        <v>0</v>
      </c>
      <c r="E156" s="76">
        <v>0</v>
      </c>
      <c r="F156" s="76">
        <v>6.89</v>
      </c>
      <c r="G156" s="76">
        <v>15</v>
      </c>
      <c r="H156" s="76">
        <v>0</v>
      </c>
      <c r="I156" s="76">
        <v>0</v>
      </c>
      <c r="J156" s="76">
        <v>0</v>
      </c>
      <c r="K156" s="76">
        <v>15.2</v>
      </c>
      <c r="L156" s="76">
        <v>23</v>
      </c>
      <c r="M156" s="76">
        <v>14</v>
      </c>
      <c r="N156" s="76">
        <v>12</v>
      </c>
      <c r="O156" s="76">
        <v>2</v>
      </c>
      <c r="P156" s="76">
        <v>3</v>
      </c>
      <c r="Q156" s="76">
        <v>20</v>
      </c>
      <c r="R156" s="76">
        <v>0.34300000000000003</v>
      </c>
      <c r="S156" s="76">
        <v>1.66</v>
      </c>
      <c r="T156" s="76">
        <v>19</v>
      </c>
      <c r="U156" s="77" t="s">
        <v>550</v>
      </c>
      <c r="V156" s="76" t="s">
        <v>164</v>
      </c>
      <c r="W156" s="76">
        <v>0</v>
      </c>
      <c r="X156" s="76">
        <v>0</v>
      </c>
      <c r="Y156" s="76">
        <v>0</v>
      </c>
      <c r="Z156" s="76">
        <v>0</v>
      </c>
      <c r="AA156" s="76">
        <v>7</v>
      </c>
      <c r="AB156" s="76">
        <v>0</v>
      </c>
      <c r="AC156" s="76">
        <v>2</v>
      </c>
      <c r="AD156" s="76">
        <v>10</v>
      </c>
      <c r="AE156" s="76">
        <v>15</v>
      </c>
      <c r="AF156" s="76">
        <v>0</v>
      </c>
      <c r="AG156" s="76">
        <v>0</v>
      </c>
      <c r="AH156" s="76">
        <v>0</v>
      </c>
      <c r="AI156" s="76">
        <v>0</v>
      </c>
      <c r="AJ156" s="76">
        <v>0</v>
      </c>
      <c r="AK156" s="76">
        <v>71</v>
      </c>
      <c r="AL156" s="76">
        <v>267</v>
      </c>
      <c r="AM156" s="202"/>
      <c r="AN156" s="77"/>
      <c r="AO156" s="202"/>
      <c r="AP156" s="202"/>
      <c r="AQ156" s="202"/>
      <c r="AR156" s="202"/>
      <c r="AS156" s="202"/>
      <c r="AT156" s="202"/>
      <c r="AU156" s="202"/>
      <c r="AV156" s="202"/>
      <c r="AW156" s="202"/>
      <c r="AX156" s="202"/>
      <c r="AY156" s="202"/>
    </row>
    <row r="157" spans="1:51" ht="25.5" x14ac:dyDescent="0.2">
      <c r="A157" s="76">
        <v>20</v>
      </c>
      <c r="B157" s="77" t="s">
        <v>546</v>
      </c>
      <c r="C157" s="76" t="s">
        <v>164</v>
      </c>
      <c r="D157" s="76">
        <v>0</v>
      </c>
      <c r="E157" s="76">
        <v>0</v>
      </c>
      <c r="F157" s="76">
        <v>9</v>
      </c>
      <c r="G157" s="76">
        <v>9</v>
      </c>
      <c r="H157" s="76">
        <v>0</v>
      </c>
      <c r="I157" s="76">
        <v>0</v>
      </c>
      <c r="J157" s="76">
        <v>0</v>
      </c>
      <c r="K157" s="76">
        <v>8</v>
      </c>
      <c r="L157" s="76">
        <v>15</v>
      </c>
      <c r="M157" s="76">
        <v>8</v>
      </c>
      <c r="N157" s="76">
        <v>8</v>
      </c>
      <c r="O157" s="76">
        <v>0</v>
      </c>
      <c r="P157" s="76">
        <v>4</v>
      </c>
      <c r="Q157" s="76">
        <v>6</v>
      </c>
      <c r="R157" s="76">
        <v>0.39500000000000002</v>
      </c>
      <c r="S157" s="76">
        <v>2.38</v>
      </c>
      <c r="T157" s="76">
        <v>20</v>
      </c>
      <c r="U157" s="77" t="s">
        <v>546</v>
      </c>
      <c r="V157" s="76" t="s">
        <v>164</v>
      </c>
      <c r="W157" s="76">
        <v>0</v>
      </c>
      <c r="X157" s="76">
        <v>0</v>
      </c>
      <c r="Y157" s="76">
        <v>0</v>
      </c>
      <c r="Z157" s="76">
        <v>0</v>
      </c>
      <c r="AA157" s="76">
        <v>1</v>
      </c>
      <c r="AB157" s="76">
        <v>0</v>
      </c>
      <c r="AC157" s="76">
        <v>1</v>
      </c>
      <c r="AD157" s="76">
        <v>9</v>
      </c>
      <c r="AE157" s="76">
        <v>8</v>
      </c>
      <c r="AF157" s="76">
        <v>0</v>
      </c>
      <c r="AG157" s="76">
        <v>0</v>
      </c>
      <c r="AH157" s="76">
        <v>1</v>
      </c>
      <c r="AI157" s="76">
        <v>0</v>
      </c>
      <c r="AJ157" s="76">
        <v>0</v>
      </c>
      <c r="AK157" s="76">
        <v>42</v>
      </c>
      <c r="AL157" s="76">
        <v>147</v>
      </c>
      <c r="AM157" s="202"/>
      <c r="AN157" s="77"/>
      <c r="AO157" s="202"/>
      <c r="AP157" s="202"/>
      <c r="AQ157" s="202"/>
      <c r="AR157" s="202"/>
      <c r="AS157" s="202"/>
      <c r="AT157" s="202"/>
      <c r="AU157" s="202"/>
      <c r="AV157" s="202"/>
      <c r="AW157" s="202"/>
      <c r="AX157" s="202"/>
      <c r="AY157" s="202"/>
    </row>
    <row r="158" spans="1:51" x14ac:dyDescent="0.2">
      <c r="A158" s="76">
        <v>20</v>
      </c>
      <c r="B158" s="77" t="s">
        <v>1333</v>
      </c>
      <c r="C158" s="76" t="s">
        <v>164</v>
      </c>
      <c r="D158" s="76">
        <v>0</v>
      </c>
      <c r="E158" s="76">
        <v>0</v>
      </c>
      <c r="F158" s="76">
        <v>9</v>
      </c>
      <c r="G158" s="76">
        <v>1</v>
      </c>
      <c r="H158" s="76">
        <v>0</v>
      </c>
      <c r="I158" s="76">
        <v>0</v>
      </c>
      <c r="J158" s="76">
        <v>0</v>
      </c>
      <c r="K158" s="76">
        <v>1</v>
      </c>
      <c r="L158" s="76">
        <v>3</v>
      </c>
      <c r="M158" s="76">
        <v>2</v>
      </c>
      <c r="N158" s="76">
        <v>1</v>
      </c>
      <c r="O158" s="76">
        <v>0</v>
      </c>
      <c r="P158" s="76">
        <v>0</v>
      </c>
      <c r="Q158" s="76">
        <v>0</v>
      </c>
      <c r="R158" s="76">
        <v>0.5</v>
      </c>
      <c r="S158" s="76">
        <v>3</v>
      </c>
      <c r="T158" s="76">
        <v>20</v>
      </c>
      <c r="U158" s="77" t="s">
        <v>1333</v>
      </c>
      <c r="V158" s="76" t="s">
        <v>164</v>
      </c>
      <c r="W158" s="76">
        <v>0</v>
      </c>
      <c r="X158" s="76">
        <v>0</v>
      </c>
      <c r="Y158" s="76">
        <v>0</v>
      </c>
      <c r="Z158" s="76">
        <v>0</v>
      </c>
      <c r="AA158" s="76">
        <v>1</v>
      </c>
      <c r="AB158" s="76">
        <v>0</v>
      </c>
      <c r="AC158" s="76">
        <v>0</v>
      </c>
      <c r="AD158" s="76">
        <v>2</v>
      </c>
      <c r="AE158" s="76">
        <v>1</v>
      </c>
      <c r="AF158" s="76">
        <v>2</v>
      </c>
      <c r="AG158" s="76">
        <v>0</v>
      </c>
      <c r="AH158" s="76">
        <v>0</v>
      </c>
      <c r="AI158" s="76">
        <v>0</v>
      </c>
      <c r="AJ158" s="76">
        <v>0</v>
      </c>
      <c r="AK158" s="76">
        <v>6</v>
      </c>
      <c r="AL158" s="76">
        <v>27</v>
      </c>
      <c r="AM158" s="102"/>
      <c r="AN158" s="102"/>
      <c r="AO158" s="102"/>
      <c r="AP158" s="102"/>
      <c r="AQ158" s="102"/>
      <c r="AR158" s="102"/>
      <c r="AS158" s="102"/>
      <c r="AT158" s="102"/>
      <c r="AU158" s="102"/>
      <c r="AV158" s="102"/>
      <c r="AW158" s="102"/>
      <c r="AX158" s="102"/>
      <c r="AY158" s="102"/>
    </row>
    <row r="159" spans="1:51" x14ac:dyDescent="0.2">
      <c r="A159" s="76">
        <v>20</v>
      </c>
      <c r="B159" s="77" t="s">
        <v>1334</v>
      </c>
      <c r="C159" s="76" t="s">
        <v>164</v>
      </c>
      <c r="D159" s="76">
        <v>0</v>
      </c>
      <c r="E159" s="76">
        <v>0</v>
      </c>
      <c r="F159" s="76">
        <v>9</v>
      </c>
      <c r="G159" s="76">
        <v>1</v>
      </c>
      <c r="H159" s="76">
        <v>0</v>
      </c>
      <c r="I159" s="76">
        <v>0</v>
      </c>
      <c r="J159" s="76">
        <v>0</v>
      </c>
      <c r="K159" s="76">
        <v>1</v>
      </c>
      <c r="L159" s="76">
        <v>1</v>
      </c>
      <c r="M159" s="76">
        <v>1</v>
      </c>
      <c r="N159" s="76">
        <v>1</v>
      </c>
      <c r="O159" s="76">
        <v>1</v>
      </c>
      <c r="P159" s="76">
        <v>0</v>
      </c>
      <c r="Q159" s="76">
        <v>0</v>
      </c>
      <c r="R159" s="76">
        <v>0.25</v>
      </c>
      <c r="S159" s="76">
        <v>1</v>
      </c>
      <c r="T159" s="76">
        <v>20</v>
      </c>
      <c r="U159" s="77" t="s">
        <v>1334</v>
      </c>
      <c r="V159" s="76" t="s">
        <v>164</v>
      </c>
      <c r="W159" s="76">
        <v>0</v>
      </c>
      <c r="X159" s="76">
        <v>0</v>
      </c>
      <c r="Y159" s="76">
        <v>0</v>
      </c>
      <c r="Z159" s="76">
        <v>0</v>
      </c>
      <c r="AA159" s="76">
        <v>1</v>
      </c>
      <c r="AB159" s="76">
        <v>0</v>
      </c>
      <c r="AC159" s="76">
        <v>0</v>
      </c>
      <c r="AD159" s="76">
        <v>2</v>
      </c>
      <c r="AE159" s="76">
        <v>1</v>
      </c>
      <c r="AF159" s="76">
        <v>0</v>
      </c>
      <c r="AG159" s="76">
        <v>0</v>
      </c>
      <c r="AH159" s="76">
        <v>0</v>
      </c>
      <c r="AI159" s="76">
        <v>0</v>
      </c>
      <c r="AJ159" s="76">
        <v>0</v>
      </c>
      <c r="AK159" s="76">
        <v>4</v>
      </c>
      <c r="AL159" s="76">
        <v>17</v>
      </c>
      <c r="AM159" s="202"/>
      <c r="AN159" s="77"/>
      <c r="AO159" s="202"/>
      <c r="AP159" s="202"/>
      <c r="AQ159" s="202"/>
      <c r="AR159" s="202"/>
      <c r="AS159" s="202"/>
      <c r="AT159" s="202"/>
      <c r="AU159" s="202"/>
      <c r="AV159" s="202"/>
      <c r="AW159" s="202"/>
      <c r="AX159" s="202"/>
      <c r="AY159" s="202"/>
    </row>
    <row r="160" spans="1:51" ht="25.5" x14ac:dyDescent="0.2">
      <c r="A160" s="76">
        <v>23</v>
      </c>
      <c r="B160" s="77" t="s">
        <v>1335</v>
      </c>
      <c r="C160" s="76" t="s">
        <v>164</v>
      </c>
      <c r="D160" s="76">
        <v>0</v>
      </c>
      <c r="E160" s="76">
        <v>1</v>
      </c>
      <c r="F160" s="76">
        <v>15.12</v>
      </c>
      <c r="G160" s="76">
        <v>5</v>
      </c>
      <c r="H160" s="76">
        <v>1</v>
      </c>
      <c r="I160" s="76">
        <v>0</v>
      </c>
      <c r="J160" s="76">
        <v>0</v>
      </c>
      <c r="K160" s="76">
        <v>8.1</v>
      </c>
      <c r="L160" s="76">
        <v>15</v>
      </c>
      <c r="M160" s="76">
        <v>14</v>
      </c>
      <c r="N160" s="76">
        <v>14</v>
      </c>
      <c r="O160" s="76">
        <v>0</v>
      </c>
      <c r="P160" s="76">
        <v>7</v>
      </c>
      <c r="Q160" s="76">
        <v>3</v>
      </c>
      <c r="R160" s="76">
        <v>0.38500000000000001</v>
      </c>
      <c r="S160" s="76">
        <v>2.64</v>
      </c>
      <c r="T160" s="76">
        <v>23</v>
      </c>
      <c r="U160" s="77" t="s">
        <v>1335</v>
      </c>
      <c r="V160" s="76" t="s">
        <v>164</v>
      </c>
      <c r="W160" s="76">
        <v>0</v>
      </c>
      <c r="X160" s="76">
        <v>0</v>
      </c>
      <c r="Y160" s="76">
        <v>1</v>
      </c>
      <c r="Z160" s="76">
        <v>0</v>
      </c>
      <c r="AA160" s="76">
        <v>2</v>
      </c>
      <c r="AB160" s="76">
        <v>0</v>
      </c>
      <c r="AC160" s="76">
        <v>0</v>
      </c>
      <c r="AD160" s="76">
        <v>4</v>
      </c>
      <c r="AE160" s="76">
        <v>18</v>
      </c>
      <c r="AF160" s="76">
        <v>0</v>
      </c>
      <c r="AG160" s="76">
        <v>0</v>
      </c>
      <c r="AH160" s="76">
        <v>1</v>
      </c>
      <c r="AI160" s="76">
        <v>0</v>
      </c>
      <c r="AJ160" s="76">
        <v>0</v>
      </c>
      <c r="AK160" s="76">
        <v>48</v>
      </c>
      <c r="AL160" s="76">
        <v>193</v>
      </c>
      <c r="AM160" s="202"/>
      <c r="AN160" s="77"/>
      <c r="AO160" s="202"/>
      <c r="AP160" s="202"/>
      <c r="AQ160" s="202"/>
      <c r="AR160" s="202"/>
      <c r="AS160" s="202"/>
      <c r="AT160" s="202"/>
      <c r="AU160" s="202"/>
      <c r="AV160" s="202"/>
      <c r="AW160" s="202"/>
      <c r="AX160" s="202"/>
      <c r="AY160" s="202"/>
    </row>
    <row r="161" spans="1:51" x14ac:dyDescent="0.2">
      <c r="A161" s="225" t="s">
        <v>105</v>
      </c>
      <c r="B161" s="225" t="s">
        <v>106</v>
      </c>
      <c r="C161" s="225" t="s">
        <v>157</v>
      </c>
      <c r="D161" s="225" t="s">
        <v>85</v>
      </c>
      <c r="E161" s="225" t="s">
        <v>86</v>
      </c>
      <c r="F161" s="225" t="s">
        <v>107</v>
      </c>
      <c r="G161" s="225" t="s">
        <v>108</v>
      </c>
      <c r="H161" s="225" t="s">
        <v>88</v>
      </c>
      <c r="I161" s="225" t="s">
        <v>90</v>
      </c>
      <c r="J161" s="225" t="s">
        <v>158</v>
      </c>
      <c r="K161" s="225" t="s">
        <v>91</v>
      </c>
      <c r="L161" s="225" t="s">
        <v>92</v>
      </c>
      <c r="M161" s="225" t="s">
        <v>93</v>
      </c>
      <c r="N161" s="225" t="s">
        <v>94</v>
      </c>
      <c r="O161" s="225" t="s">
        <v>95</v>
      </c>
      <c r="P161" s="225" t="s">
        <v>96</v>
      </c>
      <c r="Q161" s="225" t="s">
        <v>97</v>
      </c>
      <c r="R161" s="225" t="s">
        <v>1071</v>
      </c>
      <c r="S161" s="225" t="s">
        <v>1072</v>
      </c>
      <c r="T161" s="225" t="s">
        <v>105</v>
      </c>
      <c r="U161" s="225" t="s">
        <v>106</v>
      </c>
      <c r="V161" s="225" t="s">
        <v>157</v>
      </c>
      <c r="W161" s="225" t="s">
        <v>89</v>
      </c>
      <c r="X161" s="225" t="s">
        <v>1073</v>
      </c>
      <c r="Y161" s="225" t="s">
        <v>1074</v>
      </c>
      <c r="Z161" s="225" t="s">
        <v>98</v>
      </c>
      <c r="AA161" s="225" t="s">
        <v>1075</v>
      </c>
      <c r="AB161" s="225" t="s">
        <v>1076</v>
      </c>
      <c r="AC161" s="225" t="s">
        <v>1077</v>
      </c>
      <c r="AD161" s="225" t="s">
        <v>1066</v>
      </c>
      <c r="AE161" s="225" t="s">
        <v>1067</v>
      </c>
      <c r="AF161" s="225" t="s">
        <v>1078</v>
      </c>
      <c r="AG161" s="225" t="s">
        <v>1079</v>
      </c>
      <c r="AH161" s="225" t="s">
        <v>1057</v>
      </c>
      <c r="AI161" s="225" t="s">
        <v>1058</v>
      </c>
      <c r="AJ161" s="225" t="s">
        <v>1080</v>
      </c>
      <c r="AK161" s="225" t="s">
        <v>109</v>
      </c>
      <c r="AL161" s="225" t="s">
        <v>1069</v>
      </c>
      <c r="AM161" s="202"/>
      <c r="AN161" s="77"/>
      <c r="AO161" s="202"/>
      <c r="AP161" s="202"/>
      <c r="AQ161" s="202"/>
      <c r="AR161" s="202"/>
      <c r="AS161" s="202"/>
      <c r="AT161" s="202"/>
      <c r="AU161" s="202"/>
      <c r="AV161" s="202"/>
      <c r="AW161" s="202"/>
      <c r="AX161" s="202"/>
      <c r="AY161" s="202"/>
    </row>
    <row r="162" spans="1:51" x14ac:dyDescent="0.2">
      <c r="A162" s="76">
        <v>1</v>
      </c>
      <c r="B162" s="77" t="s">
        <v>1336</v>
      </c>
      <c r="C162" s="76" t="s">
        <v>150</v>
      </c>
      <c r="D162" s="76">
        <v>0</v>
      </c>
      <c r="E162" s="76">
        <v>0</v>
      </c>
      <c r="F162" s="76">
        <v>0</v>
      </c>
      <c r="G162" s="76">
        <v>2</v>
      </c>
      <c r="H162" s="76">
        <v>0</v>
      </c>
      <c r="I162" s="76">
        <v>0</v>
      </c>
      <c r="J162" s="76">
        <v>0</v>
      </c>
      <c r="K162" s="76">
        <v>1.1000000000000001</v>
      </c>
      <c r="L162" s="76">
        <v>1</v>
      </c>
      <c r="M162" s="76">
        <v>0</v>
      </c>
      <c r="N162" s="76">
        <v>0</v>
      </c>
      <c r="O162" s="76">
        <v>0</v>
      </c>
      <c r="P162" s="76">
        <v>0</v>
      </c>
      <c r="Q162" s="76">
        <v>1</v>
      </c>
      <c r="R162" s="76">
        <v>0.2</v>
      </c>
      <c r="S162" s="76">
        <v>0.75</v>
      </c>
      <c r="T162" s="76">
        <v>1</v>
      </c>
      <c r="U162" s="77" t="s">
        <v>1336</v>
      </c>
      <c r="V162" s="76" t="s">
        <v>150</v>
      </c>
      <c r="W162" s="76">
        <v>0</v>
      </c>
      <c r="X162" s="76">
        <v>0</v>
      </c>
      <c r="Y162" s="76">
        <v>0</v>
      </c>
      <c r="Z162" s="76">
        <v>0</v>
      </c>
      <c r="AA162" s="76">
        <v>2</v>
      </c>
      <c r="AB162" s="76">
        <v>0</v>
      </c>
      <c r="AC162" s="76">
        <v>0</v>
      </c>
      <c r="AD162" s="76">
        <v>2</v>
      </c>
      <c r="AE162" s="76">
        <v>1</v>
      </c>
      <c r="AF162" s="76">
        <v>0</v>
      </c>
      <c r="AG162" s="76">
        <v>0</v>
      </c>
      <c r="AH162" s="76">
        <v>0</v>
      </c>
      <c r="AI162" s="76">
        <v>0</v>
      </c>
      <c r="AJ162" s="76">
        <v>0</v>
      </c>
      <c r="AK162" s="76">
        <v>5</v>
      </c>
      <c r="AL162" s="76">
        <v>22</v>
      </c>
      <c r="AM162" s="202"/>
      <c r="AN162" s="77"/>
      <c r="AO162" s="202"/>
      <c r="AP162" s="202"/>
      <c r="AQ162" s="202"/>
      <c r="AR162" s="202"/>
      <c r="AS162" s="202"/>
      <c r="AT162" s="202"/>
      <c r="AU162" s="202"/>
      <c r="AV162" s="202"/>
      <c r="AW162" s="202"/>
      <c r="AX162" s="202"/>
      <c r="AY162" s="202"/>
    </row>
    <row r="163" spans="1:51" ht="25.5" x14ac:dyDescent="0.2">
      <c r="A163" s="76">
        <v>2</v>
      </c>
      <c r="B163" s="77" t="s">
        <v>1337</v>
      </c>
      <c r="C163" s="76" t="s">
        <v>150</v>
      </c>
      <c r="D163" s="76">
        <v>2</v>
      </c>
      <c r="E163" s="76">
        <v>2</v>
      </c>
      <c r="F163" s="76">
        <v>1.23</v>
      </c>
      <c r="G163" s="76">
        <v>21</v>
      </c>
      <c r="H163" s="76">
        <v>0</v>
      </c>
      <c r="I163" s="76">
        <v>0</v>
      </c>
      <c r="J163" s="76">
        <v>0</v>
      </c>
      <c r="K163" s="76">
        <v>22</v>
      </c>
      <c r="L163" s="76">
        <v>13</v>
      </c>
      <c r="M163" s="76">
        <v>4</v>
      </c>
      <c r="N163" s="76">
        <v>3</v>
      </c>
      <c r="O163" s="76">
        <v>0</v>
      </c>
      <c r="P163" s="76">
        <v>11</v>
      </c>
      <c r="Q163" s="76">
        <v>30</v>
      </c>
      <c r="R163" s="76">
        <v>0.17299999999999999</v>
      </c>
      <c r="S163" s="76">
        <v>1.0900000000000001</v>
      </c>
      <c r="T163" s="76">
        <v>2</v>
      </c>
      <c r="U163" s="77" t="s">
        <v>1337</v>
      </c>
      <c r="V163" s="76" t="s">
        <v>150</v>
      </c>
      <c r="W163" s="76">
        <v>0</v>
      </c>
      <c r="X163" s="76">
        <v>0</v>
      </c>
      <c r="Y163" s="76">
        <v>1</v>
      </c>
      <c r="Z163" s="76">
        <v>1</v>
      </c>
      <c r="AA163" s="76">
        <v>1</v>
      </c>
      <c r="AB163" s="76">
        <v>6</v>
      </c>
      <c r="AC163" s="76">
        <v>3</v>
      </c>
      <c r="AD163" s="76">
        <v>17</v>
      </c>
      <c r="AE163" s="76">
        <v>16</v>
      </c>
      <c r="AF163" s="76">
        <v>1</v>
      </c>
      <c r="AG163" s="76">
        <v>0</v>
      </c>
      <c r="AH163" s="76">
        <v>0</v>
      </c>
      <c r="AI163" s="76">
        <v>1</v>
      </c>
      <c r="AJ163" s="76">
        <v>0</v>
      </c>
      <c r="AK163" s="76">
        <v>88</v>
      </c>
      <c r="AL163" s="76">
        <v>433</v>
      </c>
      <c r="AM163" s="202"/>
      <c r="AN163" s="77"/>
      <c r="AO163" s="202"/>
      <c r="AP163" s="202"/>
      <c r="AQ163" s="202"/>
      <c r="AR163" s="202"/>
      <c r="AS163" s="202"/>
      <c r="AT163" s="202"/>
      <c r="AU163" s="202"/>
      <c r="AV163" s="202"/>
      <c r="AW163" s="202"/>
      <c r="AX163" s="202"/>
      <c r="AY163" s="202"/>
    </row>
    <row r="164" spans="1:51" x14ac:dyDescent="0.2">
      <c r="A164" s="76">
        <v>3</v>
      </c>
      <c r="B164" s="77" t="s">
        <v>561</v>
      </c>
      <c r="C164" s="76" t="s">
        <v>150</v>
      </c>
      <c r="D164" s="76">
        <v>2</v>
      </c>
      <c r="E164" s="76">
        <v>1</v>
      </c>
      <c r="F164" s="76">
        <v>1.87</v>
      </c>
      <c r="G164" s="76">
        <v>45</v>
      </c>
      <c r="H164" s="76">
        <v>0</v>
      </c>
      <c r="I164" s="76">
        <v>27</v>
      </c>
      <c r="J164" s="76">
        <v>30</v>
      </c>
      <c r="K164" s="76">
        <v>43.1</v>
      </c>
      <c r="L164" s="76">
        <v>33</v>
      </c>
      <c r="M164" s="76">
        <v>9</v>
      </c>
      <c r="N164" s="76">
        <v>9</v>
      </c>
      <c r="O164" s="76">
        <v>0</v>
      </c>
      <c r="P164" s="76">
        <v>16</v>
      </c>
      <c r="Q164" s="76">
        <v>47</v>
      </c>
      <c r="R164" s="76">
        <v>0.21</v>
      </c>
      <c r="S164" s="76">
        <v>1.1299999999999999</v>
      </c>
      <c r="T164" s="76">
        <v>3</v>
      </c>
      <c r="U164" s="77" t="s">
        <v>561</v>
      </c>
      <c r="V164" s="76" t="s">
        <v>150</v>
      </c>
      <c r="W164" s="76">
        <v>0</v>
      </c>
      <c r="X164" s="76">
        <v>0</v>
      </c>
      <c r="Y164" s="76">
        <v>3</v>
      </c>
      <c r="Z164" s="76">
        <v>0</v>
      </c>
      <c r="AA164" s="76">
        <v>40</v>
      </c>
      <c r="AB164" s="76">
        <v>0</v>
      </c>
      <c r="AC164" s="76">
        <v>4</v>
      </c>
      <c r="AD164" s="76">
        <v>37</v>
      </c>
      <c r="AE164" s="76">
        <v>40</v>
      </c>
      <c r="AF164" s="76">
        <v>4</v>
      </c>
      <c r="AG164" s="76">
        <v>0</v>
      </c>
      <c r="AH164" s="76">
        <v>3</v>
      </c>
      <c r="AI164" s="76">
        <v>1</v>
      </c>
      <c r="AJ164" s="76">
        <v>0</v>
      </c>
      <c r="AK164" s="76">
        <v>176</v>
      </c>
      <c r="AL164" s="76">
        <v>719</v>
      </c>
      <c r="AM164" s="202"/>
      <c r="AN164" s="77"/>
      <c r="AO164" s="202"/>
      <c r="AP164" s="202"/>
      <c r="AQ164" s="202"/>
      <c r="AR164" s="202"/>
      <c r="AS164" s="202"/>
      <c r="AT164" s="202"/>
      <c r="AU164" s="202"/>
      <c r="AV164" s="202"/>
      <c r="AW164" s="202"/>
      <c r="AX164" s="202"/>
      <c r="AY164" s="202"/>
    </row>
    <row r="165" spans="1:51" x14ac:dyDescent="0.2">
      <c r="A165" s="76">
        <v>4</v>
      </c>
      <c r="B165" s="77" t="s">
        <v>565</v>
      </c>
      <c r="C165" s="76" t="s">
        <v>150</v>
      </c>
      <c r="D165" s="76">
        <v>0</v>
      </c>
      <c r="E165" s="76">
        <v>0</v>
      </c>
      <c r="F165" s="76">
        <v>2.25</v>
      </c>
      <c r="G165" s="76">
        <v>3</v>
      </c>
      <c r="H165" s="76">
        <v>3</v>
      </c>
      <c r="I165" s="76">
        <v>0</v>
      </c>
      <c r="J165" s="76">
        <v>0</v>
      </c>
      <c r="K165" s="76">
        <v>12</v>
      </c>
      <c r="L165" s="76">
        <v>8</v>
      </c>
      <c r="M165" s="76">
        <v>3</v>
      </c>
      <c r="N165" s="76">
        <v>3</v>
      </c>
      <c r="O165" s="76">
        <v>1</v>
      </c>
      <c r="P165" s="76">
        <v>3</v>
      </c>
      <c r="Q165" s="76">
        <v>11</v>
      </c>
      <c r="R165" s="76">
        <v>0.182</v>
      </c>
      <c r="S165" s="76">
        <v>0.92</v>
      </c>
      <c r="T165" s="76">
        <v>4</v>
      </c>
      <c r="U165" s="77" t="s">
        <v>565</v>
      </c>
      <c r="V165" s="76" t="s">
        <v>150</v>
      </c>
      <c r="W165" s="76">
        <v>0</v>
      </c>
      <c r="X165" s="76">
        <v>0</v>
      </c>
      <c r="Y165" s="76">
        <v>0</v>
      </c>
      <c r="Z165" s="76">
        <v>0</v>
      </c>
      <c r="AA165" s="76">
        <v>0</v>
      </c>
      <c r="AB165" s="76">
        <v>0</v>
      </c>
      <c r="AC165" s="76">
        <v>0</v>
      </c>
      <c r="AD165" s="76">
        <v>9</v>
      </c>
      <c r="AE165" s="76">
        <v>16</v>
      </c>
      <c r="AF165" s="76">
        <v>0</v>
      </c>
      <c r="AG165" s="76">
        <v>0</v>
      </c>
      <c r="AH165" s="76">
        <v>1</v>
      </c>
      <c r="AI165" s="76">
        <v>1</v>
      </c>
      <c r="AJ165" s="76">
        <v>1</v>
      </c>
      <c r="AK165" s="76">
        <v>47</v>
      </c>
      <c r="AL165" s="76">
        <v>209</v>
      </c>
      <c r="AM165" s="202"/>
      <c r="AN165" s="77"/>
      <c r="AO165" s="202"/>
      <c r="AP165" s="202"/>
      <c r="AQ165" s="202"/>
      <c r="AR165" s="202"/>
      <c r="AS165" s="202"/>
      <c r="AT165" s="202"/>
      <c r="AU165" s="202"/>
      <c r="AV165" s="202"/>
      <c r="AW165" s="202"/>
      <c r="AX165" s="202"/>
      <c r="AY165" s="202"/>
    </row>
    <row r="166" spans="1:51" x14ac:dyDescent="0.2">
      <c r="A166" s="76">
        <v>5</v>
      </c>
      <c r="B166" s="77" t="s">
        <v>1338</v>
      </c>
      <c r="C166" s="76" t="s">
        <v>150</v>
      </c>
      <c r="D166" s="76">
        <v>1</v>
      </c>
      <c r="E166" s="76">
        <v>2</v>
      </c>
      <c r="F166" s="76">
        <v>2.6</v>
      </c>
      <c r="G166" s="76">
        <v>36</v>
      </c>
      <c r="H166" s="76">
        <v>1</v>
      </c>
      <c r="I166" s="76">
        <v>0</v>
      </c>
      <c r="J166" s="76">
        <v>0</v>
      </c>
      <c r="K166" s="76">
        <v>55.1</v>
      </c>
      <c r="L166" s="76">
        <v>38</v>
      </c>
      <c r="M166" s="76">
        <v>19</v>
      </c>
      <c r="N166" s="76">
        <v>16</v>
      </c>
      <c r="O166" s="76">
        <v>5</v>
      </c>
      <c r="P166" s="76">
        <v>23</v>
      </c>
      <c r="Q166" s="76">
        <v>44</v>
      </c>
      <c r="R166" s="76">
        <v>0.19800000000000001</v>
      </c>
      <c r="S166" s="76">
        <v>1.1000000000000001</v>
      </c>
      <c r="T166" s="76">
        <v>5</v>
      </c>
      <c r="U166" s="77" t="s">
        <v>1338</v>
      </c>
      <c r="V166" s="76" t="s">
        <v>150</v>
      </c>
      <c r="W166" s="76">
        <v>0</v>
      </c>
      <c r="X166" s="76">
        <v>0</v>
      </c>
      <c r="Y166" s="76">
        <v>1</v>
      </c>
      <c r="Z166" s="76">
        <v>0</v>
      </c>
      <c r="AA166" s="76">
        <v>11</v>
      </c>
      <c r="AB166" s="76">
        <v>3</v>
      </c>
      <c r="AC166" s="76">
        <v>11</v>
      </c>
      <c r="AD166" s="76">
        <v>71</v>
      </c>
      <c r="AE166" s="76">
        <v>44</v>
      </c>
      <c r="AF166" s="76">
        <v>8</v>
      </c>
      <c r="AG166" s="76">
        <v>0</v>
      </c>
      <c r="AH166" s="76">
        <v>0</v>
      </c>
      <c r="AI166" s="76">
        <v>0</v>
      </c>
      <c r="AJ166" s="76">
        <v>0</v>
      </c>
      <c r="AK166" s="76">
        <v>221</v>
      </c>
      <c r="AL166" s="76">
        <v>815</v>
      </c>
      <c r="AM166" s="202"/>
      <c r="AN166" s="77"/>
      <c r="AO166" s="202"/>
      <c r="AP166" s="202"/>
      <c r="AQ166" s="202"/>
      <c r="AR166" s="202"/>
      <c r="AS166" s="202"/>
      <c r="AT166" s="202"/>
      <c r="AU166" s="202"/>
      <c r="AV166" s="202"/>
      <c r="AW166" s="202"/>
      <c r="AX166" s="202"/>
      <c r="AY166" s="202"/>
    </row>
    <row r="167" spans="1:51" ht="25.5" x14ac:dyDescent="0.2">
      <c r="A167" s="76">
        <v>6</v>
      </c>
      <c r="B167" s="77" t="s">
        <v>560</v>
      </c>
      <c r="C167" s="76" t="s">
        <v>150</v>
      </c>
      <c r="D167" s="76">
        <v>2</v>
      </c>
      <c r="E167" s="76">
        <v>6</v>
      </c>
      <c r="F167" s="76">
        <v>2.75</v>
      </c>
      <c r="G167" s="76">
        <v>72</v>
      </c>
      <c r="H167" s="76">
        <v>0</v>
      </c>
      <c r="I167" s="76">
        <v>12</v>
      </c>
      <c r="J167" s="76">
        <v>15</v>
      </c>
      <c r="K167" s="76">
        <v>72</v>
      </c>
      <c r="L167" s="76">
        <v>57</v>
      </c>
      <c r="M167" s="76">
        <v>23</v>
      </c>
      <c r="N167" s="76">
        <v>22</v>
      </c>
      <c r="O167" s="76">
        <v>6</v>
      </c>
      <c r="P167" s="76">
        <v>12</v>
      </c>
      <c r="Q167" s="76">
        <v>86</v>
      </c>
      <c r="R167" s="76">
        <v>0.214</v>
      </c>
      <c r="S167" s="76">
        <v>0.96</v>
      </c>
      <c r="T167" s="76">
        <v>6</v>
      </c>
      <c r="U167" s="77" t="s">
        <v>560</v>
      </c>
      <c r="V167" s="76" t="s">
        <v>150</v>
      </c>
      <c r="W167" s="76">
        <v>0</v>
      </c>
      <c r="X167" s="76">
        <v>0</v>
      </c>
      <c r="Y167" s="76">
        <v>3</v>
      </c>
      <c r="Z167" s="76">
        <v>0</v>
      </c>
      <c r="AA167" s="76">
        <v>23</v>
      </c>
      <c r="AB167" s="76">
        <v>26</v>
      </c>
      <c r="AC167" s="76">
        <v>3</v>
      </c>
      <c r="AD167" s="76">
        <v>62</v>
      </c>
      <c r="AE167" s="76">
        <v>63</v>
      </c>
      <c r="AF167" s="76">
        <v>3</v>
      </c>
      <c r="AG167" s="76">
        <v>0</v>
      </c>
      <c r="AH167" s="76">
        <v>0</v>
      </c>
      <c r="AI167" s="76">
        <v>1</v>
      </c>
      <c r="AJ167" s="76">
        <v>0</v>
      </c>
      <c r="AK167" s="76">
        <v>283</v>
      </c>
      <c r="AL167" s="76">
        <v>1091</v>
      </c>
      <c r="AM167" s="202"/>
      <c r="AN167" s="77"/>
      <c r="AO167" s="202"/>
      <c r="AP167" s="202"/>
      <c r="AQ167" s="202"/>
      <c r="AR167" s="202"/>
      <c r="AS167" s="202"/>
      <c r="AT167" s="202"/>
      <c r="AU167" s="202"/>
      <c r="AV167" s="202"/>
      <c r="AW167" s="202"/>
      <c r="AX167" s="202"/>
      <c r="AY167" s="202"/>
    </row>
    <row r="168" spans="1:51" ht="25.5" x14ac:dyDescent="0.2">
      <c r="A168" s="76">
        <v>7</v>
      </c>
      <c r="B168" s="77" t="s">
        <v>1189</v>
      </c>
      <c r="C168" s="76" t="s">
        <v>150</v>
      </c>
      <c r="D168" s="76">
        <v>0</v>
      </c>
      <c r="E168" s="76">
        <v>0</v>
      </c>
      <c r="F168" s="76">
        <v>3.32</v>
      </c>
      <c r="G168" s="76">
        <v>17</v>
      </c>
      <c r="H168" s="76">
        <v>0</v>
      </c>
      <c r="I168" s="76">
        <v>0</v>
      </c>
      <c r="J168" s="76">
        <v>1</v>
      </c>
      <c r="K168" s="76">
        <v>19</v>
      </c>
      <c r="L168" s="76">
        <v>24</v>
      </c>
      <c r="M168" s="76">
        <v>7</v>
      </c>
      <c r="N168" s="76">
        <v>7</v>
      </c>
      <c r="O168" s="76">
        <v>1</v>
      </c>
      <c r="P168" s="76">
        <v>7</v>
      </c>
      <c r="Q168" s="76">
        <v>16</v>
      </c>
      <c r="R168" s="76">
        <v>0.316</v>
      </c>
      <c r="S168" s="76">
        <v>1.63</v>
      </c>
      <c r="T168" s="76">
        <v>7</v>
      </c>
      <c r="U168" s="77" t="s">
        <v>1189</v>
      </c>
      <c r="V168" s="76" t="s">
        <v>150</v>
      </c>
      <c r="W168" s="76">
        <v>0</v>
      </c>
      <c r="X168" s="76">
        <v>0</v>
      </c>
      <c r="Y168" s="76">
        <v>0</v>
      </c>
      <c r="Z168" s="76">
        <v>0</v>
      </c>
      <c r="AA168" s="76">
        <v>4</v>
      </c>
      <c r="AB168" s="76">
        <v>0</v>
      </c>
      <c r="AC168" s="76">
        <v>4</v>
      </c>
      <c r="AD168" s="76">
        <v>28</v>
      </c>
      <c r="AE168" s="76">
        <v>9</v>
      </c>
      <c r="AF168" s="76">
        <v>0</v>
      </c>
      <c r="AG168" s="76">
        <v>0</v>
      </c>
      <c r="AH168" s="76">
        <v>0</v>
      </c>
      <c r="AI168" s="76">
        <v>0</v>
      </c>
      <c r="AJ168" s="76">
        <v>0</v>
      </c>
      <c r="AK168" s="76">
        <v>84</v>
      </c>
      <c r="AL168" s="76">
        <v>324</v>
      </c>
      <c r="AM168" s="202"/>
      <c r="AN168" s="77"/>
      <c r="AO168" s="202"/>
      <c r="AP168" s="202"/>
      <c r="AQ168" s="202"/>
      <c r="AR168" s="202"/>
      <c r="AS168" s="202"/>
      <c r="AT168" s="202"/>
      <c r="AU168" s="202"/>
      <c r="AV168" s="202"/>
      <c r="AW168" s="202"/>
      <c r="AX168" s="202"/>
      <c r="AY168" s="202"/>
    </row>
    <row r="169" spans="1:51" ht="25.5" x14ac:dyDescent="0.2">
      <c r="A169" s="76">
        <v>8</v>
      </c>
      <c r="B169" s="77" t="s">
        <v>1097</v>
      </c>
      <c r="C169" s="76" t="s">
        <v>150</v>
      </c>
      <c r="D169" s="76">
        <v>2</v>
      </c>
      <c r="E169" s="76">
        <v>0</v>
      </c>
      <c r="F169" s="76">
        <v>3.43</v>
      </c>
      <c r="G169" s="76">
        <v>50</v>
      </c>
      <c r="H169" s="76">
        <v>0</v>
      </c>
      <c r="I169" s="76">
        <v>0</v>
      </c>
      <c r="J169" s="76">
        <v>0</v>
      </c>
      <c r="K169" s="76">
        <v>44.2</v>
      </c>
      <c r="L169" s="76">
        <v>42</v>
      </c>
      <c r="M169" s="76">
        <v>19</v>
      </c>
      <c r="N169" s="76">
        <v>17</v>
      </c>
      <c r="O169" s="76">
        <v>4</v>
      </c>
      <c r="P169" s="76">
        <v>16</v>
      </c>
      <c r="Q169" s="76">
        <v>34</v>
      </c>
      <c r="R169" s="76">
        <v>0.251</v>
      </c>
      <c r="S169" s="76">
        <v>1.3</v>
      </c>
      <c r="T169" s="76">
        <v>8</v>
      </c>
      <c r="U169" s="77" t="s">
        <v>1097</v>
      </c>
      <c r="V169" s="76" t="s">
        <v>150</v>
      </c>
      <c r="W169" s="76">
        <v>0</v>
      </c>
      <c r="X169" s="76">
        <v>0</v>
      </c>
      <c r="Y169" s="76">
        <v>2</v>
      </c>
      <c r="Z169" s="76">
        <v>0</v>
      </c>
      <c r="AA169" s="76">
        <v>11</v>
      </c>
      <c r="AB169" s="76">
        <v>7</v>
      </c>
      <c r="AC169" s="76">
        <v>7</v>
      </c>
      <c r="AD169" s="76">
        <v>67</v>
      </c>
      <c r="AE169" s="76">
        <v>30</v>
      </c>
      <c r="AF169" s="76">
        <v>3</v>
      </c>
      <c r="AG169" s="76">
        <v>0</v>
      </c>
      <c r="AH169" s="76">
        <v>0</v>
      </c>
      <c r="AI169" s="76">
        <v>0</v>
      </c>
      <c r="AJ169" s="76">
        <v>0</v>
      </c>
      <c r="AK169" s="76">
        <v>191</v>
      </c>
      <c r="AL169" s="76">
        <v>668</v>
      </c>
      <c r="AM169" s="202"/>
      <c r="AN169" s="77"/>
      <c r="AO169" s="202"/>
      <c r="AP169" s="202"/>
      <c r="AQ169" s="202"/>
      <c r="AR169" s="202"/>
      <c r="AS169" s="202"/>
      <c r="AT169" s="202"/>
      <c r="AU169" s="202"/>
      <c r="AV169" s="202"/>
      <c r="AW169" s="202"/>
      <c r="AX169" s="202"/>
      <c r="AY169" s="202"/>
    </row>
    <row r="170" spans="1:51" x14ac:dyDescent="0.2">
      <c r="A170" s="76">
        <v>9</v>
      </c>
      <c r="B170" s="77" t="s">
        <v>555</v>
      </c>
      <c r="C170" s="76" t="s">
        <v>150</v>
      </c>
      <c r="D170" s="76">
        <v>12</v>
      </c>
      <c r="E170" s="76">
        <v>3</v>
      </c>
      <c r="F170" s="76">
        <v>3.51</v>
      </c>
      <c r="G170" s="76">
        <v>42</v>
      </c>
      <c r="H170" s="76">
        <v>26</v>
      </c>
      <c r="I170" s="76">
        <v>0</v>
      </c>
      <c r="J170" s="76">
        <v>0</v>
      </c>
      <c r="K170" s="76">
        <v>179.2</v>
      </c>
      <c r="L170" s="76">
        <v>163</v>
      </c>
      <c r="M170" s="76">
        <v>71</v>
      </c>
      <c r="N170" s="76">
        <v>70</v>
      </c>
      <c r="O170" s="76">
        <v>27</v>
      </c>
      <c r="P170" s="76">
        <v>42</v>
      </c>
      <c r="Q170" s="76">
        <v>188</v>
      </c>
      <c r="R170" s="76">
        <v>0.24099999999999999</v>
      </c>
      <c r="S170" s="76">
        <v>1.1399999999999999</v>
      </c>
      <c r="T170" s="76">
        <v>9</v>
      </c>
      <c r="U170" s="77" t="s">
        <v>555</v>
      </c>
      <c r="V170" s="76" t="s">
        <v>150</v>
      </c>
      <c r="W170" s="76">
        <v>1</v>
      </c>
      <c r="X170" s="76">
        <v>0</v>
      </c>
      <c r="Y170" s="76">
        <v>7</v>
      </c>
      <c r="Z170" s="76">
        <v>0</v>
      </c>
      <c r="AA170" s="76">
        <v>5</v>
      </c>
      <c r="AB170" s="76">
        <v>2</v>
      </c>
      <c r="AC170" s="76">
        <v>13</v>
      </c>
      <c r="AD170" s="76">
        <v>136</v>
      </c>
      <c r="AE170" s="76">
        <v>195</v>
      </c>
      <c r="AF170" s="76">
        <v>4</v>
      </c>
      <c r="AG170" s="76">
        <v>0</v>
      </c>
      <c r="AH170" s="76">
        <v>1</v>
      </c>
      <c r="AI170" s="76">
        <v>3</v>
      </c>
      <c r="AJ170" s="76">
        <v>4</v>
      </c>
      <c r="AK170" s="76">
        <v>731</v>
      </c>
      <c r="AL170" s="76">
        <v>2707</v>
      </c>
      <c r="AM170" s="202"/>
      <c r="AN170" s="77"/>
      <c r="AO170" s="202"/>
      <c r="AP170" s="202"/>
      <c r="AQ170" s="202"/>
      <c r="AR170" s="202"/>
      <c r="AS170" s="202"/>
      <c r="AT170" s="202"/>
      <c r="AU170" s="202"/>
      <c r="AV170" s="202"/>
      <c r="AW170" s="202"/>
      <c r="AX170" s="202"/>
      <c r="AY170" s="202"/>
    </row>
    <row r="171" spans="1:51" ht="25.5" x14ac:dyDescent="0.2">
      <c r="A171" s="76">
        <v>10</v>
      </c>
      <c r="B171" s="77" t="s">
        <v>329</v>
      </c>
      <c r="C171" s="76" t="s">
        <v>150</v>
      </c>
      <c r="D171" s="76">
        <v>11</v>
      </c>
      <c r="E171" s="76">
        <v>11</v>
      </c>
      <c r="F171" s="76">
        <v>3.68</v>
      </c>
      <c r="G171" s="76">
        <v>33</v>
      </c>
      <c r="H171" s="76">
        <v>33</v>
      </c>
      <c r="I171" s="76">
        <v>0</v>
      </c>
      <c r="J171" s="76">
        <v>0</v>
      </c>
      <c r="K171" s="76">
        <v>195.2</v>
      </c>
      <c r="L171" s="76">
        <v>173</v>
      </c>
      <c r="M171" s="76">
        <v>81</v>
      </c>
      <c r="N171" s="76">
        <v>80</v>
      </c>
      <c r="O171" s="76">
        <v>33</v>
      </c>
      <c r="P171" s="76">
        <v>66</v>
      </c>
      <c r="Q171" s="76">
        <v>184</v>
      </c>
      <c r="R171" s="76">
        <v>0.23599999999999999</v>
      </c>
      <c r="S171" s="76">
        <v>1.22</v>
      </c>
      <c r="T171" s="76">
        <v>10</v>
      </c>
      <c r="U171" s="77" t="s">
        <v>329</v>
      </c>
      <c r="V171" s="76" t="s">
        <v>150</v>
      </c>
      <c r="W171" s="76">
        <v>0</v>
      </c>
      <c r="X171" s="76">
        <v>0</v>
      </c>
      <c r="Y171" s="76">
        <v>13</v>
      </c>
      <c r="Z171" s="76">
        <v>1</v>
      </c>
      <c r="AA171" s="76">
        <v>0</v>
      </c>
      <c r="AB171" s="76">
        <v>0</v>
      </c>
      <c r="AC171" s="76">
        <v>9</v>
      </c>
      <c r="AD171" s="76">
        <v>134</v>
      </c>
      <c r="AE171" s="76">
        <v>248</v>
      </c>
      <c r="AF171" s="76">
        <v>4</v>
      </c>
      <c r="AG171" s="76">
        <v>0</v>
      </c>
      <c r="AH171" s="76">
        <v>6</v>
      </c>
      <c r="AI171" s="76">
        <v>10</v>
      </c>
      <c r="AJ171" s="76">
        <v>1</v>
      </c>
      <c r="AK171" s="76">
        <v>818</v>
      </c>
      <c r="AL171" s="76">
        <v>3378</v>
      </c>
      <c r="AM171" s="202"/>
      <c r="AN171" s="77"/>
      <c r="AO171" s="202"/>
      <c r="AP171" s="202"/>
      <c r="AQ171" s="202"/>
      <c r="AR171" s="202"/>
      <c r="AS171" s="202"/>
      <c r="AT171" s="202"/>
      <c r="AU171" s="202"/>
      <c r="AV171" s="202"/>
      <c r="AW171" s="202"/>
      <c r="AX171" s="202"/>
      <c r="AY171" s="202"/>
    </row>
    <row r="172" spans="1:51" ht="25.5" x14ac:dyDescent="0.2">
      <c r="A172" s="76">
        <v>11</v>
      </c>
      <c r="B172" s="77" t="s">
        <v>1187</v>
      </c>
      <c r="C172" s="76" t="s">
        <v>150</v>
      </c>
      <c r="D172" s="76">
        <v>2</v>
      </c>
      <c r="E172" s="76">
        <v>3</v>
      </c>
      <c r="F172" s="76">
        <v>3.86</v>
      </c>
      <c r="G172" s="76">
        <v>40</v>
      </c>
      <c r="H172" s="76">
        <v>0</v>
      </c>
      <c r="I172" s="76">
        <v>0</v>
      </c>
      <c r="J172" s="76">
        <v>4</v>
      </c>
      <c r="K172" s="76">
        <v>37.1</v>
      </c>
      <c r="L172" s="76">
        <v>31</v>
      </c>
      <c r="M172" s="76">
        <v>17</v>
      </c>
      <c r="N172" s="76">
        <v>16</v>
      </c>
      <c r="O172" s="76">
        <v>6</v>
      </c>
      <c r="P172" s="76">
        <v>9</v>
      </c>
      <c r="Q172" s="76">
        <v>40</v>
      </c>
      <c r="R172" s="76">
        <v>0.22600000000000001</v>
      </c>
      <c r="S172" s="76">
        <v>1.07</v>
      </c>
      <c r="T172" s="76">
        <v>11</v>
      </c>
      <c r="U172" s="77" t="s">
        <v>1187</v>
      </c>
      <c r="V172" s="76" t="s">
        <v>150</v>
      </c>
      <c r="W172" s="76">
        <v>0</v>
      </c>
      <c r="X172" s="76">
        <v>0</v>
      </c>
      <c r="Y172" s="76">
        <v>3</v>
      </c>
      <c r="Z172" s="76">
        <v>0</v>
      </c>
      <c r="AA172" s="76">
        <v>1</v>
      </c>
      <c r="AB172" s="76">
        <v>14</v>
      </c>
      <c r="AC172" s="76">
        <v>1</v>
      </c>
      <c r="AD172" s="76">
        <v>26</v>
      </c>
      <c r="AE172" s="76">
        <v>42</v>
      </c>
      <c r="AF172" s="76">
        <v>2</v>
      </c>
      <c r="AG172" s="76">
        <v>0</v>
      </c>
      <c r="AH172" s="76">
        <v>3</v>
      </c>
      <c r="AI172" s="76">
        <v>2</v>
      </c>
      <c r="AJ172" s="76">
        <v>0</v>
      </c>
      <c r="AK172" s="76">
        <v>151</v>
      </c>
      <c r="AL172" s="76">
        <v>583</v>
      </c>
      <c r="AM172" s="202"/>
      <c r="AN172" s="77"/>
      <c r="AO172" s="202"/>
      <c r="AP172" s="202"/>
      <c r="AQ172" s="202"/>
      <c r="AR172" s="202"/>
      <c r="AS172" s="202"/>
      <c r="AT172" s="202"/>
      <c r="AU172" s="202"/>
      <c r="AV172" s="202"/>
      <c r="AW172" s="202"/>
      <c r="AX172" s="202"/>
      <c r="AY172" s="202"/>
    </row>
    <row r="173" spans="1:51" x14ac:dyDescent="0.2">
      <c r="A173" s="76">
        <v>12</v>
      </c>
      <c r="B173" s="77" t="s">
        <v>644</v>
      </c>
      <c r="C173" s="76" t="s">
        <v>150</v>
      </c>
      <c r="D173" s="76">
        <v>5</v>
      </c>
      <c r="E173" s="76">
        <v>8</v>
      </c>
      <c r="F173" s="76">
        <v>4.05</v>
      </c>
      <c r="G173" s="76">
        <v>70</v>
      </c>
      <c r="H173" s="76">
        <v>0</v>
      </c>
      <c r="I173" s="76">
        <v>1</v>
      </c>
      <c r="J173" s="76">
        <v>8</v>
      </c>
      <c r="K173" s="76">
        <v>66.2</v>
      </c>
      <c r="L173" s="76">
        <v>70</v>
      </c>
      <c r="M173" s="76">
        <v>31</v>
      </c>
      <c r="N173" s="76">
        <v>30</v>
      </c>
      <c r="O173" s="76">
        <v>10</v>
      </c>
      <c r="P173" s="76">
        <v>27</v>
      </c>
      <c r="Q173" s="76">
        <v>68</v>
      </c>
      <c r="R173" s="76">
        <v>0.27100000000000002</v>
      </c>
      <c r="S173" s="76">
        <v>1.46</v>
      </c>
      <c r="T173" s="76">
        <v>12</v>
      </c>
      <c r="U173" s="77" t="s">
        <v>644</v>
      </c>
      <c r="V173" s="76" t="s">
        <v>150</v>
      </c>
      <c r="W173" s="76">
        <v>0</v>
      </c>
      <c r="X173" s="76">
        <v>0</v>
      </c>
      <c r="Y173" s="76">
        <v>2</v>
      </c>
      <c r="Z173" s="76">
        <v>0</v>
      </c>
      <c r="AA173" s="76">
        <v>18</v>
      </c>
      <c r="AB173" s="76">
        <v>20</v>
      </c>
      <c r="AC173" s="76">
        <v>2</v>
      </c>
      <c r="AD173" s="76">
        <v>73</v>
      </c>
      <c r="AE173" s="76">
        <v>53</v>
      </c>
      <c r="AF173" s="76">
        <v>2</v>
      </c>
      <c r="AG173" s="76">
        <v>3</v>
      </c>
      <c r="AH173" s="76">
        <v>2</v>
      </c>
      <c r="AI173" s="76">
        <v>2</v>
      </c>
      <c r="AJ173" s="76">
        <v>0</v>
      </c>
      <c r="AK173" s="76">
        <v>293</v>
      </c>
      <c r="AL173" s="76">
        <v>1193</v>
      </c>
      <c r="AM173" s="202"/>
      <c r="AN173" s="77"/>
      <c r="AO173" s="202"/>
      <c r="AP173" s="202"/>
      <c r="AQ173" s="202"/>
      <c r="AR173" s="202"/>
      <c r="AS173" s="202"/>
      <c r="AT173" s="202"/>
      <c r="AU173" s="202"/>
      <c r="AV173" s="202"/>
      <c r="AW173" s="202"/>
      <c r="AX173" s="202"/>
      <c r="AY173" s="202"/>
    </row>
    <row r="174" spans="1:51" x14ac:dyDescent="0.2">
      <c r="A174" s="76">
        <v>13</v>
      </c>
      <c r="B174" s="77" t="s">
        <v>1339</v>
      </c>
      <c r="C174" s="76" t="s">
        <v>150</v>
      </c>
      <c r="D174" s="76">
        <v>6</v>
      </c>
      <c r="E174" s="76">
        <v>0</v>
      </c>
      <c r="F174" s="76">
        <v>4.22</v>
      </c>
      <c r="G174" s="76">
        <v>38</v>
      </c>
      <c r="H174" s="76">
        <v>0</v>
      </c>
      <c r="I174" s="76">
        <v>0</v>
      </c>
      <c r="J174" s="76">
        <v>0</v>
      </c>
      <c r="K174" s="76">
        <v>53.1</v>
      </c>
      <c r="L174" s="76">
        <v>60</v>
      </c>
      <c r="M174" s="76">
        <v>27</v>
      </c>
      <c r="N174" s="76">
        <v>25</v>
      </c>
      <c r="O174" s="76">
        <v>6</v>
      </c>
      <c r="P174" s="76">
        <v>18</v>
      </c>
      <c r="Q174" s="76">
        <v>30</v>
      </c>
      <c r="R174" s="76">
        <v>0.28599999999999998</v>
      </c>
      <c r="S174" s="76">
        <v>1.46</v>
      </c>
      <c r="T174" s="76">
        <v>13</v>
      </c>
      <c r="U174" s="77" t="s">
        <v>1339</v>
      </c>
      <c r="V174" s="76" t="s">
        <v>150</v>
      </c>
      <c r="W174" s="76">
        <v>0</v>
      </c>
      <c r="X174" s="76">
        <v>0</v>
      </c>
      <c r="Y174" s="76">
        <v>2</v>
      </c>
      <c r="Z174" s="76">
        <v>0</v>
      </c>
      <c r="AA174" s="76">
        <v>24</v>
      </c>
      <c r="AB174" s="76">
        <v>0</v>
      </c>
      <c r="AC174" s="76">
        <v>5</v>
      </c>
      <c r="AD174" s="76">
        <v>70</v>
      </c>
      <c r="AE174" s="76">
        <v>51</v>
      </c>
      <c r="AF174" s="76">
        <v>1</v>
      </c>
      <c r="AG174" s="76">
        <v>0</v>
      </c>
      <c r="AH174" s="76">
        <v>2</v>
      </c>
      <c r="AI174" s="76">
        <v>2</v>
      </c>
      <c r="AJ174" s="76">
        <v>0</v>
      </c>
      <c r="AK174" s="76">
        <v>231</v>
      </c>
      <c r="AL174" s="76">
        <v>835</v>
      </c>
      <c r="AM174" s="202"/>
      <c r="AN174" s="77"/>
      <c r="AO174" s="202"/>
      <c r="AP174" s="202"/>
      <c r="AQ174" s="202"/>
      <c r="AR174" s="202"/>
      <c r="AS174" s="202"/>
      <c r="AT174" s="202"/>
      <c r="AU174" s="202"/>
      <c r="AV174" s="202"/>
      <c r="AW174" s="202"/>
      <c r="AX174" s="202"/>
      <c r="AY174" s="202"/>
    </row>
    <row r="175" spans="1:51" ht="25.5" x14ac:dyDescent="0.2">
      <c r="A175" s="76">
        <v>14</v>
      </c>
      <c r="B175" s="77" t="s">
        <v>559</v>
      </c>
      <c r="C175" s="76" t="s">
        <v>150</v>
      </c>
      <c r="D175" s="76">
        <v>11</v>
      </c>
      <c r="E175" s="76">
        <v>12</v>
      </c>
      <c r="F175" s="76">
        <v>4.45</v>
      </c>
      <c r="G175" s="76">
        <v>32</v>
      </c>
      <c r="H175" s="76">
        <v>32</v>
      </c>
      <c r="I175" s="76">
        <v>0</v>
      </c>
      <c r="J175" s="76">
        <v>0</v>
      </c>
      <c r="K175" s="76">
        <v>186</v>
      </c>
      <c r="L175" s="76">
        <v>190</v>
      </c>
      <c r="M175" s="76">
        <v>96</v>
      </c>
      <c r="N175" s="76">
        <v>92</v>
      </c>
      <c r="O175" s="76">
        <v>23</v>
      </c>
      <c r="P175" s="76">
        <v>78</v>
      </c>
      <c r="Q175" s="76">
        <v>144</v>
      </c>
      <c r="R175" s="76">
        <v>0.26300000000000001</v>
      </c>
      <c r="S175" s="76">
        <v>1.44</v>
      </c>
      <c r="T175" s="76">
        <v>14</v>
      </c>
      <c r="U175" s="77" t="s">
        <v>559</v>
      </c>
      <c r="V175" s="76" t="s">
        <v>150</v>
      </c>
      <c r="W175" s="76">
        <v>2</v>
      </c>
      <c r="X175" s="76">
        <v>0</v>
      </c>
      <c r="Y175" s="76">
        <v>8</v>
      </c>
      <c r="Z175" s="76">
        <v>1</v>
      </c>
      <c r="AA175" s="76">
        <v>0</v>
      </c>
      <c r="AB175" s="76">
        <v>0</v>
      </c>
      <c r="AC175" s="76">
        <v>21</v>
      </c>
      <c r="AD175" s="76">
        <v>227</v>
      </c>
      <c r="AE175" s="76">
        <v>169</v>
      </c>
      <c r="AF175" s="76">
        <v>13</v>
      </c>
      <c r="AG175" s="76">
        <v>1</v>
      </c>
      <c r="AH175" s="76">
        <v>4</v>
      </c>
      <c r="AI175" s="76">
        <v>4</v>
      </c>
      <c r="AJ175" s="76">
        <v>2</v>
      </c>
      <c r="AK175" s="76">
        <v>816</v>
      </c>
      <c r="AL175" s="76">
        <v>3048</v>
      </c>
      <c r="AM175" s="202"/>
      <c r="AN175" s="77"/>
      <c r="AO175" s="202"/>
      <c r="AP175" s="202"/>
      <c r="AQ175" s="202"/>
      <c r="AR175" s="202"/>
      <c r="AS175" s="202"/>
      <c r="AT175" s="202"/>
      <c r="AU175" s="202"/>
      <c r="AV175" s="202"/>
      <c r="AW175" s="202"/>
      <c r="AX175" s="202"/>
      <c r="AY175" s="202"/>
    </row>
    <row r="176" spans="1:51" x14ac:dyDescent="0.2">
      <c r="A176" s="76">
        <v>15</v>
      </c>
      <c r="B176" s="77" t="s">
        <v>414</v>
      </c>
      <c r="C176" s="76" t="s">
        <v>150</v>
      </c>
      <c r="D176" s="76">
        <v>8</v>
      </c>
      <c r="E176" s="76">
        <v>9</v>
      </c>
      <c r="F176" s="76">
        <v>4.68</v>
      </c>
      <c r="G176" s="76">
        <v>33</v>
      </c>
      <c r="H176" s="76">
        <v>14</v>
      </c>
      <c r="I176" s="76">
        <v>0</v>
      </c>
      <c r="J176" s="76">
        <v>0</v>
      </c>
      <c r="K176" s="76">
        <v>125</v>
      </c>
      <c r="L176" s="76">
        <v>146</v>
      </c>
      <c r="M176" s="76">
        <v>67</v>
      </c>
      <c r="N176" s="76">
        <v>65</v>
      </c>
      <c r="O176" s="76">
        <v>24</v>
      </c>
      <c r="P176" s="76">
        <v>37</v>
      </c>
      <c r="Q176" s="76">
        <v>89</v>
      </c>
      <c r="R176" s="76">
        <v>0.29099999999999998</v>
      </c>
      <c r="S176" s="76">
        <v>1.46</v>
      </c>
      <c r="T176" s="76">
        <v>15</v>
      </c>
      <c r="U176" s="77" t="s">
        <v>414</v>
      </c>
      <c r="V176" s="76" t="s">
        <v>150</v>
      </c>
      <c r="W176" s="76">
        <v>0</v>
      </c>
      <c r="X176" s="76">
        <v>0</v>
      </c>
      <c r="Y176" s="76">
        <v>6</v>
      </c>
      <c r="Z176" s="76">
        <v>3</v>
      </c>
      <c r="AA176" s="76">
        <v>3</v>
      </c>
      <c r="AB176" s="76">
        <v>0</v>
      </c>
      <c r="AC176" s="76">
        <v>10</v>
      </c>
      <c r="AD176" s="76">
        <v>128</v>
      </c>
      <c r="AE176" s="76">
        <v>145</v>
      </c>
      <c r="AF176" s="76">
        <v>1</v>
      </c>
      <c r="AG176" s="76">
        <v>1</v>
      </c>
      <c r="AH176" s="76">
        <v>3</v>
      </c>
      <c r="AI176" s="76">
        <v>4</v>
      </c>
      <c r="AJ176" s="76">
        <v>2</v>
      </c>
      <c r="AK176" s="76">
        <v>551</v>
      </c>
      <c r="AL176" s="76">
        <v>2047</v>
      </c>
      <c r="AM176" s="202"/>
      <c r="AN176" s="77"/>
      <c r="AO176" s="202"/>
      <c r="AP176" s="202"/>
      <c r="AQ176" s="202"/>
      <c r="AR176" s="202"/>
      <c r="AS176" s="202"/>
      <c r="AT176" s="202"/>
      <c r="AU176" s="202"/>
      <c r="AV176" s="202"/>
      <c r="AW176" s="202"/>
      <c r="AX176" s="202"/>
      <c r="AY176" s="202"/>
    </row>
    <row r="177" spans="1:51" ht="25.5" x14ac:dyDescent="0.2">
      <c r="A177" s="76">
        <v>16</v>
      </c>
      <c r="B177" s="77" t="s">
        <v>381</v>
      </c>
      <c r="C177" s="76" t="s">
        <v>150</v>
      </c>
      <c r="D177" s="76">
        <v>10</v>
      </c>
      <c r="E177" s="76">
        <v>11</v>
      </c>
      <c r="F177" s="76">
        <v>5.37</v>
      </c>
      <c r="G177" s="76">
        <v>34</v>
      </c>
      <c r="H177" s="76">
        <v>34</v>
      </c>
      <c r="I177" s="76">
        <v>0</v>
      </c>
      <c r="J177" s="76">
        <v>0</v>
      </c>
      <c r="K177" s="76">
        <v>189.1</v>
      </c>
      <c r="L177" s="76">
        <v>217</v>
      </c>
      <c r="M177" s="76">
        <v>124</v>
      </c>
      <c r="N177" s="76">
        <v>113</v>
      </c>
      <c r="O177" s="76">
        <v>23</v>
      </c>
      <c r="P177" s="76">
        <v>76</v>
      </c>
      <c r="Q177" s="76">
        <v>139</v>
      </c>
      <c r="R177" s="76">
        <v>0.28599999999999998</v>
      </c>
      <c r="S177" s="76">
        <v>1.55</v>
      </c>
      <c r="T177" s="76">
        <v>16</v>
      </c>
      <c r="U177" s="77" t="s">
        <v>381</v>
      </c>
      <c r="V177" s="76" t="s">
        <v>150</v>
      </c>
      <c r="W177" s="76">
        <v>0</v>
      </c>
      <c r="X177" s="76">
        <v>0</v>
      </c>
      <c r="Y177" s="76">
        <v>7</v>
      </c>
      <c r="Z177" s="76">
        <v>1</v>
      </c>
      <c r="AA177" s="76">
        <v>0</v>
      </c>
      <c r="AB177" s="76">
        <v>0</v>
      </c>
      <c r="AC177" s="76">
        <v>16</v>
      </c>
      <c r="AD177" s="76">
        <v>248</v>
      </c>
      <c r="AE177" s="76">
        <v>166</v>
      </c>
      <c r="AF177" s="76">
        <v>5</v>
      </c>
      <c r="AG177" s="76">
        <v>1</v>
      </c>
      <c r="AH177" s="76">
        <v>16</v>
      </c>
      <c r="AI177" s="76">
        <v>6</v>
      </c>
      <c r="AJ177" s="76">
        <v>0</v>
      </c>
      <c r="AK177" s="76">
        <v>853</v>
      </c>
      <c r="AL177" s="76">
        <v>3232</v>
      </c>
      <c r="AM177" s="202"/>
      <c r="AN177" s="77"/>
      <c r="AO177" s="202"/>
      <c r="AP177" s="202"/>
      <c r="AQ177" s="202"/>
      <c r="AR177" s="202"/>
      <c r="AS177" s="202"/>
      <c r="AT177" s="202"/>
      <c r="AU177" s="202"/>
      <c r="AV177" s="202"/>
      <c r="AW177" s="202"/>
      <c r="AX177" s="202"/>
      <c r="AY177" s="202"/>
    </row>
    <row r="178" spans="1:51" x14ac:dyDescent="0.2">
      <c r="A178" s="76">
        <v>17</v>
      </c>
      <c r="B178" s="77" t="s">
        <v>819</v>
      </c>
      <c r="C178" s="76" t="s">
        <v>150</v>
      </c>
      <c r="D178" s="76">
        <v>3</v>
      </c>
      <c r="E178" s="76">
        <v>9</v>
      </c>
      <c r="F178" s="76">
        <v>6.19</v>
      </c>
      <c r="G178" s="76">
        <v>34</v>
      </c>
      <c r="H178" s="76">
        <v>13</v>
      </c>
      <c r="I178" s="76">
        <v>1</v>
      </c>
      <c r="J178" s="76">
        <v>1</v>
      </c>
      <c r="K178" s="76">
        <v>88.2</v>
      </c>
      <c r="L178" s="76">
        <v>104</v>
      </c>
      <c r="M178" s="76">
        <v>63</v>
      </c>
      <c r="N178" s="76">
        <v>61</v>
      </c>
      <c r="O178" s="76">
        <v>28</v>
      </c>
      <c r="P178" s="76">
        <v>43</v>
      </c>
      <c r="Q178" s="76">
        <v>94</v>
      </c>
      <c r="R178" s="76">
        <v>0.29099999999999998</v>
      </c>
      <c r="S178" s="76">
        <v>1.66</v>
      </c>
      <c r="T178" s="76">
        <v>17</v>
      </c>
      <c r="U178" s="77" t="s">
        <v>819</v>
      </c>
      <c r="V178" s="76" t="s">
        <v>150</v>
      </c>
      <c r="W178" s="76">
        <v>0</v>
      </c>
      <c r="X178" s="76">
        <v>0</v>
      </c>
      <c r="Y178" s="76">
        <v>1</v>
      </c>
      <c r="Z178" s="76">
        <v>1</v>
      </c>
      <c r="AA178" s="76">
        <v>7</v>
      </c>
      <c r="AB178" s="76">
        <v>2</v>
      </c>
      <c r="AC178" s="76">
        <v>3</v>
      </c>
      <c r="AD178" s="76">
        <v>57</v>
      </c>
      <c r="AE178" s="76">
        <v>106</v>
      </c>
      <c r="AF178" s="76">
        <v>3</v>
      </c>
      <c r="AG178" s="76">
        <v>0</v>
      </c>
      <c r="AH178" s="76">
        <v>12</v>
      </c>
      <c r="AI178" s="76">
        <v>2</v>
      </c>
      <c r="AJ178" s="76">
        <v>2</v>
      </c>
      <c r="AK178" s="76">
        <v>406</v>
      </c>
      <c r="AL178" s="76">
        <v>1678</v>
      </c>
      <c r="AM178" s="202"/>
      <c r="AN178" s="77"/>
      <c r="AO178" s="202"/>
      <c r="AP178" s="202"/>
      <c r="AQ178" s="202"/>
      <c r="AR178" s="202"/>
      <c r="AS178" s="202"/>
      <c r="AT178" s="202"/>
      <c r="AU178" s="202"/>
      <c r="AV178" s="202"/>
      <c r="AW178" s="202"/>
      <c r="AX178" s="202"/>
      <c r="AY178" s="202"/>
    </row>
    <row r="179" spans="1:51" ht="25.5" x14ac:dyDescent="0.2">
      <c r="A179" s="76">
        <v>18</v>
      </c>
      <c r="B179" s="77" t="s">
        <v>1340</v>
      </c>
      <c r="C179" s="76" t="s">
        <v>150</v>
      </c>
      <c r="D179" s="76">
        <v>1</v>
      </c>
      <c r="E179" s="76">
        <v>0</v>
      </c>
      <c r="F179" s="76">
        <v>6.48</v>
      </c>
      <c r="G179" s="76">
        <v>10</v>
      </c>
      <c r="H179" s="76">
        <v>0</v>
      </c>
      <c r="I179" s="76">
        <v>0</v>
      </c>
      <c r="J179" s="76">
        <v>1</v>
      </c>
      <c r="K179" s="76">
        <v>8.1</v>
      </c>
      <c r="L179" s="76">
        <v>11</v>
      </c>
      <c r="M179" s="76">
        <v>8</v>
      </c>
      <c r="N179" s="76">
        <v>6</v>
      </c>
      <c r="O179" s="76">
        <v>1</v>
      </c>
      <c r="P179" s="76">
        <v>5</v>
      </c>
      <c r="Q179" s="76">
        <v>7</v>
      </c>
      <c r="R179" s="76">
        <v>0.314</v>
      </c>
      <c r="S179" s="76">
        <v>1.92</v>
      </c>
      <c r="T179" s="76">
        <v>18</v>
      </c>
      <c r="U179" s="77" t="s">
        <v>1340</v>
      </c>
      <c r="V179" s="76" t="s">
        <v>150</v>
      </c>
      <c r="W179" s="76">
        <v>0</v>
      </c>
      <c r="X179" s="76">
        <v>0</v>
      </c>
      <c r="Y179" s="76">
        <v>0</v>
      </c>
      <c r="Z179" s="76">
        <v>0</v>
      </c>
      <c r="AA179" s="76">
        <v>1</v>
      </c>
      <c r="AB179" s="76">
        <v>0</v>
      </c>
      <c r="AC179" s="76">
        <v>0</v>
      </c>
      <c r="AD179" s="76">
        <v>12</v>
      </c>
      <c r="AE179" s="76">
        <v>6</v>
      </c>
      <c r="AF179" s="76">
        <v>0</v>
      </c>
      <c r="AG179" s="76">
        <v>0</v>
      </c>
      <c r="AH179" s="76">
        <v>2</v>
      </c>
      <c r="AI179" s="76">
        <v>0</v>
      </c>
      <c r="AJ179" s="76">
        <v>0</v>
      </c>
      <c r="AK179" s="76">
        <v>41</v>
      </c>
      <c r="AL179" s="76">
        <v>169</v>
      </c>
      <c r="AM179" s="202"/>
      <c r="AN179" s="77"/>
      <c r="AO179" s="202"/>
      <c r="AP179" s="202"/>
      <c r="AQ179" s="202"/>
      <c r="AR179" s="202"/>
      <c r="AS179" s="202"/>
      <c r="AT179" s="202"/>
      <c r="AU179" s="202"/>
      <c r="AV179" s="202"/>
      <c r="AW179" s="202"/>
      <c r="AX179" s="202"/>
      <c r="AY179" s="202"/>
    </row>
    <row r="180" spans="1:51" ht="25.5" x14ac:dyDescent="0.2">
      <c r="A180" s="76">
        <v>19</v>
      </c>
      <c r="B180" s="77" t="s">
        <v>1188</v>
      </c>
      <c r="C180" s="76" t="s">
        <v>150</v>
      </c>
      <c r="D180" s="76">
        <v>1</v>
      </c>
      <c r="E180" s="76">
        <v>3</v>
      </c>
      <c r="F180" s="76">
        <v>7.77</v>
      </c>
      <c r="G180" s="76">
        <v>6</v>
      </c>
      <c r="H180" s="76">
        <v>6</v>
      </c>
      <c r="I180" s="76">
        <v>0</v>
      </c>
      <c r="J180" s="76">
        <v>0</v>
      </c>
      <c r="K180" s="76">
        <v>24.1</v>
      </c>
      <c r="L180" s="76">
        <v>30</v>
      </c>
      <c r="M180" s="76">
        <v>25</v>
      </c>
      <c r="N180" s="76">
        <v>21</v>
      </c>
      <c r="O180" s="76">
        <v>2</v>
      </c>
      <c r="P180" s="76">
        <v>20</v>
      </c>
      <c r="Q180" s="76">
        <v>18</v>
      </c>
      <c r="R180" s="76">
        <v>0.309</v>
      </c>
      <c r="S180" s="76">
        <v>2.0499999999999998</v>
      </c>
      <c r="T180" s="76">
        <v>19</v>
      </c>
      <c r="U180" s="77" t="s">
        <v>1188</v>
      </c>
      <c r="V180" s="76" t="s">
        <v>150</v>
      </c>
      <c r="W180" s="76">
        <v>0</v>
      </c>
      <c r="X180" s="76">
        <v>0</v>
      </c>
      <c r="Y180" s="76">
        <v>0</v>
      </c>
      <c r="Z180" s="76">
        <v>0</v>
      </c>
      <c r="AA180" s="76">
        <v>0</v>
      </c>
      <c r="AB180" s="76">
        <v>0</v>
      </c>
      <c r="AC180" s="76">
        <v>5</v>
      </c>
      <c r="AD180" s="76">
        <v>28</v>
      </c>
      <c r="AE180" s="76">
        <v>23</v>
      </c>
      <c r="AF180" s="76">
        <v>1</v>
      </c>
      <c r="AG180" s="76">
        <v>0</v>
      </c>
      <c r="AH180" s="76">
        <v>0</v>
      </c>
      <c r="AI180" s="76">
        <v>1</v>
      </c>
      <c r="AJ180" s="76">
        <v>1</v>
      </c>
      <c r="AK180" s="76">
        <v>119</v>
      </c>
      <c r="AL180" s="76">
        <v>475</v>
      </c>
      <c r="AM180" s="202"/>
      <c r="AN180" s="77"/>
      <c r="AO180" s="202"/>
      <c r="AP180" s="202"/>
      <c r="AQ180" s="202"/>
      <c r="AR180" s="202"/>
      <c r="AS180" s="202"/>
      <c r="AT180" s="202"/>
      <c r="AU180" s="202"/>
      <c r="AV180" s="202"/>
      <c r="AW180" s="202"/>
      <c r="AX180" s="202"/>
      <c r="AY180" s="202"/>
    </row>
    <row r="181" spans="1:51" ht="25.5" x14ac:dyDescent="0.2">
      <c r="A181" s="76">
        <v>20</v>
      </c>
      <c r="B181" s="77" t="s">
        <v>1341</v>
      </c>
      <c r="C181" s="76" t="s">
        <v>150</v>
      </c>
      <c r="D181" s="76">
        <v>2</v>
      </c>
      <c r="E181" s="76">
        <v>1</v>
      </c>
      <c r="F181" s="76">
        <v>9.24</v>
      </c>
      <c r="G181" s="76">
        <v>13</v>
      </c>
      <c r="H181" s="76">
        <v>0</v>
      </c>
      <c r="I181" s="76">
        <v>0</v>
      </c>
      <c r="J181" s="76">
        <v>0</v>
      </c>
      <c r="K181" s="76">
        <v>12.2</v>
      </c>
      <c r="L181" s="76">
        <v>19</v>
      </c>
      <c r="M181" s="76">
        <v>13</v>
      </c>
      <c r="N181" s="76">
        <v>13</v>
      </c>
      <c r="O181" s="76">
        <v>6</v>
      </c>
      <c r="P181" s="76">
        <v>3</v>
      </c>
      <c r="Q181" s="76">
        <v>13</v>
      </c>
      <c r="R181" s="76">
        <v>0.35199999999999998</v>
      </c>
      <c r="S181" s="76">
        <v>1.74</v>
      </c>
      <c r="T181" s="76">
        <v>20</v>
      </c>
      <c r="U181" s="77" t="s">
        <v>1341</v>
      </c>
      <c r="V181" s="76" t="s">
        <v>150</v>
      </c>
      <c r="W181" s="76">
        <v>0</v>
      </c>
      <c r="X181" s="76">
        <v>0</v>
      </c>
      <c r="Y181" s="76">
        <v>0</v>
      </c>
      <c r="Z181" s="76">
        <v>0</v>
      </c>
      <c r="AA181" s="76">
        <v>6</v>
      </c>
      <c r="AB181" s="76">
        <v>1</v>
      </c>
      <c r="AC181" s="76">
        <v>0</v>
      </c>
      <c r="AD181" s="76">
        <v>6</v>
      </c>
      <c r="AE181" s="76">
        <v>17</v>
      </c>
      <c r="AF181" s="76">
        <v>0</v>
      </c>
      <c r="AG181" s="76">
        <v>1</v>
      </c>
      <c r="AH181" s="76">
        <v>0</v>
      </c>
      <c r="AI181" s="76">
        <v>2</v>
      </c>
      <c r="AJ181" s="76">
        <v>0</v>
      </c>
      <c r="AK181" s="76">
        <v>58</v>
      </c>
      <c r="AL181" s="76">
        <v>249</v>
      </c>
      <c r="AM181" s="202"/>
      <c r="AN181" s="77"/>
      <c r="AO181" s="202"/>
      <c r="AP181" s="202"/>
      <c r="AQ181" s="202"/>
      <c r="AR181" s="202"/>
      <c r="AS181" s="202"/>
      <c r="AT181" s="202"/>
      <c r="AU181" s="202"/>
      <c r="AV181" s="202"/>
      <c r="AW181" s="202"/>
      <c r="AX181" s="202"/>
      <c r="AY181" s="202"/>
    </row>
    <row r="182" spans="1:51" x14ac:dyDescent="0.2">
      <c r="A182" s="76">
        <v>21</v>
      </c>
      <c r="B182" s="77" t="s">
        <v>1342</v>
      </c>
      <c r="C182" s="76" t="s">
        <v>150</v>
      </c>
      <c r="D182" s="76">
        <v>0</v>
      </c>
      <c r="E182" s="76">
        <v>0</v>
      </c>
      <c r="F182" s="76">
        <v>13.5</v>
      </c>
      <c r="G182" s="76">
        <v>3</v>
      </c>
      <c r="H182" s="76">
        <v>0</v>
      </c>
      <c r="I182" s="76">
        <v>0</v>
      </c>
      <c r="J182" s="76">
        <v>0</v>
      </c>
      <c r="K182" s="76">
        <v>3.1</v>
      </c>
      <c r="L182" s="76">
        <v>3</v>
      </c>
      <c r="M182" s="76">
        <v>5</v>
      </c>
      <c r="N182" s="76">
        <v>5</v>
      </c>
      <c r="O182" s="76">
        <v>0</v>
      </c>
      <c r="P182" s="76">
        <v>5</v>
      </c>
      <c r="Q182" s="76">
        <v>4</v>
      </c>
      <c r="R182" s="76">
        <v>0.23100000000000001</v>
      </c>
      <c r="S182" s="76">
        <v>2.4</v>
      </c>
      <c r="T182" s="76">
        <v>21</v>
      </c>
      <c r="U182" s="77" t="s">
        <v>1342</v>
      </c>
      <c r="V182" s="76" t="s">
        <v>150</v>
      </c>
      <c r="W182" s="76">
        <v>0</v>
      </c>
      <c r="X182" s="76">
        <v>0</v>
      </c>
      <c r="Y182" s="76">
        <v>1</v>
      </c>
      <c r="Z182" s="76">
        <v>0</v>
      </c>
      <c r="AA182" s="76">
        <v>2</v>
      </c>
      <c r="AB182" s="76">
        <v>0</v>
      </c>
      <c r="AC182" s="76">
        <v>0</v>
      </c>
      <c r="AD182" s="76">
        <v>3</v>
      </c>
      <c r="AE182" s="76">
        <v>3</v>
      </c>
      <c r="AF182" s="76">
        <v>0</v>
      </c>
      <c r="AG182" s="76">
        <v>0</v>
      </c>
      <c r="AH182" s="76">
        <v>0</v>
      </c>
      <c r="AI182" s="76">
        <v>0</v>
      </c>
      <c r="AJ182" s="76">
        <v>0</v>
      </c>
      <c r="AK182" s="76">
        <v>19</v>
      </c>
      <c r="AL182" s="76">
        <v>86</v>
      </c>
      <c r="AM182" s="202"/>
      <c r="AN182" s="77"/>
      <c r="AO182" s="202"/>
      <c r="AP182" s="202"/>
      <c r="AQ182" s="202"/>
      <c r="AR182" s="202"/>
      <c r="AS182" s="202"/>
      <c r="AT182" s="202"/>
      <c r="AU182" s="202"/>
      <c r="AV182" s="202"/>
      <c r="AW182" s="202"/>
      <c r="AX182" s="202"/>
      <c r="AY182" s="202"/>
    </row>
    <row r="183" spans="1:51" x14ac:dyDescent="0.2">
      <c r="A183" s="225" t="s">
        <v>105</v>
      </c>
      <c r="B183" s="225" t="s">
        <v>106</v>
      </c>
      <c r="C183" s="225" t="s">
        <v>157</v>
      </c>
      <c r="D183" s="225" t="s">
        <v>85</v>
      </c>
      <c r="E183" s="225" t="s">
        <v>86</v>
      </c>
      <c r="F183" s="225" t="s">
        <v>107</v>
      </c>
      <c r="G183" s="225" t="s">
        <v>108</v>
      </c>
      <c r="H183" s="225" t="s">
        <v>88</v>
      </c>
      <c r="I183" s="225" t="s">
        <v>90</v>
      </c>
      <c r="J183" s="225" t="s">
        <v>158</v>
      </c>
      <c r="K183" s="225" t="s">
        <v>91</v>
      </c>
      <c r="L183" s="225" t="s">
        <v>92</v>
      </c>
      <c r="M183" s="225" t="s">
        <v>93</v>
      </c>
      <c r="N183" s="225" t="s">
        <v>94</v>
      </c>
      <c r="O183" s="225" t="s">
        <v>95</v>
      </c>
      <c r="P183" s="225" t="s">
        <v>96</v>
      </c>
      <c r="Q183" s="225" t="s">
        <v>97</v>
      </c>
      <c r="R183" s="225" t="s">
        <v>1071</v>
      </c>
      <c r="S183" s="225" t="s">
        <v>1072</v>
      </c>
      <c r="T183" s="225" t="s">
        <v>105</v>
      </c>
      <c r="U183" s="225" t="s">
        <v>106</v>
      </c>
      <c r="V183" s="225" t="s">
        <v>157</v>
      </c>
      <c r="W183" s="225" t="s">
        <v>89</v>
      </c>
      <c r="X183" s="225" t="s">
        <v>1073</v>
      </c>
      <c r="Y183" s="225" t="s">
        <v>1074</v>
      </c>
      <c r="Z183" s="225" t="s">
        <v>98</v>
      </c>
      <c r="AA183" s="225" t="s">
        <v>1075</v>
      </c>
      <c r="AB183" s="225" t="s">
        <v>1076</v>
      </c>
      <c r="AC183" s="225" t="s">
        <v>1077</v>
      </c>
      <c r="AD183" s="225" t="s">
        <v>1066</v>
      </c>
      <c r="AE183" s="225" t="s">
        <v>1067</v>
      </c>
      <c r="AF183" s="225" t="s">
        <v>1078</v>
      </c>
      <c r="AG183" s="225" t="s">
        <v>1079</v>
      </c>
      <c r="AH183" s="225" t="s">
        <v>1057</v>
      </c>
      <c r="AI183" s="225" t="s">
        <v>1058</v>
      </c>
      <c r="AJ183" s="225" t="s">
        <v>1080</v>
      </c>
      <c r="AK183" s="225" t="s">
        <v>109</v>
      </c>
      <c r="AL183" s="225" t="s">
        <v>1069</v>
      </c>
      <c r="AM183" s="102"/>
      <c r="AN183" s="102"/>
      <c r="AO183" s="102"/>
      <c r="AP183" s="102"/>
      <c r="AQ183" s="102"/>
      <c r="AR183" s="102"/>
      <c r="AS183" s="102"/>
      <c r="AT183" s="102"/>
      <c r="AU183" s="102"/>
      <c r="AV183" s="102"/>
      <c r="AW183" s="102"/>
      <c r="AX183" s="102"/>
      <c r="AY183" s="102"/>
    </row>
    <row r="184" spans="1:51" x14ac:dyDescent="0.2">
      <c r="A184" s="76">
        <v>1</v>
      </c>
      <c r="B184" s="77" t="s">
        <v>1343</v>
      </c>
      <c r="C184" s="76" t="s">
        <v>143</v>
      </c>
      <c r="D184" s="76">
        <v>1</v>
      </c>
      <c r="E184" s="76">
        <v>0</v>
      </c>
      <c r="F184" s="76">
        <v>1.04</v>
      </c>
      <c r="G184" s="76">
        <v>13</v>
      </c>
      <c r="H184" s="76">
        <v>0</v>
      </c>
      <c r="I184" s="76">
        <v>0</v>
      </c>
      <c r="J184" s="76">
        <v>0</v>
      </c>
      <c r="K184" s="76">
        <v>8.1999999999999993</v>
      </c>
      <c r="L184" s="76">
        <v>8</v>
      </c>
      <c r="M184" s="76">
        <v>1</v>
      </c>
      <c r="N184" s="76">
        <v>1</v>
      </c>
      <c r="O184" s="76">
        <v>1</v>
      </c>
      <c r="P184" s="76">
        <v>3</v>
      </c>
      <c r="Q184" s="76">
        <v>9</v>
      </c>
      <c r="R184" s="76">
        <v>0.25</v>
      </c>
      <c r="S184" s="76">
        <v>1.27</v>
      </c>
      <c r="T184" s="76">
        <v>1</v>
      </c>
      <c r="U184" s="77" t="s">
        <v>1343</v>
      </c>
      <c r="V184" s="76" t="s">
        <v>143</v>
      </c>
      <c r="W184" s="76">
        <v>0</v>
      </c>
      <c r="X184" s="76">
        <v>0</v>
      </c>
      <c r="Y184" s="76">
        <v>0</v>
      </c>
      <c r="Z184" s="76">
        <v>0</v>
      </c>
      <c r="AA184" s="76">
        <v>3</v>
      </c>
      <c r="AB184" s="76">
        <v>3</v>
      </c>
      <c r="AC184" s="76">
        <v>1</v>
      </c>
      <c r="AD184" s="76">
        <v>9</v>
      </c>
      <c r="AE184" s="76">
        <v>7</v>
      </c>
      <c r="AF184" s="76">
        <v>0</v>
      </c>
      <c r="AG184" s="76">
        <v>0</v>
      </c>
      <c r="AH184" s="76">
        <v>0</v>
      </c>
      <c r="AI184" s="76">
        <v>0</v>
      </c>
      <c r="AJ184" s="76">
        <v>0</v>
      </c>
      <c r="AK184" s="76">
        <v>36</v>
      </c>
      <c r="AL184" s="76">
        <v>146</v>
      </c>
      <c r="AM184" s="202"/>
      <c r="AN184" s="77"/>
      <c r="AO184" s="202"/>
      <c r="AP184" s="202"/>
      <c r="AQ184" s="202"/>
      <c r="AR184" s="202"/>
      <c r="AS184" s="202"/>
      <c r="AT184" s="202"/>
      <c r="AU184" s="202"/>
      <c r="AV184" s="202"/>
      <c r="AW184" s="202"/>
      <c r="AX184" s="202"/>
      <c r="AY184" s="202"/>
    </row>
    <row r="185" spans="1:51" ht="25.5" x14ac:dyDescent="0.2">
      <c r="A185" s="76">
        <v>2</v>
      </c>
      <c r="B185" s="77" t="s">
        <v>810</v>
      </c>
      <c r="C185" s="76" t="s">
        <v>143</v>
      </c>
      <c r="D185" s="76">
        <v>2</v>
      </c>
      <c r="E185" s="76">
        <v>0</v>
      </c>
      <c r="F185" s="76">
        <v>1.1200000000000001</v>
      </c>
      <c r="G185" s="76">
        <v>45</v>
      </c>
      <c r="H185" s="76">
        <v>0</v>
      </c>
      <c r="I185" s="76">
        <v>1</v>
      </c>
      <c r="J185" s="76">
        <v>2</v>
      </c>
      <c r="K185" s="76">
        <v>40.1</v>
      </c>
      <c r="L185" s="76">
        <v>30</v>
      </c>
      <c r="M185" s="76">
        <v>7</v>
      </c>
      <c r="N185" s="76">
        <v>5</v>
      </c>
      <c r="O185" s="76">
        <v>1</v>
      </c>
      <c r="P185" s="76">
        <v>14</v>
      </c>
      <c r="Q185" s="76">
        <v>51</v>
      </c>
      <c r="R185" s="76">
        <v>0.20699999999999999</v>
      </c>
      <c r="S185" s="76">
        <v>1.0900000000000001</v>
      </c>
      <c r="T185" s="76">
        <v>2</v>
      </c>
      <c r="U185" s="77" t="s">
        <v>810</v>
      </c>
      <c r="V185" s="76" t="s">
        <v>143</v>
      </c>
      <c r="W185" s="76">
        <v>0</v>
      </c>
      <c r="X185" s="76">
        <v>0</v>
      </c>
      <c r="Y185" s="76">
        <v>2</v>
      </c>
      <c r="Z185" s="76">
        <v>1</v>
      </c>
      <c r="AA185" s="76">
        <v>9</v>
      </c>
      <c r="AB185" s="76">
        <v>7</v>
      </c>
      <c r="AC185" s="76">
        <v>3</v>
      </c>
      <c r="AD185" s="76">
        <v>35</v>
      </c>
      <c r="AE185" s="76">
        <v>30</v>
      </c>
      <c r="AF185" s="76">
        <v>3</v>
      </c>
      <c r="AG185" s="76">
        <v>0</v>
      </c>
      <c r="AH185" s="76">
        <v>1</v>
      </c>
      <c r="AI185" s="76">
        <v>2</v>
      </c>
      <c r="AJ185" s="76">
        <v>0</v>
      </c>
      <c r="AK185" s="76">
        <v>162</v>
      </c>
      <c r="AL185" s="76">
        <v>655</v>
      </c>
      <c r="AM185" s="202"/>
      <c r="AN185" s="77"/>
      <c r="AO185" s="202"/>
      <c r="AP185" s="202"/>
      <c r="AQ185" s="202"/>
      <c r="AR185" s="202"/>
      <c r="AS185" s="202"/>
      <c r="AT185" s="202"/>
      <c r="AU185" s="202"/>
      <c r="AV185" s="202"/>
      <c r="AW185" s="202"/>
      <c r="AX185" s="202"/>
      <c r="AY185" s="202"/>
    </row>
    <row r="186" spans="1:51" ht="25.5" x14ac:dyDescent="0.2">
      <c r="A186" s="76">
        <v>3</v>
      </c>
      <c r="B186" s="77" t="s">
        <v>566</v>
      </c>
      <c r="C186" s="76" t="s">
        <v>143</v>
      </c>
      <c r="D186" s="76">
        <v>1</v>
      </c>
      <c r="E186" s="76">
        <v>3</v>
      </c>
      <c r="F186" s="76">
        <v>2.34</v>
      </c>
      <c r="G186" s="76">
        <v>6</v>
      </c>
      <c r="H186" s="76">
        <v>6</v>
      </c>
      <c r="I186" s="76">
        <v>0</v>
      </c>
      <c r="J186" s="76">
        <v>0</v>
      </c>
      <c r="K186" s="76">
        <v>34.200000000000003</v>
      </c>
      <c r="L186" s="76">
        <v>31</v>
      </c>
      <c r="M186" s="76">
        <v>16</v>
      </c>
      <c r="N186" s="76">
        <v>9</v>
      </c>
      <c r="O186" s="76">
        <v>2</v>
      </c>
      <c r="P186" s="76">
        <v>15</v>
      </c>
      <c r="Q186" s="76">
        <v>34</v>
      </c>
      <c r="R186" s="76">
        <v>0.23799999999999999</v>
      </c>
      <c r="S186" s="76">
        <v>1.33</v>
      </c>
      <c r="T186" s="76">
        <v>3</v>
      </c>
      <c r="U186" s="77" t="s">
        <v>566</v>
      </c>
      <c r="V186" s="76" t="s">
        <v>143</v>
      </c>
      <c r="W186" s="76">
        <v>0</v>
      </c>
      <c r="X186" s="76">
        <v>0</v>
      </c>
      <c r="Y186" s="76">
        <v>1</v>
      </c>
      <c r="Z186" s="76">
        <v>1</v>
      </c>
      <c r="AA186" s="76">
        <v>0</v>
      </c>
      <c r="AB186" s="76">
        <v>0</v>
      </c>
      <c r="AC186" s="76">
        <v>4</v>
      </c>
      <c r="AD186" s="76">
        <v>37</v>
      </c>
      <c r="AE186" s="76">
        <v>30</v>
      </c>
      <c r="AF186" s="76">
        <v>3</v>
      </c>
      <c r="AG186" s="76">
        <v>0</v>
      </c>
      <c r="AH186" s="76">
        <v>4</v>
      </c>
      <c r="AI186" s="76">
        <v>1</v>
      </c>
      <c r="AJ186" s="76">
        <v>0</v>
      </c>
      <c r="AK186" s="76">
        <v>148</v>
      </c>
      <c r="AL186" s="76">
        <v>615</v>
      </c>
      <c r="AM186" s="202"/>
      <c r="AN186" s="77"/>
      <c r="AO186" s="202"/>
      <c r="AP186" s="202"/>
      <c r="AQ186" s="202"/>
      <c r="AR186" s="202"/>
      <c r="AS186" s="202"/>
      <c r="AT186" s="202"/>
      <c r="AU186" s="202"/>
      <c r="AV186" s="202"/>
      <c r="AW186" s="202"/>
      <c r="AX186" s="202"/>
      <c r="AY186" s="202"/>
    </row>
    <row r="187" spans="1:51" x14ac:dyDescent="0.2">
      <c r="A187" s="76">
        <v>4</v>
      </c>
      <c r="B187" s="77" t="s">
        <v>1201</v>
      </c>
      <c r="C187" s="76" t="s">
        <v>143</v>
      </c>
      <c r="D187" s="76">
        <v>0</v>
      </c>
      <c r="E187" s="76">
        <v>0</v>
      </c>
      <c r="F187" s="76">
        <v>2.38</v>
      </c>
      <c r="G187" s="76">
        <v>12</v>
      </c>
      <c r="H187" s="76">
        <v>0</v>
      </c>
      <c r="I187" s="76">
        <v>6</v>
      </c>
      <c r="J187" s="76">
        <v>6</v>
      </c>
      <c r="K187" s="76">
        <v>11.1</v>
      </c>
      <c r="L187" s="76">
        <v>9</v>
      </c>
      <c r="M187" s="76">
        <v>3</v>
      </c>
      <c r="N187" s="76">
        <v>3</v>
      </c>
      <c r="O187" s="76">
        <v>1</v>
      </c>
      <c r="P187" s="76">
        <v>2</v>
      </c>
      <c r="Q187" s="76">
        <v>8</v>
      </c>
      <c r="R187" s="76">
        <v>0.214</v>
      </c>
      <c r="S187" s="76">
        <v>0.97</v>
      </c>
      <c r="T187" s="76">
        <v>4</v>
      </c>
      <c r="U187" s="77" t="s">
        <v>1201</v>
      </c>
      <c r="V187" s="76" t="s">
        <v>143</v>
      </c>
      <c r="W187" s="76">
        <v>0</v>
      </c>
      <c r="X187" s="76">
        <v>0</v>
      </c>
      <c r="Y187" s="76">
        <v>1</v>
      </c>
      <c r="Z187" s="76">
        <v>0</v>
      </c>
      <c r="AA187" s="76">
        <v>10</v>
      </c>
      <c r="AB187" s="76">
        <v>0</v>
      </c>
      <c r="AC187" s="76">
        <v>1</v>
      </c>
      <c r="AD187" s="76">
        <v>12</v>
      </c>
      <c r="AE187" s="76">
        <v>14</v>
      </c>
      <c r="AF187" s="76">
        <v>1</v>
      </c>
      <c r="AG187" s="76">
        <v>0</v>
      </c>
      <c r="AH187" s="76">
        <v>0</v>
      </c>
      <c r="AI187" s="76">
        <v>0</v>
      </c>
      <c r="AJ187" s="76">
        <v>0</v>
      </c>
      <c r="AK187" s="76">
        <v>46</v>
      </c>
      <c r="AL187" s="76">
        <v>188</v>
      </c>
      <c r="AM187" s="202"/>
      <c r="AN187" s="77"/>
      <c r="AO187" s="202"/>
      <c r="AP187" s="202"/>
      <c r="AQ187" s="202"/>
      <c r="AR187" s="202"/>
      <c r="AS187" s="202"/>
      <c r="AT187" s="202"/>
      <c r="AU187" s="202"/>
      <c r="AV187" s="202"/>
      <c r="AW187" s="202"/>
      <c r="AX187" s="202"/>
      <c r="AY187" s="202"/>
    </row>
    <row r="188" spans="1:51" ht="25.5" x14ac:dyDescent="0.2">
      <c r="A188" s="76">
        <v>5</v>
      </c>
      <c r="B188" s="77" t="s">
        <v>424</v>
      </c>
      <c r="C188" s="76" t="s">
        <v>143</v>
      </c>
      <c r="D188" s="76">
        <v>2</v>
      </c>
      <c r="E188" s="76">
        <v>1</v>
      </c>
      <c r="F188" s="76">
        <v>2.91</v>
      </c>
      <c r="G188" s="76">
        <v>43</v>
      </c>
      <c r="H188" s="76">
        <v>0</v>
      </c>
      <c r="I188" s="76">
        <v>1</v>
      </c>
      <c r="J188" s="76">
        <v>2</v>
      </c>
      <c r="K188" s="76">
        <v>46.1</v>
      </c>
      <c r="L188" s="76">
        <v>42</v>
      </c>
      <c r="M188" s="76">
        <v>17</v>
      </c>
      <c r="N188" s="76">
        <v>15</v>
      </c>
      <c r="O188" s="76">
        <v>5</v>
      </c>
      <c r="P188" s="76">
        <v>13</v>
      </c>
      <c r="Q188" s="76">
        <v>31</v>
      </c>
      <c r="R188" s="76">
        <v>0.24099999999999999</v>
      </c>
      <c r="S188" s="76">
        <v>1.19</v>
      </c>
      <c r="T188" s="76">
        <v>5</v>
      </c>
      <c r="U188" s="77" t="s">
        <v>424</v>
      </c>
      <c r="V188" s="76" t="s">
        <v>143</v>
      </c>
      <c r="W188" s="76">
        <v>0</v>
      </c>
      <c r="X188" s="76">
        <v>0</v>
      </c>
      <c r="Y188" s="76">
        <v>4</v>
      </c>
      <c r="Z188" s="76">
        <v>0</v>
      </c>
      <c r="AA188" s="76">
        <v>9</v>
      </c>
      <c r="AB188" s="76">
        <v>12</v>
      </c>
      <c r="AC188" s="76">
        <v>3</v>
      </c>
      <c r="AD188" s="76">
        <v>62</v>
      </c>
      <c r="AE188" s="76">
        <v>44</v>
      </c>
      <c r="AF188" s="76">
        <v>4</v>
      </c>
      <c r="AG188" s="76">
        <v>0</v>
      </c>
      <c r="AH188" s="76">
        <v>5</v>
      </c>
      <c r="AI188" s="76">
        <v>2</v>
      </c>
      <c r="AJ188" s="76">
        <v>1</v>
      </c>
      <c r="AK188" s="76">
        <v>196</v>
      </c>
      <c r="AL188" s="76">
        <v>743</v>
      </c>
      <c r="AM188" s="202"/>
      <c r="AN188" s="77"/>
      <c r="AO188" s="202"/>
      <c r="AP188" s="202"/>
      <c r="AQ188" s="202"/>
      <c r="AR188" s="202"/>
      <c r="AS188" s="202"/>
      <c r="AT188" s="202"/>
      <c r="AU188" s="202"/>
      <c r="AV188" s="202"/>
      <c r="AW188" s="202"/>
      <c r="AX188" s="202"/>
      <c r="AY188" s="202"/>
    </row>
    <row r="189" spans="1:51" x14ac:dyDescent="0.2">
      <c r="A189" s="76">
        <v>6</v>
      </c>
      <c r="B189" s="77" t="s">
        <v>811</v>
      </c>
      <c r="C189" s="76" t="s">
        <v>143</v>
      </c>
      <c r="D189" s="76">
        <v>1</v>
      </c>
      <c r="E189" s="76">
        <v>0</v>
      </c>
      <c r="F189" s="76">
        <v>3.11</v>
      </c>
      <c r="G189" s="76">
        <v>27</v>
      </c>
      <c r="H189" s="76">
        <v>0</v>
      </c>
      <c r="I189" s="76">
        <v>0</v>
      </c>
      <c r="J189" s="76">
        <v>0</v>
      </c>
      <c r="K189" s="76">
        <v>37.200000000000003</v>
      </c>
      <c r="L189" s="76">
        <v>43</v>
      </c>
      <c r="M189" s="76">
        <v>13</v>
      </c>
      <c r="N189" s="76">
        <v>13</v>
      </c>
      <c r="O189" s="76">
        <v>7</v>
      </c>
      <c r="P189" s="76">
        <v>12</v>
      </c>
      <c r="Q189" s="76">
        <v>14</v>
      </c>
      <c r="R189" s="76">
        <v>0.29499999999999998</v>
      </c>
      <c r="S189" s="76">
        <v>1.46</v>
      </c>
      <c r="T189" s="76">
        <v>6</v>
      </c>
      <c r="U189" s="77" t="s">
        <v>811</v>
      </c>
      <c r="V189" s="76" t="s">
        <v>143</v>
      </c>
      <c r="W189" s="76">
        <v>0</v>
      </c>
      <c r="X189" s="76">
        <v>0</v>
      </c>
      <c r="Y189" s="76">
        <v>1</v>
      </c>
      <c r="Z189" s="76">
        <v>1</v>
      </c>
      <c r="AA189" s="76">
        <v>17</v>
      </c>
      <c r="AB189" s="76">
        <v>3</v>
      </c>
      <c r="AC189" s="76">
        <v>7</v>
      </c>
      <c r="AD189" s="76">
        <v>47</v>
      </c>
      <c r="AE189" s="76">
        <v>43</v>
      </c>
      <c r="AF189" s="76">
        <v>0</v>
      </c>
      <c r="AG189" s="76">
        <v>0</v>
      </c>
      <c r="AH189" s="76">
        <v>1</v>
      </c>
      <c r="AI189" s="76">
        <v>1</v>
      </c>
      <c r="AJ189" s="76">
        <v>0</v>
      </c>
      <c r="AK189" s="76">
        <v>160</v>
      </c>
      <c r="AL189" s="76">
        <v>568</v>
      </c>
      <c r="AM189" s="202"/>
      <c r="AN189" s="77"/>
      <c r="AO189" s="202"/>
      <c r="AP189" s="202"/>
      <c r="AQ189" s="202"/>
      <c r="AR189" s="202"/>
      <c r="AS189" s="202"/>
      <c r="AT189" s="202"/>
      <c r="AU189" s="202"/>
      <c r="AV189" s="202"/>
      <c r="AW189" s="202"/>
      <c r="AX189" s="202"/>
      <c r="AY189" s="202"/>
    </row>
    <row r="190" spans="1:51" ht="25.5" x14ac:dyDescent="0.2">
      <c r="A190" s="76">
        <v>7</v>
      </c>
      <c r="B190" s="77" t="s">
        <v>380</v>
      </c>
      <c r="C190" s="76" t="s">
        <v>143</v>
      </c>
      <c r="D190" s="76">
        <v>4</v>
      </c>
      <c r="E190" s="76">
        <v>6</v>
      </c>
      <c r="F190" s="76">
        <v>3.21</v>
      </c>
      <c r="G190" s="76">
        <v>11</v>
      </c>
      <c r="H190" s="76">
        <v>11</v>
      </c>
      <c r="I190" s="76">
        <v>0</v>
      </c>
      <c r="J190" s="76">
        <v>0</v>
      </c>
      <c r="K190" s="76">
        <v>73</v>
      </c>
      <c r="L190" s="76">
        <v>63</v>
      </c>
      <c r="M190" s="76">
        <v>27</v>
      </c>
      <c r="N190" s="76">
        <v>26</v>
      </c>
      <c r="O190" s="76">
        <v>8</v>
      </c>
      <c r="P190" s="76">
        <v>15</v>
      </c>
      <c r="Q190" s="76">
        <v>51</v>
      </c>
      <c r="R190" s="76">
        <v>0.23200000000000001</v>
      </c>
      <c r="S190" s="76">
        <v>1.07</v>
      </c>
      <c r="T190" s="76">
        <v>7</v>
      </c>
      <c r="U190" s="77" t="s">
        <v>380</v>
      </c>
      <c r="V190" s="76" t="s">
        <v>143</v>
      </c>
      <c r="W190" s="76">
        <v>1</v>
      </c>
      <c r="X190" s="76">
        <v>1</v>
      </c>
      <c r="Y190" s="76">
        <v>2</v>
      </c>
      <c r="Z190" s="76">
        <v>0</v>
      </c>
      <c r="AA190" s="76">
        <v>0</v>
      </c>
      <c r="AB190" s="76">
        <v>0</v>
      </c>
      <c r="AC190" s="76">
        <v>9</v>
      </c>
      <c r="AD190" s="76">
        <v>79</v>
      </c>
      <c r="AE190" s="76">
        <v>80</v>
      </c>
      <c r="AF190" s="76">
        <v>3</v>
      </c>
      <c r="AG190" s="76">
        <v>0</v>
      </c>
      <c r="AH190" s="76">
        <v>3</v>
      </c>
      <c r="AI190" s="76">
        <v>3</v>
      </c>
      <c r="AJ190" s="76">
        <v>1</v>
      </c>
      <c r="AK190" s="76">
        <v>290</v>
      </c>
      <c r="AL190" s="76">
        <v>1090</v>
      </c>
      <c r="AM190" s="202"/>
      <c r="AN190" s="77"/>
      <c r="AO190" s="202"/>
      <c r="AP190" s="202"/>
      <c r="AQ190" s="202"/>
      <c r="AR190" s="202"/>
      <c r="AS190" s="202"/>
      <c r="AT190" s="202"/>
      <c r="AU190" s="202"/>
      <c r="AV190" s="202"/>
      <c r="AW190" s="202"/>
      <c r="AX190" s="202"/>
      <c r="AY190" s="202"/>
    </row>
    <row r="191" spans="1:51" ht="25.5" x14ac:dyDescent="0.2">
      <c r="A191" s="76">
        <v>8</v>
      </c>
      <c r="B191" s="77" t="s">
        <v>1152</v>
      </c>
      <c r="C191" s="76" t="s">
        <v>143</v>
      </c>
      <c r="D191" s="76">
        <v>3</v>
      </c>
      <c r="E191" s="76">
        <v>0</v>
      </c>
      <c r="F191" s="76">
        <v>3.21</v>
      </c>
      <c r="G191" s="76">
        <v>44</v>
      </c>
      <c r="H191" s="76">
        <v>0</v>
      </c>
      <c r="I191" s="76">
        <v>0</v>
      </c>
      <c r="J191" s="76">
        <v>4</v>
      </c>
      <c r="K191" s="76">
        <v>53.1</v>
      </c>
      <c r="L191" s="76">
        <v>52</v>
      </c>
      <c r="M191" s="76">
        <v>23</v>
      </c>
      <c r="N191" s="76">
        <v>19</v>
      </c>
      <c r="O191" s="76">
        <v>6</v>
      </c>
      <c r="P191" s="76">
        <v>7</v>
      </c>
      <c r="Q191" s="76">
        <v>36</v>
      </c>
      <c r="R191" s="76">
        <v>0.249</v>
      </c>
      <c r="S191" s="76">
        <v>1.1100000000000001</v>
      </c>
      <c r="T191" s="76">
        <v>8</v>
      </c>
      <c r="U191" s="77" t="s">
        <v>1152</v>
      </c>
      <c r="V191" s="76" t="s">
        <v>143</v>
      </c>
      <c r="W191" s="76">
        <v>0</v>
      </c>
      <c r="X191" s="76">
        <v>0</v>
      </c>
      <c r="Y191" s="76">
        <v>2</v>
      </c>
      <c r="Z191" s="76">
        <v>0</v>
      </c>
      <c r="AA191" s="76">
        <v>11</v>
      </c>
      <c r="AB191" s="76">
        <v>5</v>
      </c>
      <c r="AC191" s="76">
        <v>3</v>
      </c>
      <c r="AD191" s="76">
        <v>62</v>
      </c>
      <c r="AE191" s="76">
        <v>61</v>
      </c>
      <c r="AF191" s="76">
        <v>2</v>
      </c>
      <c r="AG191" s="76">
        <v>1</v>
      </c>
      <c r="AH191" s="76">
        <v>1</v>
      </c>
      <c r="AI191" s="76">
        <v>0</v>
      </c>
      <c r="AJ191" s="76">
        <v>0</v>
      </c>
      <c r="AK191" s="76">
        <v>220</v>
      </c>
      <c r="AL191" s="76">
        <v>901</v>
      </c>
      <c r="AM191" s="202"/>
      <c r="AN191" s="77"/>
      <c r="AO191" s="202"/>
      <c r="AP191" s="202"/>
      <c r="AQ191" s="202"/>
      <c r="AR191" s="202"/>
      <c r="AS191" s="202"/>
      <c r="AT191" s="202"/>
      <c r="AU191" s="202"/>
      <c r="AV191" s="202"/>
      <c r="AW191" s="202"/>
      <c r="AX191" s="202"/>
      <c r="AY191" s="202"/>
    </row>
    <row r="192" spans="1:51" ht="25.5" x14ac:dyDescent="0.2">
      <c r="A192" s="76">
        <v>9</v>
      </c>
      <c r="B192" s="77" t="s">
        <v>545</v>
      </c>
      <c r="C192" s="76" t="s">
        <v>143</v>
      </c>
      <c r="D192" s="76">
        <v>1</v>
      </c>
      <c r="E192" s="76">
        <v>3</v>
      </c>
      <c r="F192" s="76">
        <v>3.45</v>
      </c>
      <c r="G192" s="76">
        <v>64</v>
      </c>
      <c r="H192" s="76">
        <v>0</v>
      </c>
      <c r="I192" s="76">
        <v>0</v>
      </c>
      <c r="J192" s="76">
        <v>1</v>
      </c>
      <c r="K192" s="76">
        <v>57.1</v>
      </c>
      <c r="L192" s="76">
        <v>71</v>
      </c>
      <c r="M192" s="76">
        <v>29</v>
      </c>
      <c r="N192" s="76">
        <v>22</v>
      </c>
      <c r="O192" s="76">
        <v>4</v>
      </c>
      <c r="P192" s="76">
        <v>15</v>
      </c>
      <c r="Q192" s="76">
        <v>51</v>
      </c>
      <c r="R192" s="76">
        <v>0.29799999999999999</v>
      </c>
      <c r="S192" s="76">
        <v>1.5</v>
      </c>
      <c r="T192" s="76">
        <v>9</v>
      </c>
      <c r="U192" s="77" t="s">
        <v>545</v>
      </c>
      <c r="V192" s="76" t="s">
        <v>143</v>
      </c>
      <c r="W192" s="76">
        <v>0</v>
      </c>
      <c r="X192" s="76">
        <v>0</v>
      </c>
      <c r="Y192" s="76">
        <v>1</v>
      </c>
      <c r="Z192" s="76">
        <v>4</v>
      </c>
      <c r="AA192" s="76">
        <v>12</v>
      </c>
      <c r="AB192" s="76">
        <v>12</v>
      </c>
      <c r="AC192" s="76">
        <v>5</v>
      </c>
      <c r="AD192" s="76">
        <v>63</v>
      </c>
      <c r="AE192" s="76">
        <v>55</v>
      </c>
      <c r="AF192" s="76">
        <v>2</v>
      </c>
      <c r="AG192" s="76">
        <v>0</v>
      </c>
      <c r="AH192" s="76">
        <v>2</v>
      </c>
      <c r="AI192" s="76">
        <v>2</v>
      </c>
      <c r="AJ192" s="76">
        <v>0</v>
      </c>
      <c r="AK192" s="76">
        <v>256</v>
      </c>
      <c r="AL192" s="76">
        <v>930</v>
      </c>
      <c r="AM192" s="202"/>
      <c r="AN192" s="77"/>
      <c r="AO192" s="202"/>
      <c r="AP192" s="202"/>
      <c r="AQ192" s="202"/>
      <c r="AR192" s="202"/>
      <c r="AS192" s="202"/>
      <c r="AT192" s="202"/>
      <c r="AU192" s="202"/>
      <c r="AV192" s="202"/>
      <c r="AW192" s="202"/>
      <c r="AX192" s="202"/>
      <c r="AY192" s="202"/>
    </row>
    <row r="193" spans="1:51" ht="25.5" x14ac:dyDescent="0.2">
      <c r="A193" s="76">
        <v>10</v>
      </c>
      <c r="B193" s="77" t="s">
        <v>803</v>
      </c>
      <c r="C193" s="76" t="s">
        <v>143</v>
      </c>
      <c r="D193" s="76">
        <v>3</v>
      </c>
      <c r="E193" s="76">
        <v>2</v>
      </c>
      <c r="F193" s="76">
        <v>3.56</v>
      </c>
      <c r="G193" s="76">
        <v>13</v>
      </c>
      <c r="H193" s="76">
        <v>13</v>
      </c>
      <c r="I193" s="76">
        <v>0</v>
      </c>
      <c r="J193" s="76">
        <v>0</v>
      </c>
      <c r="K193" s="76">
        <v>68.099999999999994</v>
      </c>
      <c r="L193" s="76">
        <v>70</v>
      </c>
      <c r="M193" s="76">
        <v>27</v>
      </c>
      <c r="N193" s="76">
        <v>27</v>
      </c>
      <c r="O193" s="76">
        <v>14</v>
      </c>
      <c r="P193" s="76">
        <v>31</v>
      </c>
      <c r="Q193" s="76">
        <v>68</v>
      </c>
      <c r="R193" s="76">
        <v>0.27</v>
      </c>
      <c r="S193" s="76">
        <v>1.48</v>
      </c>
      <c r="T193" s="76">
        <v>10</v>
      </c>
      <c r="U193" s="77" t="s">
        <v>803</v>
      </c>
      <c r="V193" s="76" t="s">
        <v>143</v>
      </c>
      <c r="W193" s="76">
        <v>0</v>
      </c>
      <c r="X193" s="76">
        <v>0</v>
      </c>
      <c r="Y193" s="76">
        <v>2</v>
      </c>
      <c r="Z193" s="76">
        <v>1</v>
      </c>
      <c r="AA193" s="76">
        <v>0</v>
      </c>
      <c r="AB193" s="76">
        <v>0</v>
      </c>
      <c r="AC193" s="76">
        <v>4</v>
      </c>
      <c r="AD193" s="76">
        <v>48</v>
      </c>
      <c r="AE193" s="76">
        <v>77</v>
      </c>
      <c r="AF193" s="76">
        <v>4</v>
      </c>
      <c r="AG193" s="76">
        <v>0</v>
      </c>
      <c r="AH193" s="76">
        <v>3</v>
      </c>
      <c r="AI193" s="76">
        <v>3</v>
      </c>
      <c r="AJ193" s="76">
        <v>4</v>
      </c>
      <c r="AK193" s="76">
        <v>296</v>
      </c>
      <c r="AL193" s="76">
        <v>1213</v>
      </c>
      <c r="AM193" s="202"/>
      <c r="AN193" s="77"/>
      <c r="AO193" s="202"/>
      <c r="AP193" s="202"/>
      <c r="AQ193" s="202"/>
      <c r="AR193" s="202"/>
      <c r="AS193" s="202"/>
      <c r="AT193" s="202"/>
      <c r="AU193" s="202"/>
      <c r="AV193" s="202"/>
      <c r="AW193" s="202"/>
      <c r="AX193" s="202"/>
      <c r="AY193" s="202"/>
    </row>
    <row r="194" spans="1:51" x14ac:dyDescent="0.2">
      <c r="A194" s="76">
        <v>11</v>
      </c>
      <c r="B194" s="77" t="s">
        <v>521</v>
      </c>
      <c r="C194" s="76" t="s">
        <v>143</v>
      </c>
      <c r="D194" s="76">
        <v>1</v>
      </c>
      <c r="E194" s="76">
        <v>4</v>
      </c>
      <c r="F194" s="76">
        <v>3.82</v>
      </c>
      <c r="G194" s="76">
        <v>38</v>
      </c>
      <c r="H194" s="76">
        <v>0</v>
      </c>
      <c r="I194" s="76">
        <v>6</v>
      </c>
      <c r="J194" s="76">
        <v>9</v>
      </c>
      <c r="K194" s="76">
        <v>37.200000000000003</v>
      </c>
      <c r="L194" s="76">
        <v>36</v>
      </c>
      <c r="M194" s="76">
        <v>16</v>
      </c>
      <c r="N194" s="76">
        <v>16</v>
      </c>
      <c r="O194" s="76">
        <v>4</v>
      </c>
      <c r="P194" s="76">
        <v>13</v>
      </c>
      <c r="Q194" s="76">
        <v>25</v>
      </c>
      <c r="R194" s="76">
        <v>0.25700000000000001</v>
      </c>
      <c r="S194" s="76">
        <v>1.3</v>
      </c>
      <c r="T194" s="76">
        <v>11</v>
      </c>
      <c r="U194" s="77" t="s">
        <v>521</v>
      </c>
      <c r="V194" s="76" t="s">
        <v>143</v>
      </c>
      <c r="W194" s="76">
        <v>0</v>
      </c>
      <c r="X194" s="76">
        <v>0</v>
      </c>
      <c r="Y194" s="76">
        <v>5</v>
      </c>
      <c r="Z194" s="76">
        <v>3</v>
      </c>
      <c r="AA194" s="76">
        <v>16</v>
      </c>
      <c r="AB194" s="76">
        <v>6</v>
      </c>
      <c r="AC194" s="76">
        <v>4</v>
      </c>
      <c r="AD194" s="76">
        <v>49</v>
      </c>
      <c r="AE194" s="76">
        <v>32</v>
      </c>
      <c r="AF194" s="76">
        <v>0</v>
      </c>
      <c r="AG194" s="76">
        <v>1</v>
      </c>
      <c r="AH194" s="76">
        <v>1</v>
      </c>
      <c r="AI194" s="76">
        <v>3</v>
      </c>
      <c r="AJ194" s="76">
        <v>3</v>
      </c>
      <c r="AK194" s="76">
        <v>160</v>
      </c>
      <c r="AL194" s="76">
        <v>602</v>
      </c>
      <c r="AM194" s="202"/>
      <c r="AN194" s="77"/>
      <c r="AO194" s="202"/>
      <c r="AP194" s="202"/>
      <c r="AQ194" s="202"/>
      <c r="AR194" s="202"/>
      <c r="AS194" s="202"/>
      <c r="AT194" s="202"/>
      <c r="AU194" s="202"/>
      <c r="AV194" s="202"/>
      <c r="AW194" s="202"/>
      <c r="AX194" s="202"/>
      <c r="AY194" s="202"/>
    </row>
    <row r="195" spans="1:51" ht="25.5" x14ac:dyDescent="0.2">
      <c r="A195" s="76">
        <v>12</v>
      </c>
      <c r="B195" s="77" t="s">
        <v>562</v>
      </c>
      <c r="C195" s="76" t="s">
        <v>143</v>
      </c>
      <c r="D195" s="76">
        <v>9</v>
      </c>
      <c r="E195" s="76">
        <v>13</v>
      </c>
      <c r="F195" s="76">
        <v>3.88</v>
      </c>
      <c r="G195" s="76">
        <v>27</v>
      </c>
      <c r="H195" s="76">
        <v>27</v>
      </c>
      <c r="I195" s="76">
        <v>0</v>
      </c>
      <c r="J195" s="76">
        <v>0</v>
      </c>
      <c r="K195" s="76">
        <v>160</v>
      </c>
      <c r="L195" s="76">
        <v>166</v>
      </c>
      <c r="M195" s="76">
        <v>71</v>
      </c>
      <c r="N195" s="76">
        <v>69</v>
      </c>
      <c r="O195" s="76">
        <v>18</v>
      </c>
      <c r="P195" s="76">
        <v>30</v>
      </c>
      <c r="Q195" s="76">
        <v>143</v>
      </c>
      <c r="R195" s="76">
        <v>0.26600000000000001</v>
      </c>
      <c r="S195" s="76">
        <v>1.23</v>
      </c>
      <c r="T195" s="76">
        <v>12</v>
      </c>
      <c r="U195" s="77" t="s">
        <v>562</v>
      </c>
      <c r="V195" s="76" t="s">
        <v>143</v>
      </c>
      <c r="W195" s="76">
        <v>1</v>
      </c>
      <c r="X195" s="76">
        <v>1</v>
      </c>
      <c r="Y195" s="76">
        <v>7</v>
      </c>
      <c r="Z195" s="76">
        <v>1</v>
      </c>
      <c r="AA195" s="76">
        <v>0</v>
      </c>
      <c r="AB195" s="76">
        <v>0</v>
      </c>
      <c r="AC195" s="76">
        <v>10</v>
      </c>
      <c r="AD195" s="76">
        <v>152</v>
      </c>
      <c r="AE195" s="76">
        <v>170</v>
      </c>
      <c r="AF195" s="76">
        <v>2</v>
      </c>
      <c r="AG195" s="76">
        <v>0</v>
      </c>
      <c r="AH195" s="76">
        <v>12</v>
      </c>
      <c r="AI195" s="76">
        <v>4</v>
      </c>
      <c r="AJ195" s="76">
        <v>1</v>
      </c>
      <c r="AK195" s="76">
        <v>668</v>
      </c>
      <c r="AL195" s="76">
        <v>2476</v>
      </c>
      <c r="AM195" s="202"/>
      <c r="AN195" s="77"/>
      <c r="AO195" s="202"/>
      <c r="AP195" s="202"/>
      <c r="AQ195" s="202"/>
      <c r="AR195" s="202"/>
      <c r="AS195" s="202"/>
      <c r="AT195" s="202"/>
      <c r="AU195" s="202"/>
      <c r="AV195" s="202"/>
      <c r="AW195" s="202"/>
      <c r="AX195" s="202"/>
      <c r="AY195" s="202"/>
    </row>
    <row r="196" spans="1:51" ht="25.5" x14ac:dyDescent="0.2">
      <c r="A196" s="76">
        <v>13</v>
      </c>
      <c r="B196" s="77" t="s">
        <v>1344</v>
      </c>
      <c r="C196" s="76" t="s">
        <v>143</v>
      </c>
      <c r="D196" s="76">
        <v>3</v>
      </c>
      <c r="E196" s="76">
        <v>4</v>
      </c>
      <c r="F196" s="76">
        <v>4.17</v>
      </c>
      <c r="G196" s="76">
        <v>10</v>
      </c>
      <c r="H196" s="76">
        <v>10</v>
      </c>
      <c r="I196" s="76">
        <v>0</v>
      </c>
      <c r="J196" s="76">
        <v>0</v>
      </c>
      <c r="K196" s="76">
        <v>49.2</v>
      </c>
      <c r="L196" s="76">
        <v>51</v>
      </c>
      <c r="M196" s="76">
        <v>23</v>
      </c>
      <c r="N196" s="76">
        <v>23</v>
      </c>
      <c r="O196" s="76">
        <v>5</v>
      </c>
      <c r="P196" s="76">
        <v>23</v>
      </c>
      <c r="Q196" s="76">
        <v>50</v>
      </c>
      <c r="R196" s="76">
        <v>0.26700000000000002</v>
      </c>
      <c r="S196" s="76">
        <v>1.49</v>
      </c>
      <c r="T196" s="76">
        <v>13</v>
      </c>
      <c r="U196" s="77" t="s">
        <v>1344</v>
      </c>
      <c r="V196" s="76" t="s">
        <v>143</v>
      </c>
      <c r="W196" s="76">
        <v>0</v>
      </c>
      <c r="X196" s="76">
        <v>0</v>
      </c>
      <c r="Y196" s="76">
        <v>2</v>
      </c>
      <c r="Z196" s="76">
        <v>0</v>
      </c>
      <c r="AA196" s="76">
        <v>0</v>
      </c>
      <c r="AB196" s="76">
        <v>0</v>
      </c>
      <c r="AC196" s="76">
        <v>4</v>
      </c>
      <c r="AD196" s="76">
        <v>51</v>
      </c>
      <c r="AE196" s="76">
        <v>42</v>
      </c>
      <c r="AF196" s="76">
        <v>0</v>
      </c>
      <c r="AG196" s="76">
        <v>0</v>
      </c>
      <c r="AH196" s="76">
        <v>11</v>
      </c>
      <c r="AI196" s="76">
        <v>0</v>
      </c>
      <c r="AJ196" s="76">
        <v>0</v>
      </c>
      <c r="AK196" s="76">
        <v>219</v>
      </c>
      <c r="AL196" s="76">
        <v>876</v>
      </c>
      <c r="AM196" s="202"/>
      <c r="AN196" s="77"/>
      <c r="AO196" s="202"/>
      <c r="AP196" s="202"/>
      <c r="AQ196" s="202"/>
      <c r="AR196" s="202"/>
      <c r="AS196" s="202"/>
      <c r="AT196" s="202"/>
      <c r="AU196" s="202"/>
      <c r="AV196" s="202"/>
      <c r="AW196" s="202"/>
      <c r="AX196" s="202"/>
      <c r="AY196" s="202"/>
    </row>
    <row r="197" spans="1:51" x14ac:dyDescent="0.2">
      <c r="A197" s="76">
        <v>14</v>
      </c>
      <c r="B197" s="77" t="s">
        <v>1180</v>
      </c>
      <c r="C197" s="76" t="s">
        <v>143</v>
      </c>
      <c r="D197" s="76">
        <v>2</v>
      </c>
      <c r="E197" s="76">
        <v>3</v>
      </c>
      <c r="F197" s="76">
        <v>4.24</v>
      </c>
      <c r="G197" s="76">
        <v>25</v>
      </c>
      <c r="H197" s="76">
        <v>0</v>
      </c>
      <c r="I197" s="76">
        <v>0</v>
      </c>
      <c r="J197" s="76">
        <v>1</v>
      </c>
      <c r="K197" s="76">
        <v>23.1</v>
      </c>
      <c r="L197" s="76">
        <v>17</v>
      </c>
      <c r="M197" s="76">
        <v>11</v>
      </c>
      <c r="N197" s="76">
        <v>11</v>
      </c>
      <c r="O197" s="76">
        <v>4</v>
      </c>
      <c r="P197" s="76">
        <v>16</v>
      </c>
      <c r="Q197" s="76">
        <v>22</v>
      </c>
      <c r="R197" s="76">
        <v>0.20200000000000001</v>
      </c>
      <c r="S197" s="76">
        <v>1.41</v>
      </c>
      <c r="T197" s="76">
        <v>14</v>
      </c>
      <c r="U197" s="77" t="s">
        <v>1180</v>
      </c>
      <c r="V197" s="76" t="s">
        <v>143</v>
      </c>
      <c r="W197" s="76">
        <v>0</v>
      </c>
      <c r="X197" s="76">
        <v>0</v>
      </c>
      <c r="Y197" s="76">
        <v>0</v>
      </c>
      <c r="Z197" s="76">
        <v>0</v>
      </c>
      <c r="AA197" s="76">
        <v>4</v>
      </c>
      <c r="AB197" s="76">
        <v>5</v>
      </c>
      <c r="AC197" s="76">
        <v>2</v>
      </c>
      <c r="AD197" s="76">
        <v>22</v>
      </c>
      <c r="AE197" s="76">
        <v>23</v>
      </c>
      <c r="AF197" s="76">
        <v>2</v>
      </c>
      <c r="AG197" s="76">
        <v>1</v>
      </c>
      <c r="AH197" s="76">
        <v>0</v>
      </c>
      <c r="AI197" s="76">
        <v>0</v>
      </c>
      <c r="AJ197" s="76">
        <v>0</v>
      </c>
      <c r="AK197" s="76">
        <v>100</v>
      </c>
      <c r="AL197" s="76">
        <v>398</v>
      </c>
      <c r="AM197" s="202"/>
      <c r="AN197" s="77"/>
      <c r="AO197" s="202"/>
      <c r="AP197" s="202"/>
      <c r="AQ197" s="202"/>
      <c r="AR197" s="202"/>
      <c r="AS197" s="202"/>
      <c r="AT197" s="202"/>
      <c r="AU197" s="202"/>
      <c r="AV197" s="202"/>
      <c r="AW197" s="202"/>
      <c r="AX197" s="202"/>
      <c r="AY197" s="202"/>
    </row>
    <row r="198" spans="1:51" ht="25.5" x14ac:dyDescent="0.2">
      <c r="A198" s="76">
        <v>15</v>
      </c>
      <c r="B198" s="77" t="s">
        <v>515</v>
      </c>
      <c r="C198" s="76" t="s">
        <v>143</v>
      </c>
      <c r="D198" s="76">
        <v>10</v>
      </c>
      <c r="E198" s="76">
        <v>4</v>
      </c>
      <c r="F198" s="76">
        <v>4.25</v>
      </c>
      <c r="G198" s="76">
        <v>22</v>
      </c>
      <c r="H198" s="76">
        <v>22</v>
      </c>
      <c r="I198" s="76">
        <v>0</v>
      </c>
      <c r="J198" s="76">
        <v>0</v>
      </c>
      <c r="K198" s="76">
        <v>120.2</v>
      </c>
      <c r="L198" s="76">
        <v>104</v>
      </c>
      <c r="M198" s="76">
        <v>61</v>
      </c>
      <c r="N198" s="76">
        <v>57</v>
      </c>
      <c r="O198" s="76">
        <v>20</v>
      </c>
      <c r="P198" s="76">
        <v>57</v>
      </c>
      <c r="Q198" s="76">
        <v>107</v>
      </c>
      <c r="R198" s="76">
        <v>0.23300000000000001</v>
      </c>
      <c r="S198" s="76">
        <v>1.33</v>
      </c>
      <c r="T198" s="76">
        <v>15</v>
      </c>
      <c r="U198" s="77" t="s">
        <v>515</v>
      </c>
      <c r="V198" s="76" t="s">
        <v>143</v>
      </c>
      <c r="W198" s="76">
        <v>0</v>
      </c>
      <c r="X198" s="76">
        <v>0</v>
      </c>
      <c r="Y198" s="76">
        <v>4</v>
      </c>
      <c r="Z198" s="76">
        <v>0</v>
      </c>
      <c r="AA198" s="76">
        <v>0</v>
      </c>
      <c r="AB198" s="76">
        <v>0</v>
      </c>
      <c r="AC198" s="76">
        <v>9</v>
      </c>
      <c r="AD198" s="76">
        <v>103</v>
      </c>
      <c r="AE198" s="76">
        <v>140</v>
      </c>
      <c r="AF198" s="76">
        <v>2</v>
      </c>
      <c r="AG198" s="76">
        <v>1</v>
      </c>
      <c r="AH198" s="76">
        <v>6</v>
      </c>
      <c r="AI198" s="76">
        <v>5</v>
      </c>
      <c r="AJ198" s="76">
        <v>4</v>
      </c>
      <c r="AK198" s="76">
        <v>515</v>
      </c>
      <c r="AL198" s="76">
        <v>2126</v>
      </c>
      <c r="AM198" s="202"/>
      <c r="AN198" s="77"/>
      <c r="AO198" s="202"/>
      <c r="AP198" s="202"/>
      <c r="AQ198" s="202"/>
      <c r="AR198" s="202"/>
      <c r="AS198" s="202"/>
      <c r="AT198" s="202"/>
      <c r="AU198" s="202"/>
      <c r="AV198" s="202"/>
      <c r="AW198" s="202"/>
      <c r="AX198" s="202"/>
      <c r="AY198" s="202"/>
    </row>
    <row r="199" spans="1:51" x14ac:dyDescent="0.2">
      <c r="A199" s="76">
        <v>16</v>
      </c>
      <c r="B199" s="77" t="s">
        <v>809</v>
      </c>
      <c r="C199" s="76" t="s">
        <v>143</v>
      </c>
      <c r="D199" s="76">
        <v>2</v>
      </c>
      <c r="E199" s="76">
        <v>2</v>
      </c>
      <c r="F199" s="76">
        <v>4.37</v>
      </c>
      <c r="G199" s="76">
        <v>60</v>
      </c>
      <c r="H199" s="76">
        <v>0</v>
      </c>
      <c r="I199" s="76">
        <v>0</v>
      </c>
      <c r="J199" s="76">
        <v>1</v>
      </c>
      <c r="K199" s="76">
        <v>55.2</v>
      </c>
      <c r="L199" s="76">
        <v>52</v>
      </c>
      <c r="M199" s="76">
        <v>31</v>
      </c>
      <c r="N199" s="76">
        <v>27</v>
      </c>
      <c r="O199" s="76">
        <v>6</v>
      </c>
      <c r="P199" s="76">
        <v>15</v>
      </c>
      <c r="Q199" s="76">
        <v>49</v>
      </c>
      <c r="R199" s="76">
        <v>0.25</v>
      </c>
      <c r="S199" s="76">
        <v>1.2</v>
      </c>
      <c r="T199" s="76">
        <v>16</v>
      </c>
      <c r="U199" s="77" t="s">
        <v>809</v>
      </c>
      <c r="V199" s="76" t="s">
        <v>143</v>
      </c>
      <c r="W199" s="76">
        <v>0</v>
      </c>
      <c r="X199" s="76">
        <v>0</v>
      </c>
      <c r="Y199" s="76">
        <v>1</v>
      </c>
      <c r="Z199" s="76">
        <v>1</v>
      </c>
      <c r="AA199" s="76">
        <v>8</v>
      </c>
      <c r="AB199" s="76">
        <v>13</v>
      </c>
      <c r="AC199" s="76">
        <v>3</v>
      </c>
      <c r="AD199" s="76">
        <v>46</v>
      </c>
      <c r="AE199" s="76">
        <v>64</v>
      </c>
      <c r="AF199" s="76">
        <v>1</v>
      </c>
      <c r="AG199" s="76">
        <v>1</v>
      </c>
      <c r="AH199" s="76">
        <v>1</v>
      </c>
      <c r="AI199" s="76">
        <v>3</v>
      </c>
      <c r="AJ199" s="76">
        <v>2</v>
      </c>
      <c r="AK199" s="76">
        <v>227</v>
      </c>
      <c r="AL199" s="76">
        <v>848</v>
      </c>
      <c r="AM199" s="202"/>
      <c r="AN199" s="77"/>
      <c r="AO199" s="202"/>
      <c r="AP199" s="202"/>
      <c r="AQ199" s="202"/>
      <c r="AR199" s="202"/>
      <c r="AS199" s="202"/>
      <c r="AT199" s="202"/>
      <c r="AU199" s="202"/>
      <c r="AV199" s="202"/>
      <c r="AW199" s="202"/>
      <c r="AX199" s="202"/>
      <c r="AY199" s="202"/>
    </row>
    <row r="200" spans="1:51" x14ac:dyDescent="0.2">
      <c r="A200" s="76">
        <v>17</v>
      </c>
      <c r="B200" s="77" t="s">
        <v>469</v>
      </c>
      <c r="C200" s="76" t="s">
        <v>143</v>
      </c>
      <c r="D200" s="76">
        <v>3</v>
      </c>
      <c r="E200" s="76">
        <v>6</v>
      </c>
      <c r="F200" s="76">
        <v>4.47</v>
      </c>
      <c r="G200" s="76">
        <v>58</v>
      </c>
      <c r="H200" s="76">
        <v>0</v>
      </c>
      <c r="I200" s="76">
        <v>6</v>
      </c>
      <c r="J200" s="76">
        <v>11</v>
      </c>
      <c r="K200" s="76">
        <v>56.1</v>
      </c>
      <c r="L200" s="76">
        <v>52</v>
      </c>
      <c r="M200" s="76">
        <v>28</v>
      </c>
      <c r="N200" s="76">
        <v>28</v>
      </c>
      <c r="O200" s="76">
        <v>9</v>
      </c>
      <c r="P200" s="76">
        <v>19</v>
      </c>
      <c r="Q200" s="76">
        <v>45</v>
      </c>
      <c r="R200" s="76">
        <v>0.248</v>
      </c>
      <c r="S200" s="76">
        <v>1.26</v>
      </c>
      <c r="T200" s="76">
        <v>17</v>
      </c>
      <c r="U200" s="77" t="s">
        <v>469</v>
      </c>
      <c r="V200" s="76" t="s">
        <v>143</v>
      </c>
      <c r="W200" s="76">
        <v>0</v>
      </c>
      <c r="X200" s="76">
        <v>0</v>
      </c>
      <c r="Y200" s="76">
        <v>0</v>
      </c>
      <c r="Z200" s="76">
        <v>1</v>
      </c>
      <c r="AA200" s="76">
        <v>22</v>
      </c>
      <c r="AB200" s="76">
        <v>13</v>
      </c>
      <c r="AC200" s="76">
        <v>5</v>
      </c>
      <c r="AD200" s="76">
        <v>50</v>
      </c>
      <c r="AE200" s="76">
        <v>65</v>
      </c>
      <c r="AF200" s="76">
        <v>0</v>
      </c>
      <c r="AG200" s="76">
        <v>0</v>
      </c>
      <c r="AH200" s="76">
        <v>3</v>
      </c>
      <c r="AI200" s="76">
        <v>2</v>
      </c>
      <c r="AJ200" s="76">
        <v>0</v>
      </c>
      <c r="AK200" s="76">
        <v>231</v>
      </c>
      <c r="AL200" s="76">
        <v>966</v>
      </c>
      <c r="AM200" s="202"/>
      <c r="AN200" s="77"/>
      <c r="AO200" s="202"/>
      <c r="AP200" s="202"/>
      <c r="AQ200" s="202"/>
      <c r="AR200" s="202"/>
      <c r="AS200" s="202"/>
      <c r="AT200" s="202"/>
      <c r="AU200" s="202"/>
      <c r="AV200" s="202"/>
      <c r="AW200" s="202"/>
      <c r="AX200" s="202"/>
      <c r="AY200" s="202"/>
    </row>
    <row r="201" spans="1:51" ht="25.5" x14ac:dyDescent="0.2">
      <c r="A201" s="76">
        <v>18</v>
      </c>
      <c r="B201" s="77" t="s">
        <v>543</v>
      </c>
      <c r="C201" s="76" t="s">
        <v>143</v>
      </c>
      <c r="D201" s="76">
        <v>0</v>
      </c>
      <c r="E201" s="76">
        <v>0</v>
      </c>
      <c r="F201" s="76">
        <v>4.5</v>
      </c>
      <c r="G201" s="76">
        <v>2</v>
      </c>
      <c r="H201" s="76">
        <v>0</v>
      </c>
      <c r="I201" s="76">
        <v>0</v>
      </c>
      <c r="J201" s="76">
        <v>0</v>
      </c>
      <c r="K201" s="76">
        <v>2</v>
      </c>
      <c r="L201" s="76">
        <v>2</v>
      </c>
      <c r="M201" s="76">
        <v>3</v>
      </c>
      <c r="N201" s="76">
        <v>1</v>
      </c>
      <c r="O201" s="76">
        <v>1</v>
      </c>
      <c r="P201" s="76">
        <v>2</v>
      </c>
      <c r="Q201" s="76">
        <v>1</v>
      </c>
      <c r="R201" s="76">
        <v>0.2</v>
      </c>
      <c r="S201" s="76">
        <v>2</v>
      </c>
      <c r="T201" s="76">
        <v>18</v>
      </c>
      <c r="U201" s="77" t="s">
        <v>543</v>
      </c>
      <c r="V201" s="76" t="s">
        <v>143</v>
      </c>
      <c r="W201" s="76">
        <v>0</v>
      </c>
      <c r="X201" s="76">
        <v>0</v>
      </c>
      <c r="Y201" s="76">
        <v>0</v>
      </c>
      <c r="Z201" s="76">
        <v>0</v>
      </c>
      <c r="AA201" s="76">
        <v>1</v>
      </c>
      <c r="AB201" s="76">
        <v>0</v>
      </c>
      <c r="AC201" s="76">
        <v>0</v>
      </c>
      <c r="AD201" s="76">
        <v>6</v>
      </c>
      <c r="AE201" s="76">
        <v>1</v>
      </c>
      <c r="AF201" s="76">
        <v>0</v>
      </c>
      <c r="AG201" s="76">
        <v>0</v>
      </c>
      <c r="AH201" s="76">
        <v>0</v>
      </c>
      <c r="AI201" s="76">
        <v>0</v>
      </c>
      <c r="AJ201" s="76">
        <v>0</v>
      </c>
      <c r="AK201" s="76">
        <v>12</v>
      </c>
      <c r="AL201" s="76">
        <v>48</v>
      </c>
      <c r="AM201" s="202"/>
      <c r="AN201" s="77"/>
      <c r="AO201" s="202"/>
      <c r="AP201" s="202"/>
      <c r="AQ201" s="202"/>
      <c r="AR201" s="202"/>
      <c r="AS201" s="202"/>
      <c r="AT201" s="202"/>
      <c r="AU201" s="202"/>
      <c r="AV201" s="202"/>
      <c r="AW201" s="202"/>
      <c r="AX201" s="202"/>
      <c r="AY201" s="202"/>
    </row>
    <row r="202" spans="1:51" x14ac:dyDescent="0.2">
      <c r="A202" s="76">
        <v>19</v>
      </c>
      <c r="B202" s="77" t="s">
        <v>1195</v>
      </c>
      <c r="C202" s="76" t="s">
        <v>143</v>
      </c>
      <c r="D202" s="76">
        <v>1</v>
      </c>
      <c r="E202" s="76">
        <v>2</v>
      </c>
      <c r="F202" s="76">
        <v>4.57</v>
      </c>
      <c r="G202" s="76">
        <v>5</v>
      </c>
      <c r="H202" s="76">
        <v>5</v>
      </c>
      <c r="I202" s="76">
        <v>0</v>
      </c>
      <c r="J202" s="76">
        <v>0</v>
      </c>
      <c r="K202" s="76">
        <v>21.2</v>
      </c>
      <c r="L202" s="76">
        <v>17</v>
      </c>
      <c r="M202" s="76">
        <v>11</v>
      </c>
      <c r="N202" s="76">
        <v>11</v>
      </c>
      <c r="O202" s="76">
        <v>2</v>
      </c>
      <c r="P202" s="76">
        <v>13</v>
      </c>
      <c r="Q202" s="76">
        <v>24</v>
      </c>
      <c r="R202" s="76">
        <v>0.215</v>
      </c>
      <c r="S202" s="76">
        <v>1.38</v>
      </c>
      <c r="T202" s="76">
        <v>19</v>
      </c>
      <c r="U202" s="77" t="s">
        <v>1195</v>
      </c>
      <c r="V202" s="76" t="s">
        <v>143</v>
      </c>
      <c r="W202" s="76">
        <v>0</v>
      </c>
      <c r="X202" s="76">
        <v>0</v>
      </c>
      <c r="Y202" s="76">
        <v>0</v>
      </c>
      <c r="Z202" s="76">
        <v>0</v>
      </c>
      <c r="AA202" s="76">
        <v>0</v>
      </c>
      <c r="AB202" s="76">
        <v>0</v>
      </c>
      <c r="AC202" s="76">
        <v>1</v>
      </c>
      <c r="AD202" s="76">
        <v>20</v>
      </c>
      <c r="AE202" s="76">
        <v>20</v>
      </c>
      <c r="AF202" s="76">
        <v>1</v>
      </c>
      <c r="AG202" s="76">
        <v>0</v>
      </c>
      <c r="AH202" s="76">
        <v>2</v>
      </c>
      <c r="AI202" s="76">
        <v>0</v>
      </c>
      <c r="AJ202" s="76">
        <v>0</v>
      </c>
      <c r="AK202" s="76">
        <v>94</v>
      </c>
      <c r="AL202" s="76">
        <v>383</v>
      </c>
      <c r="AM202" s="202"/>
      <c r="AN202" s="77"/>
      <c r="AO202" s="202"/>
      <c r="AP202" s="202"/>
      <c r="AQ202" s="202"/>
      <c r="AR202" s="202"/>
      <c r="AS202" s="202"/>
      <c r="AT202" s="202"/>
      <c r="AU202" s="202"/>
      <c r="AV202" s="202"/>
      <c r="AW202" s="202"/>
      <c r="AX202" s="202"/>
      <c r="AY202" s="202"/>
    </row>
    <row r="203" spans="1:51" x14ac:dyDescent="0.2">
      <c r="A203" s="76">
        <v>20</v>
      </c>
      <c r="B203" s="77" t="s">
        <v>365</v>
      </c>
      <c r="C203" s="76" t="s">
        <v>143</v>
      </c>
      <c r="D203" s="76">
        <v>5</v>
      </c>
      <c r="E203" s="76">
        <v>6</v>
      </c>
      <c r="F203" s="76">
        <v>4.68</v>
      </c>
      <c r="G203" s="76">
        <v>29</v>
      </c>
      <c r="H203" s="76">
        <v>17</v>
      </c>
      <c r="I203" s="76">
        <v>0</v>
      </c>
      <c r="J203" s="76">
        <v>0</v>
      </c>
      <c r="K203" s="76">
        <v>117.1</v>
      </c>
      <c r="L203" s="76">
        <v>124</v>
      </c>
      <c r="M203" s="76">
        <v>64</v>
      </c>
      <c r="N203" s="76">
        <v>61</v>
      </c>
      <c r="O203" s="76">
        <v>10</v>
      </c>
      <c r="P203" s="76">
        <v>47</v>
      </c>
      <c r="Q203" s="76">
        <v>92</v>
      </c>
      <c r="R203" s="76">
        <v>0.27200000000000002</v>
      </c>
      <c r="S203" s="76">
        <v>1.46</v>
      </c>
      <c r="T203" s="76">
        <v>20</v>
      </c>
      <c r="U203" s="77" t="s">
        <v>365</v>
      </c>
      <c r="V203" s="76" t="s">
        <v>143</v>
      </c>
      <c r="W203" s="76">
        <v>1</v>
      </c>
      <c r="X203" s="76">
        <v>0</v>
      </c>
      <c r="Y203" s="76">
        <v>5</v>
      </c>
      <c r="Z203" s="76">
        <v>4</v>
      </c>
      <c r="AA203" s="76">
        <v>5</v>
      </c>
      <c r="AB203" s="76">
        <v>0</v>
      </c>
      <c r="AC203" s="76">
        <v>10</v>
      </c>
      <c r="AD203" s="76">
        <v>144</v>
      </c>
      <c r="AE203" s="76">
        <v>103</v>
      </c>
      <c r="AF203" s="76">
        <v>8</v>
      </c>
      <c r="AG203" s="76">
        <v>1</v>
      </c>
      <c r="AH203" s="76">
        <v>3</v>
      </c>
      <c r="AI203" s="76">
        <v>1</v>
      </c>
      <c r="AJ203" s="76">
        <v>1</v>
      </c>
      <c r="AK203" s="76">
        <v>515</v>
      </c>
      <c r="AL203" s="76">
        <v>1959</v>
      </c>
      <c r="AM203" s="202"/>
      <c r="AN203" s="77"/>
      <c r="AO203" s="202"/>
      <c r="AP203" s="202"/>
      <c r="AQ203" s="202"/>
      <c r="AR203" s="202"/>
      <c r="AS203" s="202"/>
      <c r="AT203" s="202"/>
      <c r="AU203" s="202"/>
      <c r="AV203" s="202"/>
      <c r="AW203" s="202"/>
      <c r="AX203" s="202"/>
      <c r="AY203" s="202"/>
    </row>
    <row r="204" spans="1:51" ht="25.5" x14ac:dyDescent="0.2">
      <c r="A204" s="76">
        <v>21</v>
      </c>
      <c r="B204" s="77" t="s">
        <v>563</v>
      </c>
      <c r="C204" s="76" t="s">
        <v>143</v>
      </c>
      <c r="D204" s="76">
        <v>12</v>
      </c>
      <c r="E204" s="76">
        <v>12</v>
      </c>
      <c r="F204" s="76">
        <v>5.0599999999999996</v>
      </c>
      <c r="G204" s="76">
        <v>31</v>
      </c>
      <c r="H204" s="76">
        <v>31</v>
      </c>
      <c r="I204" s="76">
        <v>0</v>
      </c>
      <c r="J204" s="76">
        <v>0</v>
      </c>
      <c r="K204" s="76">
        <v>178</v>
      </c>
      <c r="L204" s="76">
        <v>209</v>
      </c>
      <c r="M204" s="76">
        <v>106</v>
      </c>
      <c r="N204" s="76">
        <v>100</v>
      </c>
      <c r="O204" s="76">
        <v>37</v>
      </c>
      <c r="P204" s="76">
        <v>51</v>
      </c>
      <c r="Q204" s="76">
        <v>103</v>
      </c>
      <c r="R204" s="76">
        <v>0.29699999999999999</v>
      </c>
      <c r="S204" s="76">
        <v>1.46</v>
      </c>
      <c r="T204" s="76">
        <v>21</v>
      </c>
      <c r="U204" s="77" t="s">
        <v>563</v>
      </c>
      <c r="V204" s="76" t="s">
        <v>143</v>
      </c>
      <c r="W204" s="76">
        <v>1</v>
      </c>
      <c r="X204" s="76">
        <v>1</v>
      </c>
      <c r="Y204" s="76">
        <v>4</v>
      </c>
      <c r="Z204" s="76">
        <v>2</v>
      </c>
      <c r="AA204" s="76">
        <v>0</v>
      </c>
      <c r="AB204" s="76">
        <v>0</v>
      </c>
      <c r="AC204" s="76">
        <v>19</v>
      </c>
      <c r="AD204" s="76">
        <v>130</v>
      </c>
      <c r="AE204" s="76">
        <v>269</v>
      </c>
      <c r="AF204" s="76">
        <v>1</v>
      </c>
      <c r="AG204" s="76">
        <v>2</v>
      </c>
      <c r="AH204" s="76">
        <v>20</v>
      </c>
      <c r="AI204" s="76">
        <v>8</v>
      </c>
      <c r="AJ204" s="76">
        <v>1</v>
      </c>
      <c r="AK204" s="76">
        <v>767</v>
      </c>
      <c r="AL204" s="76">
        <v>2835</v>
      </c>
      <c r="AM204" s="202"/>
      <c r="AN204" s="77"/>
      <c r="AO204" s="202"/>
      <c r="AP204" s="202"/>
      <c r="AQ204" s="202"/>
      <c r="AR204" s="202"/>
      <c r="AS204" s="202"/>
      <c r="AT204" s="202"/>
      <c r="AU204" s="202"/>
      <c r="AV204" s="202"/>
      <c r="AW204" s="202"/>
      <c r="AX204" s="202"/>
      <c r="AY204" s="202"/>
    </row>
    <row r="205" spans="1:51" x14ac:dyDescent="0.2">
      <c r="A205" s="76">
        <v>22</v>
      </c>
      <c r="B205" s="77" t="s">
        <v>1345</v>
      </c>
      <c r="C205" s="76" t="s">
        <v>143</v>
      </c>
      <c r="D205" s="76">
        <v>1</v>
      </c>
      <c r="E205" s="76">
        <v>0</v>
      </c>
      <c r="F205" s="76">
        <v>5.4</v>
      </c>
      <c r="G205" s="76">
        <v>24</v>
      </c>
      <c r="H205" s="76">
        <v>0</v>
      </c>
      <c r="I205" s="76">
        <v>0</v>
      </c>
      <c r="J205" s="76">
        <v>0</v>
      </c>
      <c r="K205" s="76">
        <v>18.100000000000001</v>
      </c>
      <c r="L205" s="76">
        <v>23</v>
      </c>
      <c r="M205" s="76">
        <v>13</v>
      </c>
      <c r="N205" s="76">
        <v>11</v>
      </c>
      <c r="O205" s="76">
        <v>4</v>
      </c>
      <c r="P205" s="76">
        <v>10</v>
      </c>
      <c r="Q205" s="76">
        <v>14</v>
      </c>
      <c r="R205" s="76">
        <v>0.315</v>
      </c>
      <c r="S205" s="76">
        <v>1.8</v>
      </c>
      <c r="T205" s="76">
        <v>22</v>
      </c>
      <c r="U205" s="77" t="s">
        <v>1345</v>
      </c>
      <c r="V205" s="76" t="s">
        <v>143</v>
      </c>
      <c r="W205" s="76">
        <v>0</v>
      </c>
      <c r="X205" s="76">
        <v>0</v>
      </c>
      <c r="Y205" s="76">
        <v>2</v>
      </c>
      <c r="Z205" s="76">
        <v>2</v>
      </c>
      <c r="AA205" s="76">
        <v>1</v>
      </c>
      <c r="AB205" s="76">
        <v>6</v>
      </c>
      <c r="AC205" s="76">
        <v>4</v>
      </c>
      <c r="AD205" s="76">
        <v>22</v>
      </c>
      <c r="AE205" s="76">
        <v>15</v>
      </c>
      <c r="AF205" s="76">
        <v>1</v>
      </c>
      <c r="AG205" s="76">
        <v>0</v>
      </c>
      <c r="AH205" s="76">
        <v>1</v>
      </c>
      <c r="AI205" s="76">
        <v>0</v>
      </c>
      <c r="AJ205" s="76">
        <v>0</v>
      </c>
      <c r="AK205" s="76">
        <v>86</v>
      </c>
      <c r="AL205" s="76">
        <v>328</v>
      </c>
      <c r="AM205" s="202"/>
      <c r="AN205" s="77"/>
      <c r="AO205" s="202"/>
      <c r="AP205" s="202"/>
      <c r="AQ205" s="202"/>
      <c r="AR205" s="202"/>
      <c r="AS205" s="202"/>
      <c r="AT205" s="202"/>
      <c r="AU205" s="202"/>
      <c r="AV205" s="202"/>
      <c r="AW205" s="202"/>
      <c r="AX205" s="202"/>
      <c r="AY205" s="202"/>
    </row>
    <row r="206" spans="1:51" x14ac:dyDescent="0.2">
      <c r="A206" s="76">
        <v>22</v>
      </c>
      <c r="B206" s="77" t="s">
        <v>1346</v>
      </c>
      <c r="C206" s="76" t="s">
        <v>143</v>
      </c>
      <c r="D206" s="76">
        <v>1</v>
      </c>
      <c r="E206" s="76">
        <v>3</v>
      </c>
      <c r="F206" s="76">
        <v>5.4</v>
      </c>
      <c r="G206" s="76">
        <v>5</v>
      </c>
      <c r="H206" s="76">
        <v>5</v>
      </c>
      <c r="I206" s="76">
        <v>0</v>
      </c>
      <c r="J206" s="76">
        <v>0</v>
      </c>
      <c r="K206" s="76">
        <v>26.2</v>
      </c>
      <c r="L206" s="76">
        <v>32</v>
      </c>
      <c r="M206" s="76">
        <v>16</v>
      </c>
      <c r="N206" s="76">
        <v>16</v>
      </c>
      <c r="O206" s="76">
        <v>5</v>
      </c>
      <c r="P206" s="76">
        <v>6</v>
      </c>
      <c r="Q206" s="76">
        <v>15</v>
      </c>
      <c r="R206" s="76">
        <v>0.314</v>
      </c>
      <c r="S206" s="76">
        <v>1.43</v>
      </c>
      <c r="T206" s="76">
        <v>22</v>
      </c>
      <c r="U206" s="77" t="s">
        <v>1346</v>
      </c>
      <c r="V206" s="76" t="s">
        <v>143</v>
      </c>
      <c r="W206" s="76">
        <v>0</v>
      </c>
      <c r="X206" s="76">
        <v>0</v>
      </c>
      <c r="Y206" s="76">
        <v>5</v>
      </c>
      <c r="Z206" s="76">
        <v>0</v>
      </c>
      <c r="AA206" s="76">
        <v>0</v>
      </c>
      <c r="AB206" s="76">
        <v>0</v>
      </c>
      <c r="AC206" s="76">
        <v>4</v>
      </c>
      <c r="AD206" s="76">
        <v>26</v>
      </c>
      <c r="AE206" s="76">
        <v>31</v>
      </c>
      <c r="AF206" s="76">
        <v>1</v>
      </c>
      <c r="AG206" s="76">
        <v>0</v>
      </c>
      <c r="AH206" s="76">
        <v>1</v>
      </c>
      <c r="AI206" s="76">
        <v>1</v>
      </c>
      <c r="AJ206" s="76">
        <v>0</v>
      </c>
      <c r="AK206" s="76">
        <v>115</v>
      </c>
      <c r="AL206" s="76">
        <v>436</v>
      </c>
      <c r="AM206" s="202"/>
      <c r="AN206" s="77"/>
      <c r="AO206" s="202"/>
      <c r="AP206" s="202"/>
      <c r="AQ206" s="202"/>
      <c r="AR206" s="202"/>
      <c r="AS206" s="202"/>
      <c r="AT206" s="202"/>
      <c r="AU206" s="202"/>
      <c r="AV206" s="202"/>
      <c r="AW206" s="202"/>
      <c r="AX206" s="202"/>
      <c r="AY206" s="202"/>
    </row>
    <row r="207" spans="1:51" x14ac:dyDescent="0.2">
      <c r="A207" s="76">
        <v>24</v>
      </c>
      <c r="B207" s="77" t="s">
        <v>383</v>
      </c>
      <c r="C207" s="76" t="s">
        <v>143</v>
      </c>
      <c r="D207" s="76">
        <v>0</v>
      </c>
      <c r="E207" s="76">
        <v>0</v>
      </c>
      <c r="F207" s="76">
        <v>5.68</v>
      </c>
      <c r="G207" s="76">
        <v>7</v>
      </c>
      <c r="H207" s="76">
        <v>0</v>
      </c>
      <c r="I207" s="76">
        <v>0</v>
      </c>
      <c r="J207" s="76">
        <v>0</v>
      </c>
      <c r="K207" s="76">
        <v>6.1</v>
      </c>
      <c r="L207" s="76">
        <v>5</v>
      </c>
      <c r="M207" s="76">
        <v>4</v>
      </c>
      <c r="N207" s="76">
        <v>4</v>
      </c>
      <c r="O207" s="76">
        <v>1</v>
      </c>
      <c r="P207" s="76">
        <v>7</v>
      </c>
      <c r="Q207" s="76">
        <v>4</v>
      </c>
      <c r="R207" s="76">
        <v>0.22700000000000001</v>
      </c>
      <c r="S207" s="76">
        <v>1.89</v>
      </c>
      <c r="T207" s="76">
        <v>24</v>
      </c>
      <c r="U207" s="77" t="s">
        <v>383</v>
      </c>
      <c r="V207" s="76" t="s">
        <v>143</v>
      </c>
      <c r="W207" s="76">
        <v>0</v>
      </c>
      <c r="X207" s="76">
        <v>0</v>
      </c>
      <c r="Y207" s="76">
        <v>1</v>
      </c>
      <c r="Z207" s="76">
        <v>1</v>
      </c>
      <c r="AA207" s="76">
        <v>1</v>
      </c>
      <c r="AB207" s="76">
        <v>0</v>
      </c>
      <c r="AC207" s="76">
        <v>2</v>
      </c>
      <c r="AD207" s="76">
        <v>7</v>
      </c>
      <c r="AE207" s="76">
        <v>6</v>
      </c>
      <c r="AF207" s="76">
        <v>1</v>
      </c>
      <c r="AG207" s="76">
        <v>0</v>
      </c>
      <c r="AH207" s="76">
        <v>0</v>
      </c>
      <c r="AI207" s="76">
        <v>0</v>
      </c>
      <c r="AJ207" s="76">
        <v>0</v>
      </c>
      <c r="AK207" s="76">
        <v>30</v>
      </c>
      <c r="AL207" s="76">
        <v>134</v>
      </c>
      <c r="AM207" s="202"/>
      <c r="AN207" s="77"/>
      <c r="AO207" s="202"/>
      <c r="AP207" s="202"/>
      <c r="AQ207" s="202"/>
      <c r="AR207" s="202"/>
      <c r="AS207" s="202"/>
      <c r="AT207" s="202"/>
      <c r="AU207" s="202"/>
      <c r="AV207" s="202"/>
      <c r="AW207" s="202"/>
      <c r="AX207" s="202"/>
      <c r="AY207" s="202"/>
    </row>
    <row r="208" spans="1:51" ht="25.5" x14ac:dyDescent="0.2">
      <c r="A208" s="76">
        <v>25</v>
      </c>
      <c r="B208" s="77" t="s">
        <v>340</v>
      </c>
      <c r="C208" s="76" t="s">
        <v>143</v>
      </c>
      <c r="D208" s="76">
        <v>0</v>
      </c>
      <c r="E208" s="76">
        <v>2</v>
      </c>
      <c r="F208" s="76">
        <v>5.84</v>
      </c>
      <c r="G208" s="76">
        <v>19</v>
      </c>
      <c r="H208" s="76">
        <v>1</v>
      </c>
      <c r="I208" s="76">
        <v>0</v>
      </c>
      <c r="J208" s="76">
        <v>1</v>
      </c>
      <c r="K208" s="76">
        <v>24.2</v>
      </c>
      <c r="L208" s="76">
        <v>25</v>
      </c>
      <c r="M208" s="76">
        <v>16</v>
      </c>
      <c r="N208" s="76">
        <v>16</v>
      </c>
      <c r="O208" s="76">
        <v>4</v>
      </c>
      <c r="P208" s="76">
        <v>16</v>
      </c>
      <c r="Q208" s="76">
        <v>17</v>
      </c>
      <c r="R208" s="76">
        <v>0.26</v>
      </c>
      <c r="S208" s="76">
        <v>1.66</v>
      </c>
      <c r="T208" s="76">
        <v>25</v>
      </c>
      <c r="U208" s="77" t="s">
        <v>340</v>
      </c>
      <c r="V208" s="76" t="s">
        <v>143</v>
      </c>
      <c r="W208" s="76">
        <v>0</v>
      </c>
      <c r="X208" s="76">
        <v>0</v>
      </c>
      <c r="Y208" s="76">
        <v>1</v>
      </c>
      <c r="Z208" s="76">
        <v>1</v>
      </c>
      <c r="AA208" s="76">
        <v>4</v>
      </c>
      <c r="AB208" s="76">
        <v>0</v>
      </c>
      <c r="AC208" s="76">
        <v>0</v>
      </c>
      <c r="AD208" s="76">
        <v>18</v>
      </c>
      <c r="AE208" s="76">
        <v>37</v>
      </c>
      <c r="AF208" s="76">
        <v>2</v>
      </c>
      <c r="AG208" s="76">
        <v>2</v>
      </c>
      <c r="AH208" s="76">
        <v>4</v>
      </c>
      <c r="AI208" s="76">
        <v>2</v>
      </c>
      <c r="AJ208" s="76">
        <v>1</v>
      </c>
      <c r="AK208" s="76">
        <v>114</v>
      </c>
      <c r="AL208" s="76">
        <v>464</v>
      </c>
      <c r="AM208" s="102"/>
      <c r="AN208" s="102"/>
      <c r="AO208" s="102"/>
      <c r="AP208" s="102"/>
      <c r="AQ208" s="102"/>
      <c r="AR208" s="102"/>
      <c r="AS208" s="102"/>
      <c r="AT208" s="102"/>
      <c r="AU208" s="102"/>
      <c r="AV208" s="102"/>
      <c r="AW208" s="102"/>
      <c r="AX208" s="102"/>
      <c r="AY208" s="102"/>
    </row>
    <row r="209" spans="1:51" ht="25.5" x14ac:dyDescent="0.2">
      <c r="A209" s="76">
        <v>26</v>
      </c>
      <c r="B209" s="77" t="s">
        <v>766</v>
      </c>
      <c r="C209" s="76" t="s">
        <v>143</v>
      </c>
      <c r="D209" s="76">
        <v>0</v>
      </c>
      <c r="E209" s="76">
        <v>1</v>
      </c>
      <c r="F209" s="76">
        <v>6</v>
      </c>
      <c r="G209" s="76">
        <v>1</v>
      </c>
      <c r="H209" s="76">
        <v>1</v>
      </c>
      <c r="I209" s="76">
        <v>0</v>
      </c>
      <c r="J209" s="76">
        <v>0</v>
      </c>
      <c r="K209" s="76">
        <v>6</v>
      </c>
      <c r="L209" s="76">
        <v>7</v>
      </c>
      <c r="M209" s="76">
        <v>4</v>
      </c>
      <c r="N209" s="76">
        <v>4</v>
      </c>
      <c r="O209" s="76">
        <v>2</v>
      </c>
      <c r="P209" s="76">
        <v>0</v>
      </c>
      <c r="Q209" s="76">
        <v>7</v>
      </c>
      <c r="R209" s="76">
        <v>0.28000000000000003</v>
      </c>
      <c r="S209" s="76">
        <v>1.17</v>
      </c>
      <c r="T209" s="76">
        <v>26</v>
      </c>
      <c r="U209" s="77" t="s">
        <v>766</v>
      </c>
      <c r="V209" s="76" t="s">
        <v>143</v>
      </c>
      <c r="W209" s="76">
        <v>0</v>
      </c>
      <c r="X209" s="76">
        <v>0</v>
      </c>
      <c r="Y209" s="76">
        <v>0</v>
      </c>
      <c r="Z209" s="76">
        <v>0</v>
      </c>
      <c r="AA209" s="76">
        <v>0</v>
      </c>
      <c r="AB209" s="76">
        <v>0</v>
      </c>
      <c r="AC209" s="76">
        <v>0</v>
      </c>
      <c r="AD209" s="76">
        <v>6</v>
      </c>
      <c r="AE209" s="76">
        <v>5</v>
      </c>
      <c r="AF209" s="76">
        <v>0</v>
      </c>
      <c r="AG209" s="76">
        <v>0</v>
      </c>
      <c r="AH209" s="76">
        <v>0</v>
      </c>
      <c r="AI209" s="76">
        <v>0</v>
      </c>
      <c r="AJ209" s="76">
        <v>0</v>
      </c>
      <c r="AK209" s="76">
        <v>25</v>
      </c>
      <c r="AL209" s="76">
        <v>87</v>
      </c>
      <c r="AM209" s="202"/>
      <c r="AN209" s="77"/>
      <c r="AO209" s="202"/>
      <c r="AP209" s="202"/>
      <c r="AQ209" s="202"/>
      <c r="AR209" s="202"/>
      <c r="AS209" s="202"/>
      <c r="AT209" s="202"/>
      <c r="AU209" s="202"/>
      <c r="AV209" s="202"/>
      <c r="AW209" s="202"/>
      <c r="AX209" s="202"/>
      <c r="AY209" s="202"/>
    </row>
    <row r="210" spans="1:51" x14ac:dyDescent="0.2">
      <c r="A210" s="76">
        <v>27</v>
      </c>
      <c r="B210" s="77" t="s">
        <v>439</v>
      </c>
      <c r="C210" s="76" t="s">
        <v>143</v>
      </c>
      <c r="D210" s="76">
        <v>3</v>
      </c>
      <c r="E210" s="76">
        <v>2</v>
      </c>
      <c r="F210" s="76">
        <v>6.45</v>
      </c>
      <c r="G210" s="76">
        <v>26</v>
      </c>
      <c r="H210" s="76">
        <v>0</v>
      </c>
      <c r="I210" s="76">
        <v>9</v>
      </c>
      <c r="J210" s="76">
        <v>12</v>
      </c>
      <c r="K210" s="76">
        <v>22.1</v>
      </c>
      <c r="L210" s="76">
        <v>31</v>
      </c>
      <c r="M210" s="76">
        <v>16</v>
      </c>
      <c r="N210" s="76">
        <v>16</v>
      </c>
      <c r="O210" s="76">
        <v>5</v>
      </c>
      <c r="P210" s="76">
        <v>12</v>
      </c>
      <c r="Q210" s="76">
        <v>14</v>
      </c>
      <c r="R210" s="76">
        <v>0.33700000000000002</v>
      </c>
      <c r="S210" s="76">
        <v>1.93</v>
      </c>
      <c r="T210" s="76">
        <v>27</v>
      </c>
      <c r="U210" s="77" t="s">
        <v>439</v>
      </c>
      <c r="V210" s="76" t="s">
        <v>143</v>
      </c>
      <c r="W210" s="76">
        <v>0</v>
      </c>
      <c r="X210" s="76">
        <v>0</v>
      </c>
      <c r="Y210" s="76">
        <v>0</v>
      </c>
      <c r="Z210" s="76">
        <v>2</v>
      </c>
      <c r="AA210" s="76">
        <v>21</v>
      </c>
      <c r="AB210" s="76">
        <v>0</v>
      </c>
      <c r="AC210" s="76">
        <v>2</v>
      </c>
      <c r="AD210" s="76">
        <v>20</v>
      </c>
      <c r="AE210" s="76">
        <v>28</v>
      </c>
      <c r="AF210" s="76">
        <v>0</v>
      </c>
      <c r="AG210" s="76">
        <v>0</v>
      </c>
      <c r="AH210" s="76">
        <v>2</v>
      </c>
      <c r="AI210" s="76">
        <v>0</v>
      </c>
      <c r="AJ210" s="76">
        <v>1</v>
      </c>
      <c r="AK210" s="76">
        <v>105</v>
      </c>
      <c r="AL210" s="76">
        <v>401</v>
      </c>
      <c r="AM210" s="202"/>
      <c r="AN210" s="77"/>
      <c r="AO210" s="202"/>
      <c r="AP210" s="202"/>
      <c r="AQ210" s="202"/>
      <c r="AR210" s="202"/>
      <c r="AS210" s="202"/>
      <c r="AT210" s="202"/>
      <c r="AU210" s="202"/>
      <c r="AV210" s="202"/>
      <c r="AW210" s="202"/>
      <c r="AX210" s="202"/>
      <c r="AY210" s="202"/>
    </row>
    <row r="211" spans="1:51" ht="25.5" x14ac:dyDescent="0.2">
      <c r="A211" s="76">
        <v>28</v>
      </c>
      <c r="B211" s="77" t="s">
        <v>548</v>
      </c>
      <c r="C211" s="76" t="s">
        <v>143</v>
      </c>
      <c r="D211" s="76">
        <v>1</v>
      </c>
      <c r="E211" s="76">
        <v>1</v>
      </c>
      <c r="F211" s="76">
        <v>8.5500000000000007</v>
      </c>
      <c r="G211" s="76">
        <v>11</v>
      </c>
      <c r="H211" s="76">
        <v>2</v>
      </c>
      <c r="I211" s="76">
        <v>0</v>
      </c>
      <c r="J211" s="76">
        <v>0</v>
      </c>
      <c r="K211" s="76">
        <v>20</v>
      </c>
      <c r="L211" s="76">
        <v>27</v>
      </c>
      <c r="M211" s="76">
        <v>19</v>
      </c>
      <c r="N211" s="76">
        <v>19</v>
      </c>
      <c r="O211" s="76">
        <v>7</v>
      </c>
      <c r="P211" s="76">
        <v>9</v>
      </c>
      <c r="Q211" s="76">
        <v>16</v>
      </c>
      <c r="R211" s="76">
        <v>0.318</v>
      </c>
      <c r="S211" s="76">
        <v>1.8</v>
      </c>
      <c r="T211" s="76">
        <v>28</v>
      </c>
      <c r="U211" s="77" t="s">
        <v>548</v>
      </c>
      <c r="V211" s="76" t="s">
        <v>143</v>
      </c>
      <c r="W211" s="76">
        <v>0</v>
      </c>
      <c r="X211" s="76">
        <v>0</v>
      </c>
      <c r="Y211" s="76">
        <v>1</v>
      </c>
      <c r="Z211" s="76">
        <v>1</v>
      </c>
      <c r="AA211" s="76">
        <v>4</v>
      </c>
      <c r="AB211" s="76">
        <v>0</v>
      </c>
      <c r="AC211" s="76">
        <v>1</v>
      </c>
      <c r="AD211" s="76">
        <v>20</v>
      </c>
      <c r="AE211" s="76">
        <v>22</v>
      </c>
      <c r="AF211" s="76">
        <v>0</v>
      </c>
      <c r="AG211" s="76">
        <v>0</v>
      </c>
      <c r="AH211" s="76">
        <v>0</v>
      </c>
      <c r="AI211" s="76">
        <v>2</v>
      </c>
      <c r="AJ211" s="76">
        <v>0</v>
      </c>
      <c r="AK211" s="76">
        <v>95</v>
      </c>
      <c r="AL211" s="76">
        <v>375</v>
      </c>
      <c r="AM211" s="202"/>
      <c r="AN211" s="77"/>
      <c r="AO211" s="202"/>
      <c r="AP211" s="202"/>
      <c r="AQ211" s="202"/>
      <c r="AR211" s="202"/>
      <c r="AS211" s="202"/>
      <c r="AT211" s="202"/>
      <c r="AU211" s="202"/>
      <c r="AV211" s="202"/>
      <c r="AW211" s="202"/>
      <c r="AX211" s="202"/>
      <c r="AY211" s="202"/>
    </row>
    <row r="212" spans="1:51" ht="25.5" x14ac:dyDescent="0.2">
      <c r="A212" s="76">
        <v>29</v>
      </c>
      <c r="B212" s="77" t="s">
        <v>455</v>
      </c>
      <c r="C212" s="76" t="s">
        <v>143</v>
      </c>
      <c r="D212" s="76">
        <v>2</v>
      </c>
      <c r="E212" s="76">
        <v>6</v>
      </c>
      <c r="F212" s="76">
        <v>9.16</v>
      </c>
      <c r="G212" s="76">
        <v>9</v>
      </c>
      <c r="H212" s="76">
        <v>9</v>
      </c>
      <c r="I212" s="76">
        <v>0</v>
      </c>
      <c r="J212" s="76">
        <v>0</v>
      </c>
      <c r="K212" s="76">
        <v>38.1</v>
      </c>
      <c r="L212" s="76">
        <v>68</v>
      </c>
      <c r="M212" s="76">
        <v>41</v>
      </c>
      <c r="N212" s="76">
        <v>39</v>
      </c>
      <c r="O212" s="76">
        <v>11</v>
      </c>
      <c r="P212" s="76">
        <v>23</v>
      </c>
      <c r="Q212" s="76">
        <v>32</v>
      </c>
      <c r="R212" s="76">
        <v>0.39500000000000002</v>
      </c>
      <c r="S212" s="76">
        <v>2.37</v>
      </c>
      <c r="T212" s="76">
        <v>29</v>
      </c>
      <c r="U212" s="77" t="s">
        <v>455</v>
      </c>
      <c r="V212" s="76" t="s">
        <v>143</v>
      </c>
      <c r="W212" s="76">
        <v>0</v>
      </c>
      <c r="X212" s="76">
        <v>0</v>
      </c>
      <c r="Y212" s="76">
        <v>2</v>
      </c>
      <c r="Z212" s="76">
        <v>0</v>
      </c>
      <c r="AA212" s="76">
        <v>0</v>
      </c>
      <c r="AB212" s="76">
        <v>0</v>
      </c>
      <c r="AC212" s="76">
        <v>5</v>
      </c>
      <c r="AD212" s="76">
        <v>37</v>
      </c>
      <c r="AE212" s="76">
        <v>38</v>
      </c>
      <c r="AF212" s="76">
        <v>3</v>
      </c>
      <c r="AG212" s="76">
        <v>0</v>
      </c>
      <c r="AH212" s="76">
        <v>6</v>
      </c>
      <c r="AI212" s="76">
        <v>2</v>
      </c>
      <c r="AJ212" s="76">
        <v>0</v>
      </c>
      <c r="AK212" s="76">
        <v>200</v>
      </c>
      <c r="AL212" s="76">
        <v>806</v>
      </c>
      <c r="AM212" s="202"/>
      <c r="AN212" s="77"/>
      <c r="AO212" s="202"/>
      <c r="AP212" s="202"/>
      <c r="AQ212" s="202"/>
      <c r="AR212" s="202"/>
      <c r="AS212" s="202"/>
      <c r="AT212" s="202"/>
      <c r="AU212" s="202"/>
      <c r="AV212" s="202"/>
      <c r="AW212" s="202"/>
      <c r="AX212" s="202"/>
      <c r="AY212" s="202"/>
    </row>
    <row r="213" spans="1:51" x14ac:dyDescent="0.2">
      <c r="A213" s="76">
        <v>30</v>
      </c>
      <c r="B213" s="77" t="s">
        <v>534</v>
      </c>
      <c r="C213" s="76" t="s">
        <v>143</v>
      </c>
      <c r="D213" s="76">
        <v>0</v>
      </c>
      <c r="E213" s="76">
        <v>2</v>
      </c>
      <c r="F213" s="76">
        <v>11.81</v>
      </c>
      <c r="G213" s="76">
        <v>2</v>
      </c>
      <c r="H213" s="76">
        <v>2</v>
      </c>
      <c r="I213" s="76">
        <v>0</v>
      </c>
      <c r="J213" s="76">
        <v>0</v>
      </c>
      <c r="K213" s="76">
        <v>5.0999999999999996</v>
      </c>
      <c r="L213" s="76">
        <v>13</v>
      </c>
      <c r="M213" s="76">
        <v>10</v>
      </c>
      <c r="N213" s="76">
        <v>7</v>
      </c>
      <c r="O213" s="76">
        <v>4</v>
      </c>
      <c r="P213" s="76">
        <v>2</v>
      </c>
      <c r="Q213" s="76">
        <v>3</v>
      </c>
      <c r="R213" s="76">
        <v>0.46400000000000002</v>
      </c>
      <c r="S213" s="76">
        <v>2.81</v>
      </c>
      <c r="T213" s="76">
        <v>30</v>
      </c>
      <c r="U213" s="77" t="s">
        <v>534</v>
      </c>
      <c r="V213" s="76" t="s">
        <v>143</v>
      </c>
      <c r="W213" s="76">
        <v>0</v>
      </c>
      <c r="X213" s="76">
        <v>0</v>
      </c>
      <c r="Y213" s="76">
        <v>0</v>
      </c>
      <c r="Z213" s="76">
        <v>0</v>
      </c>
      <c r="AA213" s="76">
        <v>0</v>
      </c>
      <c r="AB213" s="76">
        <v>0</v>
      </c>
      <c r="AC213" s="76">
        <v>1</v>
      </c>
      <c r="AD213" s="76">
        <v>11</v>
      </c>
      <c r="AE213" s="76">
        <v>3</v>
      </c>
      <c r="AF213" s="76">
        <v>0</v>
      </c>
      <c r="AG213" s="76">
        <v>0</v>
      </c>
      <c r="AH213" s="76">
        <v>0</v>
      </c>
      <c r="AI213" s="76">
        <v>0</v>
      </c>
      <c r="AJ213" s="76">
        <v>0</v>
      </c>
      <c r="AK213" s="76">
        <v>32</v>
      </c>
      <c r="AL213" s="76">
        <v>108</v>
      </c>
      <c r="AM213" s="202"/>
      <c r="AN213" s="77"/>
      <c r="AO213" s="202"/>
      <c r="AP213" s="202"/>
      <c r="AQ213" s="202"/>
      <c r="AR213" s="202"/>
      <c r="AS213" s="202"/>
      <c r="AT213" s="202"/>
      <c r="AU213" s="202"/>
      <c r="AV213" s="202"/>
      <c r="AW213" s="202"/>
      <c r="AX213" s="202"/>
      <c r="AY213" s="202"/>
    </row>
    <row r="214" spans="1:51" x14ac:dyDescent="0.2">
      <c r="A214" s="225" t="s">
        <v>105</v>
      </c>
      <c r="B214" s="225" t="s">
        <v>106</v>
      </c>
      <c r="C214" s="225" t="s">
        <v>157</v>
      </c>
      <c r="D214" s="225" t="s">
        <v>85</v>
      </c>
      <c r="E214" s="225" t="s">
        <v>86</v>
      </c>
      <c r="F214" s="225" t="s">
        <v>107</v>
      </c>
      <c r="G214" s="225" t="s">
        <v>108</v>
      </c>
      <c r="H214" s="225" t="s">
        <v>88</v>
      </c>
      <c r="I214" s="225" t="s">
        <v>90</v>
      </c>
      <c r="J214" s="225" t="s">
        <v>158</v>
      </c>
      <c r="K214" s="225" t="s">
        <v>91</v>
      </c>
      <c r="L214" s="225" t="s">
        <v>92</v>
      </c>
      <c r="M214" s="225" t="s">
        <v>93</v>
      </c>
      <c r="N214" s="225" t="s">
        <v>94</v>
      </c>
      <c r="O214" s="225" t="s">
        <v>95</v>
      </c>
      <c r="P214" s="225" t="s">
        <v>96</v>
      </c>
      <c r="Q214" s="225" t="s">
        <v>97</v>
      </c>
      <c r="R214" s="225" t="s">
        <v>1071</v>
      </c>
      <c r="S214" s="225" t="s">
        <v>1072</v>
      </c>
      <c r="T214" s="225" t="s">
        <v>105</v>
      </c>
      <c r="U214" s="225" t="s">
        <v>106</v>
      </c>
      <c r="V214" s="225" t="s">
        <v>157</v>
      </c>
      <c r="W214" s="225" t="s">
        <v>89</v>
      </c>
      <c r="X214" s="225" t="s">
        <v>1073</v>
      </c>
      <c r="Y214" s="225" t="s">
        <v>1074</v>
      </c>
      <c r="Z214" s="225" t="s">
        <v>98</v>
      </c>
      <c r="AA214" s="225" t="s">
        <v>1075</v>
      </c>
      <c r="AB214" s="225" t="s">
        <v>1076</v>
      </c>
      <c r="AC214" s="225" t="s">
        <v>1077</v>
      </c>
      <c r="AD214" s="225" t="s">
        <v>1066</v>
      </c>
      <c r="AE214" s="225" t="s">
        <v>1067</v>
      </c>
      <c r="AF214" s="225" t="s">
        <v>1078</v>
      </c>
      <c r="AG214" s="225" t="s">
        <v>1079</v>
      </c>
      <c r="AH214" s="225" t="s">
        <v>1057</v>
      </c>
      <c r="AI214" s="225" t="s">
        <v>1058</v>
      </c>
      <c r="AJ214" s="225" t="s">
        <v>1080</v>
      </c>
      <c r="AK214" s="225" t="s">
        <v>109</v>
      </c>
      <c r="AL214" s="225" t="s">
        <v>1069</v>
      </c>
      <c r="AM214" s="202"/>
      <c r="AN214" s="77"/>
      <c r="AO214" s="202"/>
      <c r="AP214" s="202"/>
      <c r="AQ214" s="202"/>
      <c r="AR214" s="202"/>
      <c r="AS214" s="202"/>
      <c r="AT214" s="202"/>
      <c r="AU214" s="202"/>
      <c r="AV214" s="202"/>
      <c r="AW214" s="202"/>
      <c r="AX214" s="202"/>
      <c r="AY214" s="202"/>
    </row>
    <row r="215" spans="1:51" ht="25.5" x14ac:dyDescent="0.2">
      <c r="A215" s="76">
        <v>1</v>
      </c>
      <c r="B215" s="77" t="s">
        <v>1347</v>
      </c>
      <c r="C215" s="76" t="s">
        <v>151</v>
      </c>
      <c r="D215" s="76">
        <v>0</v>
      </c>
      <c r="E215" s="76">
        <v>0</v>
      </c>
      <c r="F215" s="76">
        <v>0</v>
      </c>
      <c r="G215" s="76">
        <v>1</v>
      </c>
      <c r="H215" s="76">
        <v>0</v>
      </c>
      <c r="I215" s="76">
        <v>0</v>
      </c>
      <c r="J215" s="76">
        <v>0</v>
      </c>
      <c r="K215" s="76">
        <v>1</v>
      </c>
      <c r="L215" s="76">
        <v>1</v>
      </c>
      <c r="M215" s="76">
        <v>0</v>
      </c>
      <c r="N215" s="76">
        <v>0</v>
      </c>
      <c r="O215" s="76">
        <v>0</v>
      </c>
      <c r="P215" s="76">
        <v>0</v>
      </c>
      <c r="Q215" s="76">
        <v>0</v>
      </c>
      <c r="R215" s="76">
        <v>0.25</v>
      </c>
      <c r="S215" s="76">
        <v>1</v>
      </c>
      <c r="T215" s="76">
        <v>1</v>
      </c>
      <c r="U215" s="77" t="s">
        <v>1347</v>
      </c>
      <c r="V215" s="76" t="s">
        <v>151</v>
      </c>
      <c r="W215" s="76">
        <v>0</v>
      </c>
      <c r="X215" s="76">
        <v>0</v>
      </c>
      <c r="Y215" s="76">
        <v>0</v>
      </c>
      <c r="Z215" s="76">
        <v>0</v>
      </c>
      <c r="AA215" s="76">
        <v>1</v>
      </c>
      <c r="AB215" s="76">
        <v>0</v>
      </c>
      <c r="AC215" s="76">
        <v>0</v>
      </c>
      <c r="AD215" s="76">
        <v>0</v>
      </c>
      <c r="AE215" s="76">
        <v>3</v>
      </c>
      <c r="AF215" s="76">
        <v>0</v>
      </c>
      <c r="AG215" s="76">
        <v>0</v>
      </c>
      <c r="AH215" s="76">
        <v>0</v>
      </c>
      <c r="AI215" s="76">
        <v>0</v>
      </c>
      <c r="AJ215" s="76">
        <v>0</v>
      </c>
      <c r="AK215" s="76">
        <v>4</v>
      </c>
      <c r="AL215" s="76">
        <v>16</v>
      </c>
      <c r="AM215" s="202"/>
      <c r="AN215" s="77"/>
      <c r="AO215" s="202"/>
      <c r="AP215" s="202"/>
      <c r="AQ215" s="202"/>
      <c r="AR215" s="202"/>
      <c r="AS215" s="202"/>
      <c r="AT215" s="202"/>
      <c r="AU215" s="202"/>
      <c r="AV215" s="202"/>
      <c r="AW215" s="202"/>
      <c r="AX215" s="202"/>
      <c r="AY215" s="202"/>
    </row>
    <row r="216" spans="1:51" x14ac:dyDescent="0.2">
      <c r="A216" s="76">
        <v>2</v>
      </c>
      <c r="B216" s="77" t="s">
        <v>477</v>
      </c>
      <c r="C216" s="76" t="s">
        <v>151</v>
      </c>
      <c r="D216" s="76">
        <v>1</v>
      </c>
      <c r="E216" s="76">
        <v>4</v>
      </c>
      <c r="F216" s="76">
        <v>2.65</v>
      </c>
      <c r="G216" s="76">
        <v>39</v>
      </c>
      <c r="H216" s="76">
        <v>0</v>
      </c>
      <c r="I216" s="76">
        <v>1</v>
      </c>
      <c r="J216" s="76">
        <v>2</v>
      </c>
      <c r="K216" s="76">
        <v>34</v>
      </c>
      <c r="L216" s="76">
        <v>27</v>
      </c>
      <c r="M216" s="76">
        <v>11</v>
      </c>
      <c r="N216" s="76">
        <v>10</v>
      </c>
      <c r="O216" s="76">
        <v>2</v>
      </c>
      <c r="P216" s="76">
        <v>14</v>
      </c>
      <c r="Q216" s="76">
        <v>29</v>
      </c>
      <c r="R216" s="76">
        <v>0.22</v>
      </c>
      <c r="S216" s="76">
        <v>1.21</v>
      </c>
      <c r="T216" s="76">
        <v>2</v>
      </c>
      <c r="U216" s="77" t="s">
        <v>477</v>
      </c>
      <c r="V216" s="76" t="s">
        <v>151</v>
      </c>
      <c r="W216" s="76">
        <v>0</v>
      </c>
      <c r="X216" s="76">
        <v>0</v>
      </c>
      <c r="Y216" s="76">
        <v>0</v>
      </c>
      <c r="Z216" s="76">
        <v>2</v>
      </c>
      <c r="AA216" s="76">
        <v>8</v>
      </c>
      <c r="AB216" s="76">
        <v>6</v>
      </c>
      <c r="AC216" s="76">
        <v>6</v>
      </c>
      <c r="AD216" s="76">
        <v>35</v>
      </c>
      <c r="AE216" s="76">
        <v>33</v>
      </c>
      <c r="AF216" s="76">
        <v>0</v>
      </c>
      <c r="AG216" s="76">
        <v>1</v>
      </c>
      <c r="AH216" s="76">
        <v>2</v>
      </c>
      <c r="AI216" s="76">
        <v>0</v>
      </c>
      <c r="AJ216" s="76">
        <v>0</v>
      </c>
      <c r="AK216" s="76">
        <v>138</v>
      </c>
      <c r="AL216" s="76">
        <v>549</v>
      </c>
      <c r="AM216" s="202"/>
      <c r="AN216" s="77"/>
      <c r="AO216" s="202"/>
      <c r="AP216" s="202"/>
      <c r="AQ216" s="202"/>
      <c r="AR216" s="202"/>
      <c r="AS216" s="202"/>
      <c r="AT216" s="202"/>
      <c r="AU216" s="202"/>
      <c r="AV216" s="202"/>
      <c r="AW216" s="202"/>
      <c r="AX216" s="202"/>
      <c r="AY216" s="202"/>
    </row>
    <row r="217" spans="1:51" ht="25.5" x14ac:dyDescent="0.2">
      <c r="A217" s="76">
        <v>3</v>
      </c>
      <c r="B217" s="77" t="s">
        <v>402</v>
      </c>
      <c r="C217" s="76" t="s">
        <v>151</v>
      </c>
      <c r="D217" s="76">
        <v>0</v>
      </c>
      <c r="E217" s="76">
        <v>2</v>
      </c>
      <c r="F217" s="76">
        <v>3.15</v>
      </c>
      <c r="G217" s="76">
        <v>54</v>
      </c>
      <c r="H217" s="76">
        <v>0</v>
      </c>
      <c r="I217" s="76">
        <v>17</v>
      </c>
      <c r="J217" s="76">
        <v>20</v>
      </c>
      <c r="K217" s="76">
        <v>54.1</v>
      </c>
      <c r="L217" s="76">
        <v>59</v>
      </c>
      <c r="M217" s="76">
        <v>22</v>
      </c>
      <c r="N217" s="76">
        <v>19</v>
      </c>
      <c r="O217" s="76">
        <v>5</v>
      </c>
      <c r="P217" s="76">
        <v>8</v>
      </c>
      <c r="Q217" s="76">
        <v>35</v>
      </c>
      <c r="R217" s="76">
        <v>0.27600000000000002</v>
      </c>
      <c r="S217" s="76">
        <v>1.23</v>
      </c>
      <c r="T217" s="76">
        <v>3</v>
      </c>
      <c r="U217" s="77" t="s">
        <v>402</v>
      </c>
      <c r="V217" s="76" t="s">
        <v>151</v>
      </c>
      <c r="W217" s="76">
        <v>0</v>
      </c>
      <c r="X217" s="76">
        <v>0</v>
      </c>
      <c r="Y217" s="76">
        <v>2</v>
      </c>
      <c r="Z217" s="76">
        <v>1</v>
      </c>
      <c r="AA217" s="76">
        <v>36</v>
      </c>
      <c r="AB217" s="76">
        <v>1</v>
      </c>
      <c r="AC217" s="76">
        <v>8</v>
      </c>
      <c r="AD217" s="76">
        <v>83</v>
      </c>
      <c r="AE217" s="76">
        <v>37</v>
      </c>
      <c r="AF217" s="76">
        <v>0</v>
      </c>
      <c r="AG217" s="76">
        <v>0</v>
      </c>
      <c r="AH217" s="76">
        <v>0</v>
      </c>
      <c r="AI217" s="76">
        <v>0</v>
      </c>
      <c r="AJ217" s="76">
        <v>1</v>
      </c>
      <c r="AK217" s="76">
        <v>224</v>
      </c>
      <c r="AL217" s="76">
        <v>828</v>
      </c>
      <c r="AM217" s="202"/>
      <c r="AN217" s="77"/>
      <c r="AO217" s="202"/>
      <c r="AP217" s="202"/>
      <c r="AQ217" s="202"/>
      <c r="AR217" s="202"/>
      <c r="AS217" s="202"/>
      <c r="AT217" s="202"/>
      <c r="AU217" s="202"/>
      <c r="AV217" s="202"/>
      <c r="AW217" s="202"/>
      <c r="AX217" s="202"/>
      <c r="AY217" s="202"/>
    </row>
    <row r="218" spans="1:51" ht="25.5" x14ac:dyDescent="0.2">
      <c r="A218" s="76">
        <v>4</v>
      </c>
      <c r="B218" s="77" t="s">
        <v>558</v>
      </c>
      <c r="C218" s="76" t="s">
        <v>151</v>
      </c>
      <c r="D218" s="76">
        <v>7</v>
      </c>
      <c r="E218" s="76">
        <v>11</v>
      </c>
      <c r="F218" s="76">
        <v>3.38</v>
      </c>
      <c r="G218" s="76">
        <v>30</v>
      </c>
      <c r="H218" s="76">
        <v>30</v>
      </c>
      <c r="I218" s="76">
        <v>0</v>
      </c>
      <c r="J218" s="76">
        <v>0</v>
      </c>
      <c r="K218" s="76">
        <v>181.1</v>
      </c>
      <c r="L218" s="76">
        <v>168</v>
      </c>
      <c r="M218" s="76">
        <v>78</v>
      </c>
      <c r="N218" s="76">
        <v>68</v>
      </c>
      <c r="O218" s="76">
        <v>19</v>
      </c>
      <c r="P218" s="76">
        <v>53</v>
      </c>
      <c r="Q218" s="76">
        <v>149</v>
      </c>
      <c r="R218" s="76">
        <v>0.245</v>
      </c>
      <c r="S218" s="76">
        <v>1.22</v>
      </c>
      <c r="T218" s="76">
        <v>4</v>
      </c>
      <c r="U218" s="77" t="s">
        <v>558</v>
      </c>
      <c r="V218" s="76" t="s">
        <v>151</v>
      </c>
      <c r="W218" s="76">
        <v>2</v>
      </c>
      <c r="X218" s="76">
        <v>1</v>
      </c>
      <c r="Y218" s="76">
        <v>4</v>
      </c>
      <c r="Z218" s="76">
        <v>2</v>
      </c>
      <c r="AA218" s="76">
        <v>0</v>
      </c>
      <c r="AB218" s="76">
        <v>0</v>
      </c>
      <c r="AC218" s="76">
        <v>20</v>
      </c>
      <c r="AD218" s="76">
        <v>182</v>
      </c>
      <c r="AE218" s="76">
        <v>192</v>
      </c>
      <c r="AF218" s="76">
        <v>11</v>
      </c>
      <c r="AG218" s="76">
        <v>3</v>
      </c>
      <c r="AH218" s="76">
        <v>5</v>
      </c>
      <c r="AI218" s="76">
        <v>1</v>
      </c>
      <c r="AJ218" s="76">
        <v>0</v>
      </c>
      <c r="AK218" s="76">
        <v>748</v>
      </c>
      <c r="AL218" s="76">
        <v>2931</v>
      </c>
      <c r="AM218" s="202"/>
      <c r="AN218" s="77"/>
      <c r="AO218" s="202"/>
      <c r="AP218" s="202"/>
      <c r="AQ218" s="202"/>
      <c r="AR218" s="202"/>
      <c r="AS218" s="202"/>
      <c r="AT218" s="202"/>
      <c r="AU218" s="202"/>
      <c r="AV218" s="202"/>
      <c r="AW218" s="202"/>
      <c r="AX218" s="202"/>
      <c r="AY218" s="202"/>
    </row>
    <row r="219" spans="1:51" ht="25.5" x14ac:dyDescent="0.2">
      <c r="A219" s="76">
        <v>5</v>
      </c>
      <c r="B219" s="77" t="s">
        <v>574</v>
      </c>
      <c r="C219" s="76" t="s">
        <v>151</v>
      </c>
      <c r="D219" s="76">
        <v>6</v>
      </c>
      <c r="E219" s="76">
        <v>7</v>
      </c>
      <c r="F219" s="76">
        <v>3.7</v>
      </c>
      <c r="G219" s="76">
        <v>72</v>
      </c>
      <c r="H219" s="76">
        <v>0</v>
      </c>
      <c r="I219" s="76">
        <v>1</v>
      </c>
      <c r="J219" s="76">
        <v>6</v>
      </c>
      <c r="K219" s="76">
        <v>75.099999999999994</v>
      </c>
      <c r="L219" s="76">
        <v>79</v>
      </c>
      <c r="M219" s="76">
        <v>34</v>
      </c>
      <c r="N219" s="76">
        <v>31</v>
      </c>
      <c r="O219" s="76">
        <v>8</v>
      </c>
      <c r="P219" s="76">
        <v>23</v>
      </c>
      <c r="Q219" s="76">
        <v>67</v>
      </c>
      <c r="R219" s="76">
        <v>0.26600000000000001</v>
      </c>
      <c r="S219" s="76">
        <v>1.35</v>
      </c>
      <c r="T219" s="76">
        <v>5</v>
      </c>
      <c r="U219" s="77" t="s">
        <v>574</v>
      </c>
      <c r="V219" s="76" t="s">
        <v>151</v>
      </c>
      <c r="W219" s="76">
        <v>0</v>
      </c>
      <c r="X219" s="76">
        <v>0</v>
      </c>
      <c r="Y219" s="76">
        <v>2</v>
      </c>
      <c r="Z219" s="76">
        <v>2</v>
      </c>
      <c r="AA219" s="76">
        <v>10</v>
      </c>
      <c r="AB219" s="76">
        <v>13</v>
      </c>
      <c r="AC219" s="76">
        <v>3</v>
      </c>
      <c r="AD219" s="76">
        <v>69</v>
      </c>
      <c r="AE219" s="76">
        <v>88</v>
      </c>
      <c r="AF219" s="76">
        <v>7</v>
      </c>
      <c r="AG219" s="76">
        <v>0</v>
      </c>
      <c r="AH219" s="76">
        <v>3</v>
      </c>
      <c r="AI219" s="76">
        <v>0</v>
      </c>
      <c r="AJ219" s="76">
        <v>0</v>
      </c>
      <c r="AK219" s="76">
        <v>328</v>
      </c>
      <c r="AL219" s="76">
        <v>1220</v>
      </c>
      <c r="AM219" s="202"/>
      <c r="AN219" s="77"/>
      <c r="AO219" s="202"/>
      <c r="AP219" s="202"/>
      <c r="AQ219" s="202"/>
      <c r="AR219" s="202"/>
      <c r="AS219" s="202"/>
      <c r="AT219" s="202"/>
      <c r="AU219" s="202"/>
      <c r="AV219" s="202"/>
      <c r="AW219" s="202"/>
      <c r="AX219" s="202"/>
      <c r="AY219" s="202"/>
    </row>
    <row r="220" spans="1:51" ht="25.5" x14ac:dyDescent="0.2">
      <c r="A220" s="76">
        <v>6</v>
      </c>
      <c r="B220" s="77" t="s">
        <v>1194</v>
      </c>
      <c r="C220" s="76" t="s">
        <v>151</v>
      </c>
      <c r="D220" s="76">
        <v>0</v>
      </c>
      <c r="E220" s="76">
        <v>1</v>
      </c>
      <c r="F220" s="76">
        <v>3.96</v>
      </c>
      <c r="G220" s="76">
        <v>26</v>
      </c>
      <c r="H220" s="76">
        <v>0</v>
      </c>
      <c r="I220" s="76">
        <v>0</v>
      </c>
      <c r="J220" s="76">
        <v>0</v>
      </c>
      <c r="K220" s="76">
        <v>25</v>
      </c>
      <c r="L220" s="76">
        <v>18</v>
      </c>
      <c r="M220" s="76">
        <v>13</v>
      </c>
      <c r="N220" s="76">
        <v>11</v>
      </c>
      <c r="O220" s="76">
        <v>3</v>
      </c>
      <c r="P220" s="76">
        <v>10</v>
      </c>
      <c r="Q220" s="76">
        <v>24</v>
      </c>
      <c r="R220" s="76">
        <v>0.20699999999999999</v>
      </c>
      <c r="S220" s="76">
        <v>1.1200000000000001</v>
      </c>
      <c r="T220" s="76">
        <v>6</v>
      </c>
      <c r="U220" s="77" t="s">
        <v>1194</v>
      </c>
      <c r="V220" s="76" t="s">
        <v>151</v>
      </c>
      <c r="W220" s="76">
        <v>0</v>
      </c>
      <c r="X220" s="76">
        <v>0</v>
      </c>
      <c r="Y220" s="76">
        <v>1</v>
      </c>
      <c r="Z220" s="76">
        <v>0</v>
      </c>
      <c r="AA220" s="76">
        <v>6</v>
      </c>
      <c r="AB220" s="76">
        <v>0</v>
      </c>
      <c r="AC220" s="76">
        <v>4</v>
      </c>
      <c r="AD220" s="76">
        <v>22</v>
      </c>
      <c r="AE220" s="76">
        <v>26</v>
      </c>
      <c r="AF220" s="76">
        <v>2</v>
      </c>
      <c r="AG220" s="76">
        <v>1</v>
      </c>
      <c r="AH220" s="76">
        <v>1</v>
      </c>
      <c r="AI220" s="76">
        <v>0</v>
      </c>
      <c r="AJ220" s="76">
        <v>0</v>
      </c>
      <c r="AK220" s="76">
        <v>101</v>
      </c>
      <c r="AL220" s="76">
        <v>399</v>
      </c>
      <c r="AM220" s="202"/>
      <c r="AN220" s="77"/>
      <c r="AO220" s="202"/>
      <c r="AP220" s="202"/>
      <c r="AQ220" s="202"/>
      <c r="AR220" s="202"/>
      <c r="AS220" s="202"/>
      <c r="AT220" s="202"/>
      <c r="AU220" s="202"/>
      <c r="AV220" s="202"/>
      <c r="AW220" s="202"/>
      <c r="AX220" s="202"/>
      <c r="AY220" s="202"/>
    </row>
    <row r="221" spans="1:51" ht="25.5" x14ac:dyDescent="0.2">
      <c r="A221" s="76">
        <v>7</v>
      </c>
      <c r="B221" s="77" t="s">
        <v>1348</v>
      </c>
      <c r="C221" s="76" t="s">
        <v>151</v>
      </c>
      <c r="D221" s="76">
        <v>3</v>
      </c>
      <c r="E221" s="76">
        <v>1</v>
      </c>
      <c r="F221" s="76">
        <v>3.96</v>
      </c>
      <c r="G221" s="76">
        <v>57</v>
      </c>
      <c r="H221" s="76">
        <v>0</v>
      </c>
      <c r="I221" s="76">
        <v>0</v>
      </c>
      <c r="J221" s="76">
        <v>0</v>
      </c>
      <c r="K221" s="76">
        <v>61.1</v>
      </c>
      <c r="L221" s="76">
        <v>63</v>
      </c>
      <c r="M221" s="76">
        <v>29</v>
      </c>
      <c r="N221" s="76">
        <v>27</v>
      </c>
      <c r="O221" s="76">
        <v>7</v>
      </c>
      <c r="P221" s="76">
        <v>16</v>
      </c>
      <c r="Q221" s="76">
        <v>64</v>
      </c>
      <c r="R221" s="76">
        <v>0.26</v>
      </c>
      <c r="S221" s="76">
        <v>1.29</v>
      </c>
      <c r="T221" s="76">
        <v>7</v>
      </c>
      <c r="U221" s="77" t="s">
        <v>1348</v>
      </c>
      <c r="V221" s="76" t="s">
        <v>151</v>
      </c>
      <c r="W221" s="76">
        <v>0</v>
      </c>
      <c r="X221" s="76">
        <v>0</v>
      </c>
      <c r="Y221" s="76">
        <v>5</v>
      </c>
      <c r="Z221" s="76">
        <v>3</v>
      </c>
      <c r="AA221" s="76">
        <v>8</v>
      </c>
      <c r="AB221" s="76">
        <v>9</v>
      </c>
      <c r="AC221" s="76">
        <v>9</v>
      </c>
      <c r="AD221" s="76">
        <v>71</v>
      </c>
      <c r="AE221" s="76">
        <v>45</v>
      </c>
      <c r="AF221" s="76">
        <v>1</v>
      </c>
      <c r="AG221" s="76">
        <v>0</v>
      </c>
      <c r="AH221" s="76">
        <v>3</v>
      </c>
      <c r="AI221" s="76">
        <v>1</v>
      </c>
      <c r="AJ221" s="76">
        <v>0</v>
      </c>
      <c r="AK221" s="76">
        <v>264</v>
      </c>
      <c r="AL221" s="76">
        <v>1006</v>
      </c>
      <c r="AM221" s="202"/>
      <c r="AN221" s="77"/>
      <c r="AO221" s="202"/>
      <c r="AP221" s="202"/>
      <c r="AQ221" s="202"/>
      <c r="AR221" s="202"/>
      <c r="AS221" s="202"/>
      <c r="AT221" s="202"/>
      <c r="AU221" s="202"/>
      <c r="AV221" s="202"/>
      <c r="AW221" s="202"/>
      <c r="AX221" s="202"/>
      <c r="AY221" s="202"/>
    </row>
    <row r="222" spans="1:51" ht="25.5" x14ac:dyDescent="0.2">
      <c r="A222" s="76">
        <v>8</v>
      </c>
      <c r="B222" s="77" t="s">
        <v>1349</v>
      </c>
      <c r="C222" s="76" t="s">
        <v>151</v>
      </c>
      <c r="D222" s="76">
        <v>1</v>
      </c>
      <c r="E222" s="76">
        <v>3</v>
      </c>
      <c r="F222" s="76">
        <v>4.1500000000000004</v>
      </c>
      <c r="G222" s="76">
        <v>16</v>
      </c>
      <c r="H222" s="76">
        <v>0</v>
      </c>
      <c r="I222" s="76">
        <v>0</v>
      </c>
      <c r="J222" s="76">
        <v>1</v>
      </c>
      <c r="K222" s="76">
        <v>17.100000000000001</v>
      </c>
      <c r="L222" s="76">
        <v>14</v>
      </c>
      <c r="M222" s="76">
        <v>8</v>
      </c>
      <c r="N222" s="76">
        <v>8</v>
      </c>
      <c r="O222" s="76">
        <v>2</v>
      </c>
      <c r="P222" s="76">
        <v>11</v>
      </c>
      <c r="Q222" s="76">
        <v>14</v>
      </c>
      <c r="R222" s="76">
        <v>0.23699999999999999</v>
      </c>
      <c r="S222" s="76">
        <v>1.44</v>
      </c>
      <c r="T222" s="76">
        <v>8</v>
      </c>
      <c r="U222" s="77" t="s">
        <v>1349</v>
      </c>
      <c r="V222" s="76" t="s">
        <v>151</v>
      </c>
      <c r="W222" s="76">
        <v>0</v>
      </c>
      <c r="X222" s="76">
        <v>0</v>
      </c>
      <c r="Y222" s="76">
        <v>0</v>
      </c>
      <c r="Z222" s="76">
        <v>1</v>
      </c>
      <c r="AA222" s="76">
        <v>2</v>
      </c>
      <c r="AB222" s="76">
        <v>1</v>
      </c>
      <c r="AC222" s="76">
        <v>3</v>
      </c>
      <c r="AD222" s="76">
        <v>21</v>
      </c>
      <c r="AE222" s="76">
        <v>12</v>
      </c>
      <c r="AF222" s="76">
        <v>0</v>
      </c>
      <c r="AG222" s="76">
        <v>0</v>
      </c>
      <c r="AH222" s="76">
        <v>0</v>
      </c>
      <c r="AI222" s="76">
        <v>0</v>
      </c>
      <c r="AJ222" s="76">
        <v>0</v>
      </c>
      <c r="AK222" s="76">
        <v>72</v>
      </c>
      <c r="AL222" s="76">
        <v>306</v>
      </c>
      <c r="AM222" s="202"/>
      <c r="AN222" s="77"/>
      <c r="AO222" s="202"/>
      <c r="AP222" s="202"/>
      <c r="AQ222" s="202"/>
      <c r="AR222" s="202"/>
      <c r="AS222" s="202"/>
      <c r="AT222" s="202"/>
      <c r="AU222" s="202"/>
      <c r="AV222" s="202"/>
      <c r="AW222" s="202"/>
      <c r="AX222" s="202"/>
      <c r="AY222" s="202"/>
    </row>
    <row r="223" spans="1:51" ht="25.5" x14ac:dyDescent="0.2">
      <c r="A223" s="76">
        <v>9</v>
      </c>
      <c r="B223" s="77" t="s">
        <v>1350</v>
      </c>
      <c r="C223" s="76" t="s">
        <v>151</v>
      </c>
      <c r="D223" s="76">
        <v>2</v>
      </c>
      <c r="E223" s="76">
        <v>0</v>
      </c>
      <c r="F223" s="76">
        <v>4.25</v>
      </c>
      <c r="G223" s="76">
        <v>37</v>
      </c>
      <c r="H223" s="76">
        <v>0</v>
      </c>
      <c r="I223" s="76">
        <v>0</v>
      </c>
      <c r="J223" s="76">
        <v>0</v>
      </c>
      <c r="K223" s="76">
        <v>36</v>
      </c>
      <c r="L223" s="76">
        <v>35</v>
      </c>
      <c r="M223" s="76">
        <v>21</v>
      </c>
      <c r="N223" s="76">
        <v>17</v>
      </c>
      <c r="O223" s="76">
        <v>3</v>
      </c>
      <c r="P223" s="76">
        <v>7</v>
      </c>
      <c r="Q223" s="76">
        <v>37</v>
      </c>
      <c r="R223" s="76">
        <v>0.248</v>
      </c>
      <c r="S223" s="76">
        <v>1.17</v>
      </c>
      <c r="T223" s="76">
        <v>9</v>
      </c>
      <c r="U223" s="77" t="s">
        <v>1350</v>
      </c>
      <c r="V223" s="76" t="s">
        <v>151</v>
      </c>
      <c r="W223" s="76">
        <v>0</v>
      </c>
      <c r="X223" s="76">
        <v>0</v>
      </c>
      <c r="Y223" s="76">
        <v>1</v>
      </c>
      <c r="Z223" s="76">
        <v>1</v>
      </c>
      <c r="AA223" s="76">
        <v>9</v>
      </c>
      <c r="AB223" s="76">
        <v>2</v>
      </c>
      <c r="AC223" s="76">
        <v>2</v>
      </c>
      <c r="AD223" s="76">
        <v>40</v>
      </c>
      <c r="AE223" s="76">
        <v>32</v>
      </c>
      <c r="AF223" s="76">
        <v>1</v>
      </c>
      <c r="AG223" s="76">
        <v>0</v>
      </c>
      <c r="AH223" s="76">
        <v>5</v>
      </c>
      <c r="AI223" s="76">
        <v>0</v>
      </c>
      <c r="AJ223" s="76">
        <v>0</v>
      </c>
      <c r="AK223" s="76">
        <v>152</v>
      </c>
      <c r="AL223" s="76">
        <v>542</v>
      </c>
      <c r="AM223" s="202"/>
      <c r="AN223" s="77"/>
      <c r="AO223" s="202"/>
      <c r="AP223" s="202"/>
      <c r="AQ223" s="202"/>
      <c r="AR223" s="202"/>
      <c r="AS223" s="202"/>
      <c r="AT223" s="202"/>
      <c r="AU223" s="202"/>
      <c r="AV223" s="202"/>
      <c r="AW223" s="202"/>
      <c r="AX223" s="202"/>
      <c r="AY223" s="202"/>
    </row>
    <row r="224" spans="1:51" ht="25.5" x14ac:dyDescent="0.2">
      <c r="A224" s="76">
        <v>10</v>
      </c>
      <c r="B224" s="77" t="s">
        <v>1351</v>
      </c>
      <c r="C224" s="76" t="s">
        <v>151</v>
      </c>
      <c r="D224" s="76">
        <v>1</v>
      </c>
      <c r="E224" s="76">
        <v>1</v>
      </c>
      <c r="F224" s="76">
        <v>4.7</v>
      </c>
      <c r="G224" s="76">
        <v>25</v>
      </c>
      <c r="H224" s="76">
        <v>0</v>
      </c>
      <c r="I224" s="76">
        <v>0</v>
      </c>
      <c r="J224" s="76">
        <v>0</v>
      </c>
      <c r="K224" s="76">
        <v>23</v>
      </c>
      <c r="L224" s="76">
        <v>25</v>
      </c>
      <c r="M224" s="76">
        <v>12</v>
      </c>
      <c r="N224" s="76">
        <v>12</v>
      </c>
      <c r="O224" s="76">
        <v>0</v>
      </c>
      <c r="P224" s="76">
        <v>12</v>
      </c>
      <c r="Q224" s="76">
        <v>17</v>
      </c>
      <c r="R224" s="76">
        <v>0.29099999999999998</v>
      </c>
      <c r="S224" s="76">
        <v>1.61</v>
      </c>
      <c r="T224" s="76">
        <v>10</v>
      </c>
      <c r="U224" s="77" t="s">
        <v>1351</v>
      </c>
      <c r="V224" s="76" t="s">
        <v>151</v>
      </c>
      <c r="W224" s="76">
        <v>0</v>
      </c>
      <c r="X224" s="76">
        <v>0</v>
      </c>
      <c r="Y224" s="76">
        <v>1</v>
      </c>
      <c r="Z224" s="76">
        <v>0</v>
      </c>
      <c r="AA224" s="76">
        <v>10</v>
      </c>
      <c r="AB224" s="76">
        <v>2</v>
      </c>
      <c r="AC224" s="76">
        <v>5</v>
      </c>
      <c r="AD224" s="76">
        <v>25</v>
      </c>
      <c r="AE224" s="76">
        <v>20</v>
      </c>
      <c r="AF224" s="76">
        <v>3</v>
      </c>
      <c r="AG224" s="76">
        <v>0</v>
      </c>
      <c r="AH224" s="76">
        <v>3</v>
      </c>
      <c r="AI224" s="76">
        <v>0</v>
      </c>
      <c r="AJ224" s="76">
        <v>0</v>
      </c>
      <c r="AK224" s="76">
        <v>100</v>
      </c>
      <c r="AL224" s="76">
        <v>364</v>
      </c>
      <c r="AM224" s="202"/>
      <c r="AN224" s="77"/>
      <c r="AO224" s="202"/>
      <c r="AP224" s="202"/>
      <c r="AQ224" s="202"/>
      <c r="AR224" s="202"/>
      <c r="AS224" s="202"/>
      <c r="AT224" s="202"/>
      <c r="AU224" s="202"/>
      <c r="AV224" s="202"/>
      <c r="AW224" s="202"/>
      <c r="AX224" s="202"/>
      <c r="AY224" s="202"/>
    </row>
    <row r="225" spans="1:51" ht="25.5" x14ac:dyDescent="0.2">
      <c r="A225" s="76">
        <v>11</v>
      </c>
      <c r="B225" s="77" t="s">
        <v>570</v>
      </c>
      <c r="C225" s="76" t="s">
        <v>151</v>
      </c>
      <c r="D225" s="76">
        <v>3</v>
      </c>
      <c r="E225" s="76">
        <v>2</v>
      </c>
      <c r="F225" s="76">
        <v>5.0199999999999996</v>
      </c>
      <c r="G225" s="76">
        <v>65</v>
      </c>
      <c r="H225" s="76">
        <v>0</v>
      </c>
      <c r="I225" s="76">
        <v>0</v>
      </c>
      <c r="J225" s="76">
        <v>2</v>
      </c>
      <c r="K225" s="76">
        <v>71.2</v>
      </c>
      <c r="L225" s="76">
        <v>80</v>
      </c>
      <c r="M225" s="76">
        <v>46</v>
      </c>
      <c r="N225" s="76">
        <v>40</v>
      </c>
      <c r="O225" s="76">
        <v>13</v>
      </c>
      <c r="P225" s="76">
        <v>24</v>
      </c>
      <c r="Q225" s="76">
        <v>80</v>
      </c>
      <c r="R225" s="76">
        <v>0.28000000000000003</v>
      </c>
      <c r="S225" s="76">
        <v>1.45</v>
      </c>
      <c r="T225" s="76">
        <v>11</v>
      </c>
      <c r="U225" s="77" t="s">
        <v>570</v>
      </c>
      <c r="V225" s="76" t="s">
        <v>151</v>
      </c>
      <c r="W225" s="76">
        <v>0</v>
      </c>
      <c r="X225" s="76">
        <v>0</v>
      </c>
      <c r="Y225" s="76">
        <v>3</v>
      </c>
      <c r="Z225" s="76">
        <v>0</v>
      </c>
      <c r="AA225" s="76">
        <v>23</v>
      </c>
      <c r="AB225" s="76">
        <v>2</v>
      </c>
      <c r="AC225" s="76">
        <v>7</v>
      </c>
      <c r="AD225" s="76">
        <v>53</v>
      </c>
      <c r="AE225" s="76">
        <v>75</v>
      </c>
      <c r="AF225" s="76">
        <v>5</v>
      </c>
      <c r="AG225" s="76">
        <v>0</v>
      </c>
      <c r="AH225" s="76">
        <v>13</v>
      </c>
      <c r="AI225" s="76">
        <v>1</v>
      </c>
      <c r="AJ225" s="76">
        <v>2</v>
      </c>
      <c r="AK225" s="76">
        <v>315</v>
      </c>
      <c r="AL225" s="76">
        <v>1287</v>
      </c>
      <c r="AM225" s="202"/>
      <c r="AN225" s="77"/>
      <c r="AO225" s="202"/>
      <c r="AP225" s="202"/>
      <c r="AQ225" s="202"/>
      <c r="AR225" s="202"/>
      <c r="AS225" s="202"/>
      <c r="AT225" s="202"/>
      <c r="AU225" s="202"/>
      <c r="AV225" s="202"/>
      <c r="AW225" s="202"/>
      <c r="AX225" s="202"/>
      <c r="AY225" s="202"/>
    </row>
    <row r="226" spans="1:51" ht="25.5" x14ac:dyDescent="0.2">
      <c r="A226" s="76">
        <v>12</v>
      </c>
      <c r="B226" s="77" t="s">
        <v>579</v>
      </c>
      <c r="C226" s="76" t="s">
        <v>151</v>
      </c>
      <c r="D226" s="76">
        <v>6</v>
      </c>
      <c r="E226" s="76">
        <v>11</v>
      </c>
      <c r="F226" s="76">
        <v>5.07</v>
      </c>
      <c r="G226" s="76">
        <v>25</v>
      </c>
      <c r="H226" s="76">
        <v>25</v>
      </c>
      <c r="I226" s="76">
        <v>0</v>
      </c>
      <c r="J226" s="76">
        <v>0</v>
      </c>
      <c r="K226" s="76">
        <v>147.1</v>
      </c>
      <c r="L226" s="76">
        <v>175</v>
      </c>
      <c r="M226" s="76">
        <v>89</v>
      </c>
      <c r="N226" s="76">
        <v>83</v>
      </c>
      <c r="O226" s="76">
        <v>20</v>
      </c>
      <c r="P226" s="76">
        <v>55</v>
      </c>
      <c r="Q226" s="76">
        <v>104</v>
      </c>
      <c r="R226" s="76">
        <v>0.29799999999999999</v>
      </c>
      <c r="S226" s="76">
        <v>1.56</v>
      </c>
      <c r="T226" s="76">
        <v>12</v>
      </c>
      <c r="U226" s="77" t="s">
        <v>579</v>
      </c>
      <c r="V226" s="76" t="s">
        <v>151</v>
      </c>
      <c r="W226" s="76">
        <v>1</v>
      </c>
      <c r="X226" s="76">
        <v>0</v>
      </c>
      <c r="Y226" s="76">
        <v>4</v>
      </c>
      <c r="Z226" s="76">
        <v>3</v>
      </c>
      <c r="AA226" s="76">
        <v>0</v>
      </c>
      <c r="AB226" s="76">
        <v>0</v>
      </c>
      <c r="AC226" s="76">
        <v>21</v>
      </c>
      <c r="AD226" s="76">
        <v>187</v>
      </c>
      <c r="AE226" s="76">
        <v>128</v>
      </c>
      <c r="AF226" s="76">
        <v>9</v>
      </c>
      <c r="AG226" s="76">
        <v>0</v>
      </c>
      <c r="AH226" s="76">
        <v>11</v>
      </c>
      <c r="AI226" s="76">
        <v>2</v>
      </c>
      <c r="AJ226" s="76">
        <v>4</v>
      </c>
      <c r="AK226" s="76">
        <v>653</v>
      </c>
      <c r="AL226" s="76">
        <v>2468</v>
      </c>
      <c r="AM226" s="202"/>
      <c r="AN226" s="77"/>
      <c r="AO226" s="202"/>
      <c r="AP226" s="202"/>
      <c r="AQ226" s="202"/>
      <c r="AR226" s="202"/>
      <c r="AS226" s="202"/>
      <c r="AT226" s="202"/>
      <c r="AU226" s="202"/>
      <c r="AV226" s="202"/>
      <c r="AW226" s="202"/>
      <c r="AX226" s="202"/>
      <c r="AY226" s="202"/>
    </row>
    <row r="227" spans="1:51" ht="25.5" x14ac:dyDescent="0.2">
      <c r="A227" s="76">
        <v>13</v>
      </c>
      <c r="B227" s="77" t="s">
        <v>380</v>
      </c>
      <c r="C227" s="76" t="s">
        <v>151</v>
      </c>
      <c r="D227" s="76">
        <v>4</v>
      </c>
      <c r="E227" s="76">
        <v>8</v>
      </c>
      <c r="F227" s="76">
        <v>5.13</v>
      </c>
      <c r="G227" s="76">
        <v>21</v>
      </c>
      <c r="H227" s="76">
        <v>21</v>
      </c>
      <c r="I227" s="76">
        <v>0</v>
      </c>
      <c r="J227" s="76">
        <v>0</v>
      </c>
      <c r="K227" s="76">
        <v>124.2</v>
      </c>
      <c r="L227" s="76">
        <v>139</v>
      </c>
      <c r="M227" s="76">
        <v>77</v>
      </c>
      <c r="N227" s="76">
        <v>71</v>
      </c>
      <c r="O227" s="76">
        <v>18</v>
      </c>
      <c r="P227" s="76">
        <v>29</v>
      </c>
      <c r="Q227" s="76">
        <v>93</v>
      </c>
      <c r="R227" s="76">
        <v>0.28699999999999998</v>
      </c>
      <c r="S227" s="76">
        <v>1.35</v>
      </c>
      <c r="T227" s="76">
        <v>13</v>
      </c>
      <c r="U227" s="77" t="s">
        <v>380</v>
      </c>
      <c r="V227" s="76" t="s">
        <v>151</v>
      </c>
      <c r="W227" s="76">
        <v>0</v>
      </c>
      <c r="X227" s="76">
        <v>0</v>
      </c>
      <c r="Y227" s="76">
        <v>3</v>
      </c>
      <c r="Z227" s="76">
        <v>0</v>
      </c>
      <c r="AA227" s="76">
        <v>0</v>
      </c>
      <c r="AB227" s="76">
        <v>0</v>
      </c>
      <c r="AC227" s="76">
        <v>12</v>
      </c>
      <c r="AD227" s="76">
        <v>127</v>
      </c>
      <c r="AE227" s="76">
        <v>136</v>
      </c>
      <c r="AF227" s="76">
        <v>4</v>
      </c>
      <c r="AG227" s="76">
        <v>0</v>
      </c>
      <c r="AH227" s="76">
        <v>5</v>
      </c>
      <c r="AI227" s="76">
        <v>2</v>
      </c>
      <c r="AJ227" s="76">
        <v>3</v>
      </c>
      <c r="AK227" s="76">
        <v>527</v>
      </c>
      <c r="AL227" s="76">
        <v>2037</v>
      </c>
      <c r="AM227" s="202"/>
      <c r="AN227" s="77"/>
      <c r="AO227" s="202"/>
      <c r="AP227" s="202"/>
      <c r="AQ227" s="202"/>
      <c r="AR227" s="202"/>
      <c r="AS227" s="202"/>
      <c r="AT227" s="202"/>
      <c r="AU227" s="202"/>
      <c r="AV227" s="202"/>
      <c r="AW227" s="202"/>
      <c r="AX227" s="202"/>
      <c r="AY227" s="202"/>
    </row>
    <row r="228" spans="1:51" x14ac:dyDescent="0.2">
      <c r="A228" s="76">
        <v>14</v>
      </c>
      <c r="B228" s="77" t="s">
        <v>812</v>
      </c>
      <c r="C228" s="76" t="s">
        <v>151</v>
      </c>
      <c r="D228" s="76">
        <v>2</v>
      </c>
      <c r="E228" s="76">
        <v>2</v>
      </c>
      <c r="F228" s="76">
        <v>5.27</v>
      </c>
      <c r="G228" s="76">
        <v>44</v>
      </c>
      <c r="H228" s="76">
        <v>0</v>
      </c>
      <c r="I228" s="76">
        <v>0</v>
      </c>
      <c r="J228" s="76">
        <v>2</v>
      </c>
      <c r="K228" s="76">
        <v>42.2</v>
      </c>
      <c r="L228" s="76">
        <v>39</v>
      </c>
      <c r="M228" s="76">
        <v>26</v>
      </c>
      <c r="N228" s="76">
        <v>25</v>
      </c>
      <c r="O228" s="76">
        <v>7</v>
      </c>
      <c r="P228" s="76">
        <v>17</v>
      </c>
      <c r="Q228" s="76">
        <v>60</v>
      </c>
      <c r="R228" s="76">
        <v>0.23200000000000001</v>
      </c>
      <c r="S228" s="76">
        <v>1.31</v>
      </c>
      <c r="T228" s="76">
        <v>14</v>
      </c>
      <c r="U228" s="77" t="s">
        <v>812</v>
      </c>
      <c r="V228" s="76" t="s">
        <v>151</v>
      </c>
      <c r="W228" s="76">
        <v>0</v>
      </c>
      <c r="X228" s="76">
        <v>0</v>
      </c>
      <c r="Y228" s="76">
        <v>2</v>
      </c>
      <c r="Z228" s="76">
        <v>1</v>
      </c>
      <c r="AA228" s="76">
        <v>10</v>
      </c>
      <c r="AB228" s="76">
        <v>6</v>
      </c>
      <c r="AC228" s="76">
        <v>1</v>
      </c>
      <c r="AD228" s="76">
        <v>27</v>
      </c>
      <c r="AE228" s="76">
        <v>42</v>
      </c>
      <c r="AF228" s="76">
        <v>10</v>
      </c>
      <c r="AG228" s="76">
        <v>0</v>
      </c>
      <c r="AH228" s="76">
        <v>4</v>
      </c>
      <c r="AI228" s="76">
        <v>1</v>
      </c>
      <c r="AJ228" s="76">
        <v>0</v>
      </c>
      <c r="AK228" s="76">
        <v>187</v>
      </c>
      <c r="AL228" s="76">
        <v>841</v>
      </c>
      <c r="AM228" s="202"/>
      <c r="AN228" s="77"/>
      <c r="AO228" s="202"/>
      <c r="AP228" s="202"/>
      <c r="AQ228" s="202"/>
      <c r="AR228" s="202"/>
      <c r="AS228" s="202"/>
      <c r="AT228" s="202"/>
      <c r="AU228" s="202"/>
      <c r="AV228" s="202"/>
      <c r="AW228" s="202"/>
      <c r="AX228" s="202"/>
      <c r="AY228" s="202"/>
    </row>
    <row r="229" spans="1:51" ht="25.5" x14ac:dyDescent="0.2">
      <c r="A229" s="76">
        <v>15</v>
      </c>
      <c r="B229" s="77" t="s">
        <v>515</v>
      </c>
      <c r="C229" s="76" t="s">
        <v>151</v>
      </c>
      <c r="D229" s="76">
        <v>3</v>
      </c>
      <c r="E229" s="76">
        <v>6</v>
      </c>
      <c r="F229" s="76">
        <v>5.58</v>
      </c>
      <c r="G229" s="76">
        <v>11</v>
      </c>
      <c r="H229" s="76">
        <v>11</v>
      </c>
      <c r="I229" s="76">
        <v>0</v>
      </c>
      <c r="J229" s="76">
        <v>0</v>
      </c>
      <c r="K229" s="76">
        <v>61.1</v>
      </c>
      <c r="L229" s="76">
        <v>65</v>
      </c>
      <c r="M229" s="76">
        <v>39</v>
      </c>
      <c r="N229" s="76">
        <v>38</v>
      </c>
      <c r="O229" s="76">
        <v>13</v>
      </c>
      <c r="P229" s="76">
        <v>22</v>
      </c>
      <c r="Q229" s="76">
        <v>37</v>
      </c>
      <c r="R229" s="76">
        <v>0.26700000000000002</v>
      </c>
      <c r="S229" s="76">
        <v>1.42</v>
      </c>
      <c r="T229" s="76">
        <v>15</v>
      </c>
      <c r="U229" s="77" t="s">
        <v>515</v>
      </c>
      <c r="V229" s="76" t="s">
        <v>151</v>
      </c>
      <c r="W229" s="76">
        <v>0</v>
      </c>
      <c r="X229" s="76">
        <v>0</v>
      </c>
      <c r="Y229" s="76">
        <v>1</v>
      </c>
      <c r="Z229" s="76">
        <v>0</v>
      </c>
      <c r="AA229" s="76">
        <v>0</v>
      </c>
      <c r="AB229" s="76">
        <v>0</v>
      </c>
      <c r="AC229" s="76">
        <v>2</v>
      </c>
      <c r="AD229" s="76">
        <v>48</v>
      </c>
      <c r="AE229" s="76">
        <v>97</v>
      </c>
      <c r="AF229" s="76">
        <v>1</v>
      </c>
      <c r="AG229" s="76">
        <v>0</v>
      </c>
      <c r="AH229" s="76">
        <v>3</v>
      </c>
      <c r="AI229" s="76">
        <v>2</v>
      </c>
      <c r="AJ229" s="76">
        <v>0</v>
      </c>
      <c r="AK229" s="76">
        <v>270</v>
      </c>
      <c r="AL229" s="76">
        <v>1046</v>
      </c>
      <c r="AM229" s="202"/>
      <c r="AN229" s="77"/>
      <c r="AO229" s="202"/>
      <c r="AP229" s="202"/>
      <c r="AQ229" s="202"/>
      <c r="AR229" s="202"/>
      <c r="AS229" s="202"/>
      <c r="AT229" s="202"/>
      <c r="AU229" s="202"/>
      <c r="AV229" s="202"/>
      <c r="AW229" s="202"/>
      <c r="AX229" s="202"/>
      <c r="AY229" s="202"/>
    </row>
    <row r="230" spans="1:51" x14ac:dyDescent="0.2">
      <c r="A230" s="76">
        <v>16</v>
      </c>
      <c r="B230" s="77" t="s">
        <v>602</v>
      </c>
      <c r="C230" s="76" t="s">
        <v>151</v>
      </c>
      <c r="D230" s="76">
        <v>3</v>
      </c>
      <c r="E230" s="76">
        <v>5</v>
      </c>
      <c r="F230" s="76">
        <v>5.71</v>
      </c>
      <c r="G230" s="76">
        <v>19</v>
      </c>
      <c r="H230" s="76">
        <v>12</v>
      </c>
      <c r="I230" s="76">
        <v>0</v>
      </c>
      <c r="J230" s="76">
        <v>0</v>
      </c>
      <c r="K230" s="76">
        <v>69.099999999999994</v>
      </c>
      <c r="L230" s="76">
        <v>84</v>
      </c>
      <c r="M230" s="76">
        <v>53</v>
      </c>
      <c r="N230" s="76">
        <v>44</v>
      </c>
      <c r="O230" s="76">
        <v>15</v>
      </c>
      <c r="P230" s="76">
        <v>22</v>
      </c>
      <c r="Q230" s="76">
        <v>49</v>
      </c>
      <c r="R230" s="76">
        <v>0.29899999999999999</v>
      </c>
      <c r="S230" s="76">
        <v>1.53</v>
      </c>
      <c r="T230" s="76">
        <v>16</v>
      </c>
      <c r="U230" s="77" t="s">
        <v>602</v>
      </c>
      <c r="V230" s="76" t="s">
        <v>151</v>
      </c>
      <c r="W230" s="76">
        <v>0</v>
      </c>
      <c r="X230" s="76">
        <v>0</v>
      </c>
      <c r="Y230" s="76">
        <v>1</v>
      </c>
      <c r="Z230" s="76">
        <v>3</v>
      </c>
      <c r="AA230" s="76">
        <v>3</v>
      </c>
      <c r="AB230" s="76">
        <v>1</v>
      </c>
      <c r="AC230" s="76">
        <v>6</v>
      </c>
      <c r="AD230" s="76">
        <v>88</v>
      </c>
      <c r="AE230" s="76">
        <v>67</v>
      </c>
      <c r="AF230" s="76">
        <v>3</v>
      </c>
      <c r="AG230" s="76">
        <v>1</v>
      </c>
      <c r="AH230" s="76">
        <v>7</v>
      </c>
      <c r="AI230" s="76">
        <v>2</v>
      </c>
      <c r="AJ230" s="76">
        <v>2</v>
      </c>
      <c r="AK230" s="76">
        <v>311</v>
      </c>
      <c r="AL230" s="76">
        <v>1223</v>
      </c>
      <c r="AM230" s="202"/>
      <c r="AN230" s="77"/>
      <c r="AO230" s="202"/>
      <c r="AP230" s="202"/>
      <c r="AQ230" s="202"/>
      <c r="AR230" s="202"/>
      <c r="AS230" s="202"/>
      <c r="AT230" s="202"/>
      <c r="AU230" s="202"/>
      <c r="AV230" s="202"/>
      <c r="AW230" s="202"/>
      <c r="AX230" s="202"/>
      <c r="AY230" s="202"/>
    </row>
    <row r="231" spans="1:51" x14ac:dyDescent="0.2">
      <c r="A231" s="76">
        <v>17</v>
      </c>
      <c r="B231" s="77" t="s">
        <v>1220</v>
      </c>
      <c r="C231" s="76" t="s">
        <v>151</v>
      </c>
      <c r="D231" s="76">
        <v>0</v>
      </c>
      <c r="E231" s="76">
        <v>0</v>
      </c>
      <c r="F231" s="76">
        <v>5.82</v>
      </c>
      <c r="G231" s="76">
        <v>6</v>
      </c>
      <c r="H231" s="76">
        <v>2</v>
      </c>
      <c r="I231" s="76">
        <v>0</v>
      </c>
      <c r="J231" s="76">
        <v>0</v>
      </c>
      <c r="K231" s="76">
        <v>17</v>
      </c>
      <c r="L231" s="76">
        <v>27</v>
      </c>
      <c r="M231" s="76">
        <v>16</v>
      </c>
      <c r="N231" s="76">
        <v>11</v>
      </c>
      <c r="O231" s="76">
        <v>5</v>
      </c>
      <c r="P231" s="76">
        <v>6</v>
      </c>
      <c r="Q231" s="76">
        <v>16</v>
      </c>
      <c r="R231" s="76">
        <v>0.34200000000000003</v>
      </c>
      <c r="S231" s="76">
        <v>1.94</v>
      </c>
      <c r="T231" s="76">
        <v>17</v>
      </c>
      <c r="U231" s="77" t="s">
        <v>1220</v>
      </c>
      <c r="V231" s="76" t="s">
        <v>151</v>
      </c>
      <c r="W231" s="76">
        <v>0</v>
      </c>
      <c r="X231" s="76">
        <v>0</v>
      </c>
      <c r="Y231" s="76">
        <v>0</v>
      </c>
      <c r="Z231" s="76">
        <v>0</v>
      </c>
      <c r="AA231" s="76">
        <v>3</v>
      </c>
      <c r="AB231" s="76">
        <v>0</v>
      </c>
      <c r="AC231" s="76">
        <v>3</v>
      </c>
      <c r="AD231" s="76">
        <v>22</v>
      </c>
      <c r="AE231" s="76">
        <v>14</v>
      </c>
      <c r="AF231" s="76">
        <v>1</v>
      </c>
      <c r="AG231" s="76">
        <v>0</v>
      </c>
      <c r="AH231" s="76">
        <v>0</v>
      </c>
      <c r="AI231" s="76">
        <v>2</v>
      </c>
      <c r="AJ231" s="76">
        <v>0</v>
      </c>
      <c r="AK231" s="76">
        <v>85</v>
      </c>
      <c r="AL231" s="76">
        <v>326</v>
      </c>
      <c r="AM231" s="202"/>
      <c r="AN231" s="77"/>
      <c r="AO231" s="202"/>
      <c r="AP231" s="202"/>
      <c r="AQ231" s="202"/>
      <c r="AR231" s="202"/>
      <c r="AS231" s="202"/>
      <c r="AT231" s="202"/>
      <c r="AU231" s="202"/>
      <c r="AV231" s="202"/>
      <c r="AW231" s="202"/>
      <c r="AX231" s="202"/>
      <c r="AY231" s="202"/>
    </row>
    <row r="232" spans="1:51" ht="25.5" x14ac:dyDescent="0.2">
      <c r="A232" s="76">
        <v>18</v>
      </c>
      <c r="B232" s="77" t="s">
        <v>591</v>
      </c>
      <c r="C232" s="76" t="s">
        <v>151</v>
      </c>
      <c r="D232" s="76">
        <v>1</v>
      </c>
      <c r="E232" s="76">
        <v>7</v>
      </c>
      <c r="F232" s="76">
        <v>5.95</v>
      </c>
      <c r="G232" s="76">
        <v>12</v>
      </c>
      <c r="H232" s="76">
        <v>11</v>
      </c>
      <c r="I232" s="76">
        <v>0</v>
      </c>
      <c r="J232" s="76">
        <v>0</v>
      </c>
      <c r="K232" s="76">
        <v>59</v>
      </c>
      <c r="L232" s="76">
        <v>76</v>
      </c>
      <c r="M232" s="76">
        <v>40</v>
      </c>
      <c r="N232" s="76">
        <v>39</v>
      </c>
      <c r="O232" s="76">
        <v>11</v>
      </c>
      <c r="P232" s="76">
        <v>13</v>
      </c>
      <c r="Q232" s="76">
        <v>34</v>
      </c>
      <c r="R232" s="76">
        <v>0.313</v>
      </c>
      <c r="S232" s="76">
        <v>1.51</v>
      </c>
      <c r="T232" s="76">
        <v>18</v>
      </c>
      <c r="U232" s="77" t="s">
        <v>591</v>
      </c>
      <c r="V232" s="76" t="s">
        <v>151</v>
      </c>
      <c r="W232" s="76">
        <v>1</v>
      </c>
      <c r="X232" s="76">
        <v>0</v>
      </c>
      <c r="Y232" s="76">
        <v>0</v>
      </c>
      <c r="Z232" s="76">
        <v>0</v>
      </c>
      <c r="AA232" s="76">
        <v>0</v>
      </c>
      <c r="AB232" s="76">
        <v>0</v>
      </c>
      <c r="AC232" s="76">
        <v>6</v>
      </c>
      <c r="AD232" s="76">
        <v>51</v>
      </c>
      <c r="AE232" s="76">
        <v>85</v>
      </c>
      <c r="AF232" s="76">
        <v>0</v>
      </c>
      <c r="AG232" s="76">
        <v>0</v>
      </c>
      <c r="AH232" s="76">
        <v>1</v>
      </c>
      <c r="AI232" s="76">
        <v>0</v>
      </c>
      <c r="AJ232" s="76">
        <v>0</v>
      </c>
      <c r="AK232" s="76">
        <v>259</v>
      </c>
      <c r="AL232" s="76">
        <v>907</v>
      </c>
      <c r="AM232" s="202"/>
      <c r="AN232" s="77"/>
      <c r="AO232" s="202"/>
      <c r="AP232" s="202"/>
      <c r="AQ232" s="202"/>
      <c r="AR232" s="202"/>
      <c r="AS232" s="202"/>
      <c r="AT232" s="202"/>
      <c r="AU232" s="202"/>
      <c r="AV232" s="202"/>
      <c r="AW232" s="202"/>
      <c r="AX232" s="202"/>
      <c r="AY232" s="202"/>
    </row>
    <row r="233" spans="1:51" ht="25.5" x14ac:dyDescent="0.2">
      <c r="A233" s="76">
        <v>19</v>
      </c>
      <c r="B233" s="77" t="s">
        <v>752</v>
      </c>
      <c r="C233" s="76" t="s">
        <v>151</v>
      </c>
      <c r="D233" s="76">
        <v>0</v>
      </c>
      <c r="E233" s="76">
        <v>0</v>
      </c>
      <c r="F233" s="76">
        <v>6.14</v>
      </c>
      <c r="G233" s="76">
        <v>8</v>
      </c>
      <c r="H233" s="76">
        <v>0</v>
      </c>
      <c r="I233" s="76">
        <v>0</v>
      </c>
      <c r="J233" s="76">
        <v>0</v>
      </c>
      <c r="K233" s="76">
        <v>14.2</v>
      </c>
      <c r="L233" s="76">
        <v>15</v>
      </c>
      <c r="M233" s="76">
        <v>10</v>
      </c>
      <c r="N233" s="76">
        <v>10</v>
      </c>
      <c r="O233" s="76">
        <v>5</v>
      </c>
      <c r="P233" s="76">
        <v>10</v>
      </c>
      <c r="Q233" s="76">
        <v>11</v>
      </c>
      <c r="R233" s="76">
        <v>0.27800000000000002</v>
      </c>
      <c r="S233" s="76">
        <v>1.7</v>
      </c>
      <c r="T233" s="76">
        <v>19</v>
      </c>
      <c r="U233" s="77" t="s">
        <v>752</v>
      </c>
      <c r="V233" s="76" t="s">
        <v>151</v>
      </c>
      <c r="W233" s="76">
        <v>0</v>
      </c>
      <c r="X233" s="76">
        <v>0</v>
      </c>
      <c r="Y233" s="76">
        <v>0</v>
      </c>
      <c r="Z233" s="76">
        <v>0</v>
      </c>
      <c r="AA233" s="76">
        <v>3</v>
      </c>
      <c r="AB233" s="76">
        <v>0</v>
      </c>
      <c r="AC233" s="76">
        <v>1</v>
      </c>
      <c r="AD233" s="76">
        <v>8</v>
      </c>
      <c r="AE233" s="76">
        <v>21</v>
      </c>
      <c r="AF233" s="76">
        <v>2</v>
      </c>
      <c r="AG233" s="76">
        <v>0</v>
      </c>
      <c r="AH233" s="76">
        <v>1</v>
      </c>
      <c r="AI233" s="76">
        <v>3</v>
      </c>
      <c r="AJ233" s="76">
        <v>0</v>
      </c>
      <c r="AK233" s="76">
        <v>65</v>
      </c>
      <c r="AL233" s="76">
        <v>296</v>
      </c>
      <c r="AM233" s="102"/>
      <c r="AN233" s="102"/>
      <c r="AO233" s="102"/>
      <c r="AP233" s="102"/>
      <c r="AQ233" s="102"/>
      <c r="AR233" s="102"/>
      <c r="AS233" s="102"/>
      <c r="AT233" s="102"/>
      <c r="AU233" s="102"/>
      <c r="AV233" s="102"/>
      <c r="AW233" s="102"/>
      <c r="AX233" s="102"/>
      <c r="AY233" s="102"/>
    </row>
    <row r="234" spans="1:51" ht="25.5" x14ac:dyDescent="0.2">
      <c r="A234" s="76">
        <v>20</v>
      </c>
      <c r="B234" s="77" t="s">
        <v>567</v>
      </c>
      <c r="C234" s="76" t="s">
        <v>151</v>
      </c>
      <c r="D234" s="76">
        <v>2</v>
      </c>
      <c r="E234" s="76">
        <v>5</v>
      </c>
      <c r="F234" s="76">
        <v>6.16</v>
      </c>
      <c r="G234" s="76">
        <v>33</v>
      </c>
      <c r="H234" s="76">
        <v>0</v>
      </c>
      <c r="I234" s="76">
        <v>7</v>
      </c>
      <c r="J234" s="76">
        <v>11</v>
      </c>
      <c r="K234" s="76">
        <v>30.2</v>
      </c>
      <c r="L234" s="76">
        <v>42</v>
      </c>
      <c r="M234" s="76">
        <v>22</v>
      </c>
      <c r="N234" s="76">
        <v>21</v>
      </c>
      <c r="O234" s="76">
        <v>7</v>
      </c>
      <c r="P234" s="76">
        <v>12</v>
      </c>
      <c r="Q234" s="76">
        <v>22</v>
      </c>
      <c r="R234" s="76">
        <v>0.33300000000000002</v>
      </c>
      <c r="S234" s="76">
        <v>1.76</v>
      </c>
      <c r="T234" s="76">
        <v>20</v>
      </c>
      <c r="U234" s="77" t="s">
        <v>567</v>
      </c>
      <c r="V234" s="76" t="s">
        <v>151</v>
      </c>
      <c r="W234" s="76">
        <v>0</v>
      </c>
      <c r="X234" s="76">
        <v>0</v>
      </c>
      <c r="Y234" s="76">
        <v>0</v>
      </c>
      <c r="Z234" s="76">
        <v>1</v>
      </c>
      <c r="AA234" s="76">
        <v>19</v>
      </c>
      <c r="AB234" s="76">
        <v>2</v>
      </c>
      <c r="AC234" s="76">
        <v>3</v>
      </c>
      <c r="AD234" s="76">
        <v>23</v>
      </c>
      <c r="AE234" s="76">
        <v>42</v>
      </c>
      <c r="AF234" s="76">
        <v>2</v>
      </c>
      <c r="AG234" s="76">
        <v>0</v>
      </c>
      <c r="AH234" s="76">
        <v>1</v>
      </c>
      <c r="AI234" s="76">
        <v>0</v>
      </c>
      <c r="AJ234" s="76">
        <v>0</v>
      </c>
      <c r="AK234" s="76">
        <v>141</v>
      </c>
      <c r="AL234" s="76">
        <v>543</v>
      </c>
      <c r="AM234" s="202"/>
      <c r="AN234" s="77"/>
      <c r="AO234" s="202"/>
      <c r="AP234" s="202"/>
      <c r="AQ234" s="202"/>
      <c r="AR234" s="202"/>
      <c r="AS234" s="202"/>
      <c r="AT234" s="202"/>
      <c r="AU234" s="202"/>
      <c r="AV234" s="202"/>
      <c r="AW234" s="202"/>
      <c r="AX234" s="202"/>
      <c r="AY234" s="202"/>
    </row>
    <row r="235" spans="1:51" x14ac:dyDescent="0.2">
      <c r="A235" s="76">
        <v>21</v>
      </c>
      <c r="B235" s="77" t="s">
        <v>1352</v>
      </c>
      <c r="C235" s="76" t="s">
        <v>151</v>
      </c>
      <c r="D235" s="76">
        <v>1</v>
      </c>
      <c r="E235" s="76">
        <v>6</v>
      </c>
      <c r="F235" s="76">
        <v>6.28</v>
      </c>
      <c r="G235" s="76">
        <v>19</v>
      </c>
      <c r="H235" s="76">
        <v>9</v>
      </c>
      <c r="I235" s="76">
        <v>0</v>
      </c>
      <c r="J235" s="76">
        <v>0</v>
      </c>
      <c r="K235" s="76">
        <v>67.099999999999994</v>
      </c>
      <c r="L235" s="76">
        <v>88</v>
      </c>
      <c r="M235" s="76">
        <v>47</v>
      </c>
      <c r="N235" s="76">
        <v>47</v>
      </c>
      <c r="O235" s="76">
        <v>13</v>
      </c>
      <c r="P235" s="76">
        <v>23</v>
      </c>
      <c r="Q235" s="76">
        <v>50</v>
      </c>
      <c r="R235" s="76">
        <v>0.32100000000000001</v>
      </c>
      <c r="S235" s="76">
        <v>1.65</v>
      </c>
      <c r="T235" s="76">
        <v>21</v>
      </c>
      <c r="U235" s="77" t="s">
        <v>1352</v>
      </c>
      <c r="V235" s="76" t="s">
        <v>151</v>
      </c>
      <c r="W235" s="76">
        <v>0</v>
      </c>
      <c r="X235" s="76">
        <v>0</v>
      </c>
      <c r="Y235" s="76">
        <v>0</v>
      </c>
      <c r="Z235" s="76">
        <v>1</v>
      </c>
      <c r="AA235" s="76">
        <v>4</v>
      </c>
      <c r="AB235" s="76">
        <v>0</v>
      </c>
      <c r="AC235" s="76">
        <v>11</v>
      </c>
      <c r="AD235" s="76">
        <v>70</v>
      </c>
      <c r="AE235" s="76">
        <v>69</v>
      </c>
      <c r="AF235" s="76">
        <v>1</v>
      </c>
      <c r="AG235" s="76">
        <v>0</v>
      </c>
      <c r="AH235" s="76">
        <v>1</v>
      </c>
      <c r="AI235" s="76">
        <v>1</v>
      </c>
      <c r="AJ235" s="76">
        <v>1</v>
      </c>
      <c r="AK235" s="76">
        <v>300</v>
      </c>
      <c r="AL235" s="76">
        <v>1158</v>
      </c>
      <c r="AM235" s="202"/>
      <c r="AN235" s="77"/>
      <c r="AO235" s="202"/>
      <c r="AP235" s="202"/>
      <c r="AQ235" s="202"/>
      <c r="AR235" s="202"/>
      <c r="AS235" s="202"/>
      <c r="AT235" s="202"/>
      <c r="AU235" s="202"/>
      <c r="AV235" s="202"/>
      <c r="AW235" s="202"/>
      <c r="AX235" s="202"/>
      <c r="AY235" s="202"/>
    </row>
    <row r="236" spans="1:51" x14ac:dyDescent="0.2">
      <c r="A236" s="76">
        <v>22</v>
      </c>
      <c r="B236" s="77" t="s">
        <v>1192</v>
      </c>
      <c r="C236" s="76" t="s">
        <v>151</v>
      </c>
      <c r="D236" s="76">
        <v>9</v>
      </c>
      <c r="E236" s="76">
        <v>12</v>
      </c>
      <c r="F236" s="76">
        <v>6.43</v>
      </c>
      <c r="G236" s="76">
        <v>26</v>
      </c>
      <c r="H236" s="76">
        <v>26</v>
      </c>
      <c r="I236" s="76">
        <v>0</v>
      </c>
      <c r="J236" s="76">
        <v>0</v>
      </c>
      <c r="K236" s="76">
        <v>133</v>
      </c>
      <c r="L236" s="76">
        <v>167</v>
      </c>
      <c r="M236" s="76">
        <v>103</v>
      </c>
      <c r="N236" s="76">
        <v>95</v>
      </c>
      <c r="O236" s="76">
        <v>25</v>
      </c>
      <c r="P236" s="76">
        <v>32</v>
      </c>
      <c r="Q236" s="76">
        <v>114</v>
      </c>
      <c r="R236" s="76">
        <v>0.30099999999999999</v>
      </c>
      <c r="S236" s="76">
        <v>1.5</v>
      </c>
      <c r="T236" s="76">
        <v>22</v>
      </c>
      <c r="U236" s="77" t="s">
        <v>1192</v>
      </c>
      <c r="V236" s="76" t="s">
        <v>151</v>
      </c>
      <c r="W236" s="76">
        <v>0</v>
      </c>
      <c r="X236" s="76">
        <v>0</v>
      </c>
      <c r="Y236" s="76">
        <v>6</v>
      </c>
      <c r="Z236" s="76">
        <v>3</v>
      </c>
      <c r="AA236" s="76">
        <v>0</v>
      </c>
      <c r="AB236" s="76">
        <v>0</v>
      </c>
      <c r="AC236" s="76">
        <v>14</v>
      </c>
      <c r="AD236" s="76">
        <v>169</v>
      </c>
      <c r="AE236" s="76">
        <v>108</v>
      </c>
      <c r="AF236" s="76">
        <v>9</v>
      </c>
      <c r="AG236" s="76">
        <v>1</v>
      </c>
      <c r="AH236" s="76">
        <v>2</v>
      </c>
      <c r="AI236" s="76">
        <v>1</v>
      </c>
      <c r="AJ236" s="76">
        <v>0</v>
      </c>
      <c r="AK236" s="76">
        <v>596</v>
      </c>
      <c r="AL236" s="76">
        <v>2278</v>
      </c>
      <c r="AM236" s="202"/>
      <c r="AN236" s="77"/>
      <c r="AO236" s="202"/>
      <c r="AP236" s="202"/>
      <c r="AQ236" s="202"/>
      <c r="AR236" s="202"/>
      <c r="AS236" s="202"/>
      <c r="AT236" s="202"/>
      <c r="AU236" s="202"/>
      <c r="AV236" s="202"/>
      <c r="AW236" s="202"/>
      <c r="AX236" s="202"/>
      <c r="AY236" s="202"/>
    </row>
    <row r="237" spans="1:51" x14ac:dyDescent="0.2">
      <c r="A237" s="76">
        <v>23</v>
      </c>
      <c r="B237" s="77" t="s">
        <v>1353</v>
      </c>
      <c r="C237" s="76" t="s">
        <v>151</v>
      </c>
      <c r="D237" s="76">
        <v>0</v>
      </c>
      <c r="E237" s="76">
        <v>0</v>
      </c>
      <c r="F237" s="76">
        <v>7.71</v>
      </c>
      <c r="G237" s="76">
        <v>1</v>
      </c>
      <c r="H237" s="76">
        <v>0</v>
      </c>
      <c r="I237" s="76">
        <v>0</v>
      </c>
      <c r="J237" s="76">
        <v>0</v>
      </c>
      <c r="K237" s="76">
        <v>2.1</v>
      </c>
      <c r="L237" s="76">
        <v>5</v>
      </c>
      <c r="M237" s="76">
        <v>2</v>
      </c>
      <c r="N237" s="76">
        <v>2</v>
      </c>
      <c r="O237" s="76">
        <v>0</v>
      </c>
      <c r="P237" s="76">
        <v>1</v>
      </c>
      <c r="Q237" s="76">
        <v>0</v>
      </c>
      <c r="R237" s="76">
        <v>0.45500000000000002</v>
      </c>
      <c r="S237" s="76">
        <v>2.57</v>
      </c>
      <c r="T237" s="76">
        <v>23</v>
      </c>
      <c r="U237" s="77" t="s">
        <v>1353</v>
      </c>
      <c r="V237" s="76" t="s">
        <v>151</v>
      </c>
      <c r="W237" s="76">
        <v>0</v>
      </c>
      <c r="X237" s="76">
        <v>0</v>
      </c>
      <c r="Y237" s="76">
        <v>0</v>
      </c>
      <c r="Z237" s="76">
        <v>0</v>
      </c>
      <c r="AA237" s="76">
        <v>0</v>
      </c>
      <c r="AB237" s="76">
        <v>0</v>
      </c>
      <c r="AC237" s="76">
        <v>0</v>
      </c>
      <c r="AD237" s="76">
        <v>3</v>
      </c>
      <c r="AE237" s="76">
        <v>4</v>
      </c>
      <c r="AF237" s="76">
        <v>0</v>
      </c>
      <c r="AG237" s="76">
        <v>0</v>
      </c>
      <c r="AH237" s="76">
        <v>0</v>
      </c>
      <c r="AI237" s="76">
        <v>0</v>
      </c>
      <c r="AJ237" s="76">
        <v>0</v>
      </c>
      <c r="AK237" s="76">
        <v>13</v>
      </c>
      <c r="AL237" s="76">
        <v>42</v>
      </c>
      <c r="AM237" s="202"/>
      <c r="AN237" s="77"/>
      <c r="AO237" s="202"/>
      <c r="AP237" s="202"/>
      <c r="AQ237" s="202"/>
      <c r="AR237" s="202"/>
      <c r="AS237" s="202"/>
      <c r="AT237" s="202"/>
      <c r="AU237" s="202"/>
      <c r="AV237" s="202"/>
      <c r="AW237" s="202"/>
      <c r="AX237" s="202"/>
      <c r="AY237" s="202"/>
    </row>
    <row r="238" spans="1:51" x14ac:dyDescent="0.2">
      <c r="A238" s="76">
        <v>24</v>
      </c>
      <c r="B238" s="77" t="s">
        <v>575</v>
      </c>
      <c r="C238" s="76" t="s">
        <v>151</v>
      </c>
      <c r="D238" s="76">
        <v>1</v>
      </c>
      <c r="E238" s="76">
        <v>0</v>
      </c>
      <c r="F238" s="76">
        <v>7.9</v>
      </c>
      <c r="G238" s="76">
        <v>14</v>
      </c>
      <c r="H238" s="76">
        <v>0</v>
      </c>
      <c r="I238" s="76">
        <v>0</v>
      </c>
      <c r="J238" s="76">
        <v>0</v>
      </c>
      <c r="K238" s="76">
        <v>13.2</v>
      </c>
      <c r="L238" s="76">
        <v>21</v>
      </c>
      <c r="M238" s="76">
        <v>12</v>
      </c>
      <c r="N238" s="76">
        <v>12</v>
      </c>
      <c r="O238" s="76">
        <v>5</v>
      </c>
      <c r="P238" s="76">
        <v>3</v>
      </c>
      <c r="Q238" s="76">
        <v>12</v>
      </c>
      <c r="R238" s="76">
        <v>0.35</v>
      </c>
      <c r="S238" s="76">
        <v>1.76</v>
      </c>
      <c r="T238" s="76">
        <v>24</v>
      </c>
      <c r="U238" s="77" t="s">
        <v>575</v>
      </c>
      <c r="V238" s="76" t="s">
        <v>151</v>
      </c>
      <c r="W238" s="76">
        <v>0</v>
      </c>
      <c r="X238" s="76">
        <v>0</v>
      </c>
      <c r="Y238" s="76">
        <v>0</v>
      </c>
      <c r="Z238" s="76">
        <v>0</v>
      </c>
      <c r="AA238" s="76">
        <v>2</v>
      </c>
      <c r="AB238" s="76">
        <v>1</v>
      </c>
      <c r="AC238" s="76">
        <v>2</v>
      </c>
      <c r="AD238" s="76">
        <v>9</v>
      </c>
      <c r="AE238" s="76">
        <v>18</v>
      </c>
      <c r="AF238" s="76">
        <v>1</v>
      </c>
      <c r="AG238" s="76">
        <v>0</v>
      </c>
      <c r="AH238" s="76">
        <v>1</v>
      </c>
      <c r="AI238" s="76">
        <v>0</v>
      </c>
      <c r="AJ238" s="76">
        <v>0</v>
      </c>
      <c r="AK238" s="76">
        <v>63</v>
      </c>
      <c r="AL238" s="76">
        <v>233</v>
      </c>
      <c r="AM238" s="202"/>
      <c r="AN238" s="77"/>
      <c r="AO238" s="202"/>
      <c r="AP238" s="202"/>
      <c r="AQ238" s="202"/>
      <c r="AR238" s="202"/>
      <c r="AS238" s="202"/>
      <c r="AT238" s="202"/>
      <c r="AU238" s="202"/>
      <c r="AV238" s="202"/>
      <c r="AW238" s="202"/>
      <c r="AX238" s="202"/>
      <c r="AY238" s="202"/>
    </row>
    <row r="239" spans="1:51" x14ac:dyDescent="0.2">
      <c r="A239" s="76">
        <v>25</v>
      </c>
      <c r="B239" s="77" t="s">
        <v>1354</v>
      </c>
      <c r="C239" s="76" t="s">
        <v>151</v>
      </c>
      <c r="D239" s="76">
        <v>3</v>
      </c>
      <c r="E239" s="76">
        <v>7</v>
      </c>
      <c r="F239" s="76">
        <v>8.02</v>
      </c>
      <c r="G239" s="76">
        <v>14</v>
      </c>
      <c r="H239" s="76">
        <v>14</v>
      </c>
      <c r="I239" s="76">
        <v>0</v>
      </c>
      <c r="J239" s="76">
        <v>0</v>
      </c>
      <c r="K239" s="76">
        <v>58.1</v>
      </c>
      <c r="L239" s="76">
        <v>74</v>
      </c>
      <c r="M239" s="76">
        <v>56</v>
      </c>
      <c r="N239" s="76">
        <v>52</v>
      </c>
      <c r="O239" s="76">
        <v>12</v>
      </c>
      <c r="P239" s="76">
        <v>35</v>
      </c>
      <c r="Q239" s="76">
        <v>49</v>
      </c>
      <c r="R239" s="76">
        <v>0.31</v>
      </c>
      <c r="S239" s="76">
        <v>1.87</v>
      </c>
      <c r="T239" s="76">
        <v>25</v>
      </c>
      <c r="U239" s="77" t="s">
        <v>1354</v>
      </c>
      <c r="V239" s="76" t="s">
        <v>151</v>
      </c>
      <c r="W239" s="76">
        <v>0</v>
      </c>
      <c r="X239" s="76">
        <v>0</v>
      </c>
      <c r="Y239" s="76">
        <v>5</v>
      </c>
      <c r="Z239" s="76">
        <v>0</v>
      </c>
      <c r="AA239" s="76">
        <v>0</v>
      </c>
      <c r="AB239" s="76">
        <v>0</v>
      </c>
      <c r="AC239" s="76">
        <v>5</v>
      </c>
      <c r="AD239" s="76">
        <v>50</v>
      </c>
      <c r="AE239" s="76">
        <v>68</v>
      </c>
      <c r="AF239" s="76">
        <v>1</v>
      </c>
      <c r="AG239" s="76">
        <v>0</v>
      </c>
      <c r="AH239" s="76">
        <v>4</v>
      </c>
      <c r="AI239" s="76">
        <v>1</v>
      </c>
      <c r="AJ239" s="76">
        <v>1</v>
      </c>
      <c r="AK239" s="76">
        <v>281</v>
      </c>
      <c r="AL239" s="76">
        <v>1144</v>
      </c>
      <c r="AM239" s="202"/>
      <c r="AN239" s="77"/>
      <c r="AO239" s="202"/>
      <c r="AP239" s="202"/>
      <c r="AQ239" s="202"/>
      <c r="AR239" s="202"/>
      <c r="AS239" s="202"/>
      <c r="AT239" s="202"/>
      <c r="AU239" s="202"/>
      <c r="AV239" s="202"/>
      <c r="AW239" s="202"/>
      <c r="AX239" s="202"/>
      <c r="AY239" s="202"/>
    </row>
    <row r="240" spans="1:51" x14ac:dyDescent="0.2">
      <c r="A240" s="76">
        <v>26</v>
      </c>
      <c r="B240" s="77" t="s">
        <v>1308</v>
      </c>
      <c r="C240" s="76" t="s">
        <v>151</v>
      </c>
      <c r="D240" s="76">
        <v>0</v>
      </c>
      <c r="E240" s="76">
        <v>1</v>
      </c>
      <c r="F240" s="76">
        <v>9</v>
      </c>
      <c r="G240" s="76">
        <v>15</v>
      </c>
      <c r="H240" s="76">
        <v>0</v>
      </c>
      <c r="I240" s="76">
        <v>0</v>
      </c>
      <c r="J240" s="76">
        <v>1</v>
      </c>
      <c r="K240" s="76">
        <v>14</v>
      </c>
      <c r="L240" s="76">
        <v>15</v>
      </c>
      <c r="M240" s="76">
        <v>14</v>
      </c>
      <c r="N240" s="76">
        <v>14</v>
      </c>
      <c r="O240" s="76">
        <v>2</v>
      </c>
      <c r="P240" s="76">
        <v>15</v>
      </c>
      <c r="Q240" s="76">
        <v>14</v>
      </c>
      <c r="R240" s="76">
        <v>0.25900000000000001</v>
      </c>
      <c r="S240" s="76">
        <v>2.14</v>
      </c>
      <c r="T240" s="76">
        <v>26</v>
      </c>
      <c r="U240" s="77" t="s">
        <v>1308</v>
      </c>
      <c r="V240" s="76" t="s">
        <v>151</v>
      </c>
      <c r="W240" s="76">
        <v>0</v>
      </c>
      <c r="X240" s="76">
        <v>0</v>
      </c>
      <c r="Y240" s="76">
        <v>0</v>
      </c>
      <c r="Z240" s="76">
        <v>2</v>
      </c>
      <c r="AA240" s="76">
        <v>0</v>
      </c>
      <c r="AB240" s="76">
        <v>0</v>
      </c>
      <c r="AC240" s="76">
        <v>1</v>
      </c>
      <c r="AD240" s="76">
        <v>20</v>
      </c>
      <c r="AE240" s="76">
        <v>9</v>
      </c>
      <c r="AF240" s="76">
        <v>5</v>
      </c>
      <c r="AG240" s="76">
        <v>0</v>
      </c>
      <c r="AH240" s="76">
        <v>1</v>
      </c>
      <c r="AI240" s="76">
        <v>0</v>
      </c>
      <c r="AJ240" s="76">
        <v>0</v>
      </c>
      <c r="AK240" s="76">
        <v>73</v>
      </c>
      <c r="AL240" s="76">
        <v>316</v>
      </c>
      <c r="AM240" s="202"/>
      <c r="AN240" s="77"/>
      <c r="AO240" s="202"/>
      <c r="AP240" s="202"/>
      <c r="AQ240" s="202"/>
      <c r="AR240" s="202"/>
      <c r="AS240" s="202"/>
      <c r="AT240" s="202"/>
      <c r="AU240" s="202"/>
      <c r="AV240" s="202"/>
      <c r="AW240" s="202"/>
      <c r="AX240" s="202"/>
      <c r="AY240" s="202"/>
    </row>
    <row r="241" spans="1:51" ht="25.5" x14ac:dyDescent="0.2">
      <c r="A241" s="76">
        <v>26</v>
      </c>
      <c r="B241" s="77" t="s">
        <v>571</v>
      </c>
      <c r="C241" s="76" t="s">
        <v>151</v>
      </c>
      <c r="D241" s="76">
        <v>0</v>
      </c>
      <c r="E241" s="76">
        <v>0</v>
      </c>
      <c r="F241" s="76">
        <v>9</v>
      </c>
      <c r="G241" s="76">
        <v>2</v>
      </c>
      <c r="H241" s="76">
        <v>0</v>
      </c>
      <c r="I241" s="76">
        <v>0</v>
      </c>
      <c r="J241" s="76">
        <v>1</v>
      </c>
      <c r="K241" s="76">
        <v>2</v>
      </c>
      <c r="L241" s="76">
        <v>5</v>
      </c>
      <c r="M241" s="76">
        <v>2</v>
      </c>
      <c r="N241" s="76">
        <v>2</v>
      </c>
      <c r="O241" s="76">
        <v>0</v>
      </c>
      <c r="P241" s="76">
        <v>1</v>
      </c>
      <c r="Q241" s="76">
        <v>3</v>
      </c>
      <c r="R241" s="76">
        <v>0.5</v>
      </c>
      <c r="S241" s="76">
        <v>3</v>
      </c>
      <c r="T241" s="76">
        <v>26</v>
      </c>
      <c r="U241" s="77" t="s">
        <v>571</v>
      </c>
      <c r="V241" s="76" t="s">
        <v>151</v>
      </c>
      <c r="W241" s="76">
        <v>0</v>
      </c>
      <c r="X241" s="76">
        <v>0</v>
      </c>
      <c r="Y241" s="76">
        <v>0</v>
      </c>
      <c r="Z241" s="76">
        <v>0</v>
      </c>
      <c r="AA241" s="76">
        <v>1</v>
      </c>
      <c r="AB241" s="76">
        <v>0</v>
      </c>
      <c r="AC241" s="76">
        <v>0</v>
      </c>
      <c r="AD241" s="76">
        <v>0</v>
      </c>
      <c r="AE241" s="76">
        <v>3</v>
      </c>
      <c r="AF241" s="76">
        <v>2</v>
      </c>
      <c r="AG241" s="76">
        <v>0</v>
      </c>
      <c r="AH241" s="76">
        <v>0</v>
      </c>
      <c r="AI241" s="76">
        <v>0</v>
      </c>
      <c r="AJ241" s="76">
        <v>0</v>
      </c>
      <c r="AK241" s="76">
        <v>12</v>
      </c>
      <c r="AL241" s="76">
        <v>48</v>
      </c>
      <c r="AM241" s="202"/>
      <c r="AN241" s="77"/>
      <c r="AO241" s="202"/>
      <c r="AP241" s="202"/>
      <c r="AQ241" s="202"/>
      <c r="AR241" s="202"/>
      <c r="AS241" s="202"/>
      <c r="AT241" s="202"/>
      <c r="AU241" s="202"/>
      <c r="AV241" s="202"/>
      <c r="AW241" s="202"/>
      <c r="AX241" s="202"/>
      <c r="AY241" s="202"/>
    </row>
    <row r="242" spans="1:51" ht="25.5" x14ac:dyDescent="0.2">
      <c r="A242" s="76">
        <v>28</v>
      </c>
      <c r="B242" s="77" t="s">
        <v>1193</v>
      </c>
      <c r="C242" s="76" t="s">
        <v>151</v>
      </c>
      <c r="D242" s="76">
        <v>0</v>
      </c>
      <c r="E242" s="76">
        <v>0</v>
      </c>
      <c r="F242" s="76">
        <v>10.8</v>
      </c>
      <c r="G242" s="76">
        <v>1</v>
      </c>
      <c r="H242" s="76">
        <v>0</v>
      </c>
      <c r="I242" s="76">
        <v>0</v>
      </c>
      <c r="J242" s="76">
        <v>0</v>
      </c>
      <c r="K242" s="76">
        <v>1.2</v>
      </c>
      <c r="L242" s="76">
        <v>3</v>
      </c>
      <c r="M242" s="76">
        <v>2</v>
      </c>
      <c r="N242" s="76">
        <v>2</v>
      </c>
      <c r="O242" s="76">
        <v>0</v>
      </c>
      <c r="P242" s="76">
        <v>1</v>
      </c>
      <c r="Q242" s="76">
        <v>2</v>
      </c>
      <c r="R242" s="76">
        <v>0.375</v>
      </c>
      <c r="S242" s="76">
        <v>2.4</v>
      </c>
      <c r="T242" s="76">
        <v>28</v>
      </c>
      <c r="U242" s="77" t="s">
        <v>1193</v>
      </c>
      <c r="V242" s="76" t="s">
        <v>151</v>
      </c>
      <c r="W242" s="76">
        <v>0</v>
      </c>
      <c r="X242" s="76">
        <v>0</v>
      </c>
      <c r="Y242" s="76">
        <v>0</v>
      </c>
      <c r="Z242" s="76">
        <v>0</v>
      </c>
      <c r="AA242" s="76">
        <v>0</v>
      </c>
      <c r="AB242" s="76">
        <v>0</v>
      </c>
      <c r="AC242" s="76">
        <v>0</v>
      </c>
      <c r="AD242" s="76">
        <v>1</v>
      </c>
      <c r="AE242" s="76">
        <v>2</v>
      </c>
      <c r="AF242" s="76">
        <v>0</v>
      </c>
      <c r="AG242" s="76">
        <v>0</v>
      </c>
      <c r="AH242" s="76">
        <v>0</v>
      </c>
      <c r="AI242" s="76">
        <v>0</v>
      </c>
      <c r="AJ242" s="76">
        <v>0</v>
      </c>
      <c r="AK242" s="76">
        <v>9</v>
      </c>
      <c r="AL242" s="76">
        <v>23</v>
      </c>
      <c r="AM242" s="202"/>
      <c r="AN242" s="77"/>
      <c r="AO242" s="202"/>
      <c r="AP242" s="202"/>
      <c r="AQ242" s="202"/>
      <c r="AR242" s="202"/>
      <c r="AS242" s="202"/>
      <c r="AT242" s="202"/>
      <c r="AU242" s="202"/>
      <c r="AV242" s="202"/>
      <c r="AW242" s="202"/>
      <c r="AX242" s="202"/>
      <c r="AY242" s="202"/>
    </row>
    <row r="243" spans="1:51" x14ac:dyDescent="0.2">
      <c r="A243" s="76">
        <v>29</v>
      </c>
      <c r="B243" s="77" t="s">
        <v>1195</v>
      </c>
      <c r="C243" s="76" t="s">
        <v>151</v>
      </c>
      <c r="D243" s="76">
        <v>0</v>
      </c>
      <c r="E243" s="76">
        <v>1</v>
      </c>
      <c r="F243" s="76">
        <v>12.27</v>
      </c>
      <c r="G243" s="76">
        <v>2</v>
      </c>
      <c r="H243" s="76">
        <v>1</v>
      </c>
      <c r="I243" s="76">
        <v>0</v>
      </c>
      <c r="J243" s="76">
        <v>0</v>
      </c>
      <c r="K243" s="76">
        <v>3.2</v>
      </c>
      <c r="L243" s="76">
        <v>8</v>
      </c>
      <c r="M243" s="76">
        <v>5</v>
      </c>
      <c r="N243" s="76">
        <v>5</v>
      </c>
      <c r="O243" s="76">
        <v>1</v>
      </c>
      <c r="P243" s="76">
        <v>4</v>
      </c>
      <c r="Q243" s="76">
        <v>5</v>
      </c>
      <c r="R243" s="76">
        <v>0.42099999999999999</v>
      </c>
      <c r="S243" s="76">
        <v>3.27</v>
      </c>
      <c r="T243" s="76">
        <v>29</v>
      </c>
      <c r="U243" s="77" t="s">
        <v>1195</v>
      </c>
      <c r="V243" s="76" t="s">
        <v>151</v>
      </c>
      <c r="W243" s="76">
        <v>0</v>
      </c>
      <c r="X243" s="76">
        <v>0</v>
      </c>
      <c r="Y243" s="76">
        <v>0</v>
      </c>
      <c r="Z243" s="76">
        <v>0</v>
      </c>
      <c r="AA243" s="76">
        <v>0</v>
      </c>
      <c r="AB243" s="76">
        <v>0</v>
      </c>
      <c r="AC243" s="76">
        <v>0</v>
      </c>
      <c r="AD243" s="76">
        <v>1</v>
      </c>
      <c r="AE243" s="76">
        <v>5</v>
      </c>
      <c r="AF243" s="76">
        <v>2</v>
      </c>
      <c r="AG243" s="76">
        <v>0</v>
      </c>
      <c r="AH243" s="76">
        <v>1</v>
      </c>
      <c r="AI243" s="76">
        <v>0</v>
      </c>
      <c r="AJ243" s="76">
        <v>0</v>
      </c>
      <c r="AK243" s="76">
        <v>23</v>
      </c>
      <c r="AL243" s="76">
        <v>93</v>
      </c>
      <c r="AM243" s="202"/>
      <c r="AN243" s="77"/>
      <c r="AO243" s="202"/>
      <c r="AP243" s="202"/>
      <c r="AQ243" s="202"/>
      <c r="AR243" s="202"/>
      <c r="AS243" s="202"/>
      <c r="AT243" s="202"/>
      <c r="AU243" s="202"/>
      <c r="AV243" s="202"/>
      <c r="AW243" s="202"/>
      <c r="AX243" s="202"/>
      <c r="AY243" s="202"/>
    </row>
    <row r="244" spans="1:51" x14ac:dyDescent="0.2">
      <c r="A244" s="225" t="s">
        <v>105</v>
      </c>
      <c r="B244" s="225" t="s">
        <v>106</v>
      </c>
      <c r="C244" s="225" t="s">
        <v>157</v>
      </c>
      <c r="D244" s="225" t="s">
        <v>85</v>
      </c>
      <c r="E244" s="225" t="s">
        <v>86</v>
      </c>
      <c r="F244" s="225" t="s">
        <v>107</v>
      </c>
      <c r="G244" s="225" t="s">
        <v>108</v>
      </c>
      <c r="H244" s="225" t="s">
        <v>88</v>
      </c>
      <c r="I244" s="225" t="s">
        <v>90</v>
      </c>
      <c r="J244" s="225" t="s">
        <v>158</v>
      </c>
      <c r="K244" s="225" t="s">
        <v>91</v>
      </c>
      <c r="L244" s="225" t="s">
        <v>92</v>
      </c>
      <c r="M244" s="225" t="s">
        <v>93</v>
      </c>
      <c r="N244" s="225" t="s">
        <v>94</v>
      </c>
      <c r="O244" s="225" t="s">
        <v>95</v>
      </c>
      <c r="P244" s="225" t="s">
        <v>96</v>
      </c>
      <c r="Q244" s="225" t="s">
        <v>97</v>
      </c>
      <c r="R244" s="225" t="s">
        <v>1071</v>
      </c>
      <c r="S244" s="225" t="s">
        <v>1072</v>
      </c>
      <c r="T244" s="225" t="s">
        <v>105</v>
      </c>
      <c r="U244" s="225" t="s">
        <v>106</v>
      </c>
      <c r="V244" s="225" t="s">
        <v>157</v>
      </c>
      <c r="W244" s="225" t="s">
        <v>89</v>
      </c>
      <c r="X244" s="225" t="s">
        <v>1073</v>
      </c>
      <c r="Y244" s="225" t="s">
        <v>1074</v>
      </c>
      <c r="Z244" s="225" t="s">
        <v>98</v>
      </c>
      <c r="AA244" s="225" t="s">
        <v>1075</v>
      </c>
      <c r="AB244" s="225" t="s">
        <v>1076</v>
      </c>
      <c r="AC244" s="225" t="s">
        <v>1077</v>
      </c>
      <c r="AD244" s="225" t="s">
        <v>1066</v>
      </c>
      <c r="AE244" s="225" t="s">
        <v>1067</v>
      </c>
      <c r="AF244" s="225" t="s">
        <v>1078</v>
      </c>
      <c r="AG244" s="225" t="s">
        <v>1079</v>
      </c>
      <c r="AH244" s="225" t="s">
        <v>1057</v>
      </c>
      <c r="AI244" s="225" t="s">
        <v>1058</v>
      </c>
      <c r="AJ244" s="225" t="s">
        <v>1080</v>
      </c>
      <c r="AK244" s="225" t="s">
        <v>109</v>
      </c>
      <c r="AL244" s="225" t="s">
        <v>1069</v>
      </c>
      <c r="AM244" s="202"/>
      <c r="AN244" s="77"/>
      <c r="AO244" s="202"/>
      <c r="AP244" s="202"/>
      <c r="AQ244" s="202"/>
      <c r="AR244" s="202"/>
      <c r="AS244" s="202"/>
      <c r="AT244" s="202"/>
      <c r="AU244" s="202"/>
      <c r="AV244" s="202"/>
      <c r="AW244" s="202"/>
      <c r="AX244" s="202"/>
      <c r="AY244" s="202"/>
    </row>
    <row r="245" spans="1:51" x14ac:dyDescent="0.2">
      <c r="A245" s="76">
        <v>1</v>
      </c>
      <c r="B245" s="77" t="s">
        <v>499</v>
      </c>
      <c r="C245" s="76" t="s">
        <v>152</v>
      </c>
      <c r="D245" s="76">
        <v>6</v>
      </c>
      <c r="E245" s="76">
        <v>1</v>
      </c>
      <c r="F245" s="76">
        <v>1.39</v>
      </c>
      <c r="G245" s="76">
        <v>44</v>
      </c>
      <c r="H245" s="76">
        <v>0</v>
      </c>
      <c r="I245" s="76">
        <v>9</v>
      </c>
      <c r="J245" s="76">
        <v>11</v>
      </c>
      <c r="K245" s="76">
        <v>45.1</v>
      </c>
      <c r="L245" s="76">
        <v>28</v>
      </c>
      <c r="M245" s="76">
        <v>8</v>
      </c>
      <c r="N245" s="76">
        <v>7</v>
      </c>
      <c r="O245" s="76">
        <v>5</v>
      </c>
      <c r="P245" s="76">
        <v>7</v>
      </c>
      <c r="Q245" s="76">
        <v>77</v>
      </c>
      <c r="R245" s="76">
        <v>0.17399999999999999</v>
      </c>
      <c r="S245" s="76">
        <v>0.77</v>
      </c>
      <c r="T245" s="76">
        <v>1</v>
      </c>
      <c r="U245" s="77" t="s">
        <v>499</v>
      </c>
      <c r="V245" s="76" t="s">
        <v>152</v>
      </c>
      <c r="W245" s="76">
        <v>0</v>
      </c>
      <c r="X245" s="76">
        <v>0</v>
      </c>
      <c r="Y245" s="76">
        <v>2</v>
      </c>
      <c r="Z245" s="76">
        <v>0</v>
      </c>
      <c r="AA245" s="76">
        <v>16</v>
      </c>
      <c r="AB245" s="76">
        <v>16</v>
      </c>
      <c r="AC245" s="76">
        <v>3</v>
      </c>
      <c r="AD245" s="76">
        <v>39</v>
      </c>
      <c r="AE245" s="76">
        <v>19</v>
      </c>
      <c r="AF245" s="76">
        <v>0</v>
      </c>
      <c r="AG245" s="76">
        <v>0</v>
      </c>
      <c r="AH245" s="76">
        <v>0</v>
      </c>
      <c r="AI245" s="76">
        <v>0</v>
      </c>
      <c r="AJ245" s="76">
        <v>0</v>
      </c>
      <c r="AK245" s="76">
        <v>172</v>
      </c>
      <c r="AL245" s="76">
        <v>707</v>
      </c>
      <c r="AM245" s="202"/>
      <c r="AN245" s="77"/>
      <c r="AO245" s="202"/>
      <c r="AP245" s="202"/>
      <c r="AQ245" s="202"/>
      <c r="AR245" s="202"/>
      <c r="AS245" s="202"/>
      <c r="AT245" s="202"/>
      <c r="AU245" s="202"/>
      <c r="AV245" s="202"/>
      <c r="AW245" s="202"/>
      <c r="AX245" s="202"/>
      <c r="AY245" s="202"/>
    </row>
    <row r="246" spans="1:51" x14ac:dyDescent="0.2">
      <c r="A246" s="76">
        <v>2</v>
      </c>
      <c r="B246" s="77" t="s">
        <v>1355</v>
      </c>
      <c r="C246" s="76" t="s">
        <v>152</v>
      </c>
      <c r="D246" s="76">
        <v>0</v>
      </c>
      <c r="E246" s="76">
        <v>0</v>
      </c>
      <c r="F246" s="76">
        <v>1.96</v>
      </c>
      <c r="G246" s="76">
        <v>23</v>
      </c>
      <c r="H246" s="76">
        <v>0</v>
      </c>
      <c r="I246" s="76">
        <v>0</v>
      </c>
      <c r="J246" s="76">
        <v>0</v>
      </c>
      <c r="K246" s="76">
        <v>23</v>
      </c>
      <c r="L246" s="76">
        <v>20</v>
      </c>
      <c r="M246" s="76">
        <v>6</v>
      </c>
      <c r="N246" s="76">
        <v>5</v>
      </c>
      <c r="O246" s="76">
        <v>0</v>
      </c>
      <c r="P246" s="76">
        <v>4</v>
      </c>
      <c r="Q246" s="76">
        <v>13</v>
      </c>
      <c r="R246" s="76">
        <v>0.23300000000000001</v>
      </c>
      <c r="S246" s="76">
        <v>1.04</v>
      </c>
      <c r="T246" s="76">
        <v>2</v>
      </c>
      <c r="U246" s="77" t="s">
        <v>1355</v>
      </c>
      <c r="V246" s="76" t="s">
        <v>152</v>
      </c>
      <c r="W246" s="76">
        <v>0</v>
      </c>
      <c r="X246" s="76">
        <v>0</v>
      </c>
      <c r="Y246" s="76">
        <v>1</v>
      </c>
      <c r="Z246" s="76">
        <v>0</v>
      </c>
      <c r="AA246" s="76">
        <v>8</v>
      </c>
      <c r="AB246" s="76">
        <v>2</v>
      </c>
      <c r="AC246" s="76">
        <v>3</v>
      </c>
      <c r="AD246" s="76">
        <v>35</v>
      </c>
      <c r="AE246" s="76">
        <v>19</v>
      </c>
      <c r="AF246" s="76">
        <v>0</v>
      </c>
      <c r="AG246" s="76">
        <v>0</v>
      </c>
      <c r="AH246" s="76">
        <v>2</v>
      </c>
      <c r="AI246" s="76">
        <v>0</v>
      </c>
      <c r="AJ246" s="76">
        <v>0</v>
      </c>
      <c r="AK246" s="76">
        <v>92</v>
      </c>
      <c r="AL246" s="76">
        <v>349</v>
      </c>
      <c r="AM246" s="202"/>
      <c r="AN246" s="77"/>
      <c r="AO246" s="202"/>
      <c r="AP246" s="202"/>
      <c r="AQ246" s="202"/>
      <c r="AR246" s="202"/>
      <c r="AS246" s="202"/>
      <c r="AT246" s="202"/>
      <c r="AU246" s="202"/>
      <c r="AV246" s="202"/>
      <c r="AW246" s="202"/>
      <c r="AX246" s="202"/>
      <c r="AY246" s="202"/>
    </row>
    <row r="247" spans="1:51" ht="25.5" x14ac:dyDescent="0.2">
      <c r="A247" s="76">
        <v>3</v>
      </c>
      <c r="B247" s="77" t="s">
        <v>355</v>
      </c>
      <c r="C247" s="76" t="s">
        <v>152</v>
      </c>
      <c r="D247" s="76">
        <v>3</v>
      </c>
      <c r="E247" s="76">
        <v>0</v>
      </c>
      <c r="F247" s="76">
        <v>2.0099999999999998</v>
      </c>
      <c r="G247" s="76">
        <v>31</v>
      </c>
      <c r="H247" s="76">
        <v>0</v>
      </c>
      <c r="I247" s="76">
        <v>20</v>
      </c>
      <c r="J247" s="76">
        <v>21</v>
      </c>
      <c r="K247" s="76">
        <v>31.1</v>
      </c>
      <c r="L247" s="76">
        <v>20</v>
      </c>
      <c r="M247" s="76">
        <v>8</v>
      </c>
      <c r="N247" s="76">
        <v>7</v>
      </c>
      <c r="O247" s="76">
        <v>2</v>
      </c>
      <c r="P247" s="76">
        <v>8</v>
      </c>
      <c r="Q247" s="76">
        <v>44</v>
      </c>
      <c r="R247" s="76">
        <v>0.17899999999999999</v>
      </c>
      <c r="S247" s="76">
        <v>0.89</v>
      </c>
      <c r="T247" s="76">
        <v>3</v>
      </c>
      <c r="U247" s="77" t="s">
        <v>355</v>
      </c>
      <c r="V247" s="76" t="s">
        <v>152</v>
      </c>
      <c r="W247" s="76">
        <v>0</v>
      </c>
      <c r="X247" s="76">
        <v>0</v>
      </c>
      <c r="Y247" s="76">
        <v>0</v>
      </c>
      <c r="Z247" s="76">
        <v>0</v>
      </c>
      <c r="AA247" s="76">
        <v>29</v>
      </c>
      <c r="AB247" s="76">
        <v>0</v>
      </c>
      <c r="AC247" s="76">
        <v>2</v>
      </c>
      <c r="AD247" s="76">
        <v>21</v>
      </c>
      <c r="AE247" s="76">
        <v>27</v>
      </c>
      <c r="AF247" s="76">
        <v>2</v>
      </c>
      <c r="AG247" s="76">
        <v>1</v>
      </c>
      <c r="AH247" s="76">
        <v>0</v>
      </c>
      <c r="AI247" s="76">
        <v>1</v>
      </c>
      <c r="AJ247" s="76">
        <v>1</v>
      </c>
      <c r="AK247" s="76">
        <v>120</v>
      </c>
      <c r="AL247" s="76">
        <v>528</v>
      </c>
      <c r="AM247" s="202"/>
      <c r="AN247" s="77"/>
      <c r="AO247" s="202"/>
      <c r="AP247" s="202"/>
      <c r="AQ247" s="202"/>
      <c r="AR247" s="202"/>
      <c r="AS247" s="202"/>
      <c r="AT247" s="202"/>
      <c r="AU247" s="202"/>
      <c r="AV247" s="202"/>
      <c r="AW247" s="202"/>
      <c r="AX247" s="202"/>
      <c r="AY247" s="202"/>
    </row>
    <row r="248" spans="1:51" ht="25.5" x14ac:dyDescent="0.2">
      <c r="A248" s="76">
        <v>4</v>
      </c>
      <c r="B248" s="77" t="s">
        <v>474</v>
      </c>
      <c r="C248" s="76" t="s">
        <v>152</v>
      </c>
      <c r="D248" s="76">
        <v>2</v>
      </c>
      <c r="E248" s="76">
        <v>3</v>
      </c>
      <c r="F248" s="76">
        <v>2.4900000000000002</v>
      </c>
      <c r="G248" s="76">
        <v>29</v>
      </c>
      <c r="H248" s="76">
        <v>0</v>
      </c>
      <c r="I248" s="76">
        <v>2</v>
      </c>
      <c r="J248" s="76">
        <v>3</v>
      </c>
      <c r="K248" s="76">
        <v>25.1</v>
      </c>
      <c r="L248" s="76">
        <v>20</v>
      </c>
      <c r="M248" s="76">
        <v>9</v>
      </c>
      <c r="N248" s="76">
        <v>7</v>
      </c>
      <c r="O248" s="76">
        <v>3</v>
      </c>
      <c r="P248" s="76">
        <v>11</v>
      </c>
      <c r="Q248" s="76">
        <v>26</v>
      </c>
      <c r="R248" s="76">
        <v>0.21099999999999999</v>
      </c>
      <c r="S248" s="76">
        <v>1.22</v>
      </c>
      <c r="T248" s="76">
        <v>4</v>
      </c>
      <c r="U248" s="77" t="s">
        <v>474</v>
      </c>
      <c r="V248" s="76" t="s">
        <v>152</v>
      </c>
      <c r="W248" s="76">
        <v>0</v>
      </c>
      <c r="X248" s="76">
        <v>0</v>
      </c>
      <c r="Y248" s="76">
        <v>1</v>
      </c>
      <c r="Z248" s="76">
        <v>2</v>
      </c>
      <c r="AA248" s="76">
        <v>7</v>
      </c>
      <c r="AB248" s="76">
        <v>12</v>
      </c>
      <c r="AC248" s="76">
        <v>1</v>
      </c>
      <c r="AD248" s="76">
        <v>14</v>
      </c>
      <c r="AE248" s="76">
        <v>35</v>
      </c>
      <c r="AF248" s="76">
        <v>4</v>
      </c>
      <c r="AG248" s="76">
        <v>0</v>
      </c>
      <c r="AH248" s="76">
        <v>1</v>
      </c>
      <c r="AI248" s="76">
        <v>0</v>
      </c>
      <c r="AJ248" s="76">
        <v>0</v>
      </c>
      <c r="AK248" s="76">
        <v>107</v>
      </c>
      <c r="AL248" s="76">
        <v>435</v>
      </c>
      <c r="AM248" s="202"/>
      <c r="AN248" s="77"/>
      <c r="AO248" s="202"/>
      <c r="AP248" s="202"/>
      <c r="AQ248" s="202"/>
      <c r="AR248" s="202"/>
      <c r="AS248" s="202"/>
      <c r="AT248" s="202"/>
      <c r="AU248" s="202"/>
      <c r="AV248" s="202"/>
      <c r="AW248" s="202"/>
      <c r="AX248" s="202"/>
      <c r="AY248" s="202"/>
    </row>
    <row r="249" spans="1:51" x14ac:dyDescent="0.2">
      <c r="A249" s="76">
        <v>5</v>
      </c>
      <c r="B249" s="77" t="s">
        <v>1356</v>
      </c>
      <c r="C249" s="76" t="s">
        <v>152</v>
      </c>
      <c r="D249" s="76">
        <v>0</v>
      </c>
      <c r="E249" s="76">
        <v>0</v>
      </c>
      <c r="F249" s="76">
        <v>3</v>
      </c>
      <c r="G249" s="76">
        <v>3</v>
      </c>
      <c r="H249" s="76">
        <v>0</v>
      </c>
      <c r="I249" s="76">
        <v>0</v>
      </c>
      <c r="J249" s="76">
        <v>0</v>
      </c>
      <c r="K249" s="76">
        <v>3</v>
      </c>
      <c r="L249" s="76">
        <v>0</v>
      </c>
      <c r="M249" s="76">
        <v>1</v>
      </c>
      <c r="N249" s="76">
        <v>1</v>
      </c>
      <c r="O249" s="76">
        <v>0</v>
      </c>
      <c r="P249" s="76">
        <v>4</v>
      </c>
      <c r="Q249" s="76">
        <v>4</v>
      </c>
      <c r="R249" s="76">
        <v>0</v>
      </c>
      <c r="S249" s="76">
        <v>1.33</v>
      </c>
      <c r="T249" s="76">
        <v>5</v>
      </c>
      <c r="U249" s="77" t="s">
        <v>1356</v>
      </c>
      <c r="V249" s="76" t="s">
        <v>152</v>
      </c>
      <c r="W249" s="76">
        <v>0</v>
      </c>
      <c r="X249" s="76">
        <v>0</v>
      </c>
      <c r="Y249" s="76">
        <v>1</v>
      </c>
      <c r="Z249" s="76">
        <v>0</v>
      </c>
      <c r="AA249" s="76">
        <v>1</v>
      </c>
      <c r="AB249" s="76">
        <v>0</v>
      </c>
      <c r="AC249" s="76">
        <v>0</v>
      </c>
      <c r="AD249" s="76">
        <v>3</v>
      </c>
      <c r="AE249" s="76">
        <v>2</v>
      </c>
      <c r="AF249" s="76">
        <v>0</v>
      </c>
      <c r="AG249" s="76">
        <v>0</v>
      </c>
      <c r="AH249" s="76">
        <v>1</v>
      </c>
      <c r="AI249" s="76">
        <v>0</v>
      </c>
      <c r="AJ249" s="76">
        <v>0</v>
      </c>
      <c r="AK249" s="76">
        <v>14</v>
      </c>
      <c r="AL249" s="76">
        <v>65</v>
      </c>
      <c r="AM249" s="202"/>
      <c r="AN249" s="77"/>
      <c r="AO249" s="202"/>
      <c r="AP249" s="202"/>
      <c r="AQ249" s="202"/>
      <c r="AR249" s="202"/>
      <c r="AS249" s="202"/>
      <c r="AT249" s="202"/>
      <c r="AU249" s="202"/>
      <c r="AV249" s="202"/>
      <c r="AW249" s="202"/>
      <c r="AX249" s="202"/>
      <c r="AY249" s="202"/>
    </row>
    <row r="250" spans="1:51" ht="25.5" x14ac:dyDescent="0.2">
      <c r="A250" s="76">
        <v>6</v>
      </c>
      <c r="B250" s="77" t="s">
        <v>815</v>
      </c>
      <c r="C250" s="76" t="s">
        <v>152</v>
      </c>
      <c r="D250" s="76">
        <v>14</v>
      </c>
      <c r="E250" s="76">
        <v>4</v>
      </c>
      <c r="F250" s="76">
        <v>3.07</v>
      </c>
      <c r="G250" s="76">
        <v>31</v>
      </c>
      <c r="H250" s="76">
        <v>31</v>
      </c>
      <c r="I250" s="76">
        <v>0</v>
      </c>
      <c r="J250" s="76">
        <v>0</v>
      </c>
      <c r="K250" s="76">
        <v>199.2</v>
      </c>
      <c r="L250" s="76">
        <v>179</v>
      </c>
      <c r="M250" s="76">
        <v>75</v>
      </c>
      <c r="N250" s="76">
        <v>68</v>
      </c>
      <c r="O250" s="76">
        <v>22</v>
      </c>
      <c r="P250" s="76">
        <v>36</v>
      </c>
      <c r="Q250" s="76">
        <v>165</v>
      </c>
      <c r="R250" s="76">
        <v>0.23599999999999999</v>
      </c>
      <c r="S250" s="76">
        <v>1.08</v>
      </c>
      <c r="T250" s="76">
        <v>6</v>
      </c>
      <c r="U250" s="77" t="s">
        <v>815</v>
      </c>
      <c r="V250" s="76" t="s">
        <v>152</v>
      </c>
      <c r="W250" s="76">
        <v>0</v>
      </c>
      <c r="X250" s="76">
        <v>0</v>
      </c>
      <c r="Y250" s="76">
        <v>3</v>
      </c>
      <c r="Z250" s="76">
        <v>0</v>
      </c>
      <c r="AA250" s="76">
        <v>0</v>
      </c>
      <c r="AB250" s="76">
        <v>0</v>
      </c>
      <c r="AC250" s="76">
        <v>10</v>
      </c>
      <c r="AD250" s="76">
        <v>230</v>
      </c>
      <c r="AE250" s="76">
        <v>192</v>
      </c>
      <c r="AF250" s="76">
        <v>7</v>
      </c>
      <c r="AG250" s="76">
        <v>0</v>
      </c>
      <c r="AH250" s="76">
        <v>7</v>
      </c>
      <c r="AI250" s="76">
        <v>3</v>
      </c>
      <c r="AJ250" s="76">
        <v>0</v>
      </c>
      <c r="AK250" s="76">
        <v>805</v>
      </c>
      <c r="AL250" s="76">
        <v>2935</v>
      </c>
      <c r="AM250" s="202"/>
      <c r="AN250" s="77"/>
      <c r="AO250" s="202"/>
      <c r="AP250" s="202"/>
      <c r="AQ250" s="202"/>
      <c r="AR250" s="202"/>
      <c r="AS250" s="202"/>
      <c r="AT250" s="202"/>
      <c r="AU250" s="202"/>
      <c r="AV250" s="202"/>
      <c r="AW250" s="202"/>
      <c r="AX250" s="202"/>
      <c r="AY250" s="202"/>
    </row>
    <row r="251" spans="1:51" ht="25.5" x14ac:dyDescent="0.2">
      <c r="A251" s="76">
        <v>7</v>
      </c>
      <c r="B251" s="77" t="s">
        <v>592</v>
      </c>
      <c r="C251" s="76" t="s">
        <v>152</v>
      </c>
      <c r="D251" s="76">
        <v>3</v>
      </c>
      <c r="E251" s="76">
        <v>6</v>
      </c>
      <c r="F251" s="76">
        <v>3.08</v>
      </c>
      <c r="G251" s="76">
        <v>73</v>
      </c>
      <c r="H251" s="76">
        <v>0</v>
      </c>
      <c r="I251" s="76">
        <v>12</v>
      </c>
      <c r="J251" s="76">
        <v>17</v>
      </c>
      <c r="K251" s="76">
        <v>73</v>
      </c>
      <c r="L251" s="76">
        <v>54</v>
      </c>
      <c r="M251" s="76">
        <v>31</v>
      </c>
      <c r="N251" s="76">
        <v>25</v>
      </c>
      <c r="O251" s="76">
        <v>5</v>
      </c>
      <c r="P251" s="76">
        <v>28</v>
      </c>
      <c r="Q251" s="76">
        <v>126</v>
      </c>
      <c r="R251" s="76">
        <v>0.20100000000000001</v>
      </c>
      <c r="S251" s="76">
        <v>1.1200000000000001</v>
      </c>
      <c r="T251" s="76">
        <v>7</v>
      </c>
      <c r="U251" s="77" t="s">
        <v>592</v>
      </c>
      <c r="V251" s="76" t="s">
        <v>152</v>
      </c>
      <c r="W251" s="76">
        <v>0</v>
      </c>
      <c r="X251" s="76">
        <v>0</v>
      </c>
      <c r="Y251" s="76">
        <v>1</v>
      </c>
      <c r="Z251" s="76">
        <v>0</v>
      </c>
      <c r="AA251" s="76">
        <v>20</v>
      </c>
      <c r="AB251" s="76">
        <v>28</v>
      </c>
      <c r="AC251" s="76">
        <v>4</v>
      </c>
      <c r="AD251" s="76">
        <v>54</v>
      </c>
      <c r="AE251" s="76">
        <v>36</v>
      </c>
      <c r="AF251" s="76">
        <v>6</v>
      </c>
      <c r="AG251" s="76">
        <v>0</v>
      </c>
      <c r="AH251" s="76">
        <v>21</v>
      </c>
      <c r="AI251" s="76">
        <v>0</v>
      </c>
      <c r="AJ251" s="76">
        <v>0</v>
      </c>
      <c r="AK251" s="76">
        <v>299</v>
      </c>
      <c r="AL251" s="76">
        <v>1250</v>
      </c>
      <c r="AM251" s="202"/>
      <c r="AN251" s="77"/>
      <c r="AO251" s="202"/>
      <c r="AP251" s="202"/>
      <c r="AQ251" s="202"/>
      <c r="AR251" s="202"/>
      <c r="AS251" s="202"/>
      <c r="AT251" s="202"/>
      <c r="AU251" s="202"/>
      <c r="AV251" s="202"/>
      <c r="AW251" s="202"/>
      <c r="AX251" s="202"/>
      <c r="AY251" s="202"/>
    </row>
    <row r="252" spans="1:51" ht="25.5" x14ac:dyDescent="0.2">
      <c r="A252" s="76">
        <v>8</v>
      </c>
      <c r="B252" s="77" t="s">
        <v>814</v>
      </c>
      <c r="C252" s="76" t="s">
        <v>152</v>
      </c>
      <c r="D252" s="76">
        <v>1</v>
      </c>
      <c r="E252" s="76">
        <v>2</v>
      </c>
      <c r="F252" s="76">
        <v>3.24</v>
      </c>
      <c r="G252" s="76">
        <v>5</v>
      </c>
      <c r="H252" s="76">
        <v>5</v>
      </c>
      <c r="I252" s="76">
        <v>0</v>
      </c>
      <c r="J252" s="76">
        <v>0</v>
      </c>
      <c r="K252" s="76">
        <v>25</v>
      </c>
      <c r="L252" s="76">
        <v>26</v>
      </c>
      <c r="M252" s="76">
        <v>13</v>
      </c>
      <c r="N252" s="76">
        <v>9</v>
      </c>
      <c r="O252" s="76">
        <v>1</v>
      </c>
      <c r="P252" s="76">
        <v>12</v>
      </c>
      <c r="Q252" s="76">
        <v>11</v>
      </c>
      <c r="R252" s="76">
        <v>0.27700000000000002</v>
      </c>
      <c r="S252" s="76">
        <v>1.52</v>
      </c>
      <c r="T252" s="76">
        <v>8</v>
      </c>
      <c r="U252" s="77" t="s">
        <v>814</v>
      </c>
      <c r="V252" s="76" t="s">
        <v>152</v>
      </c>
      <c r="W252" s="76">
        <v>0</v>
      </c>
      <c r="X252" s="76">
        <v>0</v>
      </c>
      <c r="Y252" s="76">
        <v>0</v>
      </c>
      <c r="Z252" s="76">
        <v>0</v>
      </c>
      <c r="AA252" s="76">
        <v>0</v>
      </c>
      <c r="AB252" s="76">
        <v>0</v>
      </c>
      <c r="AC252" s="76">
        <v>5</v>
      </c>
      <c r="AD252" s="76">
        <v>31</v>
      </c>
      <c r="AE252" s="76">
        <v>27</v>
      </c>
      <c r="AF252" s="76">
        <v>0</v>
      </c>
      <c r="AG252" s="76">
        <v>0</v>
      </c>
      <c r="AH252" s="76">
        <v>1</v>
      </c>
      <c r="AI252" s="76">
        <v>2</v>
      </c>
      <c r="AJ252" s="76">
        <v>0</v>
      </c>
      <c r="AK252" s="76">
        <v>107</v>
      </c>
      <c r="AL252" s="76">
        <v>388</v>
      </c>
      <c r="AM252" s="202"/>
      <c r="AN252" s="77"/>
      <c r="AO252" s="202"/>
      <c r="AP252" s="202"/>
      <c r="AQ252" s="202"/>
      <c r="AR252" s="202"/>
      <c r="AS252" s="202"/>
      <c r="AT252" s="202"/>
      <c r="AU252" s="202"/>
      <c r="AV252" s="202"/>
      <c r="AW252" s="202"/>
      <c r="AX252" s="202"/>
      <c r="AY252" s="202"/>
    </row>
    <row r="253" spans="1:51" ht="25.5" x14ac:dyDescent="0.2">
      <c r="A253" s="76">
        <v>9</v>
      </c>
      <c r="B253" s="77" t="s">
        <v>586</v>
      </c>
      <c r="C253" s="76" t="s">
        <v>152</v>
      </c>
      <c r="D253" s="76">
        <v>4</v>
      </c>
      <c r="E253" s="76">
        <v>2</v>
      </c>
      <c r="F253" s="76">
        <v>3.26</v>
      </c>
      <c r="G253" s="76">
        <v>29</v>
      </c>
      <c r="H253" s="76">
        <v>0</v>
      </c>
      <c r="I253" s="76">
        <v>0</v>
      </c>
      <c r="J253" s="76">
        <v>2</v>
      </c>
      <c r="K253" s="76">
        <v>30.1</v>
      </c>
      <c r="L253" s="76">
        <v>28</v>
      </c>
      <c r="M253" s="76">
        <v>13</v>
      </c>
      <c r="N253" s="76">
        <v>11</v>
      </c>
      <c r="O253" s="76">
        <v>4</v>
      </c>
      <c r="P253" s="76">
        <v>10</v>
      </c>
      <c r="Q253" s="76">
        <v>25</v>
      </c>
      <c r="R253" s="76">
        <v>0.25</v>
      </c>
      <c r="S253" s="76">
        <v>1.25</v>
      </c>
      <c r="T253" s="76">
        <v>9</v>
      </c>
      <c r="U253" s="77" t="s">
        <v>586</v>
      </c>
      <c r="V253" s="76" t="s">
        <v>152</v>
      </c>
      <c r="W253" s="76">
        <v>0</v>
      </c>
      <c r="X253" s="76">
        <v>0</v>
      </c>
      <c r="Y253" s="76">
        <v>1</v>
      </c>
      <c r="Z253" s="76">
        <v>2</v>
      </c>
      <c r="AA253" s="76">
        <v>3</v>
      </c>
      <c r="AB253" s="76">
        <v>6</v>
      </c>
      <c r="AC253" s="76">
        <v>2</v>
      </c>
      <c r="AD253" s="76">
        <v>26</v>
      </c>
      <c r="AE253" s="76">
        <v>35</v>
      </c>
      <c r="AF253" s="76">
        <v>3</v>
      </c>
      <c r="AG253" s="76">
        <v>0</v>
      </c>
      <c r="AH253" s="76">
        <v>0</v>
      </c>
      <c r="AI253" s="76">
        <v>2</v>
      </c>
      <c r="AJ253" s="76">
        <v>0</v>
      </c>
      <c r="AK253" s="76">
        <v>125</v>
      </c>
      <c r="AL253" s="76">
        <v>520</v>
      </c>
      <c r="AM253" s="202"/>
      <c r="AN253" s="77"/>
      <c r="AO253" s="202"/>
      <c r="AP253" s="202"/>
      <c r="AQ253" s="202"/>
      <c r="AR253" s="202"/>
      <c r="AS253" s="202"/>
      <c r="AT253" s="202"/>
      <c r="AU253" s="202"/>
      <c r="AV253" s="202"/>
      <c r="AW253" s="202"/>
      <c r="AX253" s="202"/>
      <c r="AY253" s="202"/>
    </row>
    <row r="254" spans="1:51" x14ac:dyDescent="0.2">
      <c r="A254" s="76">
        <v>10</v>
      </c>
      <c r="B254" s="77" t="s">
        <v>437</v>
      </c>
      <c r="C254" s="76" t="s">
        <v>152</v>
      </c>
      <c r="D254" s="76">
        <v>2</v>
      </c>
      <c r="E254" s="76">
        <v>0</v>
      </c>
      <c r="F254" s="76">
        <v>3.38</v>
      </c>
      <c r="G254" s="76">
        <v>29</v>
      </c>
      <c r="H254" s="76">
        <v>0</v>
      </c>
      <c r="I254" s="76">
        <v>1</v>
      </c>
      <c r="J254" s="76">
        <v>2</v>
      </c>
      <c r="K254" s="76">
        <v>16</v>
      </c>
      <c r="L254" s="76">
        <v>10</v>
      </c>
      <c r="M254" s="76">
        <v>6</v>
      </c>
      <c r="N254" s="76">
        <v>6</v>
      </c>
      <c r="O254" s="76">
        <v>2</v>
      </c>
      <c r="P254" s="76">
        <v>7</v>
      </c>
      <c r="Q254" s="76">
        <v>13</v>
      </c>
      <c r="R254" s="76">
        <v>0.17499999999999999</v>
      </c>
      <c r="S254" s="76">
        <v>1.06</v>
      </c>
      <c r="T254" s="76">
        <v>10</v>
      </c>
      <c r="U254" s="77" t="s">
        <v>437</v>
      </c>
      <c r="V254" s="76" t="s">
        <v>152</v>
      </c>
      <c r="W254" s="76">
        <v>0</v>
      </c>
      <c r="X254" s="76">
        <v>0</v>
      </c>
      <c r="Y254" s="76">
        <v>2</v>
      </c>
      <c r="Z254" s="76">
        <v>1</v>
      </c>
      <c r="AA254" s="76">
        <v>4</v>
      </c>
      <c r="AB254" s="76">
        <v>10</v>
      </c>
      <c r="AC254" s="76">
        <v>0</v>
      </c>
      <c r="AD254" s="76">
        <v>17</v>
      </c>
      <c r="AE254" s="76">
        <v>18</v>
      </c>
      <c r="AF254" s="76">
        <v>1</v>
      </c>
      <c r="AG254" s="76">
        <v>0</v>
      </c>
      <c r="AH254" s="76">
        <v>0</v>
      </c>
      <c r="AI254" s="76">
        <v>0</v>
      </c>
      <c r="AJ254" s="76">
        <v>0</v>
      </c>
      <c r="AK254" s="76">
        <v>67</v>
      </c>
      <c r="AL254" s="76">
        <v>249</v>
      </c>
      <c r="AM254" s="202"/>
      <c r="AN254" s="77"/>
      <c r="AO254" s="202"/>
      <c r="AP254" s="202"/>
      <c r="AQ254" s="202"/>
      <c r="AR254" s="202"/>
      <c r="AS254" s="202"/>
      <c r="AT254" s="202"/>
      <c r="AU254" s="202"/>
      <c r="AV254" s="202"/>
      <c r="AW254" s="202"/>
      <c r="AX254" s="202"/>
      <c r="AY254" s="202"/>
    </row>
    <row r="255" spans="1:51" ht="25.5" x14ac:dyDescent="0.2">
      <c r="A255" s="76">
        <v>11</v>
      </c>
      <c r="B255" s="77" t="s">
        <v>588</v>
      </c>
      <c r="C255" s="76" t="s">
        <v>152</v>
      </c>
      <c r="D255" s="76">
        <v>9</v>
      </c>
      <c r="E255" s="76">
        <v>12</v>
      </c>
      <c r="F255" s="76">
        <v>3.91</v>
      </c>
      <c r="G255" s="76">
        <v>30</v>
      </c>
      <c r="H255" s="76">
        <v>30</v>
      </c>
      <c r="I255" s="76">
        <v>0</v>
      </c>
      <c r="J255" s="76">
        <v>0</v>
      </c>
      <c r="K255" s="76">
        <v>179.2</v>
      </c>
      <c r="L255" s="76">
        <v>172</v>
      </c>
      <c r="M255" s="76">
        <v>83</v>
      </c>
      <c r="N255" s="76">
        <v>78</v>
      </c>
      <c r="O255" s="76">
        <v>22</v>
      </c>
      <c r="P255" s="76">
        <v>65</v>
      </c>
      <c r="Q255" s="76">
        <v>152</v>
      </c>
      <c r="R255" s="76">
        <v>0.25</v>
      </c>
      <c r="S255" s="76">
        <v>1.32</v>
      </c>
      <c r="T255" s="76">
        <v>11</v>
      </c>
      <c r="U255" s="77" t="s">
        <v>588</v>
      </c>
      <c r="V255" s="76" t="s">
        <v>152</v>
      </c>
      <c r="W255" s="76">
        <v>0</v>
      </c>
      <c r="X255" s="76">
        <v>0</v>
      </c>
      <c r="Y255" s="76">
        <v>9</v>
      </c>
      <c r="Z255" s="76">
        <v>1</v>
      </c>
      <c r="AA255" s="76">
        <v>0</v>
      </c>
      <c r="AB255" s="76">
        <v>0</v>
      </c>
      <c r="AC255" s="76">
        <v>21</v>
      </c>
      <c r="AD255" s="76">
        <v>204</v>
      </c>
      <c r="AE255" s="76">
        <v>166</v>
      </c>
      <c r="AF255" s="76">
        <v>2</v>
      </c>
      <c r="AG255" s="76">
        <v>1</v>
      </c>
      <c r="AH255" s="76">
        <v>3</v>
      </c>
      <c r="AI255" s="76">
        <v>0</v>
      </c>
      <c r="AJ255" s="76">
        <v>0</v>
      </c>
      <c r="AK255" s="76">
        <v>768</v>
      </c>
      <c r="AL255" s="76">
        <v>2910</v>
      </c>
      <c r="AM255" s="202"/>
      <c r="AN255" s="77"/>
      <c r="AO255" s="202"/>
      <c r="AP255" s="202"/>
      <c r="AQ255" s="202"/>
      <c r="AR255" s="202"/>
      <c r="AS255" s="202"/>
      <c r="AT255" s="202"/>
      <c r="AU255" s="202"/>
      <c r="AV255" s="202"/>
      <c r="AW255" s="202"/>
      <c r="AX255" s="202"/>
      <c r="AY255" s="202"/>
    </row>
    <row r="256" spans="1:51" x14ac:dyDescent="0.2">
      <c r="A256" s="76">
        <v>12</v>
      </c>
      <c r="B256" s="77" t="s">
        <v>1357</v>
      </c>
      <c r="C256" s="76" t="s">
        <v>152</v>
      </c>
      <c r="D256" s="76">
        <v>4</v>
      </c>
      <c r="E256" s="76">
        <v>4</v>
      </c>
      <c r="F256" s="76">
        <v>4.3499999999999996</v>
      </c>
      <c r="G256" s="76">
        <v>17</v>
      </c>
      <c r="H256" s="76">
        <v>9</v>
      </c>
      <c r="I256" s="76">
        <v>0</v>
      </c>
      <c r="J256" s="76">
        <v>0</v>
      </c>
      <c r="K256" s="76">
        <v>70.099999999999994</v>
      </c>
      <c r="L256" s="76">
        <v>64</v>
      </c>
      <c r="M256" s="76">
        <v>36</v>
      </c>
      <c r="N256" s="76">
        <v>34</v>
      </c>
      <c r="O256" s="76">
        <v>16</v>
      </c>
      <c r="P256" s="76">
        <v>14</v>
      </c>
      <c r="Q256" s="76">
        <v>46</v>
      </c>
      <c r="R256" s="76">
        <v>0.24099999999999999</v>
      </c>
      <c r="S256" s="76">
        <v>1.1100000000000001</v>
      </c>
      <c r="T256" s="76">
        <v>12</v>
      </c>
      <c r="U256" s="77" t="s">
        <v>1357</v>
      </c>
      <c r="V256" s="76" t="s">
        <v>152</v>
      </c>
      <c r="W256" s="76">
        <v>0</v>
      </c>
      <c r="X256" s="76">
        <v>0</v>
      </c>
      <c r="Y256" s="76">
        <v>3</v>
      </c>
      <c r="Z256" s="76">
        <v>0</v>
      </c>
      <c r="AA256" s="76">
        <v>5</v>
      </c>
      <c r="AB256" s="76">
        <v>0</v>
      </c>
      <c r="AC256" s="76">
        <v>3</v>
      </c>
      <c r="AD256" s="76">
        <v>80</v>
      </c>
      <c r="AE256" s="76">
        <v>78</v>
      </c>
      <c r="AF256" s="76">
        <v>2</v>
      </c>
      <c r="AG256" s="76">
        <v>0</v>
      </c>
      <c r="AH256" s="76">
        <v>4</v>
      </c>
      <c r="AI256" s="76">
        <v>1</v>
      </c>
      <c r="AJ256" s="76">
        <v>0</v>
      </c>
      <c r="AK256" s="76">
        <v>285</v>
      </c>
      <c r="AL256" s="76">
        <v>1052</v>
      </c>
      <c r="AM256" s="202"/>
      <c r="AN256" s="77"/>
      <c r="AO256" s="202"/>
      <c r="AP256" s="202"/>
      <c r="AQ256" s="202"/>
      <c r="AR256" s="202"/>
      <c r="AS256" s="202"/>
      <c r="AT256" s="202"/>
      <c r="AU256" s="202"/>
      <c r="AV256" s="202"/>
      <c r="AW256" s="202"/>
      <c r="AX256" s="202"/>
      <c r="AY256" s="202"/>
    </row>
    <row r="257" spans="1:51" x14ac:dyDescent="0.2">
      <c r="A257" s="76">
        <v>13</v>
      </c>
      <c r="B257" s="77" t="s">
        <v>1199</v>
      </c>
      <c r="C257" s="76" t="s">
        <v>152</v>
      </c>
      <c r="D257" s="76">
        <v>0</v>
      </c>
      <c r="E257" s="76">
        <v>0</v>
      </c>
      <c r="F257" s="76">
        <v>4.66</v>
      </c>
      <c r="G257" s="76">
        <v>27</v>
      </c>
      <c r="H257" s="76">
        <v>0</v>
      </c>
      <c r="I257" s="76">
        <v>0</v>
      </c>
      <c r="J257" s="76">
        <v>0</v>
      </c>
      <c r="K257" s="76">
        <v>29</v>
      </c>
      <c r="L257" s="76">
        <v>30</v>
      </c>
      <c r="M257" s="76">
        <v>15</v>
      </c>
      <c r="N257" s="76">
        <v>15</v>
      </c>
      <c r="O257" s="76">
        <v>7</v>
      </c>
      <c r="P257" s="76">
        <v>12</v>
      </c>
      <c r="Q257" s="76">
        <v>34</v>
      </c>
      <c r="R257" s="76">
        <v>0.26500000000000001</v>
      </c>
      <c r="S257" s="76">
        <v>1.45</v>
      </c>
      <c r="T257" s="76">
        <v>13</v>
      </c>
      <c r="U257" s="77" t="s">
        <v>1199</v>
      </c>
      <c r="V257" s="76" t="s">
        <v>152</v>
      </c>
      <c r="W257" s="76">
        <v>0</v>
      </c>
      <c r="X257" s="76">
        <v>0</v>
      </c>
      <c r="Y257" s="76">
        <v>1</v>
      </c>
      <c r="Z257" s="76">
        <v>1</v>
      </c>
      <c r="AA257" s="76">
        <v>10</v>
      </c>
      <c r="AB257" s="76">
        <v>0</v>
      </c>
      <c r="AC257" s="76">
        <v>1</v>
      </c>
      <c r="AD257" s="76">
        <v>11</v>
      </c>
      <c r="AE257" s="76">
        <v>40</v>
      </c>
      <c r="AF257" s="76">
        <v>0</v>
      </c>
      <c r="AG257" s="76">
        <v>0</v>
      </c>
      <c r="AH257" s="76">
        <v>1</v>
      </c>
      <c r="AI257" s="76">
        <v>1</v>
      </c>
      <c r="AJ257" s="76">
        <v>0</v>
      </c>
      <c r="AK257" s="76">
        <v>128</v>
      </c>
      <c r="AL257" s="76">
        <v>528</v>
      </c>
      <c r="AM257" s="202"/>
      <c r="AN257" s="77"/>
      <c r="AO257" s="202"/>
      <c r="AP257" s="202"/>
      <c r="AQ257" s="202"/>
      <c r="AR257" s="202"/>
      <c r="AS257" s="202"/>
      <c r="AT257" s="202"/>
      <c r="AU257" s="202"/>
      <c r="AV257" s="202"/>
      <c r="AW257" s="202"/>
      <c r="AX257" s="202"/>
      <c r="AY257" s="202"/>
    </row>
    <row r="258" spans="1:51" x14ac:dyDescent="0.2">
      <c r="A258" s="76">
        <v>14</v>
      </c>
      <c r="B258" s="77" t="s">
        <v>1358</v>
      </c>
      <c r="C258" s="76" t="s">
        <v>152</v>
      </c>
      <c r="D258" s="76">
        <v>2</v>
      </c>
      <c r="E258" s="76">
        <v>4</v>
      </c>
      <c r="F258" s="76">
        <v>4.7300000000000004</v>
      </c>
      <c r="G258" s="76">
        <v>12</v>
      </c>
      <c r="H258" s="76">
        <v>8</v>
      </c>
      <c r="I258" s="76">
        <v>1</v>
      </c>
      <c r="J258" s="76">
        <v>1</v>
      </c>
      <c r="K258" s="76">
        <v>45.2</v>
      </c>
      <c r="L258" s="76">
        <v>49</v>
      </c>
      <c r="M258" s="76">
        <v>26</v>
      </c>
      <c r="N258" s="76">
        <v>24</v>
      </c>
      <c r="O258" s="76">
        <v>12</v>
      </c>
      <c r="P258" s="76">
        <v>15</v>
      </c>
      <c r="Q258" s="76">
        <v>52</v>
      </c>
      <c r="R258" s="76">
        <v>0.27200000000000002</v>
      </c>
      <c r="S258" s="76">
        <v>1.4</v>
      </c>
      <c r="T258" s="76">
        <v>14</v>
      </c>
      <c r="U258" s="77" t="s">
        <v>1358</v>
      </c>
      <c r="V258" s="76" t="s">
        <v>152</v>
      </c>
      <c r="W258" s="76">
        <v>0</v>
      </c>
      <c r="X258" s="76">
        <v>0</v>
      </c>
      <c r="Y258" s="76">
        <v>1</v>
      </c>
      <c r="Z258" s="76">
        <v>0</v>
      </c>
      <c r="AA258" s="76">
        <v>4</v>
      </c>
      <c r="AB258" s="76">
        <v>0</v>
      </c>
      <c r="AC258" s="76">
        <v>3</v>
      </c>
      <c r="AD258" s="76">
        <v>43</v>
      </c>
      <c r="AE258" s="76">
        <v>38</v>
      </c>
      <c r="AF258" s="76">
        <v>1</v>
      </c>
      <c r="AG258" s="76">
        <v>0</v>
      </c>
      <c r="AH258" s="76">
        <v>3</v>
      </c>
      <c r="AI258" s="76">
        <v>1</v>
      </c>
      <c r="AJ258" s="76">
        <v>0</v>
      </c>
      <c r="AK258" s="76">
        <v>198</v>
      </c>
      <c r="AL258" s="76">
        <v>836</v>
      </c>
      <c r="AM258" s="202"/>
      <c r="AN258" s="77"/>
      <c r="AO258" s="202"/>
      <c r="AP258" s="202"/>
      <c r="AQ258" s="202"/>
      <c r="AR258" s="202"/>
      <c r="AS258" s="202"/>
      <c r="AT258" s="202"/>
      <c r="AU258" s="202"/>
      <c r="AV258" s="202"/>
      <c r="AW258" s="202"/>
      <c r="AX258" s="202"/>
      <c r="AY258" s="202"/>
    </row>
    <row r="259" spans="1:51" ht="25.5" x14ac:dyDescent="0.2">
      <c r="A259" s="76">
        <v>15</v>
      </c>
      <c r="B259" s="77" t="s">
        <v>393</v>
      </c>
      <c r="C259" s="76" t="s">
        <v>152</v>
      </c>
      <c r="D259" s="76">
        <v>9</v>
      </c>
      <c r="E259" s="76">
        <v>8</v>
      </c>
      <c r="F259" s="76">
        <v>4.76</v>
      </c>
      <c r="G259" s="76">
        <v>24</v>
      </c>
      <c r="H259" s="76">
        <v>21</v>
      </c>
      <c r="I259" s="76">
        <v>0</v>
      </c>
      <c r="J259" s="76">
        <v>0</v>
      </c>
      <c r="K259" s="76">
        <v>124.2</v>
      </c>
      <c r="L259" s="76">
        <v>123</v>
      </c>
      <c r="M259" s="76">
        <v>66</v>
      </c>
      <c r="N259" s="76">
        <v>66</v>
      </c>
      <c r="O259" s="76">
        <v>23</v>
      </c>
      <c r="P259" s="76">
        <v>40</v>
      </c>
      <c r="Q259" s="76">
        <v>97</v>
      </c>
      <c r="R259" s="76">
        <v>0.255</v>
      </c>
      <c r="S259" s="76">
        <v>1.31</v>
      </c>
      <c r="T259" s="76">
        <v>15</v>
      </c>
      <c r="U259" s="77" t="s">
        <v>393</v>
      </c>
      <c r="V259" s="76" t="s">
        <v>152</v>
      </c>
      <c r="W259" s="76">
        <v>0</v>
      </c>
      <c r="X259" s="76">
        <v>0</v>
      </c>
      <c r="Y259" s="76">
        <v>1</v>
      </c>
      <c r="Z259" s="76">
        <v>2</v>
      </c>
      <c r="AA259" s="76">
        <v>2</v>
      </c>
      <c r="AB259" s="76">
        <v>0</v>
      </c>
      <c r="AC259" s="76">
        <v>8</v>
      </c>
      <c r="AD259" s="76">
        <v>150</v>
      </c>
      <c r="AE259" s="76">
        <v>114</v>
      </c>
      <c r="AF259" s="76">
        <v>5</v>
      </c>
      <c r="AG259" s="76">
        <v>0</v>
      </c>
      <c r="AH259" s="76">
        <v>1</v>
      </c>
      <c r="AI259" s="76">
        <v>4</v>
      </c>
      <c r="AJ259" s="76">
        <v>2</v>
      </c>
      <c r="AK259" s="76">
        <v>525</v>
      </c>
      <c r="AL259" s="76">
        <v>2064</v>
      </c>
      <c r="AM259" s="202"/>
      <c r="AN259" s="77"/>
      <c r="AO259" s="202"/>
      <c r="AP259" s="202"/>
      <c r="AQ259" s="202"/>
      <c r="AR259" s="202"/>
      <c r="AS259" s="202"/>
      <c r="AT259" s="202"/>
      <c r="AU259" s="202"/>
      <c r="AV259" s="202"/>
      <c r="AW259" s="202"/>
      <c r="AX259" s="202"/>
      <c r="AY259" s="202"/>
    </row>
    <row r="260" spans="1:51" ht="25.5" x14ac:dyDescent="0.2">
      <c r="A260" s="76">
        <v>16</v>
      </c>
      <c r="B260" s="77" t="s">
        <v>813</v>
      </c>
      <c r="C260" s="76" t="s">
        <v>152</v>
      </c>
      <c r="D260" s="76">
        <v>6</v>
      </c>
      <c r="E260" s="76">
        <v>12</v>
      </c>
      <c r="F260" s="76">
        <v>4.82</v>
      </c>
      <c r="G260" s="76">
        <v>32</v>
      </c>
      <c r="H260" s="76">
        <v>32</v>
      </c>
      <c r="I260" s="76">
        <v>0</v>
      </c>
      <c r="J260" s="76">
        <v>0</v>
      </c>
      <c r="K260" s="76">
        <v>175.2</v>
      </c>
      <c r="L260" s="76">
        <v>184</v>
      </c>
      <c r="M260" s="76">
        <v>98</v>
      </c>
      <c r="N260" s="76">
        <v>94</v>
      </c>
      <c r="O260" s="76">
        <v>27</v>
      </c>
      <c r="P260" s="76">
        <v>53</v>
      </c>
      <c r="Q260" s="76">
        <v>207</v>
      </c>
      <c r="R260" s="76">
        <v>0.26600000000000001</v>
      </c>
      <c r="S260" s="76">
        <v>1.35</v>
      </c>
      <c r="T260" s="76">
        <v>16</v>
      </c>
      <c r="U260" s="77" t="s">
        <v>813</v>
      </c>
      <c r="V260" s="76" t="s">
        <v>152</v>
      </c>
      <c r="W260" s="76">
        <v>0</v>
      </c>
      <c r="X260" s="76">
        <v>0</v>
      </c>
      <c r="Y260" s="76">
        <v>6</v>
      </c>
      <c r="Z260" s="76">
        <v>1</v>
      </c>
      <c r="AA260" s="76">
        <v>0</v>
      </c>
      <c r="AB260" s="76">
        <v>0</v>
      </c>
      <c r="AC260" s="76">
        <v>10</v>
      </c>
      <c r="AD260" s="76">
        <v>163</v>
      </c>
      <c r="AE260" s="76">
        <v>142</v>
      </c>
      <c r="AF260" s="76">
        <v>7</v>
      </c>
      <c r="AG260" s="76">
        <v>0</v>
      </c>
      <c r="AH260" s="76">
        <v>16</v>
      </c>
      <c r="AI260" s="76">
        <v>8</v>
      </c>
      <c r="AJ260" s="76">
        <v>2</v>
      </c>
      <c r="AK260" s="76">
        <v>756</v>
      </c>
      <c r="AL260" s="76">
        <v>3017</v>
      </c>
      <c r="AM260" s="202"/>
      <c r="AN260" s="77"/>
      <c r="AO260" s="202"/>
      <c r="AP260" s="202"/>
      <c r="AQ260" s="202"/>
      <c r="AR260" s="202"/>
      <c r="AS260" s="202"/>
      <c r="AT260" s="202"/>
      <c r="AU260" s="202"/>
      <c r="AV260" s="202"/>
      <c r="AW260" s="202"/>
      <c r="AX260" s="202"/>
      <c r="AY260" s="202"/>
    </row>
    <row r="261" spans="1:51" x14ac:dyDescent="0.2">
      <c r="A261" s="76">
        <v>17</v>
      </c>
      <c r="B261" s="77" t="s">
        <v>584</v>
      </c>
      <c r="C261" s="76" t="s">
        <v>152</v>
      </c>
      <c r="D261" s="76">
        <v>7</v>
      </c>
      <c r="E261" s="76">
        <v>6</v>
      </c>
      <c r="F261" s="76">
        <v>4.9000000000000004</v>
      </c>
      <c r="G261" s="76">
        <v>21</v>
      </c>
      <c r="H261" s="76">
        <v>15</v>
      </c>
      <c r="I261" s="76">
        <v>1</v>
      </c>
      <c r="J261" s="76">
        <v>1</v>
      </c>
      <c r="K261" s="76">
        <v>97.1</v>
      </c>
      <c r="L261" s="76">
        <v>107</v>
      </c>
      <c r="M261" s="76">
        <v>54</v>
      </c>
      <c r="N261" s="76">
        <v>53</v>
      </c>
      <c r="O261" s="76">
        <v>19</v>
      </c>
      <c r="P261" s="76">
        <v>25</v>
      </c>
      <c r="Q261" s="76">
        <v>75</v>
      </c>
      <c r="R261" s="76">
        <v>0.27600000000000002</v>
      </c>
      <c r="S261" s="76">
        <v>1.36</v>
      </c>
      <c r="T261" s="76">
        <v>17</v>
      </c>
      <c r="U261" s="77" t="s">
        <v>584</v>
      </c>
      <c r="V261" s="76" t="s">
        <v>152</v>
      </c>
      <c r="W261" s="76">
        <v>0</v>
      </c>
      <c r="X261" s="76">
        <v>0</v>
      </c>
      <c r="Y261" s="76">
        <v>6</v>
      </c>
      <c r="Z261" s="76">
        <v>1</v>
      </c>
      <c r="AA261" s="76">
        <v>3</v>
      </c>
      <c r="AB261" s="76">
        <v>0</v>
      </c>
      <c r="AC261" s="76">
        <v>8</v>
      </c>
      <c r="AD261" s="76">
        <v>136</v>
      </c>
      <c r="AE261" s="76">
        <v>72</v>
      </c>
      <c r="AF261" s="76">
        <v>7</v>
      </c>
      <c r="AG261" s="76">
        <v>0</v>
      </c>
      <c r="AH261" s="76">
        <v>8</v>
      </c>
      <c r="AI261" s="76">
        <v>2</v>
      </c>
      <c r="AJ261" s="76">
        <v>0</v>
      </c>
      <c r="AK261" s="76">
        <v>421</v>
      </c>
      <c r="AL261" s="76">
        <v>1479</v>
      </c>
      <c r="AM261" s="202"/>
      <c r="AN261" s="77"/>
      <c r="AO261" s="202"/>
      <c r="AP261" s="202"/>
      <c r="AQ261" s="202"/>
      <c r="AR261" s="202"/>
      <c r="AS261" s="202"/>
      <c r="AT261" s="202"/>
      <c r="AU261" s="202"/>
      <c r="AV261" s="202"/>
      <c r="AW261" s="202"/>
      <c r="AX261" s="202"/>
      <c r="AY261" s="202"/>
    </row>
    <row r="262" spans="1:51" x14ac:dyDescent="0.2">
      <c r="A262" s="76">
        <v>18</v>
      </c>
      <c r="B262" s="77" t="s">
        <v>1359</v>
      </c>
      <c r="C262" s="76" t="s">
        <v>152</v>
      </c>
      <c r="D262" s="76">
        <v>1</v>
      </c>
      <c r="E262" s="76">
        <v>0</v>
      </c>
      <c r="F262" s="76">
        <v>4.96</v>
      </c>
      <c r="G262" s="76">
        <v>16</v>
      </c>
      <c r="H262" s="76">
        <v>0</v>
      </c>
      <c r="I262" s="76">
        <v>1</v>
      </c>
      <c r="J262" s="76">
        <v>1</v>
      </c>
      <c r="K262" s="76">
        <v>16.100000000000001</v>
      </c>
      <c r="L262" s="76">
        <v>16</v>
      </c>
      <c r="M262" s="76">
        <v>9</v>
      </c>
      <c r="N262" s="76">
        <v>9</v>
      </c>
      <c r="O262" s="76">
        <v>1</v>
      </c>
      <c r="P262" s="76">
        <v>8</v>
      </c>
      <c r="Q262" s="76">
        <v>15</v>
      </c>
      <c r="R262" s="76">
        <v>0.25</v>
      </c>
      <c r="S262" s="76">
        <v>1.47</v>
      </c>
      <c r="T262" s="76">
        <v>18</v>
      </c>
      <c r="U262" s="77" t="s">
        <v>1359</v>
      </c>
      <c r="V262" s="76" t="s">
        <v>152</v>
      </c>
      <c r="W262" s="76">
        <v>0</v>
      </c>
      <c r="X262" s="76">
        <v>0</v>
      </c>
      <c r="Y262" s="76">
        <v>2</v>
      </c>
      <c r="Z262" s="76">
        <v>1</v>
      </c>
      <c r="AA262" s="76">
        <v>5</v>
      </c>
      <c r="AB262" s="76">
        <v>0</v>
      </c>
      <c r="AC262" s="76">
        <v>0</v>
      </c>
      <c r="AD262" s="76">
        <v>15</v>
      </c>
      <c r="AE262" s="76">
        <v>18</v>
      </c>
      <c r="AF262" s="76">
        <v>0</v>
      </c>
      <c r="AG262" s="76">
        <v>0</v>
      </c>
      <c r="AH262" s="76">
        <v>2</v>
      </c>
      <c r="AI262" s="76">
        <v>2</v>
      </c>
      <c r="AJ262" s="76">
        <v>0</v>
      </c>
      <c r="AK262" s="76">
        <v>74</v>
      </c>
      <c r="AL262" s="76">
        <v>308</v>
      </c>
      <c r="AM262" s="202"/>
      <c r="AN262" s="77"/>
      <c r="AO262" s="202"/>
      <c r="AP262" s="202"/>
      <c r="AQ262" s="202"/>
      <c r="AR262" s="202"/>
      <c r="AS262" s="202"/>
      <c r="AT262" s="202"/>
      <c r="AU262" s="202"/>
      <c r="AV262" s="202"/>
      <c r="AW262" s="202"/>
      <c r="AX262" s="202"/>
      <c r="AY262" s="202"/>
    </row>
    <row r="263" spans="1:51" ht="25.5" x14ac:dyDescent="0.2">
      <c r="A263" s="76">
        <v>19</v>
      </c>
      <c r="B263" s="77" t="s">
        <v>751</v>
      </c>
      <c r="C263" s="76" t="s">
        <v>152</v>
      </c>
      <c r="D263" s="76">
        <v>2</v>
      </c>
      <c r="E263" s="76">
        <v>1</v>
      </c>
      <c r="F263" s="76">
        <v>5.18</v>
      </c>
      <c r="G263" s="76">
        <v>37</v>
      </c>
      <c r="H263" s="76">
        <v>0</v>
      </c>
      <c r="I263" s="76">
        <v>1</v>
      </c>
      <c r="J263" s="76">
        <v>1</v>
      </c>
      <c r="K263" s="76">
        <v>33</v>
      </c>
      <c r="L263" s="76">
        <v>29</v>
      </c>
      <c r="M263" s="76">
        <v>19</v>
      </c>
      <c r="N263" s="76">
        <v>19</v>
      </c>
      <c r="O263" s="76">
        <v>8</v>
      </c>
      <c r="P263" s="76">
        <v>13</v>
      </c>
      <c r="Q263" s="76">
        <v>33</v>
      </c>
      <c r="R263" s="76">
        <v>0.23200000000000001</v>
      </c>
      <c r="S263" s="76">
        <v>1.27</v>
      </c>
      <c r="T263" s="76">
        <v>19</v>
      </c>
      <c r="U263" s="77" t="s">
        <v>751</v>
      </c>
      <c r="V263" s="76" t="s">
        <v>152</v>
      </c>
      <c r="W263" s="76">
        <v>0</v>
      </c>
      <c r="X263" s="76">
        <v>0</v>
      </c>
      <c r="Y263" s="76">
        <v>3</v>
      </c>
      <c r="Z263" s="76">
        <v>0</v>
      </c>
      <c r="AA263" s="76">
        <v>11</v>
      </c>
      <c r="AB263" s="76">
        <v>1</v>
      </c>
      <c r="AC263" s="76">
        <v>0</v>
      </c>
      <c r="AD263" s="76">
        <v>34</v>
      </c>
      <c r="AE263" s="76">
        <v>30</v>
      </c>
      <c r="AF263" s="76">
        <v>0</v>
      </c>
      <c r="AG263" s="76">
        <v>0</v>
      </c>
      <c r="AH263" s="76">
        <v>1</v>
      </c>
      <c r="AI263" s="76">
        <v>1</v>
      </c>
      <c r="AJ263" s="76">
        <v>0</v>
      </c>
      <c r="AK263" s="76">
        <v>142</v>
      </c>
      <c r="AL263" s="76">
        <v>569</v>
      </c>
      <c r="AM263" s="202"/>
      <c r="AN263" s="77"/>
      <c r="AO263" s="202"/>
      <c r="AP263" s="202"/>
      <c r="AQ263" s="202"/>
      <c r="AR263" s="202"/>
      <c r="AS263" s="202"/>
      <c r="AT263" s="202"/>
      <c r="AU263" s="202"/>
      <c r="AV263" s="202"/>
      <c r="AW263" s="202"/>
      <c r="AX263" s="202"/>
      <c r="AY263" s="202"/>
    </row>
    <row r="264" spans="1:51" x14ac:dyDescent="0.2">
      <c r="A264" s="76">
        <v>20</v>
      </c>
      <c r="B264" s="77" t="s">
        <v>822</v>
      </c>
      <c r="C264" s="76" t="s">
        <v>152</v>
      </c>
      <c r="D264" s="76">
        <v>2</v>
      </c>
      <c r="E264" s="76">
        <v>1</v>
      </c>
      <c r="F264" s="76">
        <v>5.23</v>
      </c>
      <c r="G264" s="76">
        <v>41</v>
      </c>
      <c r="H264" s="76">
        <v>0</v>
      </c>
      <c r="I264" s="76">
        <v>0</v>
      </c>
      <c r="J264" s="76">
        <v>2</v>
      </c>
      <c r="K264" s="76">
        <v>41.1</v>
      </c>
      <c r="L264" s="76">
        <v>41</v>
      </c>
      <c r="M264" s="76">
        <v>24</v>
      </c>
      <c r="N264" s="76">
        <v>24</v>
      </c>
      <c r="O264" s="76">
        <v>5</v>
      </c>
      <c r="P264" s="76">
        <v>19</v>
      </c>
      <c r="Q264" s="76">
        <v>50</v>
      </c>
      <c r="R264" s="76">
        <v>0.25800000000000001</v>
      </c>
      <c r="S264" s="76">
        <v>1.45</v>
      </c>
      <c r="T264" s="76">
        <v>20</v>
      </c>
      <c r="U264" s="77" t="s">
        <v>822</v>
      </c>
      <c r="V264" s="76" t="s">
        <v>152</v>
      </c>
      <c r="W264" s="76">
        <v>0</v>
      </c>
      <c r="X264" s="76">
        <v>0</v>
      </c>
      <c r="Y264" s="76">
        <v>4</v>
      </c>
      <c r="Z264" s="76">
        <v>1</v>
      </c>
      <c r="AA264" s="76">
        <v>11</v>
      </c>
      <c r="AB264" s="76">
        <v>2</v>
      </c>
      <c r="AC264" s="76">
        <v>1</v>
      </c>
      <c r="AD264" s="76">
        <v>34</v>
      </c>
      <c r="AE264" s="76">
        <v>36</v>
      </c>
      <c r="AF264" s="76">
        <v>1</v>
      </c>
      <c r="AG264" s="76">
        <v>0</v>
      </c>
      <c r="AH264" s="76">
        <v>7</v>
      </c>
      <c r="AI264" s="76">
        <v>2</v>
      </c>
      <c r="AJ264" s="76">
        <v>0</v>
      </c>
      <c r="AK264" s="76">
        <v>184</v>
      </c>
      <c r="AL264" s="76">
        <v>800</v>
      </c>
      <c r="AM264" s="202"/>
      <c r="AN264" s="77"/>
      <c r="AO264" s="202"/>
      <c r="AP264" s="202"/>
      <c r="AQ264" s="202"/>
      <c r="AR264" s="202"/>
      <c r="AS264" s="202"/>
      <c r="AT264" s="202"/>
      <c r="AU264" s="202"/>
      <c r="AV264" s="202"/>
      <c r="AW264" s="202"/>
      <c r="AX264" s="202"/>
      <c r="AY264" s="202"/>
    </row>
    <row r="265" spans="1:51" x14ac:dyDescent="0.2">
      <c r="A265" s="76">
        <v>21</v>
      </c>
      <c r="B265" s="77" t="s">
        <v>1360</v>
      </c>
      <c r="C265" s="76" t="s">
        <v>152</v>
      </c>
      <c r="D265" s="76">
        <v>0</v>
      </c>
      <c r="E265" s="76">
        <v>0</v>
      </c>
      <c r="F265" s="76">
        <v>5.4</v>
      </c>
      <c r="G265" s="76">
        <v>8</v>
      </c>
      <c r="H265" s="76">
        <v>0</v>
      </c>
      <c r="I265" s="76">
        <v>0</v>
      </c>
      <c r="J265" s="76">
        <v>0</v>
      </c>
      <c r="K265" s="76">
        <v>8.1</v>
      </c>
      <c r="L265" s="76">
        <v>8</v>
      </c>
      <c r="M265" s="76">
        <v>5</v>
      </c>
      <c r="N265" s="76">
        <v>5</v>
      </c>
      <c r="O265" s="76">
        <v>1</v>
      </c>
      <c r="P265" s="76">
        <v>4</v>
      </c>
      <c r="Q265" s="76">
        <v>5</v>
      </c>
      <c r="R265" s="76">
        <v>0.25800000000000001</v>
      </c>
      <c r="S265" s="76">
        <v>1.44</v>
      </c>
      <c r="T265" s="76">
        <v>21</v>
      </c>
      <c r="U265" s="77" t="s">
        <v>1360</v>
      </c>
      <c r="V265" s="76" t="s">
        <v>152</v>
      </c>
      <c r="W265" s="76">
        <v>0</v>
      </c>
      <c r="X265" s="76">
        <v>0</v>
      </c>
      <c r="Y265" s="76">
        <v>0</v>
      </c>
      <c r="Z265" s="76">
        <v>0</v>
      </c>
      <c r="AA265" s="76">
        <v>1</v>
      </c>
      <c r="AB265" s="76">
        <v>0</v>
      </c>
      <c r="AC265" s="76">
        <v>1</v>
      </c>
      <c r="AD265" s="76">
        <v>6</v>
      </c>
      <c r="AE265" s="76">
        <v>13</v>
      </c>
      <c r="AF265" s="76">
        <v>0</v>
      </c>
      <c r="AG265" s="76">
        <v>0</v>
      </c>
      <c r="AH265" s="76">
        <v>0</v>
      </c>
      <c r="AI265" s="76">
        <v>0</v>
      </c>
      <c r="AJ265" s="76">
        <v>0</v>
      </c>
      <c r="AK265" s="76">
        <v>36</v>
      </c>
      <c r="AL265" s="76">
        <v>144</v>
      </c>
      <c r="AM265" s="202"/>
      <c r="AN265" s="77"/>
      <c r="AO265" s="202"/>
      <c r="AP265" s="202"/>
      <c r="AQ265" s="202"/>
      <c r="AR265" s="202"/>
      <c r="AS265" s="202"/>
      <c r="AT265" s="202"/>
      <c r="AU265" s="202"/>
      <c r="AV265" s="202"/>
      <c r="AW265" s="202"/>
      <c r="AX265" s="202"/>
      <c r="AY265" s="202"/>
    </row>
    <row r="266" spans="1:51" ht="25.5" x14ac:dyDescent="0.2">
      <c r="A266" s="76">
        <v>22</v>
      </c>
      <c r="B266" s="77" t="s">
        <v>572</v>
      </c>
      <c r="C266" s="76" t="s">
        <v>152</v>
      </c>
      <c r="D266" s="76">
        <v>1</v>
      </c>
      <c r="E266" s="76">
        <v>2</v>
      </c>
      <c r="F266" s="76">
        <v>5.52</v>
      </c>
      <c r="G266" s="76">
        <v>26</v>
      </c>
      <c r="H266" s="76">
        <v>0</v>
      </c>
      <c r="I266" s="76">
        <v>0</v>
      </c>
      <c r="J266" s="76">
        <v>1</v>
      </c>
      <c r="K266" s="76">
        <v>31</v>
      </c>
      <c r="L266" s="76">
        <v>28</v>
      </c>
      <c r="M266" s="76">
        <v>19</v>
      </c>
      <c r="N266" s="76">
        <v>19</v>
      </c>
      <c r="O266" s="76">
        <v>10</v>
      </c>
      <c r="P266" s="76">
        <v>7</v>
      </c>
      <c r="Q266" s="76">
        <v>31</v>
      </c>
      <c r="R266" s="76">
        <v>0.24299999999999999</v>
      </c>
      <c r="S266" s="76">
        <v>1.1299999999999999</v>
      </c>
      <c r="T266" s="76">
        <v>22</v>
      </c>
      <c r="U266" s="77" t="s">
        <v>572</v>
      </c>
      <c r="V266" s="76" t="s">
        <v>152</v>
      </c>
      <c r="W266" s="76">
        <v>0</v>
      </c>
      <c r="X266" s="76">
        <v>0</v>
      </c>
      <c r="Y266" s="76">
        <v>1</v>
      </c>
      <c r="Z266" s="76">
        <v>0</v>
      </c>
      <c r="AA266" s="76">
        <v>6</v>
      </c>
      <c r="AB266" s="76">
        <v>1</v>
      </c>
      <c r="AC266" s="76">
        <v>3</v>
      </c>
      <c r="AD266" s="76">
        <v>30</v>
      </c>
      <c r="AE266" s="76">
        <v>27</v>
      </c>
      <c r="AF266" s="76">
        <v>1</v>
      </c>
      <c r="AG266" s="76">
        <v>0</v>
      </c>
      <c r="AH266" s="76">
        <v>2</v>
      </c>
      <c r="AI266" s="76">
        <v>0</v>
      </c>
      <c r="AJ266" s="76">
        <v>0</v>
      </c>
      <c r="AK266" s="76">
        <v>124</v>
      </c>
      <c r="AL266" s="76">
        <v>488</v>
      </c>
      <c r="AM266" s="202"/>
      <c r="AN266" s="77"/>
      <c r="AO266" s="202"/>
      <c r="AP266" s="202"/>
      <c r="AQ266" s="202"/>
      <c r="AR266" s="202"/>
      <c r="AS266" s="202"/>
      <c r="AT266" s="202"/>
      <c r="AU266" s="202"/>
      <c r="AV266" s="202"/>
      <c r="AW266" s="202"/>
      <c r="AX266" s="202"/>
      <c r="AY266" s="202"/>
    </row>
    <row r="267" spans="1:51" ht="25.5" x14ac:dyDescent="0.2">
      <c r="A267" s="76">
        <v>23</v>
      </c>
      <c r="B267" s="77" t="s">
        <v>1197</v>
      </c>
      <c r="C267" s="76" t="s">
        <v>152</v>
      </c>
      <c r="D267" s="76">
        <v>3</v>
      </c>
      <c r="E267" s="76">
        <v>8</v>
      </c>
      <c r="F267" s="76">
        <v>5.83</v>
      </c>
      <c r="G267" s="76">
        <v>22</v>
      </c>
      <c r="H267" s="76">
        <v>11</v>
      </c>
      <c r="I267" s="76">
        <v>0</v>
      </c>
      <c r="J267" s="76">
        <v>0</v>
      </c>
      <c r="K267" s="76">
        <v>71</v>
      </c>
      <c r="L267" s="76">
        <v>78</v>
      </c>
      <c r="M267" s="76">
        <v>48</v>
      </c>
      <c r="N267" s="76">
        <v>46</v>
      </c>
      <c r="O267" s="76">
        <v>11</v>
      </c>
      <c r="P267" s="76">
        <v>25</v>
      </c>
      <c r="Q267" s="76">
        <v>66</v>
      </c>
      <c r="R267" s="76">
        <v>0.27500000000000002</v>
      </c>
      <c r="S267" s="76">
        <v>1.45</v>
      </c>
      <c r="T267" s="76">
        <v>23</v>
      </c>
      <c r="U267" s="77" t="s">
        <v>1197</v>
      </c>
      <c r="V267" s="76" t="s">
        <v>152</v>
      </c>
      <c r="W267" s="76">
        <v>0</v>
      </c>
      <c r="X267" s="76">
        <v>0</v>
      </c>
      <c r="Y267" s="76">
        <v>3</v>
      </c>
      <c r="Z267" s="76">
        <v>1</v>
      </c>
      <c r="AA267" s="76">
        <v>3</v>
      </c>
      <c r="AB267" s="76">
        <v>1</v>
      </c>
      <c r="AC267" s="76">
        <v>8</v>
      </c>
      <c r="AD267" s="76">
        <v>77</v>
      </c>
      <c r="AE267" s="76">
        <v>63</v>
      </c>
      <c r="AF267" s="76">
        <v>3</v>
      </c>
      <c r="AG267" s="76">
        <v>0</v>
      </c>
      <c r="AH267" s="76">
        <v>2</v>
      </c>
      <c r="AI267" s="76">
        <v>0</v>
      </c>
      <c r="AJ267" s="76">
        <v>0</v>
      </c>
      <c r="AK267" s="76">
        <v>312</v>
      </c>
      <c r="AL267" s="76">
        <v>1269</v>
      </c>
      <c r="AM267" s="102"/>
      <c r="AN267" s="102"/>
      <c r="AO267" s="102"/>
      <c r="AP267" s="102"/>
      <c r="AQ267" s="102"/>
      <c r="AR267" s="102"/>
      <c r="AS267" s="102"/>
      <c r="AT267" s="102"/>
      <c r="AU267" s="102"/>
      <c r="AV267" s="102"/>
      <c r="AW267" s="102"/>
      <c r="AX267" s="102"/>
      <c r="AY267" s="102"/>
    </row>
    <row r="268" spans="1:51" x14ac:dyDescent="0.2">
      <c r="A268" s="76">
        <v>24</v>
      </c>
      <c r="B268" s="77" t="s">
        <v>544</v>
      </c>
      <c r="C268" s="76" t="s">
        <v>152</v>
      </c>
      <c r="D268" s="76">
        <v>0</v>
      </c>
      <c r="E268" s="76">
        <v>0</v>
      </c>
      <c r="F268" s="76">
        <v>6</v>
      </c>
      <c r="G268" s="76">
        <v>3</v>
      </c>
      <c r="H268" s="76">
        <v>0</v>
      </c>
      <c r="I268" s="76">
        <v>0</v>
      </c>
      <c r="J268" s="76">
        <v>0</v>
      </c>
      <c r="K268" s="76">
        <v>6</v>
      </c>
      <c r="L268" s="76">
        <v>7</v>
      </c>
      <c r="M268" s="76">
        <v>5</v>
      </c>
      <c r="N268" s="76">
        <v>4</v>
      </c>
      <c r="O268" s="76">
        <v>1</v>
      </c>
      <c r="P268" s="76">
        <v>4</v>
      </c>
      <c r="Q268" s="76">
        <v>1</v>
      </c>
      <c r="R268" s="76">
        <v>0.29199999999999998</v>
      </c>
      <c r="S268" s="76">
        <v>1.83</v>
      </c>
      <c r="T268" s="76">
        <v>24</v>
      </c>
      <c r="U268" s="77" t="s">
        <v>544</v>
      </c>
      <c r="V268" s="76" t="s">
        <v>152</v>
      </c>
      <c r="W268" s="76">
        <v>0</v>
      </c>
      <c r="X268" s="76">
        <v>0</v>
      </c>
      <c r="Y268" s="76">
        <v>1</v>
      </c>
      <c r="Z268" s="76">
        <v>0</v>
      </c>
      <c r="AA268" s="76">
        <v>2</v>
      </c>
      <c r="AB268" s="76">
        <v>0</v>
      </c>
      <c r="AC268" s="76">
        <v>1</v>
      </c>
      <c r="AD268" s="76">
        <v>9</v>
      </c>
      <c r="AE268" s="76">
        <v>7</v>
      </c>
      <c r="AF268" s="76">
        <v>0</v>
      </c>
      <c r="AG268" s="76">
        <v>0</v>
      </c>
      <c r="AH268" s="76">
        <v>0</v>
      </c>
      <c r="AI268" s="76">
        <v>0</v>
      </c>
      <c r="AJ268" s="76">
        <v>0</v>
      </c>
      <c r="AK268" s="76">
        <v>29</v>
      </c>
      <c r="AL268" s="76">
        <v>100</v>
      </c>
      <c r="AM268" s="202"/>
      <c r="AN268" s="77"/>
      <c r="AO268" s="202"/>
      <c r="AP268" s="202"/>
      <c r="AQ268" s="202"/>
      <c r="AR268" s="202"/>
      <c r="AS268" s="202"/>
      <c r="AT268" s="202"/>
      <c r="AU268" s="202"/>
      <c r="AV268" s="202"/>
      <c r="AW268" s="202"/>
      <c r="AX268" s="202"/>
      <c r="AY268" s="202"/>
    </row>
    <row r="269" spans="1:51" x14ac:dyDescent="0.2">
      <c r="A269" s="76">
        <v>25</v>
      </c>
      <c r="B269" s="77" t="s">
        <v>1361</v>
      </c>
      <c r="C269" s="76" t="s">
        <v>152</v>
      </c>
      <c r="D269" s="76">
        <v>1</v>
      </c>
      <c r="E269" s="76">
        <v>0</v>
      </c>
      <c r="F269" s="76">
        <v>6.43</v>
      </c>
      <c r="G269" s="76">
        <v>10</v>
      </c>
      <c r="H269" s="76">
        <v>0</v>
      </c>
      <c r="I269" s="76">
        <v>0</v>
      </c>
      <c r="J269" s="76">
        <v>1</v>
      </c>
      <c r="K269" s="76">
        <v>7</v>
      </c>
      <c r="L269" s="76">
        <v>11</v>
      </c>
      <c r="M269" s="76">
        <v>5</v>
      </c>
      <c r="N269" s="76">
        <v>5</v>
      </c>
      <c r="O269" s="76">
        <v>3</v>
      </c>
      <c r="P269" s="76">
        <v>4</v>
      </c>
      <c r="Q269" s="76">
        <v>6</v>
      </c>
      <c r="R269" s="76">
        <v>0.32400000000000001</v>
      </c>
      <c r="S269" s="76">
        <v>2.14</v>
      </c>
      <c r="T269" s="76">
        <v>25</v>
      </c>
      <c r="U269" s="77" t="s">
        <v>1361</v>
      </c>
      <c r="V269" s="76" t="s">
        <v>152</v>
      </c>
      <c r="W269" s="76">
        <v>0</v>
      </c>
      <c r="X269" s="76">
        <v>0</v>
      </c>
      <c r="Y269" s="76">
        <v>2</v>
      </c>
      <c r="Z269" s="76">
        <v>1</v>
      </c>
      <c r="AA269" s="76">
        <v>4</v>
      </c>
      <c r="AB269" s="76">
        <v>1</v>
      </c>
      <c r="AC269" s="76">
        <v>0</v>
      </c>
      <c r="AD269" s="76">
        <v>10</v>
      </c>
      <c r="AE269" s="76">
        <v>7</v>
      </c>
      <c r="AF269" s="76">
        <v>0</v>
      </c>
      <c r="AG269" s="76">
        <v>0</v>
      </c>
      <c r="AH269" s="76">
        <v>2</v>
      </c>
      <c r="AI269" s="76">
        <v>0</v>
      </c>
      <c r="AJ269" s="76">
        <v>0</v>
      </c>
      <c r="AK269" s="76">
        <v>40</v>
      </c>
      <c r="AL269" s="76">
        <v>170</v>
      </c>
      <c r="AM269" s="202"/>
      <c r="AN269" s="77"/>
      <c r="AO269" s="202"/>
      <c r="AP269" s="202"/>
      <c r="AQ269" s="202"/>
      <c r="AR269" s="202"/>
      <c r="AS269" s="202"/>
      <c r="AT269" s="202"/>
      <c r="AU269" s="202"/>
      <c r="AV269" s="202"/>
      <c r="AW269" s="202"/>
      <c r="AX269" s="202"/>
      <c r="AY269" s="202"/>
    </row>
    <row r="270" spans="1:51" x14ac:dyDescent="0.2">
      <c r="A270" s="76">
        <v>26</v>
      </c>
      <c r="B270" s="77" t="s">
        <v>1208</v>
      </c>
      <c r="C270" s="76" t="s">
        <v>152</v>
      </c>
      <c r="D270" s="76">
        <v>0</v>
      </c>
      <c r="E270" s="76">
        <v>0</v>
      </c>
      <c r="F270" s="76">
        <v>6.75</v>
      </c>
      <c r="G270" s="76">
        <v>1</v>
      </c>
      <c r="H270" s="76">
        <v>0</v>
      </c>
      <c r="I270" s="76">
        <v>0</v>
      </c>
      <c r="J270" s="76">
        <v>0</v>
      </c>
      <c r="K270" s="76">
        <v>2.2000000000000002</v>
      </c>
      <c r="L270" s="76">
        <v>3</v>
      </c>
      <c r="M270" s="76">
        <v>2</v>
      </c>
      <c r="N270" s="76">
        <v>2</v>
      </c>
      <c r="O270" s="76">
        <v>0</v>
      </c>
      <c r="P270" s="76">
        <v>2</v>
      </c>
      <c r="Q270" s="76">
        <v>0</v>
      </c>
      <c r="R270" s="76">
        <v>0.3</v>
      </c>
      <c r="S270" s="76">
        <v>1.88</v>
      </c>
      <c r="T270" s="76">
        <v>26</v>
      </c>
      <c r="U270" s="77" t="s">
        <v>1208</v>
      </c>
      <c r="V270" s="76" t="s">
        <v>152</v>
      </c>
      <c r="W270" s="76">
        <v>0</v>
      </c>
      <c r="X270" s="76">
        <v>0</v>
      </c>
      <c r="Y270" s="76">
        <v>0</v>
      </c>
      <c r="Z270" s="76">
        <v>0</v>
      </c>
      <c r="AA270" s="76">
        <v>1</v>
      </c>
      <c r="AB270" s="76">
        <v>0</v>
      </c>
      <c r="AC270" s="76">
        <v>0</v>
      </c>
      <c r="AD270" s="76">
        <v>2</v>
      </c>
      <c r="AE270" s="76">
        <v>6</v>
      </c>
      <c r="AF270" s="76">
        <v>0</v>
      </c>
      <c r="AG270" s="76">
        <v>0</v>
      </c>
      <c r="AH270" s="76">
        <v>0</v>
      </c>
      <c r="AI270" s="76">
        <v>0</v>
      </c>
      <c r="AJ270" s="76">
        <v>0</v>
      </c>
      <c r="AK270" s="76">
        <v>13</v>
      </c>
      <c r="AL270" s="76">
        <v>47</v>
      </c>
      <c r="AM270" s="202"/>
      <c r="AN270" s="77"/>
      <c r="AO270" s="202"/>
      <c r="AP270" s="202"/>
      <c r="AQ270" s="202"/>
      <c r="AR270" s="202"/>
      <c r="AS270" s="202"/>
      <c r="AT270" s="202"/>
      <c r="AU270" s="202"/>
      <c r="AV270" s="202"/>
      <c r="AW270" s="202"/>
      <c r="AX270" s="202"/>
      <c r="AY270" s="202"/>
    </row>
    <row r="271" spans="1:51" ht="25.5" x14ac:dyDescent="0.2">
      <c r="A271" s="76">
        <v>27</v>
      </c>
      <c r="B271" s="77" t="s">
        <v>1362</v>
      </c>
      <c r="C271" s="76" t="s">
        <v>152</v>
      </c>
      <c r="D271" s="76">
        <v>1</v>
      </c>
      <c r="E271" s="76">
        <v>2</v>
      </c>
      <c r="F271" s="76">
        <v>7.62</v>
      </c>
      <c r="G271" s="76">
        <v>13</v>
      </c>
      <c r="H271" s="76">
        <v>0</v>
      </c>
      <c r="I271" s="76">
        <v>0</v>
      </c>
      <c r="J271" s="76">
        <v>0</v>
      </c>
      <c r="K271" s="76">
        <v>13</v>
      </c>
      <c r="L271" s="76">
        <v>13</v>
      </c>
      <c r="M271" s="76">
        <v>11</v>
      </c>
      <c r="N271" s="76">
        <v>11</v>
      </c>
      <c r="O271" s="76">
        <v>2</v>
      </c>
      <c r="P271" s="76">
        <v>5</v>
      </c>
      <c r="Q271" s="76">
        <v>15</v>
      </c>
      <c r="R271" s="76">
        <v>0.26</v>
      </c>
      <c r="S271" s="76">
        <v>1.38</v>
      </c>
      <c r="T271" s="76">
        <v>27</v>
      </c>
      <c r="U271" s="77" t="s">
        <v>1362</v>
      </c>
      <c r="V271" s="76" t="s">
        <v>152</v>
      </c>
      <c r="W271" s="76">
        <v>0</v>
      </c>
      <c r="X271" s="76">
        <v>0</v>
      </c>
      <c r="Y271" s="76">
        <v>2</v>
      </c>
      <c r="Z271" s="76">
        <v>0</v>
      </c>
      <c r="AA271" s="76">
        <v>5</v>
      </c>
      <c r="AB271" s="76">
        <v>0</v>
      </c>
      <c r="AC271" s="76">
        <v>0</v>
      </c>
      <c r="AD271" s="76">
        <v>11</v>
      </c>
      <c r="AE271" s="76">
        <v>11</v>
      </c>
      <c r="AF271" s="76">
        <v>0</v>
      </c>
      <c r="AG271" s="76">
        <v>0</v>
      </c>
      <c r="AH271" s="76">
        <v>1</v>
      </c>
      <c r="AI271" s="76">
        <v>1</v>
      </c>
      <c r="AJ271" s="76">
        <v>0</v>
      </c>
      <c r="AK271" s="76">
        <v>57</v>
      </c>
      <c r="AL271" s="76">
        <v>235</v>
      </c>
      <c r="AM271" s="202"/>
      <c r="AN271" s="77"/>
      <c r="AO271" s="202"/>
      <c r="AP271" s="202"/>
      <c r="AQ271" s="202"/>
      <c r="AR271" s="202"/>
      <c r="AS271" s="202"/>
      <c r="AT271" s="202"/>
      <c r="AU271" s="202"/>
      <c r="AV271" s="202"/>
      <c r="AW271" s="202"/>
      <c r="AX271" s="202"/>
      <c r="AY271" s="202"/>
    </row>
    <row r="272" spans="1:51" x14ac:dyDescent="0.2">
      <c r="A272" s="76">
        <v>28</v>
      </c>
      <c r="B272" s="77" t="s">
        <v>1196</v>
      </c>
      <c r="C272" s="76" t="s">
        <v>152</v>
      </c>
      <c r="D272" s="76">
        <v>1</v>
      </c>
      <c r="E272" s="76">
        <v>0</v>
      </c>
      <c r="F272" s="76">
        <v>13.5</v>
      </c>
      <c r="G272" s="76">
        <v>7</v>
      </c>
      <c r="H272" s="76">
        <v>0</v>
      </c>
      <c r="I272" s="76">
        <v>0</v>
      </c>
      <c r="J272" s="76">
        <v>0</v>
      </c>
      <c r="K272" s="76">
        <v>3.1</v>
      </c>
      <c r="L272" s="76">
        <v>7</v>
      </c>
      <c r="M272" s="76">
        <v>5</v>
      </c>
      <c r="N272" s="76">
        <v>5</v>
      </c>
      <c r="O272" s="76">
        <v>2</v>
      </c>
      <c r="P272" s="76">
        <v>1</v>
      </c>
      <c r="Q272" s="76">
        <v>3</v>
      </c>
      <c r="R272" s="76">
        <v>0.438</v>
      </c>
      <c r="S272" s="76">
        <v>2.4</v>
      </c>
      <c r="T272" s="76">
        <v>28</v>
      </c>
      <c r="U272" s="77" t="s">
        <v>1196</v>
      </c>
      <c r="V272" s="76" t="s">
        <v>152</v>
      </c>
      <c r="W272" s="76">
        <v>0</v>
      </c>
      <c r="X272" s="76">
        <v>0</v>
      </c>
      <c r="Y272" s="76">
        <v>0</v>
      </c>
      <c r="Z272" s="76">
        <v>0</v>
      </c>
      <c r="AA272" s="76">
        <v>1</v>
      </c>
      <c r="AB272" s="76">
        <v>0</v>
      </c>
      <c r="AC272" s="76">
        <v>1</v>
      </c>
      <c r="AD272" s="76">
        <v>5</v>
      </c>
      <c r="AE272" s="76">
        <v>1</v>
      </c>
      <c r="AF272" s="76">
        <v>0</v>
      </c>
      <c r="AG272" s="76">
        <v>0</v>
      </c>
      <c r="AH272" s="76">
        <v>0</v>
      </c>
      <c r="AI272" s="76">
        <v>0</v>
      </c>
      <c r="AJ272" s="76">
        <v>0</v>
      </c>
      <c r="AK272" s="76">
        <v>17</v>
      </c>
      <c r="AL272" s="76">
        <v>58</v>
      </c>
      <c r="AM272" s="202"/>
      <c r="AN272" s="77"/>
      <c r="AO272" s="202"/>
      <c r="AP272" s="202"/>
      <c r="AQ272" s="202"/>
      <c r="AR272" s="202"/>
      <c r="AS272" s="202"/>
      <c r="AT272" s="202"/>
      <c r="AU272" s="202"/>
      <c r="AV272" s="202"/>
      <c r="AW272" s="202"/>
      <c r="AX272" s="202"/>
      <c r="AY272" s="202"/>
    </row>
    <row r="273" spans="1:51" x14ac:dyDescent="0.2">
      <c r="A273" s="76">
        <v>29</v>
      </c>
      <c r="B273" s="77" t="s">
        <v>1198</v>
      </c>
      <c r="C273" s="76" t="s">
        <v>152</v>
      </c>
      <c r="D273" s="76">
        <v>0</v>
      </c>
      <c r="E273" s="76">
        <v>0</v>
      </c>
      <c r="F273" s="76">
        <v>18</v>
      </c>
      <c r="G273" s="76">
        <v>1</v>
      </c>
      <c r="H273" s="76">
        <v>0</v>
      </c>
      <c r="I273" s="76">
        <v>0</v>
      </c>
      <c r="J273" s="76">
        <v>0</v>
      </c>
      <c r="K273" s="76">
        <v>1</v>
      </c>
      <c r="L273" s="76">
        <v>3</v>
      </c>
      <c r="M273" s="76">
        <v>2</v>
      </c>
      <c r="N273" s="76">
        <v>2</v>
      </c>
      <c r="O273" s="76">
        <v>0</v>
      </c>
      <c r="P273" s="76">
        <v>1</v>
      </c>
      <c r="Q273" s="76">
        <v>1</v>
      </c>
      <c r="R273" s="76">
        <v>0.6</v>
      </c>
      <c r="S273" s="76">
        <v>4</v>
      </c>
      <c r="T273" s="76">
        <v>29</v>
      </c>
      <c r="U273" s="77" t="s">
        <v>1198</v>
      </c>
      <c r="V273" s="76" t="s">
        <v>152</v>
      </c>
      <c r="W273" s="76">
        <v>0</v>
      </c>
      <c r="X273" s="76">
        <v>0</v>
      </c>
      <c r="Y273" s="76">
        <v>0</v>
      </c>
      <c r="Z273" s="76">
        <v>0</v>
      </c>
      <c r="AA273" s="76">
        <v>0</v>
      </c>
      <c r="AB273" s="76">
        <v>0</v>
      </c>
      <c r="AC273" s="76">
        <v>1</v>
      </c>
      <c r="AD273" s="76">
        <v>1</v>
      </c>
      <c r="AE273" s="76">
        <v>0</v>
      </c>
      <c r="AF273" s="76">
        <v>0</v>
      </c>
      <c r="AG273" s="76">
        <v>0</v>
      </c>
      <c r="AH273" s="76">
        <v>0</v>
      </c>
      <c r="AI273" s="76">
        <v>0</v>
      </c>
      <c r="AJ273" s="76">
        <v>0</v>
      </c>
      <c r="AK273" s="76">
        <v>6</v>
      </c>
      <c r="AL273" s="76">
        <v>18</v>
      </c>
      <c r="AM273" s="202"/>
      <c r="AN273" s="77"/>
      <c r="AO273" s="202"/>
      <c r="AP273" s="202"/>
      <c r="AQ273" s="202"/>
      <c r="AR273" s="202"/>
      <c r="AS273" s="202"/>
      <c r="AT273" s="202"/>
      <c r="AU273" s="202"/>
      <c r="AV273" s="202"/>
      <c r="AW273" s="202"/>
      <c r="AX273" s="202"/>
      <c r="AY273" s="202"/>
    </row>
    <row r="274" spans="1:51" x14ac:dyDescent="0.2">
      <c r="A274" s="225" t="s">
        <v>105</v>
      </c>
      <c r="B274" s="225" t="s">
        <v>106</v>
      </c>
      <c r="C274" s="225" t="s">
        <v>157</v>
      </c>
      <c r="D274" s="225" t="s">
        <v>85</v>
      </c>
      <c r="E274" s="225" t="s">
        <v>86</v>
      </c>
      <c r="F274" s="225" t="s">
        <v>107</v>
      </c>
      <c r="G274" s="225" t="s">
        <v>108</v>
      </c>
      <c r="H274" s="225" t="s">
        <v>88</v>
      </c>
      <c r="I274" s="225" t="s">
        <v>90</v>
      </c>
      <c r="J274" s="225" t="s">
        <v>158</v>
      </c>
      <c r="K274" s="225" t="s">
        <v>91</v>
      </c>
      <c r="L274" s="225" t="s">
        <v>92</v>
      </c>
      <c r="M274" s="225" t="s">
        <v>93</v>
      </c>
      <c r="N274" s="225" t="s">
        <v>94</v>
      </c>
      <c r="O274" s="225" t="s">
        <v>95</v>
      </c>
      <c r="P274" s="225" t="s">
        <v>96</v>
      </c>
      <c r="Q274" s="225" t="s">
        <v>97</v>
      </c>
      <c r="R274" s="225" t="s">
        <v>1071</v>
      </c>
      <c r="S274" s="225" t="s">
        <v>1072</v>
      </c>
      <c r="T274" s="225" t="s">
        <v>105</v>
      </c>
      <c r="U274" s="225" t="s">
        <v>106</v>
      </c>
      <c r="V274" s="225" t="s">
        <v>157</v>
      </c>
      <c r="W274" s="225" t="s">
        <v>89</v>
      </c>
      <c r="X274" s="225" t="s">
        <v>1073</v>
      </c>
      <c r="Y274" s="225" t="s">
        <v>1074</v>
      </c>
      <c r="Z274" s="225" t="s">
        <v>98</v>
      </c>
      <c r="AA274" s="225" t="s">
        <v>1075</v>
      </c>
      <c r="AB274" s="225" t="s">
        <v>1076</v>
      </c>
      <c r="AC274" s="225" t="s">
        <v>1077</v>
      </c>
      <c r="AD274" s="225" t="s">
        <v>1066</v>
      </c>
      <c r="AE274" s="225" t="s">
        <v>1067</v>
      </c>
      <c r="AF274" s="225" t="s">
        <v>1078</v>
      </c>
      <c r="AG274" s="225" t="s">
        <v>1079</v>
      </c>
      <c r="AH274" s="225" t="s">
        <v>1057</v>
      </c>
      <c r="AI274" s="225" t="s">
        <v>1058</v>
      </c>
      <c r="AJ274" s="225" t="s">
        <v>1080</v>
      </c>
      <c r="AK274" s="225" t="s">
        <v>109</v>
      </c>
      <c r="AL274" s="225" t="s">
        <v>1069</v>
      </c>
      <c r="AM274" s="202"/>
      <c r="AN274" s="77"/>
      <c r="AO274" s="202"/>
      <c r="AP274" s="202"/>
      <c r="AQ274" s="202"/>
      <c r="AR274" s="202"/>
      <c r="AS274" s="202"/>
      <c r="AT274" s="202"/>
      <c r="AU274" s="202"/>
      <c r="AV274" s="202"/>
      <c r="AW274" s="202"/>
      <c r="AX274" s="202"/>
      <c r="AY274" s="202"/>
    </row>
    <row r="275" spans="1:51" ht="25.5" x14ac:dyDescent="0.2">
      <c r="A275" s="76">
        <v>1</v>
      </c>
      <c r="B275" s="77" t="s">
        <v>1363</v>
      </c>
      <c r="C275" s="76" t="s">
        <v>153</v>
      </c>
      <c r="D275" s="76">
        <v>0</v>
      </c>
      <c r="E275" s="76">
        <v>0</v>
      </c>
      <c r="F275" s="76">
        <v>0</v>
      </c>
      <c r="G275" s="76">
        <v>1</v>
      </c>
      <c r="H275" s="76">
        <v>0</v>
      </c>
      <c r="I275" s="76">
        <v>0</v>
      </c>
      <c r="J275" s="76">
        <v>0</v>
      </c>
      <c r="K275" s="76">
        <v>1</v>
      </c>
      <c r="L275" s="76">
        <v>1</v>
      </c>
      <c r="M275" s="76">
        <v>0</v>
      </c>
      <c r="N275" s="76">
        <v>0</v>
      </c>
      <c r="O275" s="76">
        <v>0</v>
      </c>
      <c r="P275" s="76">
        <v>1</v>
      </c>
      <c r="Q275" s="76">
        <v>0</v>
      </c>
      <c r="R275" s="76">
        <v>0.25</v>
      </c>
      <c r="S275" s="76">
        <v>2</v>
      </c>
      <c r="T275" s="76">
        <v>1</v>
      </c>
      <c r="U275" s="77" t="s">
        <v>1363</v>
      </c>
      <c r="V275" s="76" t="s">
        <v>153</v>
      </c>
      <c r="W275" s="76">
        <v>0</v>
      </c>
      <c r="X275" s="76">
        <v>0</v>
      </c>
      <c r="Y275" s="76">
        <v>0</v>
      </c>
      <c r="Z275" s="76">
        <v>0</v>
      </c>
      <c r="AA275" s="76">
        <v>1</v>
      </c>
      <c r="AB275" s="76">
        <v>0</v>
      </c>
      <c r="AC275" s="76">
        <v>0</v>
      </c>
      <c r="AD275" s="76">
        <v>0</v>
      </c>
      <c r="AE275" s="76">
        <v>3</v>
      </c>
      <c r="AF275" s="76">
        <v>0</v>
      </c>
      <c r="AG275" s="76">
        <v>0</v>
      </c>
      <c r="AH275" s="76">
        <v>0</v>
      </c>
      <c r="AI275" s="76">
        <v>0</v>
      </c>
      <c r="AJ275" s="76">
        <v>0</v>
      </c>
      <c r="AK275" s="76">
        <v>5</v>
      </c>
      <c r="AL275" s="76">
        <v>16</v>
      </c>
      <c r="AM275" s="202"/>
      <c r="AN275" s="77"/>
      <c r="AO275" s="202"/>
      <c r="AP275" s="202"/>
      <c r="AQ275" s="202"/>
      <c r="AR275" s="202"/>
      <c r="AS275" s="202"/>
      <c r="AT275" s="202"/>
      <c r="AU275" s="202"/>
      <c r="AV275" s="202"/>
      <c r="AW275" s="202"/>
      <c r="AX275" s="202"/>
      <c r="AY275" s="202"/>
    </row>
    <row r="276" spans="1:51" ht="25.5" x14ac:dyDescent="0.2">
      <c r="A276" s="76">
        <v>1</v>
      </c>
      <c r="B276" s="77" t="s">
        <v>1364</v>
      </c>
      <c r="C276" s="76" t="s">
        <v>153</v>
      </c>
      <c r="D276" s="76">
        <v>0</v>
      </c>
      <c r="E276" s="76">
        <v>0</v>
      </c>
      <c r="F276" s="76">
        <v>0</v>
      </c>
      <c r="G276" s="76">
        <v>1</v>
      </c>
      <c r="H276" s="76">
        <v>0</v>
      </c>
      <c r="I276" s="76">
        <v>0</v>
      </c>
      <c r="J276" s="76">
        <v>0</v>
      </c>
      <c r="K276" s="76">
        <v>0.2</v>
      </c>
      <c r="L276" s="76">
        <v>0</v>
      </c>
      <c r="M276" s="76">
        <v>0</v>
      </c>
      <c r="N276" s="76">
        <v>0</v>
      </c>
      <c r="O276" s="76">
        <v>0</v>
      </c>
      <c r="P276" s="76">
        <v>0</v>
      </c>
      <c r="Q276" s="76">
        <v>1</v>
      </c>
      <c r="R276" s="76">
        <v>0</v>
      </c>
      <c r="S276" s="76">
        <v>0</v>
      </c>
      <c r="T276" s="76">
        <v>1</v>
      </c>
      <c r="U276" s="77" t="s">
        <v>1364</v>
      </c>
      <c r="V276" s="76" t="s">
        <v>153</v>
      </c>
      <c r="W276" s="76">
        <v>0</v>
      </c>
      <c r="X276" s="76">
        <v>0</v>
      </c>
      <c r="Y276" s="76">
        <v>0</v>
      </c>
      <c r="Z276" s="76">
        <v>0</v>
      </c>
      <c r="AA276" s="76">
        <v>1</v>
      </c>
      <c r="AB276" s="76">
        <v>0</v>
      </c>
      <c r="AC276" s="76">
        <v>0</v>
      </c>
      <c r="AD276" s="76">
        <v>0</v>
      </c>
      <c r="AE276" s="76">
        <v>1</v>
      </c>
      <c r="AF276" s="76">
        <v>0</v>
      </c>
      <c r="AG276" s="76">
        <v>0</v>
      </c>
      <c r="AH276" s="76">
        <v>0</v>
      </c>
      <c r="AI276" s="76">
        <v>0</v>
      </c>
      <c r="AJ276" s="76">
        <v>0</v>
      </c>
      <c r="AK276" s="76">
        <v>2</v>
      </c>
      <c r="AL276" s="76">
        <v>10</v>
      </c>
      <c r="AM276" s="202"/>
      <c r="AN276" s="77"/>
      <c r="AO276" s="202"/>
      <c r="AP276" s="202"/>
      <c r="AQ276" s="202"/>
      <c r="AR276" s="202"/>
      <c r="AS276" s="202"/>
      <c r="AT276" s="202"/>
      <c r="AU276" s="202"/>
      <c r="AV276" s="202"/>
      <c r="AW276" s="202"/>
      <c r="AX276" s="202"/>
      <c r="AY276" s="202"/>
    </row>
    <row r="277" spans="1:51" x14ac:dyDescent="0.2">
      <c r="A277" s="76">
        <v>3</v>
      </c>
      <c r="B277" s="77" t="s">
        <v>1365</v>
      </c>
      <c r="C277" s="76" t="s">
        <v>153</v>
      </c>
      <c r="D277" s="76">
        <v>2</v>
      </c>
      <c r="E277" s="76">
        <v>0</v>
      </c>
      <c r="F277" s="76">
        <v>2.15</v>
      </c>
      <c r="G277" s="76">
        <v>5</v>
      </c>
      <c r="H277" s="76">
        <v>5</v>
      </c>
      <c r="I277" s="76">
        <v>0</v>
      </c>
      <c r="J277" s="76">
        <v>0</v>
      </c>
      <c r="K277" s="76">
        <v>29.1</v>
      </c>
      <c r="L277" s="76">
        <v>20</v>
      </c>
      <c r="M277" s="76">
        <v>10</v>
      </c>
      <c r="N277" s="76">
        <v>7</v>
      </c>
      <c r="O277" s="76">
        <v>4</v>
      </c>
      <c r="P277" s="76">
        <v>4</v>
      </c>
      <c r="Q277" s="76">
        <v>23</v>
      </c>
      <c r="R277" s="76">
        <v>0.185</v>
      </c>
      <c r="S277" s="76">
        <v>0.82</v>
      </c>
      <c r="T277" s="76">
        <v>3</v>
      </c>
      <c r="U277" s="77" t="s">
        <v>1365</v>
      </c>
      <c r="V277" s="76" t="s">
        <v>153</v>
      </c>
      <c r="W277" s="76">
        <v>0</v>
      </c>
      <c r="X277" s="76">
        <v>0</v>
      </c>
      <c r="Y277" s="76">
        <v>0</v>
      </c>
      <c r="Z277" s="76">
        <v>0</v>
      </c>
      <c r="AA277" s="76">
        <v>0</v>
      </c>
      <c r="AB277" s="76">
        <v>0</v>
      </c>
      <c r="AC277" s="76">
        <v>2</v>
      </c>
      <c r="AD277" s="76">
        <v>25</v>
      </c>
      <c r="AE277" s="76">
        <v>40</v>
      </c>
      <c r="AF277" s="76">
        <v>1</v>
      </c>
      <c r="AG277" s="76">
        <v>0</v>
      </c>
      <c r="AH277" s="76">
        <v>3</v>
      </c>
      <c r="AI277" s="76">
        <v>0</v>
      </c>
      <c r="AJ277" s="76">
        <v>0</v>
      </c>
      <c r="AK277" s="76">
        <v>112</v>
      </c>
      <c r="AL277" s="76">
        <v>441</v>
      </c>
      <c r="AM277" s="202"/>
      <c r="AN277" s="77"/>
      <c r="AO277" s="202"/>
      <c r="AP277" s="202"/>
      <c r="AQ277" s="202"/>
      <c r="AR277" s="202"/>
      <c r="AS277" s="202"/>
      <c r="AT277" s="202"/>
      <c r="AU277" s="202"/>
      <c r="AV277" s="202"/>
      <c r="AW277" s="202"/>
      <c r="AX277" s="202"/>
      <c r="AY277" s="202"/>
    </row>
    <row r="278" spans="1:51" x14ac:dyDescent="0.2">
      <c r="A278" s="76">
        <v>4</v>
      </c>
      <c r="B278" s="77" t="s">
        <v>532</v>
      </c>
      <c r="C278" s="76" t="s">
        <v>153</v>
      </c>
      <c r="D278" s="76">
        <v>9</v>
      </c>
      <c r="E278" s="76">
        <v>3</v>
      </c>
      <c r="F278" s="76">
        <v>2.25</v>
      </c>
      <c r="G278" s="76">
        <v>14</v>
      </c>
      <c r="H278" s="76">
        <v>14</v>
      </c>
      <c r="I278" s="76">
        <v>0</v>
      </c>
      <c r="J278" s="76">
        <v>0</v>
      </c>
      <c r="K278" s="76">
        <v>76</v>
      </c>
      <c r="L278" s="76">
        <v>55</v>
      </c>
      <c r="M278" s="76">
        <v>22</v>
      </c>
      <c r="N278" s="76">
        <v>19</v>
      </c>
      <c r="O278" s="76">
        <v>2</v>
      </c>
      <c r="P278" s="76">
        <v>28</v>
      </c>
      <c r="Q278" s="76">
        <v>90</v>
      </c>
      <c r="R278" s="76">
        <v>0.20100000000000001</v>
      </c>
      <c r="S278" s="76">
        <v>1.0900000000000001</v>
      </c>
      <c r="T278" s="76">
        <v>4</v>
      </c>
      <c r="U278" s="77" t="s">
        <v>532</v>
      </c>
      <c r="V278" s="76" t="s">
        <v>153</v>
      </c>
      <c r="W278" s="76">
        <v>0</v>
      </c>
      <c r="X278" s="76">
        <v>0</v>
      </c>
      <c r="Y278" s="76">
        <v>8</v>
      </c>
      <c r="Z278" s="76">
        <v>0</v>
      </c>
      <c r="AA278" s="76">
        <v>0</v>
      </c>
      <c r="AB278" s="76">
        <v>0</v>
      </c>
      <c r="AC278" s="76">
        <v>8</v>
      </c>
      <c r="AD278" s="76">
        <v>70</v>
      </c>
      <c r="AE278" s="76">
        <v>60</v>
      </c>
      <c r="AF278" s="76">
        <v>0</v>
      </c>
      <c r="AG278" s="76">
        <v>0</v>
      </c>
      <c r="AH278" s="76">
        <v>6</v>
      </c>
      <c r="AI278" s="76">
        <v>2</v>
      </c>
      <c r="AJ278" s="76">
        <v>1</v>
      </c>
      <c r="AK278" s="76">
        <v>311</v>
      </c>
      <c r="AL278" s="76">
        <v>1308</v>
      </c>
      <c r="AM278" s="202"/>
      <c r="AN278" s="77"/>
      <c r="AO278" s="202"/>
      <c r="AP278" s="202"/>
      <c r="AQ278" s="202"/>
      <c r="AR278" s="202"/>
      <c r="AS278" s="202"/>
      <c r="AT278" s="202"/>
      <c r="AU278" s="202"/>
      <c r="AV278" s="202"/>
      <c r="AW278" s="202"/>
      <c r="AX278" s="202"/>
      <c r="AY278" s="202"/>
    </row>
    <row r="279" spans="1:51" x14ac:dyDescent="0.2">
      <c r="A279" s="76">
        <v>5</v>
      </c>
      <c r="B279" s="77" t="s">
        <v>1202</v>
      </c>
      <c r="C279" s="76" t="s">
        <v>153</v>
      </c>
      <c r="D279" s="76">
        <v>5</v>
      </c>
      <c r="E279" s="76">
        <v>5</v>
      </c>
      <c r="F279" s="76">
        <v>2.42</v>
      </c>
      <c r="G279" s="76">
        <v>70</v>
      </c>
      <c r="H279" s="76">
        <v>0</v>
      </c>
      <c r="I279" s="76">
        <v>3</v>
      </c>
      <c r="J279" s="76">
        <v>6</v>
      </c>
      <c r="K279" s="76">
        <v>74.099999999999994</v>
      </c>
      <c r="L279" s="76">
        <v>50</v>
      </c>
      <c r="M279" s="76">
        <v>23</v>
      </c>
      <c r="N279" s="76">
        <v>20</v>
      </c>
      <c r="O279" s="76">
        <v>10</v>
      </c>
      <c r="P279" s="76">
        <v>15</v>
      </c>
      <c r="Q279" s="76">
        <v>73</v>
      </c>
      <c r="R279" s="76">
        <v>0.186</v>
      </c>
      <c r="S279" s="76">
        <v>0.87</v>
      </c>
      <c r="T279" s="76">
        <v>5</v>
      </c>
      <c r="U279" s="77" t="s">
        <v>1202</v>
      </c>
      <c r="V279" s="76" t="s">
        <v>153</v>
      </c>
      <c r="W279" s="76">
        <v>0</v>
      </c>
      <c r="X279" s="76">
        <v>0</v>
      </c>
      <c r="Y279" s="76">
        <v>1</v>
      </c>
      <c r="Z279" s="76">
        <v>4</v>
      </c>
      <c r="AA279" s="76">
        <v>9</v>
      </c>
      <c r="AB279" s="76">
        <v>15</v>
      </c>
      <c r="AC279" s="76">
        <v>2</v>
      </c>
      <c r="AD279" s="76">
        <v>53</v>
      </c>
      <c r="AE279" s="76">
        <v>98</v>
      </c>
      <c r="AF279" s="76">
        <v>6</v>
      </c>
      <c r="AG279" s="76">
        <v>0</v>
      </c>
      <c r="AH279" s="76">
        <v>2</v>
      </c>
      <c r="AI279" s="76">
        <v>1</v>
      </c>
      <c r="AJ279" s="76">
        <v>0</v>
      </c>
      <c r="AK279" s="76">
        <v>290</v>
      </c>
      <c r="AL279" s="76">
        <v>1217</v>
      </c>
      <c r="AM279" s="202"/>
      <c r="AN279" s="77"/>
      <c r="AO279" s="202"/>
      <c r="AP279" s="202"/>
      <c r="AQ279" s="202"/>
      <c r="AR279" s="202"/>
      <c r="AS279" s="202"/>
      <c r="AT279" s="202"/>
      <c r="AU279" s="202"/>
      <c r="AV279" s="202"/>
      <c r="AW279" s="202"/>
      <c r="AX279" s="202"/>
      <c r="AY279" s="202"/>
    </row>
    <row r="280" spans="1:51" x14ac:dyDescent="0.2">
      <c r="A280" s="76">
        <v>6</v>
      </c>
      <c r="B280" s="77" t="s">
        <v>798</v>
      </c>
      <c r="C280" s="76" t="s">
        <v>153</v>
      </c>
      <c r="D280" s="76">
        <v>0</v>
      </c>
      <c r="E280" s="76">
        <v>0</v>
      </c>
      <c r="F280" s="76">
        <v>2.92</v>
      </c>
      <c r="G280" s="76">
        <v>13</v>
      </c>
      <c r="H280" s="76">
        <v>0</v>
      </c>
      <c r="I280" s="76">
        <v>0</v>
      </c>
      <c r="J280" s="76">
        <v>0</v>
      </c>
      <c r="K280" s="76">
        <v>24.2</v>
      </c>
      <c r="L280" s="76">
        <v>14</v>
      </c>
      <c r="M280" s="76">
        <v>9</v>
      </c>
      <c r="N280" s="76">
        <v>8</v>
      </c>
      <c r="O280" s="76">
        <v>2</v>
      </c>
      <c r="P280" s="76">
        <v>13</v>
      </c>
      <c r="Q280" s="76">
        <v>29</v>
      </c>
      <c r="R280" s="76">
        <v>0.16500000000000001</v>
      </c>
      <c r="S280" s="76">
        <v>1.0900000000000001</v>
      </c>
      <c r="T280" s="76">
        <v>6</v>
      </c>
      <c r="U280" s="77" t="s">
        <v>798</v>
      </c>
      <c r="V280" s="76" t="s">
        <v>153</v>
      </c>
      <c r="W280" s="76">
        <v>0</v>
      </c>
      <c r="X280" s="76">
        <v>0</v>
      </c>
      <c r="Y280" s="76">
        <v>0</v>
      </c>
      <c r="Z280" s="76">
        <v>0</v>
      </c>
      <c r="AA280" s="76">
        <v>8</v>
      </c>
      <c r="AB280" s="76">
        <v>0</v>
      </c>
      <c r="AC280" s="76">
        <v>1</v>
      </c>
      <c r="AD280" s="76">
        <v>22</v>
      </c>
      <c r="AE280" s="76">
        <v>22</v>
      </c>
      <c r="AF280" s="76">
        <v>0</v>
      </c>
      <c r="AG280" s="76">
        <v>0</v>
      </c>
      <c r="AH280" s="76">
        <v>1</v>
      </c>
      <c r="AI280" s="76">
        <v>1</v>
      </c>
      <c r="AJ280" s="76">
        <v>0</v>
      </c>
      <c r="AK280" s="76">
        <v>100</v>
      </c>
      <c r="AL280" s="76">
        <v>439</v>
      </c>
      <c r="AM280" s="202"/>
      <c r="AN280" s="77"/>
      <c r="AO280" s="202"/>
      <c r="AP280" s="202"/>
      <c r="AQ280" s="202"/>
      <c r="AR280" s="202"/>
      <c r="AS280" s="202"/>
      <c r="AT280" s="202"/>
      <c r="AU280" s="202"/>
      <c r="AV280" s="202"/>
      <c r="AW280" s="202"/>
      <c r="AX280" s="202"/>
      <c r="AY280" s="202"/>
    </row>
    <row r="281" spans="1:51" ht="25.5" x14ac:dyDescent="0.2">
      <c r="A281" s="76">
        <v>7</v>
      </c>
      <c r="B281" s="77" t="s">
        <v>471</v>
      </c>
      <c r="C281" s="76" t="s">
        <v>153</v>
      </c>
      <c r="D281" s="76">
        <v>1</v>
      </c>
      <c r="E281" s="76">
        <v>0</v>
      </c>
      <c r="F281" s="76">
        <v>3</v>
      </c>
      <c r="G281" s="76">
        <v>56</v>
      </c>
      <c r="H281" s="76">
        <v>0</v>
      </c>
      <c r="I281" s="76">
        <v>0</v>
      </c>
      <c r="J281" s="76">
        <v>1</v>
      </c>
      <c r="K281" s="76">
        <v>36</v>
      </c>
      <c r="L281" s="76">
        <v>38</v>
      </c>
      <c r="M281" s="76">
        <v>14</v>
      </c>
      <c r="N281" s="76">
        <v>12</v>
      </c>
      <c r="O281" s="76">
        <v>1</v>
      </c>
      <c r="P281" s="76">
        <v>24</v>
      </c>
      <c r="Q281" s="76">
        <v>37</v>
      </c>
      <c r="R281" s="76">
        <v>0.26600000000000001</v>
      </c>
      <c r="S281" s="76">
        <v>1.72</v>
      </c>
      <c r="T281" s="76">
        <v>7</v>
      </c>
      <c r="U281" s="77" t="s">
        <v>471</v>
      </c>
      <c r="V281" s="76" t="s">
        <v>153</v>
      </c>
      <c r="W281" s="76">
        <v>0</v>
      </c>
      <c r="X281" s="76">
        <v>0</v>
      </c>
      <c r="Y281" s="76">
        <v>2</v>
      </c>
      <c r="Z281" s="76">
        <v>6</v>
      </c>
      <c r="AA281" s="76">
        <v>15</v>
      </c>
      <c r="AB281" s="76">
        <v>6</v>
      </c>
      <c r="AC281" s="76">
        <v>5</v>
      </c>
      <c r="AD281" s="76">
        <v>53</v>
      </c>
      <c r="AE281" s="76">
        <v>15</v>
      </c>
      <c r="AF281" s="76">
        <v>5</v>
      </c>
      <c r="AG281" s="76">
        <v>0</v>
      </c>
      <c r="AH281" s="76">
        <v>3</v>
      </c>
      <c r="AI281" s="76">
        <v>0</v>
      </c>
      <c r="AJ281" s="76">
        <v>0</v>
      </c>
      <c r="AK281" s="76">
        <v>169</v>
      </c>
      <c r="AL281" s="76">
        <v>668</v>
      </c>
      <c r="AM281" s="202"/>
      <c r="AN281" s="77"/>
      <c r="AO281" s="202"/>
      <c r="AP281" s="202"/>
      <c r="AQ281" s="202"/>
      <c r="AR281" s="202"/>
      <c r="AS281" s="202"/>
      <c r="AT281" s="202"/>
      <c r="AU281" s="202"/>
      <c r="AV281" s="202"/>
      <c r="AW281" s="202"/>
      <c r="AX281" s="202"/>
      <c r="AY281" s="202"/>
    </row>
    <row r="282" spans="1:51" ht="25.5" x14ac:dyDescent="0.2">
      <c r="A282" s="76">
        <v>8</v>
      </c>
      <c r="B282" s="77" t="s">
        <v>597</v>
      </c>
      <c r="C282" s="76" t="s">
        <v>153</v>
      </c>
      <c r="D282" s="76">
        <v>2</v>
      </c>
      <c r="E282" s="76">
        <v>3</v>
      </c>
      <c r="F282" s="76">
        <v>3.23</v>
      </c>
      <c r="G282" s="76">
        <v>44</v>
      </c>
      <c r="H282" s="76">
        <v>0</v>
      </c>
      <c r="I282" s="76">
        <v>4</v>
      </c>
      <c r="J282" s="76">
        <v>6</v>
      </c>
      <c r="K282" s="76">
        <v>39</v>
      </c>
      <c r="L282" s="76">
        <v>33</v>
      </c>
      <c r="M282" s="76">
        <v>14</v>
      </c>
      <c r="N282" s="76">
        <v>14</v>
      </c>
      <c r="O282" s="76">
        <v>6</v>
      </c>
      <c r="P282" s="76">
        <v>8</v>
      </c>
      <c r="Q282" s="76">
        <v>45</v>
      </c>
      <c r="R282" s="76">
        <v>0.23100000000000001</v>
      </c>
      <c r="S282" s="76">
        <v>1.05</v>
      </c>
      <c r="T282" s="76">
        <v>8</v>
      </c>
      <c r="U282" s="77" t="s">
        <v>597</v>
      </c>
      <c r="V282" s="76" t="s">
        <v>153</v>
      </c>
      <c r="W282" s="76">
        <v>0</v>
      </c>
      <c r="X282" s="76">
        <v>0</v>
      </c>
      <c r="Y282" s="76">
        <v>0</v>
      </c>
      <c r="Z282" s="76">
        <v>2</v>
      </c>
      <c r="AA282" s="76">
        <v>13</v>
      </c>
      <c r="AB282" s="76">
        <v>10</v>
      </c>
      <c r="AC282" s="76">
        <v>1</v>
      </c>
      <c r="AD282" s="76">
        <v>20</v>
      </c>
      <c r="AE282" s="76">
        <v>49</v>
      </c>
      <c r="AF282" s="76">
        <v>1</v>
      </c>
      <c r="AG282" s="76">
        <v>0</v>
      </c>
      <c r="AH282" s="76">
        <v>0</v>
      </c>
      <c r="AI282" s="76">
        <v>1</v>
      </c>
      <c r="AJ282" s="76">
        <v>1</v>
      </c>
      <c r="AK282" s="76">
        <v>155</v>
      </c>
      <c r="AL282" s="76">
        <v>595</v>
      </c>
      <c r="AM282" s="202"/>
      <c r="AN282" s="77"/>
      <c r="AO282" s="202"/>
      <c r="AP282" s="202"/>
      <c r="AQ282" s="202"/>
      <c r="AR282" s="202"/>
      <c r="AS282" s="202"/>
      <c r="AT282" s="202"/>
      <c r="AU282" s="202"/>
      <c r="AV282" s="202"/>
      <c r="AW282" s="202"/>
      <c r="AX282" s="202"/>
      <c r="AY282" s="202"/>
    </row>
    <row r="283" spans="1:51" ht="25.5" x14ac:dyDescent="0.2">
      <c r="A283" s="76">
        <v>9</v>
      </c>
      <c r="B283" s="77" t="s">
        <v>1186</v>
      </c>
      <c r="C283" s="76" t="s">
        <v>153</v>
      </c>
      <c r="D283" s="76">
        <v>6</v>
      </c>
      <c r="E283" s="76">
        <v>7</v>
      </c>
      <c r="F283" s="76">
        <v>3.62</v>
      </c>
      <c r="G283" s="76">
        <v>63</v>
      </c>
      <c r="H283" s="76">
        <v>0</v>
      </c>
      <c r="I283" s="76">
        <v>30</v>
      </c>
      <c r="J283" s="76">
        <v>37</v>
      </c>
      <c r="K283" s="76">
        <v>64.2</v>
      </c>
      <c r="L283" s="76">
        <v>63</v>
      </c>
      <c r="M283" s="76">
        <v>27</v>
      </c>
      <c r="N283" s="76">
        <v>26</v>
      </c>
      <c r="O283" s="76">
        <v>7</v>
      </c>
      <c r="P283" s="76">
        <v>20</v>
      </c>
      <c r="Q283" s="76">
        <v>49</v>
      </c>
      <c r="R283" s="76">
        <v>0.25700000000000001</v>
      </c>
      <c r="S283" s="76">
        <v>1.28</v>
      </c>
      <c r="T283" s="76">
        <v>9</v>
      </c>
      <c r="U283" s="77" t="s">
        <v>1186</v>
      </c>
      <c r="V283" s="76" t="s">
        <v>153</v>
      </c>
      <c r="W283" s="76">
        <v>0</v>
      </c>
      <c r="X283" s="76">
        <v>0</v>
      </c>
      <c r="Y283" s="76">
        <v>2</v>
      </c>
      <c r="Z283" s="76">
        <v>3</v>
      </c>
      <c r="AA283" s="76">
        <v>53</v>
      </c>
      <c r="AB283" s="76">
        <v>3</v>
      </c>
      <c r="AC283" s="76">
        <v>8</v>
      </c>
      <c r="AD283" s="76">
        <v>71</v>
      </c>
      <c r="AE283" s="76">
        <v>65</v>
      </c>
      <c r="AF283" s="76">
        <v>4</v>
      </c>
      <c r="AG283" s="76">
        <v>1</v>
      </c>
      <c r="AH283" s="76">
        <v>8</v>
      </c>
      <c r="AI283" s="76">
        <v>1</v>
      </c>
      <c r="AJ283" s="76">
        <v>0</v>
      </c>
      <c r="AK283" s="76">
        <v>270</v>
      </c>
      <c r="AL283" s="76">
        <v>1002</v>
      </c>
      <c r="AM283" s="202"/>
      <c r="AN283" s="77"/>
      <c r="AO283" s="202"/>
      <c r="AP283" s="202"/>
      <c r="AQ283" s="202"/>
      <c r="AR283" s="202"/>
      <c r="AS283" s="202"/>
      <c r="AT283" s="202"/>
      <c r="AU283" s="202"/>
      <c r="AV283" s="202"/>
      <c r="AW283" s="202"/>
      <c r="AX283" s="202"/>
      <c r="AY283" s="202"/>
    </row>
    <row r="284" spans="1:51" ht="25.5" x14ac:dyDescent="0.2">
      <c r="A284" s="76">
        <v>10</v>
      </c>
      <c r="B284" s="77" t="s">
        <v>580</v>
      </c>
      <c r="C284" s="76" t="s">
        <v>153</v>
      </c>
      <c r="D284" s="76">
        <v>0</v>
      </c>
      <c r="E284" s="76">
        <v>4</v>
      </c>
      <c r="F284" s="76">
        <v>3.76</v>
      </c>
      <c r="G284" s="76">
        <v>53</v>
      </c>
      <c r="H284" s="76">
        <v>0</v>
      </c>
      <c r="I284" s="76">
        <v>0</v>
      </c>
      <c r="J284" s="76">
        <v>1</v>
      </c>
      <c r="K284" s="76">
        <v>64.2</v>
      </c>
      <c r="L284" s="76">
        <v>69</v>
      </c>
      <c r="M284" s="76">
        <v>31</v>
      </c>
      <c r="N284" s="76">
        <v>27</v>
      </c>
      <c r="O284" s="76">
        <v>6</v>
      </c>
      <c r="P284" s="76">
        <v>14</v>
      </c>
      <c r="Q284" s="76">
        <v>71</v>
      </c>
      <c r="R284" s="76">
        <v>0.27</v>
      </c>
      <c r="S284" s="76">
        <v>1.28</v>
      </c>
      <c r="T284" s="76">
        <v>10</v>
      </c>
      <c r="U284" s="77" t="s">
        <v>580</v>
      </c>
      <c r="V284" s="76" t="s">
        <v>153</v>
      </c>
      <c r="W284" s="76">
        <v>0</v>
      </c>
      <c r="X284" s="76">
        <v>0</v>
      </c>
      <c r="Y284" s="76">
        <v>1</v>
      </c>
      <c r="Z284" s="76">
        <v>3</v>
      </c>
      <c r="AA284" s="76">
        <v>10</v>
      </c>
      <c r="AB284" s="76">
        <v>10</v>
      </c>
      <c r="AC284" s="76">
        <v>6</v>
      </c>
      <c r="AD284" s="76">
        <v>55</v>
      </c>
      <c r="AE284" s="76">
        <v>65</v>
      </c>
      <c r="AF284" s="76">
        <v>3</v>
      </c>
      <c r="AG284" s="76">
        <v>0</v>
      </c>
      <c r="AH284" s="76">
        <v>10</v>
      </c>
      <c r="AI284" s="76">
        <v>1</v>
      </c>
      <c r="AJ284" s="76">
        <v>0</v>
      </c>
      <c r="AK284" s="76">
        <v>275</v>
      </c>
      <c r="AL284" s="76">
        <v>1081</v>
      </c>
      <c r="AM284" s="202"/>
      <c r="AN284" s="77"/>
      <c r="AO284" s="202"/>
      <c r="AP284" s="202"/>
      <c r="AQ284" s="202"/>
      <c r="AR284" s="202"/>
      <c r="AS284" s="202"/>
      <c r="AT284" s="202"/>
      <c r="AU284" s="202"/>
      <c r="AV284" s="202"/>
      <c r="AW284" s="202"/>
      <c r="AX284" s="202"/>
      <c r="AY284" s="202"/>
    </row>
    <row r="285" spans="1:51" ht="25.5" x14ac:dyDescent="0.2">
      <c r="A285" s="76">
        <v>11</v>
      </c>
      <c r="B285" s="77" t="s">
        <v>1366</v>
      </c>
      <c r="C285" s="76" t="s">
        <v>153</v>
      </c>
      <c r="D285" s="76">
        <v>7</v>
      </c>
      <c r="E285" s="76">
        <v>9</v>
      </c>
      <c r="F285" s="76">
        <v>3.86</v>
      </c>
      <c r="G285" s="76">
        <v>25</v>
      </c>
      <c r="H285" s="76">
        <v>24</v>
      </c>
      <c r="I285" s="76">
        <v>0</v>
      </c>
      <c r="J285" s="76">
        <v>0</v>
      </c>
      <c r="K285" s="76">
        <v>144.19999999999999</v>
      </c>
      <c r="L285" s="76">
        <v>135</v>
      </c>
      <c r="M285" s="76">
        <v>65</v>
      </c>
      <c r="N285" s="76">
        <v>62</v>
      </c>
      <c r="O285" s="76">
        <v>20</v>
      </c>
      <c r="P285" s="76">
        <v>37</v>
      </c>
      <c r="Q285" s="76">
        <v>124</v>
      </c>
      <c r="R285" s="76">
        <v>0.248</v>
      </c>
      <c r="S285" s="76">
        <v>1.19</v>
      </c>
      <c r="T285" s="76">
        <v>11</v>
      </c>
      <c r="U285" s="77" t="s">
        <v>1366</v>
      </c>
      <c r="V285" s="76" t="s">
        <v>153</v>
      </c>
      <c r="W285" s="76">
        <v>0</v>
      </c>
      <c r="X285" s="76">
        <v>0</v>
      </c>
      <c r="Y285" s="76">
        <v>4</v>
      </c>
      <c r="Z285" s="76">
        <v>1</v>
      </c>
      <c r="AA285" s="76">
        <v>0</v>
      </c>
      <c r="AB285" s="76">
        <v>0</v>
      </c>
      <c r="AC285" s="76">
        <v>13</v>
      </c>
      <c r="AD285" s="76">
        <v>140</v>
      </c>
      <c r="AE285" s="76">
        <v>154</v>
      </c>
      <c r="AF285" s="76">
        <v>3</v>
      </c>
      <c r="AG285" s="76">
        <v>0</v>
      </c>
      <c r="AH285" s="76">
        <v>3</v>
      </c>
      <c r="AI285" s="76">
        <v>4</v>
      </c>
      <c r="AJ285" s="76">
        <v>3</v>
      </c>
      <c r="AK285" s="76">
        <v>594</v>
      </c>
      <c r="AL285" s="76">
        <v>2169</v>
      </c>
      <c r="AM285" s="202"/>
      <c r="AN285" s="77"/>
      <c r="AO285" s="202"/>
      <c r="AP285" s="202"/>
      <c r="AQ285" s="202"/>
      <c r="AR285" s="202"/>
      <c r="AS285" s="202"/>
      <c r="AT285" s="202"/>
      <c r="AU285" s="202"/>
      <c r="AV285" s="202"/>
      <c r="AW285" s="202"/>
      <c r="AX285" s="202"/>
      <c r="AY285" s="202"/>
    </row>
    <row r="286" spans="1:51" x14ac:dyDescent="0.2">
      <c r="A286" s="76">
        <v>12</v>
      </c>
      <c r="B286" s="77" t="s">
        <v>408</v>
      </c>
      <c r="C286" s="76" t="s">
        <v>153</v>
      </c>
      <c r="D286" s="76">
        <v>6</v>
      </c>
      <c r="E286" s="76">
        <v>4</v>
      </c>
      <c r="F286" s="76">
        <v>3.97</v>
      </c>
      <c r="G286" s="76">
        <v>68</v>
      </c>
      <c r="H286" s="76">
        <v>0</v>
      </c>
      <c r="I286" s="76">
        <v>3</v>
      </c>
      <c r="J286" s="76">
        <v>10</v>
      </c>
      <c r="K286" s="76">
        <v>65.2</v>
      </c>
      <c r="L286" s="76">
        <v>65</v>
      </c>
      <c r="M286" s="76">
        <v>30</v>
      </c>
      <c r="N286" s="76">
        <v>29</v>
      </c>
      <c r="O286" s="76">
        <v>6</v>
      </c>
      <c r="P286" s="76">
        <v>30</v>
      </c>
      <c r="Q286" s="76">
        <v>60</v>
      </c>
      <c r="R286" s="76">
        <v>0.25800000000000001</v>
      </c>
      <c r="S286" s="76">
        <v>1.45</v>
      </c>
      <c r="T286" s="76">
        <v>12</v>
      </c>
      <c r="U286" s="77" t="s">
        <v>408</v>
      </c>
      <c r="V286" s="76" t="s">
        <v>153</v>
      </c>
      <c r="W286" s="76">
        <v>0</v>
      </c>
      <c r="X286" s="76">
        <v>0</v>
      </c>
      <c r="Y286" s="76">
        <v>3</v>
      </c>
      <c r="Z286" s="76">
        <v>1</v>
      </c>
      <c r="AA286" s="76">
        <v>13</v>
      </c>
      <c r="AB286" s="76">
        <v>15</v>
      </c>
      <c r="AC286" s="76">
        <v>7</v>
      </c>
      <c r="AD286" s="76">
        <v>76</v>
      </c>
      <c r="AE286" s="76">
        <v>55</v>
      </c>
      <c r="AF286" s="76">
        <v>4</v>
      </c>
      <c r="AG286" s="76">
        <v>0</v>
      </c>
      <c r="AH286" s="76">
        <v>4</v>
      </c>
      <c r="AI286" s="76">
        <v>0</v>
      </c>
      <c r="AJ286" s="76">
        <v>0</v>
      </c>
      <c r="AK286" s="76">
        <v>289</v>
      </c>
      <c r="AL286" s="76">
        <v>1194</v>
      </c>
      <c r="AM286" s="202"/>
      <c r="AN286" s="77"/>
      <c r="AO286" s="202"/>
      <c r="AP286" s="202"/>
      <c r="AQ286" s="202"/>
      <c r="AR286" s="202"/>
      <c r="AS286" s="202"/>
      <c r="AT286" s="202"/>
      <c r="AU286" s="202"/>
      <c r="AV286" s="202"/>
      <c r="AW286" s="202"/>
      <c r="AX286" s="202"/>
      <c r="AY286" s="202"/>
    </row>
    <row r="287" spans="1:51" ht="25.5" x14ac:dyDescent="0.2">
      <c r="A287" s="76">
        <v>13</v>
      </c>
      <c r="B287" s="77" t="s">
        <v>829</v>
      </c>
      <c r="C287" s="76" t="s">
        <v>153</v>
      </c>
      <c r="D287" s="76">
        <v>10</v>
      </c>
      <c r="E287" s="76">
        <v>11</v>
      </c>
      <c r="F287" s="76">
        <v>4.1100000000000003</v>
      </c>
      <c r="G287" s="76">
        <v>31</v>
      </c>
      <c r="H287" s="76">
        <v>31</v>
      </c>
      <c r="I287" s="76">
        <v>0</v>
      </c>
      <c r="J287" s="76">
        <v>0</v>
      </c>
      <c r="K287" s="76">
        <v>186</v>
      </c>
      <c r="L287" s="76">
        <v>196</v>
      </c>
      <c r="M287" s="76">
        <v>87</v>
      </c>
      <c r="N287" s="76">
        <v>85</v>
      </c>
      <c r="O287" s="76">
        <v>22</v>
      </c>
      <c r="P287" s="76">
        <v>47</v>
      </c>
      <c r="Q287" s="76">
        <v>108</v>
      </c>
      <c r="R287" s="76">
        <v>0.27100000000000002</v>
      </c>
      <c r="S287" s="76">
        <v>1.31</v>
      </c>
      <c r="T287" s="76">
        <v>13</v>
      </c>
      <c r="U287" s="77" t="s">
        <v>829</v>
      </c>
      <c r="V287" s="76" t="s">
        <v>153</v>
      </c>
      <c r="W287" s="76">
        <v>2</v>
      </c>
      <c r="X287" s="76">
        <v>1</v>
      </c>
      <c r="Y287" s="76">
        <v>7</v>
      </c>
      <c r="Z287" s="76">
        <v>2</v>
      </c>
      <c r="AA287" s="76">
        <v>0</v>
      </c>
      <c r="AB287" s="76">
        <v>0</v>
      </c>
      <c r="AC287" s="76">
        <v>19</v>
      </c>
      <c r="AD287" s="76">
        <v>260</v>
      </c>
      <c r="AE287" s="76">
        <v>167</v>
      </c>
      <c r="AF287" s="76">
        <v>2</v>
      </c>
      <c r="AG287" s="76">
        <v>0</v>
      </c>
      <c r="AH287" s="76">
        <v>7</v>
      </c>
      <c r="AI287" s="76">
        <v>2</v>
      </c>
      <c r="AJ287" s="76">
        <v>2</v>
      </c>
      <c r="AK287" s="76">
        <v>786</v>
      </c>
      <c r="AL287" s="76">
        <v>2832</v>
      </c>
      <c r="AM287" s="202"/>
      <c r="AN287" s="77"/>
      <c r="AO287" s="202"/>
      <c r="AP287" s="202"/>
      <c r="AQ287" s="202"/>
      <c r="AR287" s="202"/>
      <c r="AS287" s="202"/>
      <c r="AT287" s="202"/>
      <c r="AU287" s="202"/>
      <c r="AV287" s="202"/>
      <c r="AW287" s="202"/>
      <c r="AX287" s="202"/>
      <c r="AY287" s="202"/>
    </row>
    <row r="288" spans="1:51" ht="25.5" x14ac:dyDescent="0.2">
      <c r="A288" s="76">
        <v>14</v>
      </c>
      <c r="B288" s="77" t="s">
        <v>400</v>
      </c>
      <c r="C288" s="76" t="s">
        <v>153</v>
      </c>
      <c r="D288" s="76">
        <v>2</v>
      </c>
      <c r="E288" s="76">
        <v>0</v>
      </c>
      <c r="F288" s="76">
        <v>4.2</v>
      </c>
      <c r="G288" s="76">
        <v>34</v>
      </c>
      <c r="H288" s="76">
        <v>0</v>
      </c>
      <c r="I288" s="76">
        <v>0</v>
      </c>
      <c r="J288" s="76">
        <v>0</v>
      </c>
      <c r="K288" s="76">
        <v>40.200000000000003</v>
      </c>
      <c r="L288" s="76">
        <v>30</v>
      </c>
      <c r="M288" s="76">
        <v>19</v>
      </c>
      <c r="N288" s="76">
        <v>19</v>
      </c>
      <c r="O288" s="76">
        <v>3</v>
      </c>
      <c r="P288" s="76">
        <v>17</v>
      </c>
      <c r="Q288" s="76">
        <v>37</v>
      </c>
      <c r="R288" s="76">
        <v>0.21</v>
      </c>
      <c r="S288" s="76">
        <v>1.1599999999999999</v>
      </c>
      <c r="T288" s="76">
        <v>14</v>
      </c>
      <c r="U288" s="77" t="s">
        <v>400</v>
      </c>
      <c r="V288" s="76" t="s">
        <v>153</v>
      </c>
      <c r="W288" s="76">
        <v>0</v>
      </c>
      <c r="X288" s="76">
        <v>0</v>
      </c>
      <c r="Y288" s="76">
        <v>1</v>
      </c>
      <c r="Z288" s="76">
        <v>0</v>
      </c>
      <c r="AA288" s="76">
        <v>4</v>
      </c>
      <c r="AB288" s="76">
        <v>5</v>
      </c>
      <c r="AC288" s="76">
        <v>5</v>
      </c>
      <c r="AD288" s="76">
        <v>30</v>
      </c>
      <c r="AE288" s="76">
        <v>48</v>
      </c>
      <c r="AF288" s="76">
        <v>2</v>
      </c>
      <c r="AG288" s="76">
        <v>0</v>
      </c>
      <c r="AH288" s="76">
        <v>0</v>
      </c>
      <c r="AI288" s="76">
        <v>1</v>
      </c>
      <c r="AJ288" s="76">
        <v>0</v>
      </c>
      <c r="AK288" s="76">
        <v>163</v>
      </c>
      <c r="AL288" s="76">
        <v>660</v>
      </c>
      <c r="AM288" s="202"/>
      <c r="AN288" s="77"/>
      <c r="AO288" s="202"/>
      <c r="AP288" s="202"/>
      <c r="AQ288" s="202"/>
      <c r="AR288" s="202"/>
      <c r="AS288" s="202"/>
      <c r="AT288" s="202"/>
      <c r="AU288" s="202"/>
      <c r="AV288" s="202"/>
      <c r="AW288" s="202"/>
      <c r="AX288" s="202"/>
      <c r="AY288" s="202"/>
    </row>
    <row r="289" spans="1:51" x14ac:dyDescent="0.2">
      <c r="A289" s="76">
        <v>15</v>
      </c>
      <c r="B289" s="77" t="s">
        <v>1367</v>
      </c>
      <c r="C289" s="76" t="s">
        <v>153</v>
      </c>
      <c r="D289" s="76">
        <v>2</v>
      </c>
      <c r="E289" s="76">
        <v>4</v>
      </c>
      <c r="F289" s="76">
        <v>4.24</v>
      </c>
      <c r="G289" s="76">
        <v>24</v>
      </c>
      <c r="H289" s="76">
        <v>6</v>
      </c>
      <c r="I289" s="76">
        <v>2</v>
      </c>
      <c r="J289" s="76">
        <v>3</v>
      </c>
      <c r="K289" s="76">
        <v>70</v>
      </c>
      <c r="L289" s="76">
        <v>72</v>
      </c>
      <c r="M289" s="76">
        <v>35</v>
      </c>
      <c r="N289" s="76">
        <v>33</v>
      </c>
      <c r="O289" s="76">
        <v>9</v>
      </c>
      <c r="P289" s="76">
        <v>6</v>
      </c>
      <c r="Q289" s="76">
        <v>27</v>
      </c>
      <c r="R289" s="76">
        <v>0.26500000000000001</v>
      </c>
      <c r="S289" s="76">
        <v>1.1100000000000001</v>
      </c>
      <c r="T289" s="76">
        <v>15</v>
      </c>
      <c r="U289" s="77" t="s">
        <v>1367</v>
      </c>
      <c r="V289" s="76" t="s">
        <v>153</v>
      </c>
      <c r="W289" s="76">
        <v>0</v>
      </c>
      <c r="X289" s="76">
        <v>0</v>
      </c>
      <c r="Y289" s="76">
        <v>1</v>
      </c>
      <c r="Z289" s="76">
        <v>0</v>
      </c>
      <c r="AA289" s="76">
        <v>7</v>
      </c>
      <c r="AB289" s="76">
        <v>0</v>
      </c>
      <c r="AC289" s="76">
        <v>6</v>
      </c>
      <c r="AD289" s="76">
        <v>104</v>
      </c>
      <c r="AE289" s="76">
        <v>71</v>
      </c>
      <c r="AF289" s="76">
        <v>2</v>
      </c>
      <c r="AG289" s="76">
        <v>1</v>
      </c>
      <c r="AH289" s="76">
        <v>4</v>
      </c>
      <c r="AI289" s="76">
        <v>0</v>
      </c>
      <c r="AJ289" s="76">
        <v>0</v>
      </c>
      <c r="AK289" s="76">
        <v>281</v>
      </c>
      <c r="AL289" s="76">
        <v>945</v>
      </c>
      <c r="AM289" s="202"/>
      <c r="AN289" s="77"/>
      <c r="AO289" s="202"/>
      <c r="AP289" s="202"/>
      <c r="AQ289" s="202"/>
      <c r="AR289" s="202"/>
      <c r="AS289" s="202"/>
      <c r="AT289" s="202"/>
      <c r="AU289" s="202"/>
      <c r="AV289" s="202"/>
      <c r="AW289" s="202"/>
      <c r="AX289" s="202"/>
      <c r="AY289" s="202"/>
    </row>
    <row r="290" spans="1:51" x14ac:dyDescent="0.2">
      <c r="A290" s="76">
        <v>16</v>
      </c>
      <c r="B290" s="77" t="s">
        <v>1368</v>
      </c>
      <c r="C290" s="76" t="s">
        <v>153</v>
      </c>
      <c r="D290" s="76">
        <v>1</v>
      </c>
      <c r="E290" s="76">
        <v>1</v>
      </c>
      <c r="F290" s="76">
        <v>4.3099999999999996</v>
      </c>
      <c r="G290" s="76">
        <v>24</v>
      </c>
      <c r="H290" s="76">
        <v>6</v>
      </c>
      <c r="I290" s="76">
        <v>0</v>
      </c>
      <c r="J290" s="76">
        <v>0</v>
      </c>
      <c r="K290" s="76">
        <v>56.1</v>
      </c>
      <c r="L290" s="76">
        <v>56</v>
      </c>
      <c r="M290" s="76">
        <v>30</v>
      </c>
      <c r="N290" s="76">
        <v>27</v>
      </c>
      <c r="O290" s="76">
        <v>5</v>
      </c>
      <c r="P290" s="76">
        <v>13</v>
      </c>
      <c r="Q290" s="76">
        <v>55</v>
      </c>
      <c r="R290" s="76">
        <v>0.255</v>
      </c>
      <c r="S290" s="76">
        <v>1.22</v>
      </c>
      <c r="T290" s="76">
        <v>16</v>
      </c>
      <c r="U290" s="77" t="s">
        <v>1368</v>
      </c>
      <c r="V290" s="76" t="s">
        <v>153</v>
      </c>
      <c r="W290" s="76">
        <v>0</v>
      </c>
      <c r="X290" s="76">
        <v>0</v>
      </c>
      <c r="Y290" s="76">
        <v>3</v>
      </c>
      <c r="Z290" s="76">
        <v>1</v>
      </c>
      <c r="AA290" s="76">
        <v>7</v>
      </c>
      <c r="AB290" s="76">
        <v>0</v>
      </c>
      <c r="AC290" s="76">
        <v>3</v>
      </c>
      <c r="AD290" s="76">
        <v>66</v>
      </c>
      <c r="AE290" s="76">
        <v>45</v>
      </c>
      <c r="AF290" s="76">
        <v>2</v>
      </c>
      <c r="AG290" s="76">
        <v>0</v>
      </c>
      <c r="AH290" s="76">
        <v>1</v>
      </c>
      <c r="AI290" s="76">
        <v>1</v>
      </c>
      <c r="AJ290" s="76">
        <v>0</v>
      </c>
      <c r="AK290" s="76">
        <v>238</v>
      </c>
      <c r="AL290" s="76">
        <v>929</v>
      </c>
      <c r="AM290" s="202"/>
      <c r="AN290" s="77"/>
      <c r="AO290" s="202"/>
      <c r="AP290" s="202"/>
      <c r="AQ290" s="202"/>
      <c r="AR290" s="202"/>
      <c r="AS290" s="202"/>
      <c r="AT290" s="202"/>
      <c r="AU290" s="202"/>
      <c r="AV290" s="202"/>
      <c r="AW290" s="202"/>
      <c r="AX290" s="202"/>
      <c r="AY290" s="202"/>
    </row>
    <row r="291" spans="1:51" ht="25.5" x14ac:dyDescent="0.2">
      <c r="A291" s="76">
        <v>17</v>
      </c>
      <c r="B291" s="77" t="s">
        <v>764</v>
      </c>
      <c r="C291" s="76" t="s">
        <v>153</v>
      </c>
      <c r="D291" s="76">
        <v>3</v>
      </c>
      <c r="E291" s="76">
        <v>1</v>
      </c>
      <c r="F291" s="76">
        <v>4.53</v>
      </c>
      <c r="G291" s="76">
        <v>35</v>
      </c>
      <c r="H291" s="76">
        <v>0</v>
      </c>
      <c r="I291" s="76">
        <v>0</v>
      </c>
      <c r="J291" s="76">
        <v>1</v>
      </c>
      <c r="K291" s="76">
        <v>47.2</v>
      </c>
      <c r="L291" s="76">
        <v>37</v>
      </c>
      <c r="M291" s="76">
        <v>24</v>
      </c>
      <c r="N291" s="76">
        <v>24</v>
      </c>
      <c r="O291" s="76">
        <v>6</v>
      </c>
      <c r="P291" s="76">
        <v>17</v>
      </c>
      <c r="Q291" s="76">
        <v>54</v>
      </c>
      <c r="R291" s="76">
        <v>0.216</v>
      </c>
      <c r="S291" s="76">
        <v>1.1299999999999999</v>
      </c>
      <c r="T291" s="76">
        <v>17</v>
      </c>
      <c r="U291" s="77" t="s">
        <v>764</v>
      </c>
      <c r="V291" s="76" t="s">
        <v>153</v>
      </c>
      <c r="W291" s="76">
        <v>0</v>
      </c>
      <c r="X291" s="76">
        <v>0</v>
      </c>
      <c r="Y291" s="76">
        <v>0</v>
      </c>
      <c r="Z291" s="76">
        <v>2</v>
      </c>
      <c r="AA291" s="76">
        <v>11</v>
      </c>
      <c r="AB291" s="76">
        <v>2</v>
      </c>
      <c r="AC291" s="76">
        <v>3</v>
      </c>
      <c r="AD291" s="76">
        <v>62</v>
      </c>
      <c r="AE291" s="76">
        <v>23</v>
      </c>
      <c r="AF291" s="76">
        <v>3</v>
      </c>
      <c r="AG291" s="76">
        <v>0</v>
      </c>
      <c r="AH291" s="76">
        <v>2</v>
      </c>
      <c r="AI291" s="76">
        <v>1</v>
      </c>
      <c r="AJ291" s="76">
        <v>1</v>
      </c>
      <c r="AK291" s="76">
        <v>193</v>
      </c>
      <c r="AL291" s="76">
        <v>731</v>
      </c>
      <c r="AM291" s="202"/>
      <c r="AN291" s="77"/>
      <c r="AO291" s="202"/>
      <c r="AP291" s="202"/>
      <c r="AQ291" s="202"/>
      <c r="AR291" s="202"/>
      <c r="AS291" s="202"/>
      <c r="AT291" s="202"/>
      <c r="AU291" s="202"/>
      <c r="AV291" s="202"/>
      <c r="AW291" s="202"/>
      <c r="AX291" s="202"/>
      <c r="AY291" s="202"/>
    </row>
    <row r="292" spans="1:51" x14ac:dyDescent="0.2">
      <c r="A292" s="76">
        <v>18</v>
      </c>
      <c r="B292" s="77" t="s">
        <v>596</v>
      </c>
      <c r="C292" s="76" t="s">
        <v>153</v>
      </c>
      <c r="D292" s="76">
        <v>5</v>
      </c>
      <c r="E292" s="76">
        <v>11</v>
      </c>
      <c r="F292" s="76">
        <v>5.69</v>
      </c>
      <c r="G292" s="76">
        <v>22</v>
      </c>
      <c r="H292" s="76">
        <v>22</v>
      </c>
      <c r="I292" s="76">
        <v>0</v>
      </c>
      <c r="J292" s="76">
        <v>0</v>
      </c>
      <c r="K292" s="76">
        <v>117</v>
      </c>
      <c r="L292" s="76">
        <v>133</v>
      </c>
      <c r="M292" s="76">
        <v>80</v>
      </c>
      <c r="N292" s="76">
        <v>74</v>
      </c>
      <c r="O292" s="76">
        <v>18</v>
      </c>
      <c r="P292" s="76">
        <v>42</v>
      </c>
      <c r="Q292" s="76">
        <v>94</v>
      </c>
      <c r="R292" s="76">
        <v>0.28599999999999998</v>
      </c>
      <c r="S292" s="76">
        <v>1.5</v>
      </c>
      <c r="T292" s="76">
        <v>18</v>
      </c>
      <c r="U292" s="77" t="s">
        <v>596</v>
      </c>
      <c r="V292" s="76" t="s">
        <v>153</v>
      </c>
      <c r="W292" s="76">
        <v>0</v>
      </c>
      <c r="X292" s="76">
        <v>0</v>
      </c>
      <c r="Y292" s="76">
        <v>2</v>
      </c>
      <c r="Z292" s="76">
        <v>0</v>
      </c>
      <c r="AA292" s="76">
        <v>0</v>
      </c>
      <c r="AB292" s="76">
        <v>0</v>
      </c>
      <c r="AC292" s="76">
        <v>9</v>
      </c>
      <c r="AD292" s="76">
        <v>153</v>
      </c>
      <c r="AE292" s="76">
        <v>92</v>
      </c>
      <c r="AF292" s="76">
        <v>15</v>
      </c>
      <c r="AG292" s="76">
        <v>0</v>
      </c>
      <c r="AH292" s="76">
        <v>4</v>
      </c>
      <c r="AI292" s="76">
        <v>1</v>
      </c>
      <c r="AJ292" s="76">
        <v>0</v>
      </c>
      <c r="AK292" s="76">
        <v>517</v>
      </c>
      <c r="AL292" s="76">
        <v>1947</v>
      </c>
      <c r="AM292" s="202"/>
      <c r="AN292" s="77"/>
      <c r="AO292" s="202"/>
      <c r="AP292" s="202"/>
      <c r="AQ292" s="202"/>
      <c r="AR292" s="202"/>
      <c r="AS292" s="202"/>
      <c r="AT292" s="202"/>
      <c r="AU292" s="202"/>
      <c r="AV292" s="202"/>
      <c r="AW292" s="202"/>
      <c r="AX292" s="202"/>
      <c r="AY292" s="202"/>
    </row>
    <row r="293" spans="1:51" x14ac:dyDescent="0.2">
      <c r="A293" s="76">
        <v>19</v>
      </c>
      <c r="B293" s="77" t="s">
        <v>776</v>
      </c>
      <c r="C293" s="76" t="s">
        <v>153</v>
      </c>
      <c r="D293" s="76">
        <v>2</v>
      </c>
      <c r="E293" s="76">
        <v>4</v>
      </c>
      <c r="F293" s="76">
        <v>6.02</v>
      </c>
      <c r="G293" s="76">
        <v>9</v>
      </c>
      <c r="H293" s="76">
        <v>9</v>
      </c>
      <c r="I293" s="76">
        <v>0</v>
      </c>
      <c r="J293" s="76">
        <v>0</v>
      </c>
      <c r="K293" s="76">
        <v>46.1</v>
      </c>
      <c r="L293" s="76">
        <v>57</v>
      </c>
      <c r="M293" s="76">
        <v>32</v>
      </c>
      <c r="N293" s="76">
        <v>31</v>
      </c>
      <c r="O293" s="76">
        <v>8</v>
      </c>
      <c r="P293" s="76">
        <v>19</v>
      </c>
      <c r="Q293" s="76">
        <v>23</v>
      </c>
      <c r="R293" s="76">
        <v>0.313</v>
      </c>
      <c r="S293" s="76">
        <v>1.64</v>
      </c>
      <c r="T293" s="76">
        <v>19</v>
      </c>
      <c r="U293" s="77" t="s">
        <v>776</v>
      </c>
      <c r="V293" s="76" t="s">
        <v>153</v>
      </c>
      <c r="W293" s="76">
        <v>0</v>
      </c>
      <c r="X293" s="76">
        <v>0</v>
      </c>
      <c r="Y293" s="76">
        <v>0</v>
      </c>
      <c r="Z293" s="76">
        <v>1</v>
      </c>
      <c r="AA293" s="76">
        <v>0</v>
      </c>
      <c r="AB293" s="76">
        <v>0</v>
      </c>
      <c r="AC293" s="76">
        <v>10</v>
      </c>
      <c r="AD293" s="76">
        <v>64</v>
      </c>
      <c r="AE293" s="76">
        <v>40</v>
      </c>
      <c r="AF293" s="76">
        <v>2</v>
      </c>
      <c r="AG293" s="76">
        <v>0</v>
      </c>
      <c r="AH293" s="76">
        <v>7</v>
      </c>
      <c r="AI293" s="76">
        <v>0</v>
      </c>
      <c r="AJ293" s="76">
        <v>0</v>
      </c>
      <c r="AK293" s="76">
        <v>203</v>
      </c>
      <c r="AL293" s="76">
        <v>712</v>
      </c>
      <c r="AM293" s="202"/>
      <c r="AN293" s="77"/>
      <c r="AO293" s="202"/>
      <c r="AP293" s="202"/>
      <c r="AQ293" s="202"/>
      <c r="AR293" s="202"/>
      <c r="AS293" s="202"/>
      <c r="AT293" s="202"/>
      <c r="AU293" s="202"/>
      <c r="AV293" s="202"/>
      <c r="AW293" s="202"/>
      <c r="AX293" s="202"/>
      <c r="AY293" s="202"/>
    </row>
    <row r="294" spans="1:51" ht="25.5" x14ac:dyDescent="0.2">
      <c r="A294" s="76">
        <v>20</v>
      </c>
      <c r="B294" s="77" t="s">
        <v>790</v>
      </c>
      <c r="C294" s="76" t="s">
        <v>153</v>
      </c>
      <c r="D294" s="76">
        <v>0</v>
      </c>
      <c r="E294" s="76">
        <v>2</v>
      </c>
      <c r="F294" s="76">
        <v>6.11</v>
      </c>
      <c r="G294" s="76">
        <v>5</v>
      </c>
      <c r="H294" s="76">
        <v>5</v>
      </c>
      <c r="I294" s="76">
        <v>0</v>
      </c>
      <c r="J294" s="76">
        <v>0</v>
      </c>
      <c r="K294" s="76">
        <v>28</v>
      </c>
      <c r="L294" s="76">
        <v>35</v>
      </c>
      <c r="M294" s="76">
        <v>20</v>
      </c>
      <c r="N294" s="76">
        <v>19</v>
      </c>
      <c r="O294" s="76">
        <v>5</v>
      </c>
      <c r="P294" s="76">
        <v>14</v>
      </c>
      <c r="Q294" s="76">
        <v>23</v>
      </c>
      <c r="R294" s="76">
        <v>0.29399999999999998</v>
      </c>
      <c r="S294" s="76">
        <v>1.75</v>
      </c>
      <c r="T294" s="76">
        <v>20</v>
      </c>
      <c r="U294" s="77" t="s">
        <v>790</v>
      </c>
      <c r="V294" s="76" t="s">
        <v>153</v>
      </c>
      <c r="W294" s="76">
        <v>0</v>
      </c>
      <c r="X294" s="76">
        <v>0</v>
      </c>
      <c r="Y294" s="76">
        <v>0</v>
      </c>
      <c r="Z294" s="76">
        <v>0</v>
      </c>
      <c r="AA294" s="76">
        <v>0</v>
      </c>
      <c r="AB294" s="76">
        <v>0</v>
      </c>
      <c r="AC294" s="76">
        <v>3</v>
      </c>
      <c r="AD294" s="76">
        <v>32</v>
      </c>
      <c r="AE294" s="76">
        <v>29</v>
      </c>
      <c r="AF294" s="76">
        <v>2</v>
      </c>
      <c r="AG294" s="76">
        <v>0</v>
      </c>
      <c r="AH294" s="76">
        <v>1</v>
      </c>
      <c r="AI294" s="76">
        <v>0</v>
      </c>
      <c r="AJ294" s="76">
        <v>0</v>
      </c>
      <c r="AK294" s="76">
        <v>133</v>
      </c>
      <c r="AL294" s="76">
        <v>503</v>
      </c>
      <c r="AM294" s="202"/>
      <c r="AN294" s="77"/>
      <c r="AO294" s="202"/>
      <c r="AP294" s="202"/>
      <c r="AQ294" s="202"/>
      <c r="AR294" s="202"/>
      <c r="AS294" s="202"/>
      <c r="AT294" s="202"/>
      <c r="AU294" s="202"/>
      <c r="AV294" s="202"/>
      <c r="AW294" s="202"/>
      <c r="AX294" s="202"/>
      <c r="AY294" s="202"/>
    </row>
    <row r="295" spans="1:51" ht="25.5" x14ac:dyDescent="0.2">
      <c r="A295" s="76">
        <v>21</v>
      </c>
      <c r="B295" s="77" t="s">
        <v>480</v>
      </c>
      <c r="C295" s="76" t="s">
        <v>153</v>
      </c>
      <c r="D295" s="76">
        <v>2</v>
      </c>
      <c r="E295" s="76">
        <v>4</v>
      </c>
      <c r="F295" s="76">
        <v>6.14</v>
      </c>
      <c r="G295" s="76">
        <v>9</v>
      </c>
      <c r="H295" s="76">
        <v>7</v>
      </c>
      <c r="I295" s="76">
        <v>0</v>
      </c>
      <c r="J295" s="76">
        <v>0</v>
      </c>
      <c r="K295" s="76">
        <v>44</v>
      </c>
      <c r="L295" s="76">
        <v>56</v>
      </c>
      <c r="M295" s="76">
        <v>31</v>
      </c>
      <c r="N295" s="76">
        <v>30</v>
      </c>
      <c r="O295" s="76">
        <v>4</v>
      </c>
      <c r="P295" s="76">
        <v>15</v>
      </c>
      <c r="Q295" s="76">
        <v>23</v>
      </c>
      <c r="R295" s="76">
        <v>0.30599999999999999</v>
      </c>
      <c r="S295" s="76">
        <v>1.61</v>
      </c>
      <c r="T295" s="76">
        <v>21</v>
      </c>
      <c r="U295" s="77" t="s">
        <v>480</v>
      </c>
      <c r="V295" s="76" t="s">
        <v>153</v>
      </c>
      <c r="W295" s="76">
        <v>0</v>
      </c>
      <c r="X295" s="76">
        <v>0</v>
      </c>
      <c r="Y295" s="76">
        <v>1</v>
      </c>
      <c r="Z295" s="76">
        <v>0</v>
      </c>
      <c r="AA295" s="76">
        <v>0</v>
      </c>
      <c r="AB295" s="76">
        <v>0</v>
      </c>
      <c r="AC295" s="76">
        <v>5</v>
      </c>
      <c r="AD295" s="76">
        <v>46</v>
      </c>
      <c r="AE295" s="76">
        <v>58</v>
      </c>
      <c r="AF295" s="76">
        <v>3</v>
      </c>
      <c r="AG295" s="76">
        <v>0</v>
      </c>
      <c r="AH295" s="76">
        <v>1</v>
      </c>
      <c r="AI295" s="76">
        <v>0</v>
      </c>
      <c r="AJ295" s="76">
        <v>0</v>
      </c>
      <c r="AK295" s="76">
        <v>199</v>
      </c>
      <c r="AL295" s="76">
        <v>743</v>
      </c>
      <c r="AM295" s="202"/>
      <c r="AN295" s="77"/>
      <c r="AO295" s="202"/>
      <c r="AP295" s="202"/>
      <c r="AQ295" s="202"/>
      <c r="AR295" s="202"/>
      <c r="AS295" s="202"/>
      <c r="AT295" s="202"/>
      <c r="AU295" s="202"/>
      <c r="AV295" s="202"/>
      <c r="AW295" s="202"/>
      <c r="AX295" s="202"/>
      <c r="AY295" s="202"/>
    </row>
    <row r="296" spans="1:51" ht="25.5" x14ac:dyDescent="0.2">
      <c r="A296" s="76">
        <v>22</v>
      </c>
      <c r="B296" s="77" t="s">
        <v>1369</v>
      </c>
      <c r="C296" s="76" t="s">
        <v>153</v>
      </c>
      <c r="D296" s="76">
        <v>2</v>
      </c>
      <c r="E296" s="76">
        <v>9</v>
      </c>
      <c r="F296" s="76">
        <v>6.5</v>
      </c>
      <c r="G296" s="76">
        <v>14</v>
      </c>
      <c r="H296" s="76">
        <v>14</v>
      </c>
      <c r="I296" s="76">
        <v>0</v>
      </c>
      <c r="J296" s="76">
        <v>0</v>
      </c>
      <c r="K296" s="76">
        <v>72</v>
      </c>
      <c r="L296" s="76">
        <v>83</v>
      </c>
      <c r="M296" s="76">
        <v>54</v>
      </c>
      <c r="N296" s="76">
        <v>52</v>
      </c>
      <c r="O296" s="76">
        <v>9</v>
      </c>
      <c r="P296" s="76">
        <v>33</v>
      </c>
      <c r="Q296" s="76">
        <v>71</v>
      </c>
      <c r="R296" s="76">
        <v>0.28399999999999997</v>
      </c>
      <c r="S296" s="76">
        <v>1.61</v>
      </c>
      <c r="T296" s="76">
        <v>22</v>
      </c>
      <c r="U296" s="77" t="s">
        <v>1369</v>
      </c>
      <c r="V296" s="76" t="s">
        <v>153</v>
      </c>
      <c r="W296" s="76">
        <v>0</v>
      </c>
      <c r="X296" s="76">
        <v>0</v>
      </c>
      <c r="Y296" s="76">
        <v>4</v>
      </c>
      <c r="Z296" s="76">
        <v>0</v>
      </c>
      <c r="AA296" s="76">
        <v>0</v>
      </c>
      <c r="AB296" s="76">
        <v>0</v>
      </c>
      <c r="AC296" s="76">
        <v>3</v>
      </c>
      <c r="AD296" s="76">
        <v>70</v>
      </c>
      <c r="AE296" s="76">
        <v>71</v>
      </c>
      <c r="AF296" s="76">
        <v>5</v>
      </c>
      <c r="AG296" s="76">
        <v>0</v>
      </c>
      <c r="AH296" s="76">
        <v>1</v>
      </c>
      <c r="AI296" s="76">
        <v>2</v>
      </c>
      <c r="AJ296" s="76">
        <v>0</v>
      </c>
      <c r="AK296" s="76">
        <v>332</v>
      </c>
      <c r="AL296" s="76">
        <v>1309</v>
      </c>
      <c r="AM296" s="202"/>
      <c r="AN296" s="77"/>
      <c r="AO296" s="202"/>
      <c r="AP296" s="202"/>
      <c r="AQ296" s="202"/>
      <c r="AR296" s="202"/>
      <c r="AS296" s="202"/>
      <c r="AT296" s="202"/>
      <c r="AU296" s="202"/>
      <c r="AV296" s="202"/>
      <c r="AW296" s="202"/>
      <c r="AX296" s="202"/>
      <c r="AY296" s="202"/>
    </row>
    <row r="297" spans="1:51" ht="25.5" x14ac:dyDescent="0.2">
      <c r="A297" s="76">
        <v>23</v>
      </c>
      <c r="B297" s="77" t="s">
        <v>458</v>
      </c>
      <c r="C297" s="76" t="s">
        <v>153</v>
      </c>
      <c r="D297" s="76">
        <v>0</v>
      </c>
      <c r="E297" s="76">
        <v>5</v>
      </c>
      <c r="F297" s="76">
        <v>6.98</v>
      </c>
      <c r="G297" s="76">
        <v>9</v>
      </c>
      <c r="H297" s="76">
        <v>9</v>
      </c>
      <c r="I297" s="76">
        <v>0</v>
      </c>
      <c r="J297" s="76">
        <v>0</v>
      </c>
      <c r="K297" s="76">
        <v>38.200000000000003</v>
      </c>
      <c r="L297" s="76">
        <v>55</v>
      </c>
      <c r="M297" s="76">
        <v>32</v>
      </c>
      <c r="N297" s="76">
        <v>30</v>
      </c>
      <c r="O297" s="76">
        <v>8</v>
      </c>
      <c r="P297" s="76">
        <v>21</v>
      </c>
      <c r="Q297" s="76">
        <v>22</v>
      </c>
      <c r="R297" s="76">
        <v>0.32700000000000001</v>
      </c>
      <c r="S297" s="76">
        <v>1.97</v>
      </c>
      <c r="T297" s="76">
        <v>23</v>
      </c>
      <c r="U297" s="77" t="s">
        <v>458</v>
      </c>
      <c r="V297" s="76" t="s">
        <v>153</v>
      </c>
      <c r="W297" s="76">
        <v>0</v>
      </c>
      <c r="X297" s="76">
        <v>0</v>
      </c>
      <c r="Y297" s="76">
        <v>5</v>
      </c>
      <c r="Z297" s="76">
        <v>2</v>
      </c>
      <c r="AA297" s="76">
        <v>0</v>
      </c>
      <c r="AB297" s="76">
        <v>0</v>
      </c>
      <c r="AC297" s="76">
        <v>3</v>
      </c>
      <c r="AD297" s="76">
        <v>40</v>
      </c>
      <c r="AE297" s="76">
        <v>54</v>
      </c>
      <c r="AF297" s="76">
        <v>1</v>
      </c>
      <c r="AG297" s="76">
        <v>0</v>
      </c>
      <c r="AH297" s="76">
        <v>3</v>
      </c>
      <c r="AI297" s="76">
        <v>2</v>
      </c>
      <c r="AJ297" s="76">
        <v>2</v>
      </c>
      <c r="AK297" s="76">
        <v>197</v>
      </c>
      <c r="AL297" s="76">
        <v>735</v>
      </c>
      <c r="AM297" s="202"/>
      <c r="AN297" s="77"/>
      <c r="AO297" s="202"/>
      <c r="AP297" s="202"/>
      <c r="AQ297" s="202"/>
      <c r="AR297" s="202"/>
      <c r="AS297" s="202"/>
      <c r="AT297" s="202"/>
      <c r="AU297" s="202"/>
      <c r="AV297" s="202"/>
      <c r="AW297" s="202"/>
      <c r="AX297" s="202"/>
      <c r="AY297" s="202"/>
    </row>
    <row r="298" spans="1:51" ht="25.5" x14ac:dyDescent="0.2">
      <c r="A298" s="76">
        <v>24</v>
      </c>
      <c r="B298" s="77" t="s">
        <v>1370</v>
      </c>
      <c r="C298" s="76" t="s">
        <v>153</v>
      </c>
      <c r="D298" s="76">
        <v>1</v>
      </c>
      <c r="E298" s="76">
        <v>3</v>
      </c>
      <c r="F298" s="76">
        <v>7.25</v>
      </c>
      <c r="G298" s="76">
        <v>5</v>
      </c>
      <c r="H298" s="76">
        <v>5</v>
      </c>
      <c r="I298" s="76">
        <v>0</v>
      </c>
      <c r="J298" s="76">
        <v>0</v>
      </c>
      <c r="K298" s="76">
        <v>22.1</v>
      </c>
      <c r="L298" s="76">
        <v>31</v>
      </c>
      <c r="M298" s="76">
        <v>18</v>
      </c>
      <c r="N298" s="76">
        <v>18</v>
      </c>
      <c r="O298" s="76">
        <v>9</v>
      </c>
      <c r="P298" s="76">
        <v>4</v>
      </c>
      <c r="Q298" s="76">
        <v>14</v>
      </c>
      <c r="R298" s="76">
        <v>0.33300000000000002</v>
      </c>
      <c r="S298" s="76">
        <v>1.57</v>
      </c>
      <c r="T298" s="76">
        <v>24</v>
      </c>
      <c r="U298" s="77" t="s">
        <v>1370</v>
      </c>
      <c r="V298" s="76" t="s">
        <v>153</v>
      </c>
      <c r="W298" s="76">
        <v>0</v>
      </c>
      <c r="X298" s="76">
        <v>0</v>
      </c>
      <c r="Y298" s="76">
        <v>4</v>
      </c>
      <c r="Z298" s="76">
        <v>0</v>
      </c>
      <c r="AA298" s="76">
        <v>0</v>
      </c>
      <c r="AB298" s="76">
        <v>0</v>
      </c>
      <c r="AC298" s="76">
        <v>2</v>
      </c>
      <c r="AD298" s="76">
        <v>22</v>
      </c>
      <c r="AE298" s="76">
        <v>28</v>
      </c>
      <c r="AF298" s="76">
        <v>1</v>
      </c>
      <c r="AG298" s="76">
        <v>1</v>
      </c>
      <c r="AH298" s="76">
        <v>2</v>
      </c>
      <c r="AI298" s="76">
        <v>0</v>
      </c>
      <c r="AJ298" s="76">
        <v>0</v>
      </c>
      <c r="AK298" s="76">
        <v>103</v>
      </c>
      <c r="AL298" s="76">
        <v>380</v>
      </c>
      <c r="AM298" s="102"/>
      <c r="AN298" s="102"/>
      <c r="AO298" s="102"/>
      <c r="AP298" s="102"/>
      <c r="AQ298" s="102"/>
      <c r="AR298" s="102"/>
      <c r="AS298" s="102"/>
      <c r="AT298" s="102"/>
      <c r="AU298" s="102"/>
      <c r="AV298" s="102"/>
      <c r="AW298" s="102"/>
      <c r="AX298" s="102"/>
      <c r="AY298" s="102"/>
    </row>
    <row r="299" spans="1:51" ht="25.5" x14ac:dyDescent="0.2">
      <c r="A299" s="76">
        <v>25</v>
      </c>
      <c r="B299" s="77" t="s">
        <v>1371</v>
      </c>
      <c r="C299" s="76" t="s">
        <v>153</v>
      </c>
      <c r="D299" s="76">
        <v>0</v>
      </c>
      <c r="E299" s="76">
        <v>0</v>
      </c>
      <c r="F299" s="76">
        <v>9.9499999999999993</v>
      </c>
      <c r="G299" s="76">
        <v>8</v>
      </c>
      <c r="H299" s="76">
        <v>0</v>
      </c>
      <c r="I299" s="76">
        <v>0</v>
      </c>
      <c r="J299" s="76">
        <v>0</v>
      </c>
      <c r="K299" s="76">
        <v>12.2</v>
      </c>
      <c r="L299" s="76">
        <v>18</v>
      </c>
      <c r="M299" s="76">
        <v>15</v>
      </c>
      <c r="N299" s="76">
        <v>14</v>
      </c>
      <c r="O299" s="76">
        <v>3</v>
      </c>
      <c r="P299" s="76">
        <v>9</v>
      </c>
      <c r="Q299" s="76">
        <v>12</v>
      </c>
      <c r="R299" s="76">
        <v>0.32700000000000001</v>
      </c>
      <c r="S299" s="76">
        <v>2.13</v>
      </c>
      <c r="T299" s="76">
        <v>25</v>
      </c>
      <c r="U299" s="77" t="s">
        <v>1371</v>
      </c>
      <c r="V299" s="76" t="s">
        <v>153</v>
      </c>
      <c r="W299" s="76">
        <v>0</v>
      </c>
      <c r="X299" s="76">
        <v>0</v>
      </c>
      <c r="Y299" s="76">
        <v>0</v>
      </c>
      <c r="Z299" s="76">
        <v>0</v>
      </c>
      <c r="AA299" s="76">
        <v>3</v>
      </c>
      <c r="AB299" s="76">
        <v>0</v>
      </c>
      <c r="AC299" s="76">
        <v>0</v>
      </c>
      <c r="AD299" s="76">
        <v>10</v>
      </c>
      <c r="AE299" s="76">
        <v>15</v>
      </c>
      <c r="AF299" s="76">
        <v>2</v>
      </c>
      <c r="AG299" s="76">
        <v>0</v>
      </c>
      <c r="AH299" s="76">
        <v>1</v>
      </c>
      <c r="AI299" s="76">
        <v>0</v>
      </c>
      <c r="AJ299" s="76">
        <v>0</v>
      </c>
      <c r="AK299" s="76">
        <v>64</v>
      </c>
      <c r="AL299" s="76">
        <v>272</v>
      </c>
      <c r="AM299" s="202"/>
      <c r="AN299" s="77"/>
      <c r="AO299" s="202"/>
      <c r="AP299" s="202"/>
      <c r="AQ299" s="202"/>
      <c r="AR299" s="202"/>
      <c r="AS299" s="202"/>
      <c r="AT299" s="202"/>
      <c r="AU299" s="202"/>
      <c r="AV299" s="202"/>
      <c r="AW299" s="202"/>
      <c r="AX299" s="202"/>
      <c r="AY299" s="202"/>
    </row>
    <row r="300" spans="1:51" ht="25.5" x14ac:dyDescent="0.2">
      <c r="A300" s="76">
        <v>26</v>
      </c>
      <c r="B300" s="77" t="s">
        <v>1372</v>
      </c>
      <c r="C300" s="76" t="s">
        <v>153</v>
      </c>
      <c r="D300" s="76">
        <v>0</v>
      </c>
      <c r="E300" s="76">
        <v>0</v>
      </c>
      <c r="F300" s="76">
        <v>10.8</v>
      </c>
      <c r="G300" s="76">
        <v>5</v>
      </c>
      <c r="H300" s="76">
        <v>0</v>
      </c>
      <c r="I300" s="76">
        <v>0</v>
      </c>
      <c r="J300" s="76">
        <v>0</v>
      </c>
      <c r="K300" s="76">
        <v>6.2</v>
      </c>
      <c r="L300" s="76">
        <v>9</v>
      </c>
      <c r="M300" s="76">
        <v>8</v>
      </c>
      <c r="N300" s="76">
        <v>8</v>
      </c>
      <c r="O300" s="76">
        <v>0</v>
      </c>
      <c r="P300" s="76">
        <v>6</v>
      </c>
      <c r="Q300" s="76">
        <v>6</v>
      </c>
      <c r="R300" s="76">
        <v>0.32100000000000001</v>
      </c>
      <c r="S300" s="76">
        <v>2.25</v>
      </c>
      <c r="T300" s="76">
        <v>26</v>
      </c>
      <c r="U300" s="77" t="s">
        <v>1372</v>
      </c>
      <c r="V300" s="76" t="s">
        <v>153</v>
      </c>
      <c r="W300" s="76">
        <v>0</v>
      </c>
      <c r="X300" s="76">
        <v>0</v>
      </c>
      <c r="Y300" s="76">
        <v>0</v>
      </c>
      <c r="Z300" s="76">
        <v>0</v>
      </c>
      <c r="AA300" s="76">
        <v>3</v>
      </c>
      <c r="AB300" s="76">
        <v>0</v>
      </c>
      <c r="AC300" s="76">
        <v>0</v>
      </c>
      <c r="AD300" s="76">
        <v>6</v>
      </c>
      <c r="AE300" s="76">
        <v>8</v>
      </c>
      <c r="AF300" s="76">
        <v>0</v>
      </c>
      <c r="AG300" s="76">
        <v>0</v>
      </c>
      <c r="AH300" s="76">
        <v>0</v>
      </c>
      <c r="AI300" s="76">
        <v>0</v>
      </c>
      <c r="AJ300" s="76">
        <v>0</v>
      </c>
      <c r="AK300" s="76">
        <v>35</v>
      </c>
      <c r="AL300" s="76">
        <v>148</v>
      </c>
      <c r="AM300" s="202"/>
      <c r="AN300" s="77"/>
      <c r="AO300" s="202"/>
      <c r="AP300" s="202"/>
      <c r="AQ300" s="202"/>
      <c r="AR300" s="202"/>
      <c r="AS300" s="202"/>
      <c r="AT300" s="202"/>
      <c r="AU300" s="202"/>
      <c r="AV300" s="202"/>
      <c r="AW300" s="202"/>
      <c r="AX300" s="202"/>
      <c r="AY300" s="202"/>
    </row>
    <row r="301" spans="1:51" ht="25.5" x14ac:dyDescent="0.2">
      <c r="A301" s="76">
        <v>27</v>
      </c>
      <c r="B301" s="77" t="s">
        <v>1373</v>
      </c>
      <c r="C301" s="76" t="s">
        <v>153</v>
      </c>
      <c r="D301" s="76">
        <v>1</v>
      </c>
      <c r="E301" s="76">
        <v>3</v>
      </c>
      <c r="F301" s="76">
        <v>11.47</v>
      </c>
      <c r="G301" s="76">
        <v>7</v>
      </c>
      <c r="H301" s="76">
        <v>5</v>
      </c>
      <c r="I301" s="76">
        <v>0</v>
      </c>
      <c r="J301" s="76">
        <v>0</v>
      </c>
      <c r="K301" s="76">
        <v>24.1</v>
      </c>
      <c r="L301" s="76">
        <v>48</v>
      </c>
      <c r="M301" s="76">
        <v>31</v>
      </c>
      <c r="N301" s="76">
        <v>31</v>
      </c>
      <c r="O301" s="76">
        <v>12</v>
      </c>
      <c r="P301" s="76">
        <v>7</v>
      </c>
      <c r="Q301" s="76">
        <v>17</v>
      </c>
      <c r="R301" s="76">
        <v>0.40699999999999997</v>
      </c>
      <c r="S301" s="76">
        <v>2.2599999999999998</v>
      </c>
      <c r="T301" s="76">
        <v>27</v>
      </c>
      <c r="U301" s="77" t="s">
        <v>1373</v>
      </c>
      <c r="V301" s="76" t="s">
        <v>153</v>
      </c>
      <c r="W301" s="76">
        <v>0</v>
      </c>
      <c r="X301" s="76">
        <v>0</v>
      </c>
      <c r="Y301" s="76">
        <v>1</v>
      </c>
      <c r="Z301" s="76">
        <v>0</v>
      </c>
      <c r="AA301" s="76">
        <v>2</v>
      </c>
      <c r="AB301" s="76">
        <v>0</v>
      </c>
      <c r="AC301" s="76">
        <v>1</v>
      </c>
      <c r="AD301" s="76">
        <v>15</v>
      </c>
      <c r="AE301" s="76">
        <v>40</v>
      </c>
      <c r="AF301" s="76">
        <v>1</v>
      </c>
      <c r="AG301" s="76">
        <v>0</v>
      </c>
      <c r="AH301" s="76">
        <v>1</v>
      </c>
      <c r="AI301" s="76">
        <v>1</v>
      </c>
      <c r="AJ301" s="76">
        <v>1</v>
      </c>
      <c r="AK301" s="76">
        <v>128</v>
      </c>
      <c r="AL301" s="76">
        <v>485</v>
      </c>
      <c r="AM301" s="202"/>
      <c r="AN301" s="77"/>
      <c r="AO301" s="202"/>
      <c r="AP301" s="202"/>
      <c r="AQ301" s="202"/>
      <c r="AR301" s="202"/>
      <c r="AS301" s="202"/>
      <c r="AT301" s="202"/>
      <c r="AU301" s="202"/>
      <c r="AV301" s="202"/>
      <c r="AW301" s="202"/>
      <c r="AX301" s="202"/>
      <c r="AY301" s="202"/>
    </row>
    <row r="302" spans="1:51" x14ac:dyDescent="0.2">
      <c r="A302" s="225" t="s">
        <v>105</v>
      </c>
      <c r="B302" s="225" t="s">
        <v>106</v>
      </c>
      <c r="C302" s="225" t="s">
        <v>157</v>
      </c>
      <c r="D302" s="225" t="s">
        <v>85</v>
      </c>
      <c r="E302" s="225" t="s">
        <v>86</v>
      </c>
      <c r="F302" s="225" t="s">
        <v>107</v>
      </c>
      <c r="G302" s="225" t="s">
        <v>108</v>
      </c>
      <c r="H302" s="225" t="s">
        <v>88</v>
      </c>
      <c r="I302" s="225" t="s">
        <v>90</v>
      </c>
      <c r="J302" s="225" t="s">
        <v>158</v>
      </c>
      <c r="K302" s="225" t="s">
        <v>91</v>
      </c>
      <c r="L302" s="225" t="s">
        <v>92</v>
      </c>
      <c r="M302" s="225" t="s">
        <v>93</v>
      </c>
      <c r="N302" s="225" t="s">
        <v>94</v>
      </c>
      <c r="O302" s="225" t="s">
        <v>95</v>
      </c>
      <c r="P302" s="225" t="s">
        <v>96</v>
      </c>
      <c r="Q302" s="225" t="s">
        <v>97</v>
      </c>
      <c r="R302" s="225" t="s">
        <v>1071</v>
      </c>
      <c r="S302" s="225" t="s">
        <v>1072</v>
      </c>
      <c r="T302" s="225" t="s">
        <v>105</v>
      </c>
      <c r="U302" s="225" t="s">
        <v>106</v>
      </c>
      <c r="V302" s="225" t="s">
        <v>157</v>
      </c>
      <c r="W302" s="225" t="s">
        <v>89</v>
      </c>
      <c r="X302" s="225" t="s">
        <v>1073</v>
      </c>
      <c r="Y302" s="225" t="s">
        <v>1074</v>
      </c>
      <c r="Z302" s="225" t="s">
        <v>98</v>
      </c>
      <c r="AA302" s="225" t="s">
        <v>1075</v>
      </c>
      <c r="AB302" s="225" t="s">
        <v>1076</v>
      </c>
      <c r="AC302" s="225" t="s">
        <v>1077</v>
      </c>
      <c r="AD302" s="225" t="s">
        <v>1066</v>
      </c>
      <c r="AE302" s="225" t="s">
        <v>1067</v>
      </c>
      <c r="AF302" s="225" t="s">
        <v>1078</v>
      </c>
      <c r="AG302" s="225" t="s">
        <v>1079</v>
      </c>
      <c r="AH302" s="225" t="s">
        <v>1057</v>
      </c>
      <c r="AI302" s="225" t="s">
        <v>1058</v>
      </c>
      <c r="AJ302" s="225" t="s">
        <v>1080</v>
      </c>
      <c r="AK302" s="225" t="s">
        <v>109</v>
      </c>
      <c r="AL302" s="225" t="s">
        <v>1069</v>
      </c>
      <c r="AM302" s="202"/>
      <c r="AN302" s="77"/>
      <c r="AO302" s="202"/>
      <c r="AP302" s="202"/>
      <c r="AQ302" s="202"/>
      <c r="AR302" s="202"/>
      <c r="AS302" s="202"/>
      <c r="AT302" s="202"/>
      <c r="AU302" s="202"/>
      <c r="AV302" s="202"/>
      <c r="AW302" s="202"/>
      <c r="AX302" s="202"/>
      <c r="AY302" s="202"/>
    </row>
    <row r="303" spans="1:51" x14ac:dyDescent="0.2">
      <c r="A303" s="76">
        <v>1</v>
      </c>
      <c r="B303" s="77" t="s">
        <v>1176</v>
      </c>
      <c r="C303" s="76" t="s">
        <v>154</v>
      </c>
      <c r="D303" s="76">
        <v>0</v>
      </c>
      <c r="E303" s="76">
        <v>0</v>
      </c>
      <c r="F303" s="76">
        <v>0</v>
      </c>
      <c r="G303" s="76">
        <v>1</v>
      </c>
      <c r="H303" s="76">
        <v>0</v>
      </c>
      <c r="I303" s="76">
        <v>0</v>
      </c>
      <c r="J303" s="76">
        <v>0</v>
      </c>
      <c r="K303" s="76">
        <v>0.2</v>
      </c>
      <c r="L303" s="76">
        <v>1</v>
      </c>
      <c r="M303" s="76">
        <v>0</v>
      </c>
      <c r="N303" s="76">
        <v>0</v>
      </c>
      <c r="O303" s="76">
        <v>0</v>
      </c>
      <c r="P303" s="76">
        <v>1</v>
      </c>
      <c r="Q303" s="76">
        <v>0</v>
      </c>
      <c r="R303" s="76">
        <v>0.33300000000000002</v>
      </c>
      <c r="S303" s="76">
        <v>3</v>
      </c>
      <c r="T303" s="76">
        <v>1</v>
      </c>
      <c r="U303" s="77" t="s">
        <v>1176</v>
      </c>
      <c r="V303" s="76" t="s">
        <v>154</v>
      </c>
      <c r="W303" s="76">
        <v>0</v>
      </c>
      <c r="X303" s="76">
        <v>0</v>
      </c>
      <c r="Y303" s="76">
        <v>0</v>
      </c>
      <c r="Z303" s="76">
        <v>0</v>
      </c>
      <c r="AA303" s="76">
        <v>0</v>
      </c>
      <c r="AB303" s="76">
        <v>1</v>
      </c>
      <c r="AC303" s="76">
        <v>0</v>
      </c>
      <c r="AD303" s="76">
        <v>0</v>
      </c>
      <c r="AE303" s="76">
        <v>2</v>
      </c>
      <c r="AF303" s="76">
        <v>0</v>
      </c>
      <c r="AG303" s="76">
        <v>0</v>
      </c>
      <c r="AH303" s="76">
        <v>0</v>
      </c>
      <c r="AI303" s="76">
        <v>0</v>
      </c>
      <c r="AJ303" s="76">
        <v>0</v>
      </c>
      <c r="AK303" s="76">
        <v>4</v>
      </c>
      <c r="AL303" s="76">
        <v>10</v>
      </c>
      <c r="AM303" s="202"/>
      <c r="AN303" s="77"/>
      <c r="AO303" s="202"/>
      <c r="AP303" s="202"/>
      <c r="AQ303" s="202"/>
      <c r="AR303" s="202"/>
      <c r="AS303" s="202"/>
      <c r="AT303" s="202"/>
      <c r="AU303" s="202"/>
      <c r="AV303" s="202"/>
      <c r="AW303" s="202"/>
      <c r="AX303" s="202"/>
      <c r="AY303" s="202"/>
    </row>
    <row r="304" spans="1:51" x14ac:dyDescent="0.2">
      <c r="A304" s="76">
        <v>1</v>
      </c>
      <c r="B304" s="77" t="s">
        <v>1359</v>
      </c>
      <c r="C304" s="76" t="s">
        <v>154</v>
      </c>
      <c r="D304" s="76">
        <v>0</v>
      </c>
      <c r="E304" s="76">
        <v>0</v>
      </c>
      <c r="F304" s="76">
        <v>0</v>
      </c>
      <c r="G304" s="76">
        <v>1</v>
      </c>
      <c r="H304" s="76">
        <v>0</v>
      </c>
      <c r="I304" s="76">
        <v>0</v>
      </c>
      <c r="J304" s="76">
        <v>0</v>
      </c>
      <c r="K304" s="76">
        <v>1</v>
      </c>
      <c r="L304" s="76">
        <v>1</v>
      </c>
      <c r="M304" s="76">
        <v>0</v>
      </c>
      <c r="N304" s="76">
        <v>0</v>
      </c>
      <c r="O304" s="76">
        <v>0</v>
      </c>
      <c r="P304" s="76">
        <v>1</v>
      </c>
      <c r="Q304" s="76">
        <v>0</v>
      </c>
      <c r="R304" s="76">
        <v>0.25</v>
      </c>
      <c r="S304" s="76">
        <v>2</v>
      </c>
      <c r="T304" s="76">
        <v>1</v>
      </c>
      <c r="U304" s="77" t="s">
        <v>1359</v>
      </c>
      <c r="V304" s="76" t="s">
        <v>154</v>
      </c>
      <c r="W304" s="76">
        <v>0</v>
      </c>
      <c r="X304" s="76">
        <v>0</v>
      </c>
      <c r="Y304" s="76">
        <v>0</v>
      </c>
      <c r="Z304" s="76">
        <v>0</v>
      </c>
      <c r="AA304" s="76">
        <v>0</v>
      </c>
      <c r="AB304" s="76">
        <v>0</v>
      </c>
      <c r="AC304" s="76">
        <v>0</v>
      </c>
      <c r="AD304" s="76">
        <v>2</v>
      </c>
      <c r="AE304" s="76">
        <v>1</v>
      </c>
      <c r="AF304" s="76">
        <v>0</v>
      </c>
      <c r="AG304" s="76">
        <v>0</v>
      </c>
      <c r="AH304" s="76">
        <v>0</v>
      </c>
      <c r="AI304" s="76">
        <v>0</v>
      </c>
      <c r="AJ304" s="76">
        <v>0</v>
      </c>
      <c r="AK304" s="76">
        <v>5</v>
      </c>
      <c r="AL304" s="76">
        <v>26</v>
      </c>
      <c r="AM304" s="202"/>
      <c r="AN304" s="77"/>
      <c r="AO304" s="202"/>
      <c r="AP304" s="202"/>
      <c r="AQ304" s="202"/>
      <c r="AR304" s="202"/>
      <c r="AS304" s="202"/>
      <c r="AT304" s="202"/>
      <c r="AU304" s="202"/>
      <c r="AV304" s="202"/>
      <c r="AW304" s="202"/>
      <c r="AX304" s="202"/>
      <c r="AY304" s="202"/>
    </row>
    <row r="305" spans="1:51" ht="25.5" x14ac:dyDescent="0.2">
      <c r="A305" s="76">
        <v>1</v>
      </c>
      <c r="B305" s="77" t="s">
        <v>1374</v>
      </c>
      <c r="C305" s="76" t="s">
        <v>154</v>
      </c>
      <c r="D305" s="76">
        <v>0</v>
      </c>
      <c r="E305" s="76">
        <v>0</v>
      </c>
      <c r="F305" s="76">
        <v>0</v>
      </c>
      <c r="G305" s="76">
        <v>1</v>
      </c>
      <c r="H305" s="76">
        <v>0</v>
      </c>
      <c r="I305" s="76">
        <v>0</v>
      </c>
      <c r="J305" s="76">
        <v>0</v>
      </c>
      <c r="K305" s="76">
        <v>1</v>
      </c>
      <c r="L305" s="76">
        <v>0</v>
      </c>
      <c r="M305" s="76">
        <v>0</v>
      </c>
      <c r="N305" s="76">
        <v>0</v>
      </c>
      <c r="O305" s="76">
        <v>0</v>
      </c>
      <c r="P305" s="76">
        <v>0</v>
      </c>
      <c r="Q305" s="76">
        <v>0</v>
      </c>
      <c r="R305" s="76">
        <v>0</v>
      </c>
      <c r="S305" s="76">
        <v>0</v>
      </c>
      <c r="T305" s="76">
        <v>1</v>
      </c>
      <c r="U305" s="77" t="s">
        <v>1374</v>
      </c>
      <c r="V305" s="76" t="s">
        <v>154</v>
      </c>
      <c r="W305" s="76">
        <v>0</v>
      </c>
      <c r="X305" s="76">
        <v>0</v>
      </c>
      <c r="Y305" s="76">
        <v>0</v>
      </c>
      <c r="Z305" s="76">
        <v>0</v>
      </c>
      <c r="AA305" s="76">
        <v>1</v>
      </c>
      <c r="AB305" s="76">
        <v>0</v>
      </c>
      <c r="AC305" s="76">
        <v>0</v>
      </c>
      <c r="AD305" s="76">
        <v>2</v>
      </c>
      <c r="AE305" s="76">
        <v>1</v>
      </c>
      <c r="AF305" s="76">
        <v>0</v>
      </c>
      <c r="AG305" s="76">
        <v>0</v>
      </c>
      <c r="AH305" s="76">
        <v>0</v>
      </c>
      <c r="AI305" s="76">
        <v>0</v>
      </c>
      <c r="AJ305" s="76">
        <v>0</v>
      </c>
      <c r="AK305" s="76">
        <v>3</v>
      </c>
      <c r="AL305" s="76">
        <v>8</v>
      </c>
      <c r="AM305" s="202"/>
      <c r="AN305" s="77"/>
      <c r="AO305" s="202"/>
      <c r="AP305" s="202"/>
      <c r="AQ305" s="202"/>
      <c r="AR305" s="202"/>
      <c r="AS305" s="202"/>
      <c r="AT305" s="202"/>
      <c r="AU305" s="202"/>
      <c r="AV305" s="202"/>
      <c r="AW305" s="202"/>
      <c r="AX305" s="202"/>
      <c r="AY305" s="202"/>
    </row>
    <row r="306" spans="1:51" ht="25.5" x14ac:dyDescent="0.2">
      <c r="A306" s="76">
        <v>1</v>
      </c>
      <c r="B306" s="77" t="s">
        <v>603</v>
      </c>
      <c r="C306" s="76" t="s">
        <v>154</v>
      </c>
      <c r="D306" s="76">
        <v>0</v>
      </c>
      <c r="E306" s="76">
        <v>0</v>
      </c>
      <c r="F306" s="76">
        <v>0</v>
      </c>
      <c r="G306" s="76">
        <v>12</v>
      </c>
      <c r="H306" s="76">
        <v>0</v>
      </c>
      <c r="I306" s="76">
        <v>0</v>
      </c>
      <c r="J306" s="76">
        <v>0</v>
      </c>
      <c r="K306" s="76">
        <v>14</v>
      </c>
      <c r="L306" s="76">
        <v>5</v>
      </c>
      <c r="M306" s="76">
        <v>0</v>
      </c>
      <c r="N306" s="76">
        <v>0</v>
      </c>
      <c r="O306" s="76">
        <v>0</v>
      </c>
      <c r="P306" s="76">
        <v>2</v>
      </c>
      <c r="Q306" s="76">
        <v>15</v>
      </c>
      <c r="R306" s="76">
        <v>0.111</v>
      </c>
      <c r="S306" s="76">
        <v>0.5</v>
      </c>
      <c r="T306" s="76">
        <v>1</v>
      </c>
      <c r="U306" s="77" t="s">
        <v>603</v>
      </c>
      <c r="V306" s="76" t="s">
        <v>154</v>
      </c>
      <c r="W306" s="76">
        <v>0</v>
      </c>
      <c r="X306" s="76">
        <v>0</v>
      </c>
      <c r="Y306" s="76">
        <v>1</v>
      </c>
      <c r="Z306" s="76">
        <v>1</v>
      </c>
      <c r="AA306" s="76">
        <v>0</v>
      </c>
      <c r="AB306" s="76">
        <v>3</v>
      </c>
      <c r="AC306" s="76">
        <v>1</v>
      </c>
      <c r="AD306" s="76">
        <v>8</v>
      </c>
      <c r="AE306" s="76">
        <v>18</v>
      </c>
      <c r="AF306" s="76">
        <v>0</v>
      </c>
      <c r="AG306" s="76">
        <v>0</v>
      </c>
      <c r="AH306" s="76">
        <v>1</v>
      </c>
      <c r="AI306" s="76">
        <v>0</v>
      </c>
      <c r="AJ306" s="76">
        <v>0</v>
      </c>
      <c r="AK306" s="76">
        <v>49</v>
      </c>
      <c r="AL306" s="76">
        <v>190</v>
      </c>
      <c r="AM306" s="202"/>
      <c r="AN306" s="77"/>
      <c r="AO306" s="202"/>
      <c r="AP306" s="202"/>
      <c r="AQ306" s="202"/>
      <c r="AR306" s="202"/>
      <c r="AS306" s="202"/>
      <c r="AT306" s="202"/>
      <c r="AU306" s="202"/>
      <c r="AV306" s="202"/>
      <c r="AW306" s="202"/>
      <c r="AX306" s="202"/>
      <c r="AY306" s="202"/>
    </row>
    <row r="307" spans="1:51" ht="25.5" x14ac:dyDescent="0.2">
      <c r="A307" s="76">
        <v>5</v>
      </c>
      <c r="B307" s="77" t="s">
        <v>1375</v>
      </c>
      <c r="C307" s="76" t="s">
        <v>154</v>
      </c>
      <c r="D307" s="76">
        <v>0</v>
      </c>
      <c r="E307" s="76">
        <v>0</v>
      </c>
      <c r="F307" s="76">
        <v>0.73</v>
      </c>
      <c r="G307" s="76">
        <v>15</v>
      </c>
      <c r="H307" s="76">
        <v>0</v>
      </c>
      <c r="I307" s="76">
        <v>0</v>
      </c>
      <c r="J307" s="76">
        <v>1</v>
      </c>
      <c r="K307" s="76">
        <v>12.1</v>
      </c>
      <c r="L307" s="76">
        <v>11</v>
      </c>
      <c r="M307" s="76">
        <v>1</v>
      </c>
      <c r="N307" s="76">
        <v>1</v>
      </c>
      <c r="O307" s="76">
        <v>0</v>
      </c>
      <c r="P307" s="76">
        <v>1</v>
      </c>
      <c r="Q307" s="76">
        <v>10</v>
      </c>
      <c r="R307" s="76">
        <v>0.24399999999999999</v>
      </c>
      <c r="S307" s="76">
        <v>0.97</v>
      </c>
      <c r="T307" s="76">
        <v>5</v>
      </c>
      <c r="U307" s="77" t="s">
        <v>1375</v>
      </c>
      <c r="V307" s="76" t="s">
        <v>154</v>
      </c>
      <c r="W307" s="76">
        <v>0</v>
      </c>
      <c r="X307" s="76">
        <v>0</v>
      </c>
      <c r="Y307" s="76">
        <v>1</v>
      </c>
      <c r="Z307" s="76">
        <v>0</v>
      </c>
      <c r="AA307" s="76">
        <v>7</v>
      </c>
      <c r="AB307" s="76">
        <v>1</v>
      </c>
      <c r="AC307" s="76">
        <v>1</v>
      </c>
      <c r="AD307" s="76">
        <v>16</v>
      </c>
      <c r="AE307" s="76">
        <v>9</v>
      </c>
      <c r="AF307" s="76">
        <v>1</v>
      </c>
      <c r="AG307" s="76">
        <v>0</v>
      </c>
      <c r="AH307" s="76">
        <v>2</v>
      </c>
      <c r="AI307" s="76">
        <v>0</v>
      </c>
      <c r="AJ307" s="76">
        <v>0</v>
      </c>
      <c r="AK307" s="76">
        <v>48</v>
      </c>
      <c r="AL307" s="76">
        <v>172</v>
      </c>
      <c r="AM307" s="202"/>
      <c r="AN307" s="77"/>
      <c r="AO307" s="202"/>
      <c r="AP307" s="202"/>
      <c r="AQ307" s="202"/>
      <c r="AR307" s="202"/>
      <c r="AS307" s="202"/>
      <c r="AT307" s="202"/>
      <c r="AU307" s="202"/>
      <c r="AV307" s="202"/>
      <c r="AW307" s="202"/>
      <c r="AX307" s="202"/>
      <c r="AY307" s="202"/>
    </row>
    <row r="308" spans="1:51" ht="25.5" x14ac:dyDescent="0.2">
      <c r="A308" s="76">
        <v>6</v>
      </c>
      <c r="B308" s="77" t="s">
        <v>1206</v>
      </c>
      <c r="C308" s="76" t="s">
        <v>154</v>
      </c>
      <c r="D308" s="76">
        <v>3</v>
      </c>
      <c r="E308" s="76">
        <v>4</v>
      </c>
      <c r="F308" s="76">
        <v>2.34</v>
      </c>
      <c r="G308" s="76">
        <v>32</v>
      </c>
      <c r="H308" s="76">
        <v>2</v>
      </c>
      <c r="I308" s="76">
        <v>0</v>
      </c>
      <c r="J308" s="76">
        <v>0</v>
      </c>
      <c r="K308" s="76">
        <v>61.2</v>
      </c>
      <c r="L308" s="76">
        <v>49</v>
      </c>
      <c r="M308" s="76">
        <v>18</v>
      </c>
      <c r="N308" s="76">
        <v>16</v>
      </c>
      <c r="O308" s="76">
        <v>3</v>
      </c>
      <c r="P308" s="76">
        <v>18</v>
      </c>
      <c r="Q308" s="76">
        <v>54</v>
      </c>
      <c r="R308" s="76">
        <v>0.22</v>
      </c>
      <c r="S308" s="76">
        <v>1.0900000000000001</v>
      </c>
      <c r="T308" s="76">
        <v>6</v>
      </c>
      <c r="U308" s="77" t="s">
        <v>1206</v>
      </c>
      <c r="V308" s="76" t="s">
        <v>154</v>
      </c>
      <c r="W308" s="76">
        <v>0</v>
      </c>
      <c r="X308" s="76">
        <v>0</v>
      </c>
      <c r="Y308" s="76">
        <v>6</v>
      </c>
      <c r="Z308" s="76">
        <v>2</v>
      </c>
      <c r="AA308" s="76">
        <v>13</v>
      </c>
      <c r="AB308" s="76">
        <v>3</v>
      </c>
      <c r="AC308" s="76">
        <v>8</v>
      </c>
      <c r="AD308" s="76">
        <v>83</v>
      </c>
      <c r="AE308" s="76">
        <v>40</v>
      </c>
      <c r="AF308" s="76">
        <v>5</v>
      </c>
      <c r="AG308" s="76">
        <v>0</v>
      </c>
      <c r="AH308" s="76">
        <v>1</v>
      </c>
      <c r="AI308" s="76">
        <v>2</v>
      </c>
      <c r="AJ308" s="76">
        <v>0</v>
      </c>
      <c r="AK308" s="76">
        <v>250</v>
      </c>
      <c r="AL308" s="76">
        <v>888</v>
      </c>
      <c r="AM308" s="202"/>
      <c r="AN308" s="77"/>
      <c r="AO308" s="202"/>
      <c r="AP308" s="202"/>
      <c r="AQ308" s="202"/>
      <c r="AR308" s="202"/>
      <c r="AS308" s="202"/>
      <c r="AT308" s="202"/>
      <c r="AU308" s="202"/>
      <c r="AV308" s="202"/>
      <c r="AW308" s="202"/>
      <c r="AX308" s="202"/>
      <c r="AY308" s="202"/>
    </row>
    <row r="309" spans="1:51" x14ac:dyDescent="0.2">
      <c r="A309" s="76">
        <v>7</v>
      </c>
      <c r="B309" s="77" t="s">
        <v>1376</v>
      </c>
      <c r="C309" s="76" t="s">
        <v>154</v>
      </c>
      <c r="D309" s="76">
        <v>0</v>
      </c>
      <c r="E309" s="76">
        <v>4</v>
      </c>
      <c r="F309" s="76">
        <v>2.79</v>
      </c>
      <c r="G309" s="76">
        <v>49</v>
      </c>
      <c r="H309" s="76">
        <v>0</v>
      </c>
      <c r="I309" s="76">
        <v>18</v>
      </c>
      <c r="J309" s="76">
        <v>21</v>
      </c>
      <c r="K309" s="76">
        <v>51.2</v>
      </c>
      <c r="L309" s="76">
        <v>45</v>
      </c>
      <c r="M309" s="76">
        <v>16</v>
      </c>
      <c r="N309" s="76">
        <v>16</v>
      </c>
      <c r="O309" s="76">
        <v>5</v>
      </c>
      <c r="P309" s="76">
        <v>15</v>
      </c>
      <c r="Q309" s="76">
        <v>88</v>
      </c>
      <c r="R309" s="76">
        <v>0.22600000000000001</v>
      </c>
      <c r="S309" s="76">
        <v>1.1599999999999999</v>
      </c>
      <c r="T309" s="76">
        <v>7</v>
      </c>
      <c r="U309" s="77" t="s">
        <v>1376</v>
      </c>
      <c r="V309" s="76" t="s">
        <v>154</v>
      </c>
      <c r="W309" s="76">
        <v>0</v>
      </c>
      <c r="X309" s="76">
        <v>0</v>
      </c>
      <c r="Y309" s="76">
        <v>3</v>
      </c>
      <c r="Z309" s="76">
        <v>2</v>
      </c>
      <c r="AA309" s="76">
        <v>23</v>
      </c>
      <c r="AB309" s="76">
        <v>13</v>
      </c>
      <c r="AC309" s="76">
        <v>1</v>
      </c>
      <c r="AD309" s="76">
        <v>35</v>
      </c>
      <c r="AE309" s="76">
        <v>31</v>
      </c>
      <c r="AF309" s="76">
        <v>6</v>
      </c>
      <c r="AG309" s="76">
        <v>1</v>
      </c>
      <c r="AH309" s="76">
        <v>4</v>
      </c>
      <c r="AI309" s="76">
        <v>0</v>
      </c>
      <c r="AJ309" s="76">
        <v>0</v>
      </c>
      <c r="AK309" s="76">
        <v>217</v>
      </c>
      <c r="AL309" s="76">
        <v>831</v>
      </c>
      <c r="AM309" s="202"/>
      <c r="AN309" s="77"/>
      <c r="AO309" s="202"/>
      <c r="AP309" s="202"/>
      <c r="AQ309" s="202"/>
      <c r="AR309" s="202"/>
      <c r="AS309" s="202"/>
      <c r="AT309" s="202"/>
      <c r="AU309" s="202"/>
      <c r="AV309" s="202"/>
      <c r="AW309" s="202"/>
      <c r="AX309" s="202"/>
      <c r="AY309" s="202"/>
    </row>
    <row r="310" spans="1:51" ht="25.5" x14ac:dyDescent="0.2">
      <c r="A310" s="76">
        <v>8</v>
      </c>
      <c r="B310" s="77" t="s">
        <v>386</v>
      </c>
      <c r="C310" s="76" t="s">
        <v>154</v>
      </c>
      <c r="D310" s="76">
        <v>4</v>
      </c>
      <c r="E310" s="76">
        <v>6</v>
      </c>
      <c r="F310" s="76">
        <v>2.81</v>
      </c>
      <c r="G310" s="76">
        <v>62</v>
      </c>
      <c r="H310" s="76">
        <v>0</v>
      </c>
      <c r="I310" s="76">
        <v>25</v>
      </c>
      <c r="J310" s="76">
        <v>32</v>
      </c>
      <c r="K310" s="76">
        <v>64</v>
      </c>
      <c r="L310" s="76">
        <v>44</v>
      </c>
      <c r="M310" s="76">
        <v>21</v>
      </c>
      <c r="N310" s="76">
        <v>20</v>
      </c>
      <c r="O310" s="76">
        <v>8</v>
      </c>
      <c r="P310" s="76">
        <v>21</v>
      </c>
      <c r="Q310" s="76">
        <v>76</v>
      </c>
      <c r="R310" s="76">
        <v>0.19</v>
      </c>
      <c r="S310" s="76">
        <v>1.02</v>
      </c>
      <c r="T310" s="76">
        <v>8</v>
      </c>
      <c r="U310" s="77" t="s">
        <v>386</v>
      </c>
      <c r="V310" s="76" t="s">
        <v>154</v>
      </c>
      <c r="W310" s="76">
        <v>0</v>
      </c>
      <c r="X310" s="76">
        <v>0</v>
      </c>
      <c r="Y310" s="76">
        <v>4</v>
      </c>
      <c r="Z310" s="76">
        <v>2</v>
      </c>
      <c r="AA310" s="76">
        <v>40</v>
      </c>
      <c r="AB310" s="76">
        <v>9</v>
      </c>
      <c r="AC310" s="76">
        <v>2</v>
      </c>
      <c r="AD310" s="76">
        <v>57</v>
      </c>
      <c r="AE310" s="76">
        <v>56</v>
      </c>
      <c r="AF310" s="76">
        <v>4</v>
      </c>
      <c r="AG310" s="76">
        <v>0</v>
      </c>
      <c r="AH310" s="76">
        <v>4</v>
      </c>
      <c r="AI310" s="76">
        <v>2</v>
      </c>
      <c r="AJ310" s="76">
        <v>0</v>
      </c>
      <c r="AK310" s="76">
        <v>258</v>
      </c>
      <c r="AL310" s="76">
        <v>1076</v>
      </c>
      <c r="AM310" s="202"/>
      <c r="AN310" s="77"/>
      <c r="AO310" s="202"/>
      <c r="AP310" s="202"/>
      <c r="AQ310" s="202"/>
      <c r="AR310" s="202"/>
      <c r="AS310" s="202"/>
      <c r="AT310" s="202"/>
      <c r="AU310" s="202"/>
      <c r="AV310" s="202"/>
      <c r="AW310" s="202"/>
      <c r="AX310" s="202"/>
      <c r="AY310" s="202"/>
    </row>
    <row r="311" spans="1:51" x14ac:dyDescent="0.2">
      <c r="A311" s="76">
        <v>9</v>
      </c>
      <c r="B311" s="77" t="s">
        <v>1205</v>
      </c>
      <c r="C311" s="76" t="s">
        <v>154</v>
      </c>
      <c r="D311" s="76">
        <v>1</v>
      </c>
      <c r="E311" s="76">
        <v>0</v>
      </c>
      <c r="F311" s="76">
        <v>3.29</v>
      </c>
      <c r="G311" s="76">
        <v>12</v>
      </c>
      <c r="H311" s="76">
        <v>0</v>
      </c>
      <c r="I311" s="76">
        <v>0</v>
      </c>
      <c r="J311" s="76">
        <v>0</v>
      </c>
      <c r="K311" s="76">
        <v>13.2</v>
      </c>
      <c r="L311" s="76">
        <v>10</v>
      </c>
      <c r="M311" s="76">
        <v>6</v>
      </c>
      <c r="N311" s="76">
        <v>5</v>
      </c>
      <c r="O311" s="76">
        <v>0</v>
      </c>
      <c r="P311" s="76">
        <v>10</v>
      </c>
      <c r="Q311" s="76">
        <v>21</v>
      </c>
      <c r="R311" s="76">
        <v>0.20799999999999999</v>
      </c>
      <c r="S311" s="76">
        <v>1.46</v>
      </c>
      <c r="T311" s="76">
        <v>9</v>
      </c>
      <c r="U311" s="77" t="s">
        <v>1205</v>
      </c>
      <c r="V311" s="76" t="s">
        <v>154</v>
      </c>
      <c r="W311" s="76">
        <v>0</v>
      </c>
      <c r="X311" s="76">
        <v>0</v>
      </c>
      <c r="Y311" s="76">
        <v>1</v>
      </c>
      <c r="Z311" s="76">
        <v>2</v>
      </c>
      <c r="AA311" s="76">
        <v>3</v>
      </c>
      <c r="AB311" s="76">
        <v>1</v>
      </c>
      <c r="AC311" s="76">
        <v>1</v>
      </c>
      <c r="AD311" s="76">
        <v>9</v>
      </c>
      <c r="AE311" s="76">
        <v>9</v>
      </c>
      <c r="AF311" s="76">
        <v>0</v>
      </c>
      <c r="AG311" s="76">
        <v>0</v>
      </c>
      <c r="AH311" s="76">
        <v>0</v>
      </c>
      <c r="AI311" s="76">
        <v>1</v>
      </c>
      <c r="AJ311" s="76">
        <v>0</v>
      </c>
      <c r="AK311" s="76">
        <v>60</v>
      </c>
      <c r="AL311" s="76">
        <v>252</v>
      </c>
      <c r="AM311" s="202"/>
      <c r="AN311" s="77"/>
      <c r="AO311" s="202"/>
      <c r="AP311" s="202"/>
      <c r="AQ311" s="202"/>
      <c r="AR311" s="202"/>
      <c r="AS311" s="202"/>
      <c r="AT311" s="202"/>
      <c r="AU311" s="202"/>
      <c r="AV311" s="202"/>
      <c r="AW311" s="202"/>
      <c r="AX311" s="202"/>
      <c r="AY311" s="202"/>
    </row>
    <row r="312" spans="1:51" x14ac:dyDescent="0.2">
      <c r="A312" s="76">
        <v>10</v>
      </c>
      <c r="B312" s="77" t="s">
        <v>481</v>
      </c>
      <c r="C312" s="76" t="s">
        <v>154</v>
      </c>
      <c r="D312" s="76">
        <v>3</v>
      </c>
      <c r="E312" s="76">
        <v>0</v>
      </c>
      <c r="F312" s="76">
        <v>3.44</v>
      </c>
      <c r="G312" s="76">
        <v>19</v>
      </c>
      <c r="H312" s="76">
        <v>0</v>
      </c>
      <c r="I312" s="76">
        <v>0</v>
      </c>
      <c r="J312" s="76">
        <v>0</v>
      </c>
      <c r="K312" s="76">
        <v>18.100000000000001</v>
      </c>
      <c r="L312" s="76">
        <v>13</v>
      </c>
      <c r="M312" s="76">
        <v>7</v>
      </c>
      <c r="N312" s="76">
        <v>7</v>
      </c>
      <c r="O312" s="76">
        <v>1</v>
      </c>
      <c r="P312" s="76">
        <v>3</v>
      </c>
      <c r="Q312" s="76">
        <v>16</v>
      </c>
      <c r="R312" s="76">
        <v>0.191</v>
      </c>
      <c r="S312" s="76">
        <v>0.87</v>
      </c>
      <c r="T312" s="76">
        <v>10</v>
      </c>
      <c r="U312" s="77" t="s">
        <v>481</v>
      </c>
      <c r="V312" s="76" t="s">
        <v>154</v>
      </c>
      <c r="W312" s="76">
        <v>0</v>
      </c>
      <c r="X312" s="76">
        <v>0</v>
      </c>
      <c r="Y312" s="76">
        <v>1</v>
      </c>
      <c r="Z312" s="76">
        <v>0</v>
      </c>
      <c r="AA312" s="76">
        <v>1</v>
      </c>
      <c r="AB312" s="76">
        <v>2</v>
      </c>
      <c r="AC312" s="76">
        <v>1</v>
      </c>
      <c r="AD312" s="76">
        <v>21</v>
      </c>
      <c r="AE312" s="76">
        <v>18</v>
      </c>
      <c r="AF312" s="76">
        <v>0</v>
      </c>
      <c r="AG312" s="76">
        <v>0</v>
      </c>
      <c r="AH312" s="76">
        <v>1</v>
      </c>
      <c r="AI312" s="76">
        <v>0</v>
      </c>
      <c r="AJ312" s="76">
        <v>0</v>
      </c>
      <c r="AK312" s="76">
        <v>72</v>
      </c>
      <c r="AL312" s="76">
        <v>282</v>
      </c>
      <c r="AM312" s="202"/>
      <c r="AN312" s="77"/>
      <c r="AO312" s="202"/>
      <c r="AP312" s="202"/>
      <c r="AQ312" s="202"/>
      <c r="AR312" s="202"/>
      <c r="AS312" s="202"/>
      <c r="AT312" s="202"/>
      <c r="AU312" s="202"/>
      <c r="AV312" s="202"/>
      <c r="AW312" s="202"/>
      <c r="AX312" s="202"/>
      <c r="AY312" s="202"/>
    </row>
    <row r="313" spans="1:51" x14ac:dyDescent="0.2">
      <c r="A313" s="76">
        <v>11</v>
      </c>
      <c r="B313" s="77" t="s">
        <v>583</v>
      </c>
      <c r="C313" s="76" t="s">
        <v>154</v>
      </c>
      <c r="D313" s="76">
        <v>1</v>
      </c>
      <c r="E313" s="76">
        <v>1</v>
      </c>
      <c r="F313" s="76">
        <v>3.53</v>
      </c>
      <c r="G313" s="76">
        <v>55</v>
      </c>
      <c r="H313" s="76">
        <v>1</v>
      </c>
      <c r="I313" s="76">
        <v>0</v>
      </c>
      <c r="J313" s="76">
        <v>2</v>
      </c>
      <c r="K313" s="76">
        <v>58.2</v>
      </c>
      <c r="L313" s="76">
        <v>67</v>
      </c>
      <c r="M313" s="76">
        <v>23</v>
      </c>
      <c r="N313" s="76">
        <v>23</v>
      </c>
      <c r="O313" s="76">
        <v>11</v>
      </c>
      <c r="P313" s="76">
        <v>11</v>
      </c>
      <c r="Q313" s="76">
        <v>51</v>
      </c>
      <c r="R313" s="76">
        <v>0.28899999999999998</v>
      </c>
      <c r="S313" s="76">
        <v>1.33</v>
      </c>
      <c r="T313" s="76">
        <v>11</v>
      </c>
      <c r="U313" s="77" t="s">
        <v>583</v>
      </c>
      <c r="V313" s="76" t="s">
        <v>154</v>
      </c>
      <c r="W313" s="76">
        <v>0</v>
      </c>
      <c r="X313" s="76">
        <v>0</v>
      </c>
      <c r="Y313" s="76">
        <v>2</v>
      </c>
      <c r="Z313" s="76">
        <v>2</v>
      </c>
      <c r="AA313" s="76">
        <v>14</v>
      </c>
      <c r="AB313" s="76">
        <v>12</v>
      </c>
      <c r="AC313" s="76">
        <v>4</v>
      </c>
      <c r="AD313" s="76">
        <v>51</v>
      </c>
      <c r="AE313" s="76">
        <v>65</v>
      </c>
      <c r="AF313" s="76">
        <v>0</v>
      </c>
      <c r="AG313" s="76">
        <v>2</v>
      </c>
      <c r="AH313" s="76">
        <v>2</v>
      </c>
      <c r="AI313" s="76">
        <v>2</v>
      </c>
      <c r="AJ313" s="76">
        <v>1</v>
      </c>
      <c r="AK313" s="76">
        <v>247</v>
      </c>
      <c r="AL313" s="76">
        <v>938</v>
      </c>
      <c r="AM313" s="202"/>
      <c r="AN313" s="77"/>
      <c r="AO313" s="202"/>
      <c r="AP313" s="202"/>
      <c r="AQ313" s="202"/>
      <c r="AR313" s="202"/>
      <c r="AS313" s="202"/>
      <c r="AT313" s="202"/>
      <c r="AU313" s="202"/>
      <c r="AV313" s="202"/>
      <c r="AW313" s="202"/>
      <c r="AX313" s="202"/>
      <c r="AY313" s="202"/>
    </row>
    <row r="314" spans="1:51" ht="25.5" x14ac:dyDescent="0.2">
      <c r="A314" s="76">
        <v>12</v>
      </c>
      <c r="B314" s="77" t="s">
        <v>1303</v>
      </c>
      <c r="C314" s="76" t="s">
        <v>154</v>
      </c>
      <c r="D314" s="76">
        <v>5</v>
      </c>
      <c r="E314" s="76">
        <v>2</v>
      </c>
      <c r="F314" s="76">
        <v>3.54</v>
      </c>
      <c r="G314" s="76">
        <v>11</v>
      </c>
      <c r="H314" s="76">
        <v>10</v>
      </c>
      <c r="I314" s="76">
        <v>0</v>
      </c>
      <c r="J314" s="76">
        <v>0</v>
      </c>
      <c r="K314" s="76">
        <v>56</v>
      </c>
      <c r="L314" s="76">
        <v>43</v>
      </c>
      <c r="M314" s="76">
        <v>25</v>
      </c>
      <c r="N314" s="76">
        <v>22</v>
      </c>
      <c r="O314" s="76">
        <v>12</v>
      </c>
      <c r="P314" s="76">
        <v>18</v>
      </c>
      <c r="Q314" s="76">
        <v>40</v>
      </c>
      <c r="R314" s="76">
        <v>0.214</v>
      </c>
      <c r="S314" s="76">
        <v>1.0900000000000001</v>
      </c>
      <c r="T314" s="76">
        <v>12</v>
      </c>
      <c r="U314" s="77" t="s">
        <v>1303</v>
      </c>
      <c r="V314" s="76" t="s">
        <v>154</v>
      </c>
      <c r="W314" s="76">
        <v>0</v>
      </c>
      <c r="X314" s="76">
        <v>0</v>
      </c>
      <c r="Y314" s="76">
        <v>0</v>
      </c>
      <c r="Z314" s="76">
        <v>0</v>
      </c>
      <c r="AA314" s="76">
        <v>1</v>
      </c>
      <c r="AB314" s="76">
        <v>0</v>
      </c>
      <c r="AC314" s="76">
        <v>5</v>
      </c>
      <c r="AD314" s="76">
        <v>39</v>
      </c>
      <c r="AE314" s="76">
        <v>81</v>
      </c>
      <c r="AF314" s="76">
        <v>2</v>
      </c>
      <c r="AG314" s="76">
        <v>0</v>
      </c>
      <c r="AH314" s="76">
        <v>0</v>
      </c>
      <c r="AI314" s="76">
        <v>1</v>
      </c>
      <c r="AJ314" s="76">
        <v>1</v>
      </c>
      <c r="AK314" s="76">
        <v>221</v>
      </c>
      <c r="AL314" s="76">
        <v>858</v>
      </c>
      <c r="AM314" s="202"/>
      <c r="AN314" s="77"/>
      <c r="AO314" s="202"/>
      <c r="AP314" s="202"/>
      <c r="AQ314" s="202"/>
      <c r="AR314" s="202"/>
      <c r="AS314" s="202"/>
      <c r="AT314" s="202"/>
      <c r="AU314" s="202"/>
      <c r="AV314" s="202"/>
      <c r="AW314" s="202"/>
      <c r="AX314" s="202"/>
      <c r="AY314" s="202"/>
    </row>
    <row r="315" spans="1:51" ht="25.5" x14ac:dyDescent="0.2">
      <c r="A315" s="76">
        <v>13</v>
      </c>
      <c r="B315" s="77" t="s">
        <v>610</v>
      </c>
      <c r="C315" s="76" t="s">
        <v>154</v>
      </c>
      <c r="D315" s="76">
        <v>0</v>
      </c>
      <c r="E315" s="76">
        <v>1</v>
      </c>
      <c r="F315" s="76">
        <v>3.6</v>
      </c>
      <c r="G315" s="76">
        <v>29</v>
      </c>
      <c r="H315" s="76">
        <v>0</v>
      </c>
      <c r="I315" s="76">
        <v>1</v>
      </c>
      <c r="J315" s="76">
        <v>2</v>
      </c>
      <c r="K315" s="76">
        <v>25</v>
      </c>
      <c r="L315" s="76">
        <v>22</v>
      </c>
      <c r="M315" s="76">
        <v>10</v>
      </c>
      <c r="N315" s="76">
        <v>10</v>
      </c>
      <c r="O315" s="76">
        <v>4</v>
      </c>
      <c r="P315" s="76">
        <v>10</v>
      </c>
      <c r="Q315" s="76">
        <v>17</v>
      </c>
      <c r="R315" s="76">
        <v>0.24399999999999999</v>
      </c>
      <c r="S315" s="76">
        <v>1.28</v>
      </c>
      <c r="T315" s="76">
        <v>13</v>
      </c>
      <c r="U315" s="77" t="s">
        <v>610</v>
      </c>
      <c r="V315" s="76" t="s">
        <v>154</v>
      </c>
      <c r="W315" s="76">
        <v>0</v>
      </c>
      <c r="X315" s="76">
        <v>0</v>
      </c>
      <c r="Y315" s="76">
        <v>0</v>
      </c>
      <c r="Z315" s="76">
        <v>0</v>
      </c>
      <c r="AA315" s="76">
        <v>2</v>
      </c>
      <c r="AB315" s="76">
        <v>9</v>
      </c>
      <c r="AC315" s="76">
        <v>4</v>
      </c>
      <c r="AD315" s="76">
        <v>30</v>
      </c>
      <c r="AE315" s="76">
        <v>21</v>
      </c>
      <c r="AF315" s="76">
        <v>0</v>
      </c>
      <c r="AG315" s="76">
        <v>0</v>
      </c>
      <c r="AH315" s="76">
        <v>2</v>
      </c>
      <c r="AI315" s="76">
        <v>2</v>
      </c>
      <c r="AJ315" s="76">
        <v>0</v>
      </c>
      <c r="AK315" s="76">
        <v>100</v>
      </c>
      <c r="AL315" s="76">
        <v>405</v>
      </c>
      <c r="AM315" s="202"/>
      <c r="AN315" s="77"/>
      <c r="AO315" s="202"/>
      <c r="AP315" s="202"/>
      <c r="AQ315" s="202"/>
      <c r="AR315" s="202"/>
      <c r="AS315" s="202"/>
      <c r="AT315" s="202"/>
      <c r="AU315" s="202"/>
      <c r="AV315" s="202"/>
      <c r="AW315" s="202"/>
      <c r="AX315" s="202"/>
      <c r="AY315" s="202"/>
    </row>
    <row r="316" spans="1:51" ht="25.5" x14ac:dyDescent="0.2">
      <c r="A316" s="76">
        <v>14</v>
      </c>
      <c r="B316" s="77" t="s">
        <v>389</v>
      </c>
      <c r="C316" s="76" t="s">
        <v>154</v>
      </c>
      <c r="D316" s="76">
        <v>1</v>
      </c>
      <c r="E316" s="76">
        <v>1</v>
      </c>
      <c r="F316" s="76">
        <v>3.66</v>
      </c>
      <c r="G316" s="76">
        <v>18</v>
      </c>
      <c r="H316" s="76">
        <v>0</v>
      </c>
      <c r="I316" s="76">
        <v>0</v>
      </c>
      <c r="J316" s="76">
        <v>1</v>
      </c>
      <c r="K316" s="76">
        <v>19.2</v>
      </c>
      <c r="L316" s="76">
        <v>21</v>
      </c>
      <c r="M316" s="76">
        <v>14</v>
      </c>
      <c r="N316" s="76">
        <v>8</v>
      </c>
      <c r="O316" s="76">
        <v>3</v>
      </c>
      <c r="P316" s="76">
        <v>11</v>
      </c>
      <c r="Q316" s="76">
        <v>18</v>
      </c>
      <c r="R316" s="76">
        <v>0.26300000000000001</v>
      </c>
      <c r="S316" s="76">
        <v>1.63</v>
      </c>
      <c r="T316" s="76">
        <v>14</v>
      </c>
      <c r="U316" s="77" t="s">
        <v>389</v>
      </c>
      <c r="V316" s="76" t="s">
        <v>154</v>
      </c>
      <c r="W316" s="76">
        <v>0</v>
      </c>
      <c r="X316" s="76">
        <v>0</v>
      </c>
      <c r="Y316" s="76">
        <v>1</v>
      </c>
      <c r="Z316" s="76">
        <v>1</v>
      </c>
      <c r="AA316" s="76">
        <v>2</v>
      </c>
      <c r="AB316" s="76">
        <v>6</v>
      </c>
      <c r="AC316" s="76">
        <v>1</v>
      </c>
      <c r="AD316" s="76">
        <v>18</v>
      </c>
      <c r="AE316" s="76">
        <v>24</v>
      </c>
      <c r="AF316" s="76">
        <v>1</v>
      </c>
      <c r="AG316" s="76">
        <v>0</v>
      </c>
      <c r="AH316" s="76">
        <v>2</v>
      </c>
      <c r="AI316" s="76">
        <v>0</v>
      </c>
      <c r="AJ316" s="76">
        <v>0</v>
      </c>
      <c r="AK316" s="76">
        <v>93</v>
      </c>
      <c r="AL316" s="76">
        <v>368</v>
      </c>
      <c r="AM316" s="202"/>
      <c r="AN316" s="77"/>
      <c r="AO316" s="202"/>
      <c r="AP316" s="202"/>
      <c r="AQ316" s="202"/>
      <c r="AR316" s="202"/>
      <c r="AS316" s="202"/>
      <c r="AT316" s="202"/>
      <c r="AU316" s="202"/>
      <c r="AV316" s="202"/>
      <c r="AW316" s="202"/>
      <c r="AX316" s="202"/>
      <c r="AY316" s="202"/>
    </row>
    <row r="317" spans="1:51" ht="25.5" x14ac:dyDescent="0.2">
      <c r="A317" s="76">
        <v>15</v>
      </c>
      <c r="B317" s="77" t="s">
        <v>438</v>
      </c>
      <c r="C317" s="76" t="s">
        <v>154</v>
      </c>
      <c r="D317" s="76">
        <v>4</v>
      </c>
      <c r="E317" s="76">
        <v>4</v>
      </c>
      <c r="F317" s="76">
        <v>3.73</v>
      </c>
      <c r="G317" s="76">
        <v>60</v>
      </c>
      <c r="H317" s="76">
        <v>0</v>
      </c>
      <c r="I317" s="76">
        <v>3</v>
      </c>
      <c r="J317" s="76">
        <v>9</v>
      </c>
      <c r="K317" s="76">
        <v>60.1</v>
      </c>
      <c r="L317" s="76">
        <v>53</v>
      </c>
      <c r="M317" s="76">
        <v>26</v>
      </c>
      <c r="N317" s="76">
        <v>25</v>
      </c>
      <c r="O317" s="76">
        <v>11</v>
      </c>
      <c r="P317" s="76">
        <v>15</v>
      </c>
      <c r="Q317" s="76">
        <v>65</v>
      </c>
      <c r="R317" s="76">
        <v>0.23100000000000001</v>
      </c>
      <c r="S317" s="76">
        <v>1.1299999999999999</v>
      </c>
      <c r="T317" s="76">
        <v>15</v>
      </c>
      <c r="U317" s="77" t="s">
        <v>438</v>
      </c>
      <c r="V317" s="76" t="s">
        <v>154</v>
      </c>
      <c r="W317" s="76">
        <v>0</v>
      </c>
      <c r="X317" s="76">
        <v>0</v>
      </c>
      <c r="Y317" s="76">
        <v>1</v>
      </c>
      <c r="Z317" s="76">
        <v>5</v>
      </c>
      <c r="AA317" s="76">
        <v>15</v>
      </c>
      <c r="AB317" s="76">
        <v>17</v>
      </c>
      <c r="AC317" s="76">
        <v>4</v>
      </c>
      <c r="AD317" s="76">
        <v>43</v>
      </c>
      <c r="AE317" s="76">
        <v>70</v>
      </c>
      <c r="AF317" s="76">
        <v>0</v>
      </c>
      <c r="AG317" s="76">
        <v>0</v>
      </c>
      <c r="AH317" s="76">
        <v>1</v>
      </c>
      <c r="AI317" s="76">
        <v>0</v>
      </c>
      <c r="AJ317" s="76">
        <v>0</v>
      </c>
      <c r="AK317" s="76">
        <v>247</v>
      </c>
      <c r="AL317" s="76">
        <v>935</v>
      </c>
      <c r="AM317" s="202"/>
      <c r="AN317" s="77"/>
      <c r="AO317" s="202"/>
      <c r="AP317" s="202"/>
      <c r="AQ317" s="202"/>
      <c r="AR317" s="202"/>
      <c r="AS317" s="202"/>
      <c r="AT317" s="202"/>
      <c r="AU317" s="202"/>
      <c r="AV317" s="202"/>
      <c r="AW317" s="202"/>
      <c r="AX317" s="202"/>
      <c r="AY317" s="202"/>
    </row>
    <row r="318" spans="1:51" x14ac:dyDescent="0.2">
      <c r="A318" s="76">
        <v>16</v>
      </c>
      <c r="B318" s="77" t="s">
        <v>605</v>
      </c>
      <c r="C318" s="76" t="s">
        <v>154</v>
      </c>
      <c r="D318" s="76">
        <v>6</v>
      </c>
      <c r="E318" s="76">
        <v>7</v>
      </c>
      <c r="F318" s="76">
        <v>3.79</v>
      </c>
      <c r="G318" s="76">
        <v>20</v>
      </c>
      <c r="H318" s="76">
        <v>20</v>
      </c>
      <c r="I318" s="76">
        <v>0</v>
      </c>
      <c r="J318" s="76">
        <v>0</v>
      </c>
      <c r="K318" s="76">
        <v>121</v>
      </c>
      <c r="L318" s="76">
        <v>134</v>
      </c>
      <c r="M318" s="76">
        <v>62</v>
      </c>
      <c r="N318" s="76">
        <v>51</v>
      </c>
      <c r="O318" s="76">
        <v>9</v>
      </c>
      <c r="P318" s="76">
        <v>24</v>
      </c>
      <c r="Q318" s="76">
        <v>117</v>
      </c>
      <c r="R318" s="76">
        <v>0.27900000000000003</v>
      </c>
      <c r="S318" s="76">
        <v>1.31</v>
      </c>
      <c r="T318" s="76">
        <v>16</v>
      </c>
      <c r="U318" s="77" t="s">
        <v>605</v>
      </c>
      <c r="V318" s="76" t="s">
        <v>154</v>
      </c>
      <c r="W318" s="76">
        <v>0</v>
      </c>
      <c r="X318" s="76">
        <v>0</v>
      </c>
      <c r="Y318" s="76">
        <v>1</v>
      </c>
      <c r="Z318" s="76">
        <v>3</v>
      </c>
      <c r="AA318" s="76">
        <v>0</v>
      </c>
      <c r="AB318" s="76">
        <v>0</v>
      </c>
      <c r="AC318" s="76">
        <v>17</v>
      </c>
      <c r="AD318" s="76">
        <v>126</v>
      </c>
      <c r="AE318" s="76">
        <v>109</v>
      </c>
      <c r="AF318" s="76">
        <v>5</v>
      </c>
      <c r="AG318" s="76">
        <v>0</v>
      </c>
      <c r="AH318" s="76">
        <v>3</v>
      </c>
      <c r="AI318" s="76">
        <v>1</v>
      </c>
      <c r="AJ318" s="76">
        <v>0</v>
      </c>
      <c r="AK318" s="76">
        <v>511</v>
      </c>
      <c r="AL318" s="76">
        <v>1950</v>
      </c>
      <c r="AM318" s="202"/>
      <c r="AN318" s="77"/>
      <c r="AO318" s="202"/>
      <c r="AP318" s="202"/>
      <c r="AQ318" s="202"/>
      <c r="AR318" s="202"/>
      <c r="AS318" s="202"/>
      <c r="AT318" s="202"/>
      <c r="AU318" s="202"/>
      <c r="AV318" s="202"/>
      <c r="AW318" s="202"/>
      <c r="AX318" s="202"/>
      <c r="AY318" s="202"/>
    </row>
    <row r="319" spans="1:51" ht="25.5" x14ac:dyDescent="0.2">
      <c r="A319" s="76">
        <v>17</v>
      </c>
      <c r="B319" s="77" t="s">
        <v>607</v>
      </c>
      <c r="C319" s="76" t="s">
        <v>154</v>
      </c>
      <c r="D319" s="76">
        <v>11</v>
      </c>
      <c r="E319" s="76">
        <v>8</v>
      </c>
      <c r="F319" s="76">
        <v>3.82</v>
      </c>
      <c r="G319" s="76">
        <v>25</v>
      </c>
      <c r="H319" s="76">
        <v>25</v>
      </c>
      <c r="I319" s="76">
        <v>0</v>
      </c>
      <c r="J319" s="76">
        <v>0</v>
      </c>
      <c r="K319" s="76">
        <v>153.1</v>
      </c>
      <c r="L319" s="76">
        <v>138</v>
      </c>
      <c r="M319" s="76">
        <v>76</v>
      </c>
      <c r="N319" s="76">
        <v>65</v>
      </c>
      <c r="O319" s="76">
        <v>19</v>
      </c>
      <c r="P319" s="76">
        <v>65</v>
      </c>
      <c r="Q319" s="76">
        <v>122</v>
      </c>
      <c r="R319" s="76">
        <v>0.23899999999999999</v>
      </c>
      <c r="S319" s="76">
        <v>1.32</v>
      </c>
      <c r="T319" s="76">
        <v>17</v>
      </c>
      <c r="U319" s="77" t="s">
        <v>607</v>
      </c>
      <c r="V319" s="76" t="s">
        <v>154</v>
      </c>
      <c r="W319" s="76">
        <v>0</v>
      </c>
      <c r="X319" s="76">
        <v>0</v>
      </c>
      <c r="Y319" s="76">
        <v>10</v>
      </c>
      <c r="Z319" s="76">
        <v>0</v>
      </c>
      <c r="AA319" s="76">
        <v>0</v>
      </c>
      <c r="AB319" s="76">
        <v>0</v>
      </c>
      <c r="AC319" s="76">
        <v>17</v>
      </c>
      <c r="AD319" s="76">
        <v>191</v>
      </c>
      <c r="AE319" s="76">
        <v>129</v>
      </c>
      <c r="AF319" s="76">
        <v>6</v>
      </c>
      <c r="AG319" s="76">
        <v>0</v>
      </c>
      <c r="AH319" s="76">
        <v>16</v>
      </c>
      <c r="AI319" s="76">
        <v>4</v>
      </c>
      <c r="AJ319" s="76">
        <v>3</v>
      </c>
      <c r="AK319" s="76">
        <v>655</v>
      </c>
      <c r="AL319" s="76">
        <v>2453</v>
      </c>
      <c r="AM319" s="202"/>
      <c r="AN319" s="77"/>
      <c r="AO319" s="202"/>
      <c r="AP319" s="202"/>
      <c r="AQ319" s="202"/>
      <c r="AR319" s="202"/>
      <c r="AS319" s="202"/>
      <c r="AT319" s="202"/>
      <c r="AU319" s="202"/>
      <c r="AV319" s="202"/>
      <c r="AW319" s="202"/>
      <c r="AX319" s="202"/>
      <c r="AY319" s="202"/>
    </row>
    <row r="320" spans="1:51" x14ac:dyDescent="0.2">
      <c r="A320" s="76">
        <v>18</v>
      </c>
      <c r="B320" s="77" t="s">
        <v>761</v>
      </c>
      <c r="C320" s="76" t="s">
        <v>154</v>
      </c>
      <c r="D320" s="76">
        <v>1</v>
      </c>
      <c r="E320" s="76">
        <v>2</v>
      </c>
      <c r="F320" s="76">
        <v>3.86</v>
      </c>
      <c r="G320" s="76">
        <v>9</v>
      </c>
      <c r="H320" s="76">
        <v>2</v>
      </c>
      <c r="I320" s="76">
        <v>0</v>
      </c>
      <c r="J320" s="76">
        <v>0</v>
      </c>
      <c r="K320" s="76">
        <v>25.2</v>
      </c>
      <c r="L320" s="76">
        <v>28</v>
      </c>
      <c r="M320" s="76">
        <v>11</v>
      </c>
      <c r="N320" s="76">
        <v>11</v>
      </c>
      <c r="O320" s="76">
        <v>5</v>
      </c>
      <c r="P320" s="76">
        <v>9</v>
      </c>
      <c r="Q320" s="76">
        <v>15</v>
      </c>
      <c r="R320" s="76">
        <v>0.29799999999999999</v>
      </c>
      <c r="S320" s="76">
        <v>1.44</v>
      </c>
      <c r="T320" s="76">
        <v>18</v>
      </c>
      <c r="U320" s="77" t="s">
        <v>761</v>
      </c>
      <c r="V320" s="76" t="s">
        <v>154</v>
      </c>
      <c r="W320" s="76">
        <v>0</v>
      </c>
      <c r="X320" s="76">
        <v>0</v>
      </c>
      <c r="Y320" s="76">
        <v>1</v>
      </c>
      <c r="Z320" s="76">
        <v>0</v>
      </c>
      <c r="AA320" s="76">
        <v>3</v>
      </c>
      <c r="AB320" s="76">
        <v>0</v>
      </c>
      <c r="AC320" s="76">
        <v>4</v>
      </c>
      <c r="AD320" s="76">
        <v>29</v>
      </c>
      <c r="AE320" s="76">
        <v>25</v>
      </c>
      <c r="AF320" s="76">
        <v>0</v>
      </c>
      <c r="AG320" s="76">
        <v>0</v>
      </c>
      <c r="AH320" s="76">
        <v>0</v>
      </c>
      <c r="AI320" s="76">
        <v>2</v>
      </c>
      <c r="AJ320" s="76">
        <v>0</v>
      </c>
      <c r="AK320" s="76">
        <v>107</v>
      </c>
      <c r="AL320" s="76">
        <v>400</v>
      </c>
      <c r="AM320" s="202"/>
      <c r="AN320" s="77"/>
      <c r="AO320" s="202"/>
      <c r="AP320" s="202"/>
      <c r="AQ320" s="202"/>
      <c r="AR320" s="202"/>
      <c r="AS320" s="202"/>
      <c r="AT320" s="202"/>
      <c r="AU320" s="202"/>
      <c r="AV320" s="202"/>
      <c r="AW320" s="202"/>
      <c r="AX320" s="202"/>
      <c r="AY320" s="202"/>
    </row>
    <row r="321" spans="1:51" ht="25.5" x14ac:dyDescent="0.2">
      <c r="A321" s="76">
        <v>19</v>
      </c>
      <c r="B321" s="77" t="s">
        <v>606</v>
      </c>
      <c r="C321" s="76" t="s">
        <v>154</v>
      </c>
      <c r="D321" s="76">
        <v>16</v>
      </c>
      <c r="E321" s="76">
        <v>12</v>
      </c>
      <c r="F321" s="76">
        <v>4.12</v>
      </c>
      <c r="G321" s="76">
        <v>33</v>
      </c>
      <c r="H321" s="76">
        <v>33</v>
      </c>
      <c r="I321" s="76">
        <v>0</v>
      </c>
      <c r="J321" s="76">
        <v>0</v>
      </c>
      <c r="K321" s="76">
        <v>199</v>
      </c>
      <c r="L321" s="76">
        <v>218</v>
      </c>
      <c r="M321" s="76">
        <v>95</v>
      </c>
      <c r="N321" s="76">
        <v>91</v>
      </c>
      <c r="O321" s="76">
        <v>28</v>
      </c>
      <c r="P321" s="76">
        <v>46</v>
      </c>
      <c r="Q321" s="76">
        <v>147</v>
      </c>
      <c r="R321" s="76">
        <v>0.28199999999999997</v>
      </c>
      <c r="S321" s="76">
        <v>1.33</v>
      </c>
      <c r="T321" s="76">
        <v>19</v>
      </c>
      <c r="U321" s="77" t="s">
        <v>606</v>
      </c>
      <c r="V321" s="76" t="s">
        <v>154</v>
      </c>
      <c r="W321" s="76">
        <v>0</v>
      </c>
      <c r="X321" s="76">
        <v>0</v>
      </c>
      <c r="Y321" s="76">
        <v>5</v>
      </c>
      <c r="Z321" s="76">
        <v>3</v>
      </c>
      <c r="AA321" s="76">
        <v>0</v>
      </c>
      <c r="AB321" s="76">
        <v>0</v>
      </c>
      <c r="AC321" s="76">
        <v>25</v>
      </c>
      <c r="AD321" s="76">
        <v>196</v>
      </c>
      <c r="AE321" s="76">
        <v>224</v>
      </c>
      <c r="AF321" s="76">
        <v>4</v>
      </c>
      <c r="AG321" s="76">
        <v>0</v>
      </c>
      <c r="AH321" s="76">
        <v>8</v>
      </c>
      <c r="AI321" s="76">
        <v>4</v>
      </c>
      <c r="AJ321" s="76">
        <v>1</v>
      </c>
      <c r="AK321" s="76">
        <v>836</v>
      </c>
      <c r="AL321" s="76">
        <v>2981</v>
      </c>
      <c r="AM321" s="202"/>
      <c r="AN321" s="77"/>
      <c r="AO321" s="202"/>
      <c r="AP321" s="202"/>
      <c r="AQ321" s="202"/>
      <c r="AR321" s="202"/>
      <c r="AS321" s="202"/>
      <c r="AT321" s="202"/>
      <c r="AU321" s="202"/>
      <c r="AV321" s="202"/>
      <c r="AW321" s="202"/>
      <c r="AX321" s="202"/>
      <c r="AY321" s="202"/>
    </row>
    <row r="322" spans="1:51" ht="25.5" x14ac:dyDescent="0.2">
      <c r="A322" s="76">
        <v>20</v>
      </c>
      <c r="B322" s="77" t="s">
        <v>608</v>
      </c>
      <c r="C322" s="76" t="s">
        <v>154</v>
      </c>
      <c r="D322" s="76">
        <v>8</v>
      </c>
      <c r="E322" s="76">
        <v>11</v>
      </c>
      <c r="F322" s="76">
        <v>4.22</v>
      </c>
      <c r="G322" s="76">
        <v>25</v>
      </c>
      <c r="H322" s="76">
        <v>25</v>
      </c>
      <c r="I322" s="76">
        <v>0</v>
      </c>
      <c r="J322" s="76">
        <v>0</v>
      </c>
      <c r="K322" s="76">
        <v>134.1</v>
      </c>
      <c r="L322" s="76">
        <v>129</v>
      </c>
      <c r="M322" s="76">
        <v>75</v>
      </c>
      <c r="N322" s="76">
        <v>63</v>
      </c>
      <c r="O322" s="76">
        <v>27</v>
      </c>
      <c r="P322" s="76">
        <v>37</v>
      </c>
      <c r="Q322" s="76">
        <v>119</v>
      </c>
      <c r="R322" s="76">
        <v>0.247</v>
      </c>
      <c r="S322" s="76">
        <v>1.24</v>
      </c>
      <c r="T322" s="76">
        <v>20</v>
      </c>
      <c r="U322" s="77" t="s">
        <v>608</v>
      </c>
      <c r="V322" s="76" t="s">
        <v>154</v>
      </c>
      <c r="W322" s="76">
        <v>1</v>
      </c>
      <c r="X322" s="76">
        <v>1</v>
      </c>
      <c r="Y322" s="76">
        <v>8</v>
      </c>
      <c r="Z322" s="76">
        <v>2</v>
      </c>
      <c r="AA322" s="76">
        <v>0</v>
      </c>
      <c r="AB322" s="76">
        <v>0</v>
      </c>
      <c r="AC322" s="76">
        <v>8</v>
      </c>
      <c r="AD322" s="76">
        <v>143</v>
      </c>
      <c r="AE322" s="76">
        <v>137</v>
      </c>
      <c r="AF322" s="76">
        <v>4</v>
      </c>
      <c r="AG322" s="76">
        <v>1</v>
      </c>
      <c r="AH322" s="76">
        <v>16</v>
      </c>
      <c r="AI322" s="76">
        <v>1</v>
      </c>
      <c r="AJ322" s="76">
        <v>0</v>
      </c>
      <c r="AK322" s="76">
        <v>573</v>
      </c>
      <c r="AL322" s="76">
        <v>2311</v>
      </c>
      <c r="AM322" s="202"/>
      <c r="AN322" s="77"/>
      <c r="AO322" s="202"/>
      <c r="AP322" s="202"/>
      <c r="AQ322" s="202"/>
      <c r="AR322" s="202"/>
      <c r="AS322" s="202"/>
      <c r="AT322" s="202"/>
      <c r="AU322" s="202"/>
      <c r="AV322" s="202"/>
      <c r="AW322" s="202"/>
      <c r="AX322" s="202"/>
      <c r="AY322" s="202"/>
    </row>
    <row r="323" spans="1:51" ht="25.5" x14ac:dyDescent="0.2">
      <c r="A323" s="76">
        <v>21</v>
      </c>
      <c r="B323" s="77" t="s">
        <v>1172</v>
      </c>
      <c r="C323" s="76" t="s">
        <v>154</v>
      </c>
      <c r="D323" s="76">
        <v>1</v>
      </c>
      <c r="E323" s="76">
        <v>0</v>
      </c>
      <c r="F323" s="76">
        <v>4.32</v>
      </c>
      <c r="G323" s="76">
        <v>16</v>
      </c>
      <c r="H323" s="76">
        <v>0</v>
      </c>
      <c r="I323" s="76">
        <v>0</v>
      </c>
      <c r="J323" s="76">
        <v>0</v>
      </c>
      <c r="K323" s="76">
        <v>16.2</v>
      </c>
      <c r="L323" s="76">
        <v>13</v>
      </c>
      <c r="M323" s="76">
        <v>8</v>
      </c>
      <c r="N323" s="76">
        <v>8</v>
      </c>
      <c r="O323" s="76">
        <v>3</v>
      </c>
      <c r="P323" s="76">
        <v>11</v>
      </c>
      <c r="Q323" s="76">
        <v>17</v>
      </c>
      <c r="R323" s="76">
        <v>0.20599999999999999</v>
      </c>
      <c r="S323" s="76">
        <v>1.44</v>
      </c>
      <c r="T323" s="76">
        <v>21</v>
      </c>
      <c r="U323" s="77" t="s">
        <v>1172</v>
      </c>
      <c r="V323" s="76" t="s">
        <v>154</v>
      </c>
      <c r="W323" s="76">
        <v>0</v>
      </c>
      <c r="X323" s="76">
        <v>0</v>
      </c>
      <c r="Y323" s="76">
        <v>0</v>
      </c>
      <c r="Z323" s="76">
        <v>0</v>
      </c>
      <c r="AA323" s="76">
        <v>12</v>
      </c>
      <c r="AB323" s="76">
        <v>1</v>
      </c>
      <c r="AC323" s="76">
        <v>0</v>
      </c>
      <c r="AD323" s="76">
        <v>9</v>
      </c>
      <c r="AE323" s="76">
        <v>25</v>
      </c>
      <c r="AF323" s="76">
        <v>1</v>
      </c>
      <c r="AG323" s="76">
        <v>0</v>
      </c>
      <c r="AH323" s="76">
        <v>1</v>
      </c>
      <c r="AI323" s="76">
        <v>0</v>
      </c>
      <c r="AJ323" s="76">
        <v>0</v>
      </c>
      <c r="AK323" s="76">
        <v>75</v>
      </c>
      <c r="AL323" s="76">
        <v>301</v>
      </c>
      <c r="AM323" s="202"/>
      <c r="AN323" s="77"/>
      <c r="AO323" s="202"/>
      <c r="AP323" s="202"/>
      <c r="AQ323" s="202"/>
      <c r="AR323" s="202"/>
      <c r="AS323" s="202"/>
      <c r="AT323" s="202"/>
      <c r="AU323" s="202"/>
      <c r="AV323" s="202"/>
      <c r="AW323" s="202"/>
      <c r="AX323" s="202"/>
      <c r="AY323" s="202"/>
    </row>
    <row r="324" spans="1:51" ht="25.5" x14ac:dyDescent="0.2">
      <c r="A324" s="76">
        <v>22</v>
      </c>
      <c r="B324" s="77" t="s">
        <v>1377</v>
      </c>
      <c r="C324" s="76" t="s">
        <v>154</v>
      </c>
      <c r="D324" s="76">
        <v>3</v>
      </c>
      <c r="E324" s="76">
        <v>0</v>
      </c>
      <c r="F324" s="76">
        <v>4.5</v>
      </c>
      <c r="G324" s="76">
        <v>11</v>
      </c>
      <c r="H324" s="76">
        <v>8</v>
      </c>
      <c r="I324" s="76">
        <v>1</v>
      </c>
      <c r="J324" s="76">
        <v>1</v>
      </c>
      <c r="K324" s="76">
        <v>50</v>
      </c>
      <c r="L324" s="76">
        <v>52</v>
      </c>
      <c r="M324" s="76">
        <v>27</v>
      </c>
      <c r="N324" s="76">
        <v>25</v>
      </c>
      <c r="O324" s="76">
        <v>14</v>
      </c>
      <c r="P324" s="76">
        <v>9</v>
      </c>
      <c r="Q324" s="76">
        <v>41</v>
      </c>
      <c r="R324" s="76">
        <v>0.26100000000000001</v>
      </c>
      <c r="S324" s="76">
        <v>1.22</v>
      </c>
      <c r="T324" s="76">
        <v>22</v>
      </c>
      <c r="U324" s="77" t="s">
        <v>1377</v>
      </c>
      <c r="V324" s="76" t="s">
        <v>154</v>
      </c>
      <c r="W324" s="76">
        <v>0</v>
      </c>
      <c r="X324" s="76">
        <v>0</v>
      </c>
      <c r="Y324" s="76">
        <v>0</v>
      </c>
      <c r="Z324" s="76">
        <v>0</v>
      </c>
      <c r="AA324" s="76">
        <v>3</v>
      </c>
      <c r="AB324" s="76">
        <v>0</v>
      </c>
      <c r="AC324" s="76">
        <v>4</v>
      </c>
      <c r="AD324" s="76">
        <v>45</v>
      </c>
      <c r="AE324" s="76">
        <v>61</v>
      </c>
      <c r="AF324" s="76">
        <v>0</v>
      </c>
      <c r="AG324" s="76">
        <v>0</v>
      </c>
      <c r="AH324" s="76">
        <v>0</v>
      </c>
      <c r="AI324" s="76">
        <v>1</v>
      </c>
      <c r="AJ324" s="76">
        <v>0</v>
      </c>
      <c r="AK324" s="76">
        <v>208</v>
      </c>
      <c r="AL324" s="76">
        <v>771</v>
      </c>
      <c r="AM324" s="202"/>
      <c r="AN324" s="77"/>
      <c r="AO324" s="202"/>
      <c r="AP324" s="202"/>
      <c r="AQ324" s="202"/>
      <c r="AR324" s="202"/>
      <c r="AS324" s="202"/>
      <c r="AT324" s="202"/>
      <c r="AU324" s="202"/>
      <c r="AV324" s="202"/>
      <c r="AW324" s="202"/>
      <c r="AX324" s="202"/>
      <c r="AY324" s="202"/>
    </row>
    <row r="325" spans="1:51" ht="25.5" x14ac:dyDescent="0.2">
      <c r="A325" s="76">
        <v>23</v>
      </c>
      <c r="B325" s="77" t="s">
        <v>1207</v>
      </c>
      <c r="C325" s="76" t="s">
        <v>154</v>
      </c>
      <c r="D325" s="76">
        <v>0</v>
      </c>
      <c r="E325" s="76">
        <v>0</v>
      </c>
      <c r="F325" s="76">
        <v>4.91</v>
      </c>
      <c r="G325" s="76">
        <v>5</v>
      </c>
      <c r="H325" s="76">
        <v>0</v>
      </c>
      <c r="I325" s="76">
        <v>0</v>
      </c>
      <c r="J325" s="76">
        <v>0</v>
      </c>
      <c r="K325" s="76">
        <v>7.1</v>
      </c>
      <c r="L325" s="76">
        <v>8</v>
      </c>
      <c r="M325" s="76">
        <v>6</v>
      </c>
      <c r="N325" s="76">
        <v>4</v>
      </c>
      <c r="O325" s="76">
        <v>0</v>
      </c>
      <c r="P325" s="76">
        <v>4</v>
      </c>
      <c r="Q325" s="76">
        <v>5</v>
      </c>
      <c r="R325" s="76">
        <v>0.27600000000000002</v>
      </c>
      <c r="S325" s="76">
        <v>1.64</v>
      </c>
      <c r="T325" s="76">
        <v>23</v>
      </c>
      <c r="U325" s="77" t="s">
        <v>1207</v>
      </c>
      <c r="V325" s="76" t="s">
        <v>154</v>
      </c>
      <c r="W325" s="76">
        <v>0</v>
      </c>
      <c r="X325" s="76">
        <v>0</v>
      </c>
      <c r="Y325" s="76">
        <v>0</v>
      </c>
      <c r="Z325" s="76">
        <v>0</v>
      </c>
      <c r="AA325" s="76">
        <v>0</v>
      </c>
      <c r="AB325" s="76">
        <v>0</v>
      </c>
      <c r="AC325" s="76">
        <v>0</v>
      </c>
      <c r="AD325" s="76">
        <v>8</v>
      </c>
      <c r="AE325" s="76">
        <v>9</v>
      </c>
      <c r="AF325" s="76">
        <v>0</v>
      </c>
      <c r="AG325" s="76">
        <v>0</v>
      </c>
      <c r="AH325" s="76">
        <v>2</v>
      </c>
      <c r="AI325" s="76">
        <v>1</v>
      </c>
      <c r="AJ325" s="76">
        <v>0</v>
      </c>
      <c r="AK325" s="76">
        <v>34</v>
      </c>
      <c r="AL325" s="76">
        <v>120</v>
      </c>
      <c r="AM325" s="202"/>
      <c r="AN325" s="77"/>
      <c r="AO325" s="202"/>
      <c r="AP325" s="202"/>
      <c r="AQ325" s="202"/>
      <c r="AR325" s="202"/>
      <c r="AS325" s="202"/>
      <c r="AT325" s="202"/>
      <c r="AU325" s="202"/>
      <c r="AV325" s="202"/>
      <c r="AW325" s="202"/>
      <c r="AX325" s="202"/>
      <c r="AY325" s="202"/>
    </row>
    <row r="326" spans="1:51" x14ac:dyDescent="0.2">
      <c r="A326" s="76">
        <v>24</v>
      </c>
      <c r="B326" s="77" t="s">
        <v>323</v>
      </c>
      <c r="C326" s="76" t="s">
        <v>154</v>
      </c>
      <c r="D326" s="76">
        <v>7</v>
      </c>
      <c r="E326" s="76">
        <v>8</v>
      </c>
      <c r="F326" s="76">
        <v>4.9800000000000004</v>
      </c>
      <c r="G326" s="76">
        <v>19</v>
      </c>
      <c r="H326" s="76">
        <v>19</v>
      </c>
      <c r="I326" s="76">
        <v>0</v>
      </c>
      <c r="J326" s="76">
        <v>0</v>
      </c>
      <c r="K326" s="76">
        <v>112</v>
      </c>
      <c r="L326" s="76">
        <v>117</v>
      </c>
      <c r="M326" s="76">
        <v>62</v>
      </c>
      <c r="N326" s="76">
        <v>62</v>
      </c>
      <c r="O326" s="76">
        <v>18</v>
      </c>
      <c r="P326" s="76">
        <v>34</v>
      </c>
      <c r="Q326" s="76">
        <v>82</v>
      </c>
      <c r="R326" s="76">
        <v>0.27400000000000002</v>
      </c>
      <c r="S326" s="76">
        <v>1.35</v>
      </c>
      <c r="T326" s="76">
        <v>24</v>
      </c>
      <c r="U326" s="77" t="s">
        <v>323</v>
      </c>
      <c r="V326" s="76" t="s">
        <v>154</v>
      </c>
      <c r="W326" s="76">
        <v>1</v>
      </c>
      <c r="X326" s="76">
        <v>1</v>
      </c>
      <c r="Y326" s="76">
        <v>3</v>
      </c>
      <c r="Z326" s="76">
        <v>1</v>
      </c>
      <c r="AA326" s="76">
        <v>0</v>
      </c>
      <c r="AB326" s="76">
        <v>0</v>
      </c>
      <c r="AC326" s="76">
        <v>16</v>
      </c>
      <c r="AD326" s="76">
        <v>129</v>
      </c>
      <c r="AE326" s="76">
        <v>104</v>
      </c>
      <c r="AF326" s="76">
        <v>5</v>
      </c>
      <c r="AG326" s="76">
        <v>2</v>
      </c>
      <c r="AH326" s="76">
        <v>1</v>
      </c>
      <c r="AI326" s="76">
        <v>3</v>
      </c>
      <c r="AJ326" s="76">
        <v>2</v>
      </c>
      <c r="AK326" s="76">
        <v>469</v>
      </c>
      <c r="AL326" s="76">
        <v>1774</v>
      </c>
      <c r="AM326" s="202"/>
      <c r="AN326" s="77"/>
      <c r="AO326" s="202"/>
      <c r="AP326" s="202"/>
      <c r="AQ326" s="202"/>
      <c r="AR326" s="202"/>
      <c r="AS326" s="202"/>
      <c r="AT326" s="202"/>
      <c r="AU326" s="202"/>
      <c r="AV326" s="202"/>
      <c r="AW326" s="202"/>
      <c r="AX326" s="202"/>
      <c r="AY326" s="202"/>
    </row>
    <row r="327" spans="1:51" x14ac:dyDescent="0.2">
      <c r="A327" s="76">
        <v>25</v>
      </c>
      <c r="B327" s="77" t="s">
        <v>484</v>
      </c>
      <c r="C327" s="76" t="s">
        <v>154</v>
      </c>
      <c r="D327" s="76">
        <v>6</v>
      </c>
      <c r="E327" s="76">
        <v>2</v>
      </c>
      <c r="F327" s="76">
        <v>5.15</v>
      </c>
      <c r="G327" s="76">
        <v>22</v>
      </c>
      <c r="H327" s="76">
        <v>15</v>
      </c>
      <c r="I327" s="76">
        <v>1</v>
      </c>
      <c r="J327" s="76">
        <v>1</v>
      </c>
      <c r="K327" s="76">
        <v>94.1</v>
      </c>
      <c r="L327" s="76">
        <v>95</v>
      </c>
      <c r="M327" s="76">
        <v>55</v>
      </c>
      <c r="N327" s="76">
        <v>54</v>
      </c>
      <c r="O327" s="76">
        <v>11</v>
      </c>
      <c r="P327" s="76">
        <v>45</v>
      </c>
      <c r="Q327" s="76">
        <v>101</v>
      </c>
      <c r="R327" s="76">
        <v>0.25900000000000001</v>
      </c>
      <c r="S327" s="76">
        <v>1.48</v>
      </c>
      <c r="T327" s="76">
        <v>25</v>
      </c>
      <c r="U327" s="77" t="s">
        <v>484</v>
      </c>
      <c r="V327" s="76" t="s">
        <v>154</v>
      </c>
      <c r="W327" s="76">
        <v>0</v>
      </c>
      <c r="X327" s="76">
        <v>0</v>
      </c>
      <c r="Y327" s="76">
        <v>3</v>
      </c>
      <c r="Z327" s="76">
        <v>1</v>
      </c>
      <c r="AA327" s="76">
        <v>2</v>
      </c>
      <c r="AB327" s="76">
        <v>0</v>
      </c>
      <c r="AC327" s="76">
        <v>5</v>
      </c>
      <c r="AD327" s="76">
        <v>77</v>
      </c>
      <c r="AE327" s="76">
        <v>96</v>
      </c>
      <c r="AF327" s="76">
        <v>5</v>
      </c>
      <c r="AG327" s="76">
        <v>1</v>
      </c>
      <c r="AH327" s="76">
        <v>12</v>
      </c>
      <c r="AI327" s="76">
        <v>2</v>
      </c>
      <c r="AJ327" s="76">
        <v>0</v>
      </c>
      <c r="AK327" s="76">
        <v>417</v>
      </c>
      <c r="AL327" s="76">
        <v>1679</v>
      </c>
      <c r="AM327" s="102"/>
      <c r="AN327" s="102"/>
      <c r="AO327" s="102"/>
      <c r="AP327" s="102"/>
      <c r="AQ327" s="102"/>
      <c r="AR327" s="102"/>
      <c r="AS327" s="102"/>
      <c r="AT327" s="102"/>
      <c r="AU327" s="102"/>
      <c r="AV327" s="102"/>
      <c r="AW327" s="102"/>
      <c r="AX327" s="102"/>
      <c r="AY327" s="102"/>
    </row>
    <row r="328" spans="1:51" x14ac:dyDescent="0.2">
      <c r="A328" s="76">
        <v>26</v>
      </c>
      <c r="B328" s="77" t="s">
        <v>535</v>
      </c>
      <c r="C328" s="76" t="s">
        <v>154</v>
      </c>
      <c r="D328" s="76">
        <v>1</v>
      </c>
      <c r="E328" s="76">
        <v>1</v>
      </c>
      <c r="F328" s="76">
        <v>5.18</v>
      </c>
      <c r="G328" s="76">
        <v>26</v>
      </c>
      <c r="H328" s="76">
        <v>0</v>
      </c>
      <c r="I328" s="76">
        <v>0</v>
      </c>
      <c r="J328" s="76">
        <v>2</v>
      </c>
      <c r="K328" s="76">
        <v>24.1</v>
      </c>
      <c r="L328" s="76">
        <v>20</v>
      </c>
      <c r="M328" s="76">
        <v>16</v>
      </c>
      <c r="N328" s="76">
        <v>14</v>
      </c>
      <c r="O328" s="76">
        <v>4</v>
      </c>
      <c r="P328" s="76">
        <v>15</v>
      </c>
      <c r="Q328" s="76">
        <v>28</v>
      </c>
      <c r="R328" s="76">
        <v>0.215</v>
      </c>
      <c r="S328" s="76">
        <v>1.44</v>
      </c>
      <c r="T328" s="76">
        <v>26</v>
      </c>
      <c r="U328" s="77" t="s">
        <v>535</v>
      </c>
      <c r="V328" s="76" t="s">
        <v>154</v>
      </c>
      <c r="W328" s="76">
        <v>0</v>
      </c>
      <c r="X328" s="76">
        <v>0</v>
      </c>
      <c r="Y328" s="76">
        <v>1</v>
      </c>
      <c r="Z328" s="76">
        <v>1</v>
      </c>
      <c r="AA328" s="76">
        <v>2</v>
      </c>
      <c r="AB328" s="76">
        <v>8</v>
      </c>
      <c r="AC328" s="76">
        <v>0</v>
      </c>
      <c r="AD328" s="76">
        <v>20</v>
      </c>
      <c r="AE328" s="76">
        <v>27</v>
      </c>
      <c r="AF328" s="76">
        <v>1</v>
      </c>
      <c r="AG328" s="76">
        <v>0</v>
      </c>
      <c r="AH328" s="76">
        <v>0</v>
      </c>
      <c r="AI328" s="76">
        <v>1</v>
      </c>
      <c r="AJ328" s="76">
        <v>0</v>
      </c>
      <c r="AK328" s="76">
        <v>111</v>
      </c>
      <c r="AL328" s="76">
        <v>463</v>
      </c>
      <c r="AM328" s="202"/>
      <c r="AN328" s="77"/>
      <c r="AO328" s="202"/>
      <c r="AP328" s="202"/>
      <c r="AQ328" s="202"/>
      <c r="AR328" s="202"/>
      <c r="AS328" s="202"/>
      <c r="AT328" s="202"/>
      <c r="AU328" s="202"/>
      <c r="AV328" s="202"/>
      <c r="AW328" s="202"/>
      <c r="AX328" s="202"/>
      <c r="AY328" s="202"/>
    </row>
    <row r="329" spans="1:51" x14ac:dyDescent="0.2">
      <c r="A329" s="76">
        <v>27</v>
      </c>
      <c r="B329" s="77" t="s">
        <v>630</v>
      </c>
      <c r="C329" s="76" t="s">
        <v>154</v>
      </c>
      <c r="D329" s="76">
        <v>1</v>
      </c>
      <c r="E329" s="76">
        <v>0</v>
      </c>
      <c r="F329" s="76">
        <v>5.4</v>
      </c>
      <c r="G329" s="76">
        <v>26</v>
      </c>
      <c r="H329" s="76">
        <v>0</v>
      </c>
      <c r="I329" s="76">
        <v>0</v>
      </c>
      <c r="J329" s="76">
        <v>2</v>
      </c>
      <c r="K329" s="76">
        <v>23.1</v>
      </c>
      <c r="L329" s="76">
        <v>24</v>
      </c>
      <c r="M329" s="76">
        <v>14</v>
      </c>
      <c r="N329" s="76">
        <v>14</v>
      </c>
      <c r="O329" s="76">
        <v>7</v>
      </c>
      <c r="P329" s="76">
        <v>7</v>
      </c>
      <c r="Q329" s="76">
        <v>28</v>
      </c>
      <c r="R329" s="76">
        <v>0.26100000000000001</v>
      </c>
      <c r="S329" s="76">
        <v>1.33</v>
      </c>
      <c r="T329" s="76">
        <v>27</v>
      </c>
      <c r="U329" s="77" t="s">
        <v>630</v>
      </c>
      <c r="V329" s="76" t="s">
        <v>154</v>
      </c>
      <c r="W329" s="76">
        <v>0</v>
      </c>
      <c r="X329" s="76">
        <v>0</v>
      </c>
      <c r="Y329" s="76">
        <v>0</v>
      </c>
      <c r="Z329" s="76">
        <v>0</v>
      </c>
      <c r="AA329" s="76">
        <v>5</v>
      </c>
      <c r="AB329" s="76">
        <v>11</v>
      </c>
      <c r="AC329" s="76">
        <v>0</v>
      </c>
      <c r="AD329" s="76">
        <v>10</v>
      </c>
      <c r="AE329" s="76">
        <v>31</v>
      </c>
      <c r="AF329" s="76">
        <v>0</v>
      </c>
      <c r="AG329" s="76">
        <v>0</v>
      </c>
      <c r="AH329" s="76">
        <v>2</v>
      </c>
      <c r="AI329" s="76">
        <v>1</v>
      </c>
      <c r="AJ329" s="76">
        <v>1</v>
      </c>
      <c r="AK329" s="76">
        <v>100</v>
      </c>
      <c r="AL329" s="76">
        <v>412</v>
      </c>
      <c r="AM329" s="202"/>
      <c r="AN329" s="77"/>
      <c r="AO329" s="202"/>
      <c r="AP329" s="202"/>
      <c r="AQ329" s="202"/>
      <c r="AR329" s="202"/>
      <c r="AS329" s="202"/>
      <c r="AT329" s="202"/>
      <c r="AU329" s="202"/>
      <c r="AV329" s="202"/>
      <c r="AW329" s="202"/>
      <c r="AX329" s="202"/>
      <c r="AY329" s="202"/>
    </row>
    <row r="330" spans="1:51" ht="25.5" x14ac:dyDescent="0.2">
      <c r="A330" s="76">
        <v>28</v>
      </c>
      <c r="B330" s="77" t="s">
        <v>1204</v>
      </c>
      <c r="C330" s="76" t="s">
        <v>154</v>
      </c>
      <c r="D330" s="76">
        <v>0</v>
      </c>
      <c r="E330" s="76">
        <v>0</v>
      </c>
      <c r="F330" s="76">
        <v>6.08</v>
      </c>
      <c r="G330" s="76">
        <v>7</v>
      </c>
      <c r="H330" s="76">
        <v>0</v>
      </c>
      <c r="I330" s="76">
        <v>0</v>
      </c>
      <c r="J330" s="76">
        <v>0</v>
      </c>
      <c r="K330" s="76">
        <v>13.1</v>
      </c>
      <c r="L330" s="76">
        <v>13</v>
      </c>
      <c r="M330" s="76">
        <v>10</v>
      </c>
      <c r="N330" s="76">
        <v>9</v>
      </c>
      <c r="O330" s="76">
        <v>4</v>
      </c>
      <c r="P330" s="76">
        <v>7</v>
      </c>
      <c r="Q330" s="76">
        <v>12</v>
      </c>
      <c r="R330" s="76">
        <v>0.26500000000000001</v>
      </c>
      <c r="S330" s="76">
        <v>1.5</v>
      </c>
      <c r="T330" s="76">
        <v>28</v>
      </c>
      <c r="U330" s="77" t="s">
        <v>1204</v>
      </c>
      <c r="V330" s="76" t="s">
        <v>154</v>
      </c>
      <c r="W330" s="76">
        <v>0</v>
      </c>
      <c r="X330" s="76">
        <v>0</v>
      </c>
      <c r="Y330" s="76">
        <v>1</v>
      </c>
      <c r="Z330" s="76">
        <v>1</v>
      </c>
      <c r="AA330" s="76">
        <v>4</v>
      </c>
      <c r="AB330" s="76">
        <v>0</v>
      </c>
      <c r="AC330" s="76">
        <v>3</v>
      </c>
      <c r="AD330" s="76">
        <v>12</v>
      </c>
      <c r="AE330" s="76">
        <v>13</v>
      </c>
      <c r="AF330" s="76">
        <v>0</v>
      </c>
      <c r="AG330" s="76">
        <v>0</v>
      </c>
      <c r="AH330" s="76">
        <v>0</v>
      </c>
      <c r="AI330" s="76">
        <v>0</v>
      </c>
      <c r="AJ330" s="76">
        <v>0</v>
      </c>
      <c r="AK330" s="76">
        <v>58</v>
      </c>
      <c r="AL330" s="76">
        <v>236</v>
      </c>
      <c r="AM330" s="202"/>
      <c r="AN330" s="77"/>
      <c r="AO330" s="202"/>
      <c r="AP330" s="202"/>
      <c r="AQ330" s="202"/>
      <c r="AR330" s="202"/>
      <c r="AS330" s="202"/>
      <c r="AT330" s="202"/>
      <c r="AU330" s="202"/>
      <c r="AV330" s="202"/>
      <c r="AW330" s="202"/>
      <c r="AX330" s="202"/>
      <c r="AY330" s="202"/>
    </row>
    <row r="331" spans="1:51" ht="25.5" x14ac:dyDescent="0.2">
      <c r="A331" s="76">
        <v>29</v>
      </c>
      <c r="B331" s="77" t="s">
        <v>1210</v>
      </c>
      <c r="C331" s="76" t="s">
        <v>154</v>
      </c>
      <c r="D331" s="76">
        <v>1</v>
      </c>
      <c r="E331" s="76">
        <v>0</v>
      </c>
      <c r="F331" s="76">
        <v>7.71</v>
      </c>
      <c r="G331" s="76">
        <v>11</v>
      </c>
      <c r="H331" s="76">
        <v>0</v>
      </c>
      <c r="I331" s="76">
        <v>0</v>
      </c>
      <c r="J331" s="76">
        <v>0</v>
      </c>
      <c r="K331" s="76">
        <v>9.1</v>
      </c>
      <c r="L331" s="76">
        <v>12</v>
      </c>
      <c r="M331" s="76">
        <v>8</v>
      </c>
      <c r="N331" s="76">
        <v>8</v>
      </c>
      <c r="O331" s="76">
        <v>2</v>
      </c>
      <c r="P331" s="76">
        <v>7</v>
      </c>
      <c r="Q331" s="76">
        <v>6</v>
      </c>
      <c r="R331" s="76">
        <v>0.3</v>
      </c>
      <c r="S331" s="76">
        <v>2.04</v>
      </c>
      <c r="T331" s="76">
        <v>29</v>
      </c>
      <c r="U331" s="77" t="s">
        <v>1210</v>
      </c>
      <c r="V331" s="76" t="s">
        <v>154</v>
      </c>
      <c r="W331" s="76">
        <v>0</v>
      </c>
      <c r="X331" s="76">
        <v>0</v>
      </c>
      <c r="Y331" s="76">
        <v>0</v>
      </c>
      <c r="Z331" s="76">
        <v>1</v>
      </c>
      <c r="AA331" s="76">
        <v>6</v>
      </c>
      <c r="AB331" s="76">
        <v>0</v>
      </c>
      <c r="AC331" s="76">
        <v>0</v>
      </c>
      <c r="AD331" s="76">
        <v>12</v>
      </c>
      <c r="AE331" s="76">
        <v>10</v>
      </c>
      <c r="AF331" s="76">
        <v>1</v>
      </c>
      <c r="AG331" s="76">
        <v>0</v>
      </c>
      <c r="AH331" s="76">
        <v>0</v>
      </c>
      <c r="AI331" s="76">
        <v>1</v>
      </c>
      <c r="AJ331" s="76">
        <v>0</v>
      </c>
      <c r="AK331" s="76">
        <v>47</v>
      </c>
      <c r="AL331" s="76">
        <v>191</v>
      </c>
      <c r="AM331" s="202"/>
      <c r="AN331" s="77"/>
      <c r="AO331" s="202"/>
      <c r="AP331" s="202"/>
      <c r="AQ331" s="202"/>
      <c r="AR331" s="202"/>
      <c r="AS331" s="202"/>
      <c r="AT331" s="202"/>
      <c r="AU331" s="202"/>
      <c r="AV331" s="202"/>
      <c r="AW331" s="202"/>
      <c r="AX331" s="202"/>
      <c r="AY331" s="202"/>
    </row>
    <row r="332" spans="1:51" ht="25.5" x14ac:dyDescent="0.2">
      <c r="A332" s="76">
        <v>29</v>
      </c>
      <c r="B332" s="77" t="s">
        <v>1378</v>
      </c>
      <c r="C332" s="76" t="s">
        <v>154</v>
      </c>
      <c r="D332" s="76">
        <v>0</v>
      </c>
      <c r="E332" s="76">
        <v>1</v>
      </c>
      <c r="F332" s="76">
        <v>7.71</v>
      </c>
      <c r="G332" s="76">
        <v>1</v>
      </c>
      <c r="H332" s="76">
        <v>1</v>
      </c>
      <c r="I332" s="76">
        <v>0</v>
      </c>
      <c r="J332" s="76">
        <v>0</v>
      </c>
      <c r="K332" s="76">
        <v>4.2</v>
      </c>
      <c r="L332" s="76">
        <v>8</v>
      </c>
      <c r="M332" s="76">
        <v>4</v>
      </c>
      <c r="N332" s="76">
        <v>4</v>
      </c>
      <c r="O332" s="76">
        <v>2</v>
      </c>
      <c r="P332" s="76">
        <v>1</v>
      </c>
      <c r="Q332" s="76">
        <v>2</v>
      </c>
      <c r="R332" s="76">
        <v>0.4</v>
      </c>
      <c r="S332" s="76">
        <v>1.93</v>
      </c>
      <c r="T332" s="76">
        <v>29</v>
      </c>
      <c r="U332" s="77" t="s">
        <v>1378</v>
      </c>
      <c r="V332" s="76" t="s">
        <v>154</v>
      </c>
      <c r="W332" s="76">
        <v>0</v>
      </c>
      <c r="X332" s="76">
        <v>0</v>
      </c>
      <c r="Y332" s="76">
        <v>0</v>
      </c>
      <c r="Z332" s="76">
        <v>0</v>
      </c>
      <c r="AA332" s="76">
        <v>0</v>
      </c>
      <c r="AB332" s="76">
        <v>0</v>
      </c>
      <c r="AC332" s="76">
        <v>2</v>
      </c>
      <c r="AD332" s="76">
        <v>4</v>
      </c>
      <c r="AE332" s="76">
        <v>6</v>
      </c>
      <c r="AF332" s="76">
        <v>0</v>
      </c>
      <c r="AG332" s="76">
        <v>0</v>
      </c>
      <c r="AH332" s="76">
        <v>0</v>
      </c>
      <c r="AI332" s="76">
        <v>0</v>
      </c>
      <c r="AJ332" s="76">
        <v>0</v>
      </c>
      <c r="AK332" s="76">
        <v>21</v>
      </c>
      <c r="AL332" s="76">
        <v>85</v>
      </c>
      <c r="AM332" s="202"/>
      <c r="AN332" s="77"/>
      <c r="AO332" s="202"/>
      <c r="AP332" s="202"/>
      <c r="AQ332" s="202"/>
      <c r="AR332" s="202"/>
      <c r="AS332" s="202"/>
      <c r="AT332" s="202"/>
      <c r="AU332" s="202"/>
      <c r="AV332" s="202"/>
      <c r="AW332" s="202"/>
      <c r="AX332" s="202"/>
      <c r="AY332" s="202"/>
    </row>
    <row r="333" spans="1:51" x14ac:dyDescent="0.2">
      <c r="A333" s="76">
        <v>31</v>
      </c>
      <c r="B333" s="77" t="s">
        <v>779</v>
      </c>
      <c r="C333" s="76" t="s">
        <v>154</v>
      </c>
      <c r="D333" s="76">
        <v>2</v>
      </c>
      <c r="E333" s="76">
        <v>0</v>
      </c>
      <c r="F333" s="76">
        <v>8.44</v>
      </c>
      <c r="G333" s="76">
        <v>4</v>
      </c>
      <c r="H333" s="76">
        <v>0</v>
      </c>
      <c r="I333" s="76">
        <v>0</v>
      </c>
      <c r="J333" s="76">
        <v>0</v>
      </c>
      <c r="K333" s="76">
        <v>5.0999999999999996</v>
      </c>
      <c r="L333" s="76">
        <v>7</v>
      </c>
      <c r="M333" s="76">
        <v>5</v>
      </c>
      <c r="N333" s="76">
        <v>5</v>
      </c>
      <c r="O333" s="76">
        <v>1</v>
      </c>
      <c r="P333" s="76">
        <v>2</v>
      </c>
      <c r="Q333" s="76">
        <v>2</v>
      </c>
      <c r="R333" s="76">
        <v>0.29199999999999998</v>
      </c>
      <c r="S333" s="76">
        <v>1.69</v>
      </c>
      <c r="T333" s="76">
        <v>31</v>
      </c>
      <c r="U333" s="77" t="s">
        <v>779</v>
      </c>
      <c r="V333" s="76" t="s">
        <v>154</v>
      </c>
      <c r="W333" s="76">
        <v>0</v>
      </c>
      <c r="X333" s="76">
        <v>0</v>
      </c>
      <c r="Y333" s="76">
        <v>1</v>
      </c>
      <c r="Z333" s="76">
        <v>0</v>
      </c>
      <c r="AA333" s="76">
        <v>1</v>
      </c>
      <c r="AB333" s="76">
        <v>0</v>
      </c>
      <c r="AC333" s="76">
        <v>0</v>
      </c>
      <c r="AD333" s="76">
        <v>14</v>
      </c>
      <c r="AE333" s="76">
        <v>2</v>
      </c>
      <c r="AF333" s="76">
        <v>1</v>
      </c>
      <c r="AG333" s="76">
        <v>0</v>
      </c>
      <c r="AH333" s="76">
        <v>0</v>
      </c>
      <c r="AI333" s="76">
        <v>0</v>
      </c>
      <c r="AJ333" s="76">
        <v>0</v>
      </c>
      <c r="AK333" s="76">
        <v>28</v>
      </c>
      <c r="AL333" s="76">
        <v>89</v>
      </c>
      <c r="AM333" s="202"/>
      <c r="AN333" s="77"/>
      <c r="AO333" s="202"/>
      <c r="AP333" s="202"/>
      <c r="AQ333" s="202"/>
      <c r="AR333" s="202"/>
      <c r="AS333" s="202"/>
      <c r="AT333" s="202"/>
      <c r="AU333" s="202"/>
      <c r="AV333" s="202"/>
      <c r="AW333" s="202"/>
      <c r="AX333" s="202"/>
      <c r="AY333" s="202"/>
    </row>
    <row r="334" spans="1:51" ht="25.5" x14ac:dyDescent="0.2">
      <c r="A334" s="76">
        <v>32</v>
      </c>
      <c r="B334" s="77" t="s">
        <v>781</v>
      </c>
      <c r="C334" s="76" t="s">
        <v>154</v>
      </c>
      <c r="D334" s="76">
        <v>0</v>
      </c>
      <c r="E334" s="76">
        <v>1</v>
      </c>
      <c r="F334" s="76">
        <v>10.8</v>
      </c>
      <c r="G334" s="76">
        <v>1</v>
      </c>
      <c r="H334" s="76">
        <v>1</v>
      </c>
      <c r="I334" s="76">
        <v>0</v>
      </c>
      <c r="J334" s="76">
        <v>0</v>
      </c>
      <c r="K334" s="76">
        <v>5</v>
      </c>
      <c r="L334" s="76">
        <v>9</v>
      </c>
      <c r="M334" s="76">
        <v>6</v>
      </c>
      <c r="N334" s="76">
        <v>6</v>
      </c>
      <c r="O334" s="76">
        <v>1</v>
      </c>
      <c r="P334" s="76">
        <v>0</v>
      </c>
      <c r="Q334" s="76">
        <v>3</v>
      </c>
      <c r="R334" s="76">
        <v>0.39100000000000001</v>
      </c>
      <c r="S334" s="76">
        <v>1.8</v>
      </c>
      <c r="T334" s="76">
        <v>32</v>
      </c>
      <c r="U334" s="77" t="s">
        <v>781</v>
      </c>
      <c r="V334" s="76" t="s">
        <v>154</v>
      </c>
      <c r="W334" s="76">
        <v>0</v>
      </c>
      <c r="X334" s="76">
        <v>0</v>
      </c>
      <c r="Y334" s="76">
        <v>0</v>
      </c>
      <c r="Z334" s="76">
        <v>0</v>
      </c>
      <c r="AA334" s="76">
        <v>0</v>
      </c>
      <c r="AB334" s="76">
        <v>0</v>
      </c>
      <c r="AC334" s="76">
        <v>1</v>
      </c>
      <c r="AD334" s="76">
        <v>8</v>
      </c>
      <c r="AE334" s="76">
        <v>3</v>
      </c>
      <c r="AF334" s="76">
        <v>0</v>
      </c>
      <c r="AG334" s="76">
        <v>0</v>
      </c>
      <c r="AH334" s="76">
        <v>0</v>
      </c>
      <c r="AI334" s="76">
        <v>0</v>
      </c>
      <c r="AJ334" s="76">
        <v>0</v>
      </c>
      <c r="AK334" s="76">
        <v>23</v>
      </c>
      <c r="AL334" s="76">
        <v>88</v>
      </c>
      <c r="AM334" s="202"/>
      <c r="AN334" s="77"/>
      <c r="AO334" s="202"/>
      <c r="AP334" s="202"/>
      <c r="AQ334" s="202"/>
      <c r="AR334" s="202"/>
      <c r="AS334" s="202"/>
      <c r="AT334" s="202"/>
      <c r="AU334" s="202"/>
      <c r="AV334" s="202"/>
      <c r="AW334" s="202"/>
      <c r="AX334" s="202"/>
      <c r="AY334" s="202"/>
    </row>
    <row r="335" spans="1:51" x14ac:dyDescent="0.2">
      <c r="A335" s="225" t="s">
        <v>105</v>
      </c>
      <c r="B335" s="225" t="s">
        <v>106</v>
      </c>
      <c r="C335" s="225" t="s">
        <v>157</v>
      </c>
      <c r="D335" s="225" t="s">
        <v>85</v>
      </c>
      <c r="E335" s="225" t="s">
        <v>86</v>
      </c>
      <c r="F335" s="225" t="s">
        <v>107</v>
      </c>
      <c r="G335" s="225" t="s">
        <v>108</v>
      </c>
      <c r="H335" s="225" t="s">
        <v>88</v>
      </c>
      <c r="I335" s="225" t="s">
        <v>90</v>
      </c>
      <c r="J335" s="225" t="s">
        <v>158</v>
      </c>
      <c r="K335" s="225" t="s">
        <v>91</v>
      </c>
      <c r="L335" s="225" t="s">
        <v>92</v>
      </c>
      <c r="M335" s="225" t="s">
        <v>93</v>
      </c>
      <c r="N335" s="225" t="s">
        <v>94</v>
      </c>
      <c r="O335" s="225" t="s">
        <v>95</v>
      </c>
      <c r="P335" s="225" t="s">
        <v>96</v>
      </c>
      <c r="Q335" s="225" t="s">
        <v>97</v>
      </c>
      <c r="R335" s="225" t="s">
        <v>1071</v>
      </c>
      <c r="S335" s="225" t="s">
        <v>1072</v>
      </c>
      <c r="T335" s="225" t="s">
        <v>105</v>
      </c>
      <c r="U335" s="225" t="s">
        <v>106</v>
      </c>
      <c r="V335" s="225" t="s">
        <v>157</v>
      </c>
      <c r="W335" s="225" t="s">
        <v>89</v>
      </c>
      <c r="X335" s="225" t="s">
        <v>1073</v>
      </c>
      <c r="Y335" s="225" t="s">
        <v>1074</v>
      </c>
      <c r="Z335" s="225" t="s">
        <v>98</v>
      </c>
      <c r="AA335" s="225" t="s">
        <v>1075</v>
      </c>
      <c r="AB335" s="225" t="s">
        <v>1076</v>
      </c>
      <c r="AC335" s="225" t="s">
        <v>1077</v>
      </c>
      <c r="AD335" s="225" t="s">
        <v>1066</v>
      </c>
      <c r="AE335" s="225" t="s">
        <v>1067</v>
      </c>
      <c r="AF335" s="225" t="s">
        <v>1078</v>
      </c>
      <c r="AG335" s="225" t="s">
        <v>1079</v>
      </c>
      <c r="AH335" s="225" t="s">
        <v>1057</v>
      </c>
      <c r="AI335" s="225" t="s">
        <v>1058</v>
      </c>
      <c r="AJ335" s="225" t="s">
        <v>1080</v>
      </c>
      <c r="AK335" s="225" t="s">
        <v>109</v>
      </c>
      <c r="AL335" s="225" t="s">
        <v>1069</v>
      </c>
      <c r="AM335" s="202"/>
      <c r="AN335" s="77"/>
      <c r="AO335" s="202"/>
      <c r="AP335" s="202"/>
      <c r="AQ335" s="202"/>
      <c r="AR335" s="202"/>
      <c r="AS335" s="202"/>
      <c r="AT335" s="202"/>
      <c r="AU335" s="202"/>
      <c r="AV335" s="202"/>
      <c r="AW335" s="202"/>
      <c r="AX335" s="202"/>
      <c r="AY335" s="202"/>
    </row>
    <row r="336" spans="1:51" x14ac:dyDescent="0.2">
      <c r="A336" s="76">
        <v>1</v>
      </c>
      <c r="B336" s="77" t="s">
        <v>1379</v>
      </c>
      <c r="C336" s="76" t="s">
        <v>144</v>
      </c>
      <c r="D336" s="76">
        <v>0</v>
      </c>
      <c r="E336" s="76">
        <v>0</v>
      </c>
      <c r="F336" s="76">
        <v>0</v>
      </c>
      <c r="G336" s="76">
        <v>1</v>
      </c>
      <c r="H336" s="76">
        <v>0</v>
      </c>
      <c r="I336" s="76">
        <v>0</v>
      </c>
      <c r="J336" s="76">
        <v>0</v>
      </c>
      <c r="K336" s="76">
        <v>0.1</v>
      </c>
      <c r="L336" s="76">
        <v>1</v>
      </c>
      <c r="M336" s="76">
        <v>0</v>
      </c>
      <c r="N336" s="76">
        <v>0</v>
      </c>
      <c r="O336" s="76">
        <v>0</v>
      </c>
      <c r="P336" s="76">
        <v>0</v>
      </c>
      <c r="Q336" s="76">
        <v>0</v>
      </c>
      <c r="R336" s="76">
        <v>0.5</v>
      </c>
      <c r="S336" s="76">
        <v>3</v>
      </c>
      <c r="T336" s="76">
        <v>1</v>
      </c>
      <c r="U336" s="77" t="s">
        <v>1379</v>
      </c>
      <c r="V336" s="76" t="s">
        <v>144</v>
      </c>
      <c r="W336" s="76">
        <v>0</v>
      </c>
      <c r="X336" s="76">
        <v>0</v>
      </c>
      <c r="Y336" s="76">
        <v>0</v>
      </c>
      <c r="Z336" s="76">
        <v>0</v>
      </c>
      <c r="AA336" s="76">
        <v>1</v>
      </c>
      <c r="AB336" s="76">
        <v>0</v>
      </c>
      <c r="AC336" s="76">
        <v>0</v>
      </c>
      <c r="AD336" s="76">
        <v>0</v>
      </c>
      <c r="AE336" s="76">
        <v>1</v>
      </c>
      <c r="AF336" s="76">
        <v>0</v>
      </c>
      <c r="AG336" s="76">
        <v>0</v>
      </c>
      <c r="AH336" s="76">
        <v>0</v>
      </c>
      <c r="AI336" s="76">
        <v>0</v>
      </c>
      <c r="AJ336" s="76">
        <v>0</v>
      </c>
      <c r="AK336" s="76">
        <v>2</v>
      </c>
      <c r="AL336" s="76">
        <v>6</v>
      </c>
      <c r="AM336" s="202"/>
      <c r="AN336" s="77"/>
      <c r="AO336" s="202"/>
      <c r="AP336" s="202"/>
      <c r="AQ336" s="202"/>
      <c r="AR336" s="202"/>
      <c r="AS336" s="202"/>
      <c r="AT336" s="202"/>
      <c r="AU336" s="202"/>
      <c r="AV336" s="202"/>
      <c r="AW336" s="202"/>
      <c r="AX336" s="202"/>
      <c r="AY336" s="202"/>
    </row>
    <row r="337" spans="1:51" x14ac:dyDescent="0.2">
      <c r="A337" s="76">
        <v>2</v>
      </c>
      <c r="B337" s="77" t="s">
        <v>1380</v>
      </c>
      <c r="C337" s="76" t="s">
        <v>144</v>
      </c>
      <c r="D337" s="76">
        <v>0</v>
      </c>
      <c r="E337" s="76">
        <v>0</v>
      </c>
      <c r="F337" s="76">
        <v>1</v>
      </c>
      <c r="G337" s="76">
        <v>4</v>
      </c>
      <c r="H337" s="76">
        <v>0</v>
      </c>
      <c r="I337" s="76">
        <v>0</v>
      </c>
      <c r="J337" s="76">
        <v>0</v>
      </c>
      <c r="K337" s="76">
        <v>9</v>
      </c>
      <c r="L337" s="76">
        <v>7</v>
      </c>
      <c r="M337" s="76">
        <v>1</v>
      </c>
      <c r="N337" s="76">
        <v>1</v>
      </c>
      <c r="O337" s="76">
        <v>1</v>
      </c>
      <c r="P337" s="76">
        <v>9</v>
      </c>
      <c r="Q337" s="76">
        <v>6</v>
      </c>
      <c r="R337" s="76">
        <v>0.21199999999999999</v>
      </c>
      <c r="S337" s="76">
        <v>1.78</v>
      </c>
      <c r="T337" s="76">
        <v>2</v>
      </c>
      <c r="U337" s="77" t="s">
        <v>1380</v>
      </c>
      <c r="V337" s="76" t="s">
        <v>144</v>
      </c>
      <c r="W337" s="76">
        <v>0</v>
      </c>
      <c r="X337" s="76">
        <v>0</v>
      </c>
      <c r="Y337" s="76">
        <v>0</v>
      </c>
      <c r="Z337" s="76">
        <v>0</v>
      </c>
      <c r="AA337" s="76">
        <v>0</v>
      </c>
      <c r="AB337" s="76">
        <v>0</v>
      </c>
      <c r="AC337" s="76">
        <v>0</v>
      </c>
      <c r="AD337" s="76">
        <v>9</v>
      </c>
      <c r="AE337" s="76">
        <v>11</v>
      </c>
      <c r="AF337" s="76">
        <v>0</v>
      </c>
      <c r="AG337" s="76">
        <v>0</v>
      </c>
      <c r="AH337" s="76">
        <v>0</v>
      </c>
      <c r="AI337" s="76">
        <v>0</v>
      </c>
      <c r="AJ337" s="76">
        <v>0</v>
      </c>
      <c r="AK337" s="76">
        <v>42</v>
      </c>
      <c r="AL337" s="76">
        <v>173</v>
      </c>
      <c r="AM337" s="202"/>
      <c r="AN337" s="77"/>
      <c r="AO337" s="202"/>
      <c r="AP337" s="202"/>
      <c r="AQ337" s="202"/>
      <c r="AR337" s="202"/>
      <c r="AS337" s="202"/>
      <c r="AT337" s="202"/>
      <c r="AU337" s="202"/>
      <c r="AV337" s="202"/>
      <c r="AW337" s="202"/>
      <c r="AX337" s="202"/>
      <c r="AY337" s="202"/>
    </row>
    <row r="338" spans="1:51" ht="25.5" x14ac:dyDescent="0.2">
      <c r="A338" s="76">
        <v>3</v>
      </c>
      <c r="B338" s="77" t="s">
        <v>1381</v>
      </c>
      <c r="C338" s="76" t="s">
        <v>144</v>
      </c>
      <c r="D338" s="76">
        <v>0</v>
      </c>
      <c r="E338" s="76">
        <v>2</v>
      </c>
      <c r="F338" s="76">
        <v>1.35</v>
      </c>
      <c r="G338" s="76">
        <v>7</v>
      </c>
      <c r="H338" s="76">
        <v>0</v>
      </c>
      <c r="I338" s="76">
        <v>0</v>
      </c>
      <c r="J338" s="76">
        <v>0</v>
      </c>
      <c r="K338" s="76">
        <v>13.1</v>
      </c>
      <c r="L338" s="76">
        <v>9</v>
      </c>
      <c r="M338" s="76">
        <v>3</v>
      </c>
      <c r="N338" s="76">
        <v>2</v>
      </c>
      <c r="O338" s="76">
        <v>1</v>
      </c>
      <c r="P338" s="76">
        <v>8</v>
      </c>
      <c r="Q338" s="76">
        <v>11</v>
      </c>
      <c r="R338" s="76">
        <v>0.19600000000000001</v>
      </c>
      <c r="S338" s="76">
        <v>1.28</v>
      </c>
      <c r="T338" s="76">
        <v>3</v>
      </c>
      <c r="U338" s="77" t="s">
        <v>1381</v>
      </c>
      <c r="V338" s="76" t="s">
        <v>144</v>
      </c>
      <c r="W338" s="76">
        <v>0</v>
      </c>
      <c r="X338" s="76">
        <v>0</v>
      </c>
      <c r="Y338" s="76">
        <v>0</v>
      </c>
      <c r="Z338" s="76">
        <v>0</v>
      </c>
      <c r="AA338" s="76">
        <v>3</v>
      </c>
      <c r="AB338" s="76">
        <v>1</v>
      </c>
      <c r="AC338" s="76">
        <v>1</v>
      </c>
      <c r="AD338" s="76">
        <v>13</v>
      </c>
      <c r="AE338" s="76">
        <v>13</v>
      </c>
      <c r="AF338" s="76">
        <v>0</v>
      </c>
      <c r="AG338" s="76">
        <v>0</v>
      </c>
      <c r="AH338" s="76">
        <v>0</v>
      </c>
      <c r="AI338" s="76">
        <v>0</v>
      </c>
      <c r="AJ338" s="76">
        <v>2</v>
      </c>
      <c r="AK338" s="76">
        <v>54</v>
      </c>
      <c r="AL338" s="76">
        <v>222</v>
      </c>
      <c r="AM338" s="202"/>
      <c r="AN338" s="77"/>
      <c r="AO338" s="202"/>
      <c r="AP338" s="202"/>
      <c r="AQ338" s="202"/>
      <c r="AR338" s="202"/>
      <c r="AS338" s="202"/>
      <c r="AT338" s="202"/>
      <c r="AU338" s="202"/>
      <c r="AV338" s="202"/>
      <c r="AW338" s="202"/>
      <c r="AX338" s="202"/>
      <c r="AY338" s="202"/>
    </row>
    <row r="339" spans="1:51" ht="25.5" x14ac:dyDescent="0.2">
      <c r="A339" s="76">
        <v>4</v>
      </c>
      <c r="B339" s="77" t="s">
        <v>625</v>
      </c>
      <c r="C339" s="76" t="s">
        <v>144</v>
      </c>
      <c r="D339" s="76">
        <v>2</v>
      </c>
      <c r="E339" s="76">
        <v>4</v>
      </c>
      <c r="F339" s="76">
        <v>1.91</v>
      </c>
      <c r="G339" s="76">
        <v>57</v>
      </c>
      <c r="H339" s="76">
        <v>0</v>
      </c>
      <c r="I339" s="76">
        <v>37</v>
      </c>
      <c r="J339" s="76">
        <v>40</v>
      </c>
      <c r="K339" s="76">
        <v>56.2</v>
      </c>
      <c r="L339" s="76">
        <v>43</v>
      </c>
      <c r="M339" s="76">
        <v>12</v>
      </c>
      <c r="N339" s="76">
        <v>12</v>
      </c>
      <c r="O339" s="76">
        <v>6</v>
      </c>
      <c r="P339" s="76">
        <v>15</v>
      </c>
      <c r="Q339" s="76">
        <v>71</v>
      </c>
      <c r="R339" s="76">
        <v>0.20599999999999999</v>
      </c>
      <c r="S339" s="76">
        <v>1.02</v>
      </c>
      <c r="T339" s="76">
        <v>4</v>
      </c>
      <c r="U339" s="77" t="s">
        <v>625</v>
      </c>
      <c r="V339" s="76" t="s">
        <v>144</v>
      </c>
      <c r="W339" s="76">
        <v>0</v>
      </c>
      <c r="X339" s="76">
        <v>0</v>
      </c>
      <c r="Y339" s="76">
        <v>2</v>
      </c>
      <c r="Z339" s="76">
        <v>1</v>
      </c>
      <c r="AA339" s="76">
        <v>48</v>
      </c>
      <c r="AB339" s="76">
        <v>1</v>
      </c>
      <c r="AC339" s="76">
        <v>5</v>
      </c>
      <c r="AD339" s="76">
        <v>51</v>
      </c>
      <c r="AE339" s="76">
        <v>44</v>
      </c>
      <c r="AF339" s="76">
        <v>1</v>
      </c>
      <c r="AG339" s="76">
        <v>0</v>
      </c>
      <c r="AH339" s="76">
        <v>0</v>
      </c>
      <c r="AI339" s="76">
        <v>1</v>
      </c>
      <c r="AJ339" s="76">
        <v>0</v>
      </c>
      <c r="AK339" s="76">
        <v>226</v>
      </c>
      <c r="AL339" s="76">
        <v>860</v>
      </c>
      <c r="AM339" s="202"/>
      <c r="AN339" s="77"/>
      <c r="AO339" s="202"/>
      <c r="AP339" s="202"/>
      <c r="AQ339" s="202"/>
      <c r="AR339" s="202"/>
      <c r="AS339" s="202"/>
      <c r="AT339" s="202"/>
      <c r="AU339" s="202"/>
      <c r="AV339" s="202"/>
      <c r="AW339" s="202"/>
      <c r="AX339" s="202"/>
      <c r="AY339" s="202"/>
    </row>
    <row r="340" spans="1:51" ht="25.5" x14ac:dyDescent="0.2">
      <c r="A340" s="76">
        <v>5</v>
      </c>
      <c r="B340" s="77" t="s">
        <v>1382</v>
      </c>
      <c r="C340" s="76" t="s">
        <v>144</v>
      </c>
      <c r="D340" s="76">
        <v>0</v>
      </c>
      <c r="E340" s="76">
        <v>0</v>
      </c>
      <c r="F340" s="76">
        <v>2.4500000000000002</v>
      </c>
      <c r="G340" s="76">
        <v>3</v>
      </c>
      <c r="H340" s="76">
        <v>0</v>
      </c>
      <c r="I340" s="76">
        <v>0</v>
      </c>
      <c r="J340" s="76">
        <v>0</v>
      </c>
      <c r="K340" s="76">
        <v>3.2</v>
      </c>
      <c r="L340" s="76">
        <v>2</v>
      </c>
      <c r="M340" s="76">
        <v>1</v>
      </c>
      <c r="N340" s="76">
        <v>1</v>
      </c>
      <c r="O340" s="76">
        <v>1</v>
      </c>
      <c r="P340" s="76">
        <v>0</v>
      </c>
      <c r="Q340" s="76">
        <v>3</v>
      </c>
      <c r="R340" s="76">
        <v>0.154</v>
      </c>
      <c r="S340" s="76">
        <v>0.55000000000000004</v>
      </c>
      <c r="T340" s="76">
        <v>5</v>
      </c>
      <c r="U340" s="77" t="s">
        <v>1382</v>
      </c>
      <c r="V340" s="76" t="s">
        <v>144</v>
      </c>
      <c r="W340" s="76">
        <v>0</v>
      </c>
      <c r="X340" s="76">
        <v>0</v>
      </c>
      <c r="Y340" s="76">
        <v>0</v>
      </c>
      <c r="Z340" s="76">
        <v>0</v>
      </c>
      <c r="AA340" s="76">
        <v>2</v>
      </c>
      <c r="AB340" s="76">
        <v>0</v>
      </c>
      <c r="AC340" s="76">
        <v>0</v>
      </c>
      <c r="AD340" s="76">
        <v>7</v>
      </c>
      <c r="AE340" s="76">
        <v>1</v>
      </c>
      <c r="AF340" s="76">
        <v>0</v>
      </c>
      <c r="AG340" s="76">
        <v>0</v>
      </c>
      <c r="AH340" s="76">
        <v>0</v>
      </c>
      <c r="AI340" s="76">
        <v>0</v>
      </c>
      <c r="AJ340" s="76">
        <v>0</v>
      </c>
      <c r="AK340" s="76">
        <v>13</v>
      </c>
      <c r="AL340" s="76">
        <v>43</v>
      </c>
      <c r="AM340" s="202"/>
      <c r="AN340" s="77"/>
      <c r="AO340" s="202"/>
      <c r="AP340" s="202"/>
      <c r="AQ340" s="202"/>
      <c r="AR340" s="202"/>
      <c r="AS340" s="202"/>
      <c r="AT340" s="202"/>
      <c r="AU340" s="202"/>
      <c r="AV340" s="202"/>
      <c r="AW340" s="202"/>
      <c r="AX340" s="202"/>
      <c r="AY340" s="202"/>
    </row>
    <row r="341" spans="1:51" ht="25.5" x14ac:dyDescent="0.2">
      <c r="A341" s="76">
        <v>6</v>
      </c>
      <c r="B341" s="77" t="s">
        <v>817</v>
      </c>
      <c r="C341" s="76" t="s">
        <v>144</v>
      </c>
      <c r="D341" s="76">
        <v>0</v>
      </c>
      <c r="E341" s="76">
        <v>0</v>
      </c>
      <c r="F341" s="76">
        <v>2.5099999999999998</v>
      </c>
      <c r="G341" s="76">
        <v>5</v>
      </c>
      <c r="H341" s="76">
        <v>1</v>
      </c>
      <c r="I341" s="76">
        <v>0</v>
      </c>
      <c r="J341" s="76">
        <v>0</v>
      </c>
      <c r="K341" s="76">
        <v>14.1</v>
      </c>
      <c r="L341" s="76">
        <v>13</v>
      </c>
      <c r="M341" s="76">
        <v>7</v>
      </c>
      <c r="N341" s="76">
        <v>4</v>
      </c>
      <c r="O341" s="76">
        <v>2</v>
      </c>
      <c r="P341" s="76">
        <v>3</v>
      </c>
      <c r="Q341" s="76">
        <v>15</v>
      </c>
      <c r="R341" s="76">
        <v>0.224</v>
      </c>
      <c r="S341" s="76">
        <v>1.1200000000000001</v>
      </c>
      <c r="T341" s="76">
        <v>6</v>
      </c>
      <c r="U341" s="77" t="s">
        <v>817</v>
      </c>
      <c r="V341" s="76" t="s">
        <v>144</v>
      </c>
      <c r="W341" s="76">
        <v>0</v>
      </c>
      <c r="X341" s="76">
        <v>0</v>
      </c>
      <c r="Y341" s="76">
        <v>0</v>
      </c>
      <c r="Z341" s="76">
        <v>0</v>
      </c>
      <c r="AA341" s="76">
        <v>0</v>
      </c>
      <c r="AB341" s="76">
        <v>3</v>
      </c>
      <c r="AC341" s="76">
        <v>0</v>
      </c>
      <c r="AD341" s="76">
        <v>14</v>
      </c>
      <c r="AE341" s="76">
        <v>16</v>
      </c>
      <c r="AF341" s="76">
        <v>0</v>
      </c>
      <c r="AG341" s="76">
        <v>0</v>
      </c>
      <c r="AH341" s="76">
        <v>3</v>
      </c>
      <c r="AI341" s="76">
        <v>0</v>
      </c>
      <c r="AJ341" s="76">
        <v>0</v>
      </c>
      <c r="AK341" s="76">
        <v>61</v>
      </c>
      <c r="AL341" s="76">
        <v>238</v>
      </c>
      <c r="AM341" s="202"/>
      <c r="AN341" s="77"/>
      <c r="AO341" s="202"/>
      <c r="AP341" s="202"/>
      <c r="AQ341" s="202"/>
      <c r="AR341" s="202"/>
      <c r="AS341" s="202"/>
      <c r="AT341" s="202"/>
      <c r="AU341" s="202"/>
      <c r="AV341" s="202"/>
      <c r="AW341" s="202"/>
      <c r="AX341" s="202"/>
      <c r="AY341" s="202"/>
    </row>
    <row r="342" spans="1:51" ht="25.5" x14ac:dyDescent="0.2">
      <c r="A342" s="76">
        <v>7</v>
      </c>
      <c r="B342" s="77" t="s">
        <v>611</v>
      </c>
      <c r="C342" s="76" t="s">
        <v>144</v>
      </c>
      <c r="D342" s="76">
        <v>1</v>
      </c>
      <c r="E342" s="76">
        <v>0</v>
      </c>
      <c r="F342" s="76">
        <v>3.06</v>
      </c>
      <c r="G342" s="76">
        <v>35</v>
      </c>
      <c r="H342" s="76">
        <v>0</v>
      </c>
      <c r="I342" s="76">
        <v>0</v>
      </c>
      <c r="J342" s="76">
        <v>1</v>
      </c>
      <c r="K342" s="76">
        <v>35.1</v>
      </c>
      <c r="L342" s="76">
        <v>33</v>
      </c>
      <c r="M342" s="76">
        <v>14</v>
      </c>
      <c r="N342" s="76">
        <v>12</v>
      </c>
      <c r="O342" s="76">
        <v>8</v>
      </c>
      <c r="P342" s="76">
        <v>15</v>
      </c>
      <c r="Q342" s="76">
        <v>46</v>
      </c>
      <c r="R342" s="76">
        <v>0.24099999999999999</v>
      </c>
      <c r="S342" s="76">
        <v>1.36</v>
      </c>
      <c r="T342" s="76">
        <v>7</v>
      </c>
      <c r="U342" s="77" t="s">
        <v>611</v>
      </c>
      <c r="V342" s="76" t="s">
        <v>144</v>
      </c>
      <c r="W342" s="76">
        <v>0</v>
      </c>
      <c r="X342" s="76">
        <v>0</v>
      </c>
      <c r="Y342" s="76">
        <v>4</v>
      </c>
      <c r="Z342" s="76">
        <v>1</v>
      </c>
      <c r="AA342" s="76">
        <v>11</v>
      </c>
      <c r="AB342" s="76">
        <v>7</v>
      </c>
      <c r="AC342" s="76">
        <v>1</v>
      </c>
      <c r="AD342" s="76">
        <v>29</v>
      </c>
      <c r="AE342" s="76">
        <v>31</v>
      </c>
      <c r="AF342" s="76">
        <v>1</v>
      </c>
      <c r="AG342" s="76">
        <v>0</v>
      </c>
      <c r="AH342" s="76">
        <v>2</v>
      </c>
      <c r="AI342" s="76">
        <v>0</v>
      </c>
      <c r="AJ342" s="76">
        <v>0</v>
      </c>
      <c r="AK342" s="76">
        <v>158</v>
      </c>
      <c r="AL342" s="76">
        <v>670</v>
      </c>
      <c r="AM342" s="202"/>
      <c r="AN342" s="77"/>
      <c r="AO342" s="202"/>
      <c r="AP342" s="202"/>
      <c r="AQ342" s="202"/>
      <c r="AR342" s="202"/>
      <c r="AS342" s="202"/>
      <c r="AT342" s="202"/>
      <c r="AU342" s="202"/>
      <c r="AV342" s="202"/>
      <c r="AW342" s="202"/>
      <c r="AX342" s="202"/>
      <c r="AY342" s="202"/>
    </row>
    <row r="343" spans="1:51" x14ac:dyDescent="0.2">
      <c r="A343" s="76">
        <v>8</v>
      </c>
      <c r="B343" s="77" t="s">
        <v>1383</v>
      </c>
      <c r="C343" s="76" t="s">
        <v>144</v>
      </c>
      <c r="D343" s="76">
        <v>6</v>
      </c>
      <c r="E343" s="76">
        <v>8</v>
      </c>
      <c r="F343" s="76">
        <v>3.54</v>
      </c>
      <c r="G343" s="76">
        <v>19</v>
      </c>
      <c r="H343" s="76">
        <v>19</v>
      </c>
      <c r="I343" s="76">
        <v>0</v>
      </c>
      <c r="J343" s="76">
        <v>0</v>
      </c>
      <c r="K343" s="76">
        <v>89</v>
      </c>
      <c r="L343" s="76">
        <v>93</v>
      </c>
      <c r="M343" s="76">
        <v>44</v>
      </c>
      <c r="N343" s="76">
        <v>35</v>
      </c>
      <c r="O343" s="76">
        <v>5</v>
      </c>
      <c r="P343" s="76">
        <v>51</v>
      </c>
      <c r="Q343" s="76">
        <v>98</v>
      </c>
      <c r="R343" s="76">
        <v>0.26900000000000002</v>
      </c>
      <c r="S343" s="76">
        <v>1.62</v>
      </c>
      <c r="T343" s="76">
        <v>8</v>
      </c>
      <c r="U343" s="77" t="s">
        <v>1383</v>
      </c>
      <c r="V343" s="76" t="s">
        <v>144</v>
      </c>
      <c r="W343" s="76">
        <v>0</v>
      </c>
      <c r="X343" s="76">
        <v>0</v>
      </c>
      <c r="Y343" s="76">
        <v>0</v>
      </c>
      <c r="Z343" s="76">
        <v>0</v>
      </c>
      <c r="AA343" s="76">
        <v>0</v>
      </c>
      <c r="AB343" s="76">
        <v>0</v>
      </c>
      <c r="AC343" s="76">
        <v>7</v>
      </c>
      <c r="AD343" s="76">
        <v>67</v>
      </c>
      <c r="AE343" s="76">
        <v>92</v>
      </c>
      <c r="AF343" s="76">
        <v>6</v>
      </c>
      <c r="AG343" s="76">
        <v>1</v>
      </c>
      <c r="AH343" s="76">
        <v>5</v>
      </c>
      <c r="AI343" s="76">
        <v>3</v>
      </c>
      <c r="AJ343" s="76">
        <v>1</v>
      </c>
      <c r="AK343" s="76">
        <v>401</v>
      </c>
      <c r="AL343" s="76">
        <v>1716</v>
      </c>
      <c r="AM343" s="202"/>
      <c r="AN343" s="77"/>
      <c r="AO343" s="202"/>
      <c r="AP343" s="202"/>
      <c r="AQ343" s="202"/>
      <c r="AR343" s="202"/>
      <c r="AS343" s="202"/>
      <c r="AT343" s="202"/>
      <c r="AU343" s="202"/>
      <c r="AV343" s="202"/>
      <c r="AW343" s="202"/>
      <c r="AX343" s="202"/>
      <c r="AY343" s="202"/>
    </row>
    <row r="344" spans="1:51" ht="25.5" x14ac:dyDescent="0.2">
      <c r="A344" s="76">
        <v>9</v>
      </c>
      <c r="B344" s="77" t="s">
        <v>631</v>
      </c>
      <c r="C344" s="76" t="s">
        <v>144</v>
      </c>
      <c r="D344" s="76">
        <v>10</v>
      </c>
      <c r="E344" s="76">
        <v>6</v>
      </c>
      <c r="F344" s="76">
        <v>3.69</v>
      </c>
      <c r="G344" s="76">
        <v>33</v>
      </c>
      <c r="H344" s="76">
        <v>33</v>
      </c>
      <c r="I344" s="76">
        <v>0</v>
      </c>
      <c r="J344" s="76">
        <v>0</v>
      </c>
      <c r="K344" s="76">
        <v>187.2</v>
      </c>
      <c r="L344" s="76">
        <v>170</v>
      </c>
      <c r="M344" s="76">
        <v>80</v>
      </c>
      <c r="N344" s="76">
        <v>77</v>
      </c>
      <c r="O344" s="76">
        <v>29</v>
      </c>
      <c r="P344" s="76">
        <v>54</v>
      </c>
      <c r="Q344" s="76">
        <v>166</v>
      </c>
      <c r="R344" s="76">
        <v>0.24099999999999999</v>
      </c>
      <c r="S344" s="76">
        <v>1.19</v>
      </c>
      <c r="T344" s="76">
        <v>9</v>
      </c>
      <c r="U344" s="77" t="s">
        <v>631</v>
      </c>
      <c r="V344" s="76" t="s">
        <v>144</v>
      </c>
      <c r="W344" s="76">
        <v>0</v>
      </c>
      <c r="X344" s="76">
        <v>0</v>
      </c>
      <c r="Y344" s="76">
        <v>4</v>
      </c>
      <c r="Z344" s="76">
        <v>3</v>
      </c>
      <c r="AA344" s="76">
        <v>0</v>
      </c>
      <c r="AB344" s="76">
        <v>0</v>
      </c>
      <c r="AC344" s="76">
        <v>14</v>
      </c>
      <c r="AD344" s="76">
        <v>156</v>
      </c>
      <c r="AE344" s="76">
        <v>223</v>
      </c>
      <c r="AF344" s="76">
        <v>3</v>
      </c>
      <c r="AG344" s="76">
        <v>1</v>
      </c>
      <c r="AH344" s="76">
        <v>5</v>
      </c>
      <c r="AI344" s="76">
        <v>6</v>
      </c>
      <c r="AJ344" s="76">
        <v>2</v>
      </c>
      <c r="AK344" s="76">
        <v>773</v>
      </c>
      <c r="AL344" s="76">
        <v>3308</v>
      </c>
      <c r="AM344" s="202"/>
      <c r="AN344" s="77"/>
      <c r="AO344" s="202"/>
      <c r="AP344" s="202"/>
      <c r="AQ344" s="202"/>
      <c r="AR344" s="202"/>
      <c r="AS344" s="202"/>
      <c r="AT344" s="202"/>
      <c r="AU344" s="202"/>
      <c r="AV344" s="202"/>
      <c r="AW344" s="202"/>
      <c r="AX344" s="202"/>
      <c r="AY344" s="202"/>
    </row>
    <row r="345" spans="1:51" ht="25.5" x14ac:dyDescent="0.2">
      <c r="A345" s="76">
        <v>10</v>
      </c>
      <c r="B345" s="77" t="s">
        <v>472</v>
      </c>
      <c r="C345" s="76" t="s">
        <v>144</v>
      </c>
      <c r="D345" s="76">
        <v>3</v>
      </c>
      <c r="E345" s="76">
        <v>4</v>
      </c>
      <c r="F345" s="76">
        <v>3.7</v>
      </c>
      <c r="G345" s="76">
        <v>54</v>
      </c>
      <c r="H345" s="76">
        <v>0</v>
      </c>
      <c r="I345" s="76">
        <v>0</v>
      </c>
      <c r="J345" s="76">
        <v>5</v>
      </c>
      <c r="K345" s="76">
        <v>41.1</v>
      </c>
      <c r="L345" s="76">
        <v>36</v>
      </c>
      <c r="M345" s="76">
        <v>17</v>
      </c>
      <c r="N345" s="76">
        <v>17</v>
      </c>
      <c r="O345" s="76">
        <v>2</v>
      </c>
      <c r="P345" s="76">
        <v>13</v>
      </c>
      <c r="Q345" s="76">
        <v>43</v>
      </c>
      <c r="R345" s="76">
        <v>0.22900000000000001</v>
      </c>
      <c r="S345" s="76">
        <v>1.19</v>
      </c>
      <c r="T345" s="76">
        <v>10</v>
      </c>
      <c r="U345" s="77" t="s">
        <v>472</v>
      </c>
      <c r="V345" s="76" t="s">
        <v>144</v>
      </c>
      <c r="W345" s="76">
        <v>0</v>
      </c>
      <c r="X345" s="76">
        <v>0</v>
      </c>
      <c r="Y345" s="76">
        <v>0</v>
      </c>
      <c r="Z345" s="76">
        <v>1</v>
      </c>
      <c r="AA345" s="76">
        <v>7</v>
      </c>
      <c r="AB345" s="76">
        <v>19</v>
      </c>
      <c r="AC345" s="76">
        <v>2</v>
      </c>
      <c r="AD345" s="76">
        <v>45</v>
      </c>
      <c r="AE345" s="76">
        <v>36</v>
      </c>
      <c r="AF345" s="76">
        <v>3</v>
      </c>
      <c r="AG345" s="76">
        <v>0</v>
      </c>
      <c r="AH345" s="76">
        <v>1</v>
      </c>
      <c r="AI345" s="76">
        <v>0</v>
      </c>
      <c r="AJ345" s="76">
        <v>0</v>
      </c>
      <c r="AK345" s="76">
        <v>174</v>
      </c>
      <c r="AL345" s="76">
        <v>692</v>
      </c>
      <c r="AM345" s="202"/>
      <c r="AN345" s="77"/>
      <c r="AO345" s="202"/>
      <c r="AP345" s="202"/>
      <c r="AQ345" s="202"/>
      <c r="AR345" s="202"/>
      <c r="AS345" s="202"/>
      <c r="AT345" s="202"/>
      <c r="AU345" s="202"/>
      <c r="AV345" s="202"/>
      <c r="AW345" s="202"/>
      <c r="AX345" s="202"/>
      <c r="AY345" s="202"/>
    </row>
    <row r="346" spans="1:51" ht="25.5" x14ac:dyDescent="0.2">
      <c r="A346" s="76">
        <v>11</v>
      </c>
      <c r="B346" s="77" t="s">
        <v>612</v>
      </c>
      <c r="C346" s="76" t="s">
        <v>144</v>
      </c>
      <c r="D346" s="76">
        <v>7</v>
      </c>
      <c r="E346" s="76">
        <v>11</v>
      </c>
      <c r="F346" s="76">
        <v>3.77</v>
      </c>
      <c r="G346" s="76">
        <v>64</v>
      </c>
      <c r="H346" s="76">
        <v>1</v>
      </c>
      <c r="I346" s="76">
        <v>2</v>
      </c>
      <c r="J346" s="76">
        <v>6</v>
      </c>
      <c r="K346" s="76">
        <v>90.2</v>
      </c>
      <c r="L346" s="76">
        <v>90</v>
      </c>
      <c r="M346" s="76">
        <v>39</v>
      </c>
      <c r="N346" s="76">
        <v>38</v>
      </c>
      <c r="O346" s="76">
        <v>14</v>
      </c>
      <c r="P346" s="76">
        <v>26</v>
      </c>
      <c r="Q346" s="76">
        <v>63</v>
      </c>
      <c r="R346" s="76">
        <v>0.26500000000000001</v>
      </c>
      <c r="S346" s="76">
        <v>1.28</v>
      </c>
      <c r="T346" s="76">
        <v>11</v>
      </c>
      <c r="U346" s="77" t="s">
        <v>612</v>
      </c>
      <c r="V346" s="76" t="s">
        <v>144</v>
      </c>
      <c r="W346" s="76">
        <v>0</v>
      </c>
      <c r="X346" s="76">
        <v>0</v>
      </c>
      <c r="Y346" s="76">
        <v>4</v>
      </c>
      <c r="Z346" s="76">
        <v>5</v>
      </c>
      <c r="AA346" s="76">
        <v>13</v>
      </c>
      <c r="AB346" s="76">
        <v>15</v>
      </c>
      <c r="AC346" s="76">
        <v>12</v>
      </c>
      <c r="AD346" s="76">
        <v>117</v>
      </c>
      <c r="AE346" s="76">
        <v>78</v>
      </c>
      <c r="AF346" s="76">
        <v>7</v>
      </c>
      <c r="AG346" s="76">
        <v>0</v>
      </c>
      <c r="AH346" s="76">
        <v>7</v>
      </c>
      <c r="AI346" s="76">
        <v>1</v>
      </c>
      <c r="AJ346" s="76">
        <v>0</v>
      </c>
      <c r="AK346" s="76">
        <v>378</v>
      </c>
      <c r="AL346" s="76">
        <v>1358</v>
      </c>
      <c r="AM346" s="202"/>
      <c r="AN346" s="77"/>
      <c r="AO346" s="202"/>
      <c r="AP346" s="202"/>
      <c r="AQ346" s="202"/>
      <c r="AR346" s="202"/>
      <c r="AS346" s="202"/>
      <c r="AT346" s="202"/>
      <c r="AU346" s="202"/>
      <c r="AV346" s="202"/>
      <c r="AW346" s="202"/>
      <c r="AX346" s="202"/>
      <c r="AY346" s="202"/>
    </row>
    <row r="347" spans="1:51" ht="25.5" x14ac:dyDescent="0.2">
      <c r="A347" s="76">
        <v>12</v>
      </c>
      <c r="B347" s="77" t="s">
        <v>1384</v>
      </c>
      <c r="C347" s="76" t="s">
        <v>144</v>
      </c>
      <c r="D347" s="76">
        <v>0</v>
      </c>
      <c r="E347" s="76">
        <v>1</v>
      </c>
      <c r="F347" s="76">
        <v>3.93</v>
      </c>
      <c r="G347" s="76">
        <v>16</v>
      </c>
      <c r="H347" s="76">
        <v>0</v>
      </c>
      <c r="I347" s="76">
        <v>0</v>
      </c>
      <c r="J347" s="76">
        <v>0</v>
      </c>
      <c r="K347" s="76">
        <v>18.100000000000001</v>
      </c>
      <c r="L347" s="76">
        <v>18</v>
      </c>
      <c r="M347" s="76">
        <v>8</v>
      </c>
      <c r="N347" s="76">
        <v>8</v>
      </c>
      <c r="O347" s="76">
        <v>1</v>
      </c>
      <c r="P347" s="76">
        <v>6</v>
      </c>
      <c r="Q347" s="76">
        <v>14</v>
      </c>
      <c r="R347" s="76">
        <v>0.27300000000000002</v>
      </c>
      <c r="S347" s="76">
        <v>1.31</v>
      </c>
      <c r="T347" s="76">
        <v>12</v>
      </c>
      <c r="U347" s="77" t="s">
        <v>1384</v>
      </c>
      <c r="V347" s="76" t="s">
        <v>144</v>
      </c>
      <c r="W347" s="76">
        <v>0</v>
      </c>
      <c r="X347" s="76">
        <v>0</v>
      </c>
      <c r="Y347" s="76">
        <v>1</v>
      </c>
      <c r="Z347" s="76">
        <v>1</v>
      </c>
      <c r="AA347" s="76">
        <v>6</v>
      </c>
      <c r="AB347" s="76">
        <v>3</v>
      </c>
      <c r="AC347" s="76">
        <v>2</v>
      </c>
      <c r="AD347" s="76">
        <v>16</v>
      </c>
      <c r="AE347" s="76">
        <v>20</v>
      </c>
      <c r="AF347" s="76">
        <v>0</v>
      </c>
      <c r="AG347" s="76">
        <v>0</v>
      </c>
      <c r="AH347" s="76">
        <v>0</v>
      </c>
      <c r="AI347" s="76">
        <v>1</v>
      </c>
      <c r="AJ347" s="76">
        <v>0</v>
      </c>
      <c r="AK347" s="76">
        <v>75</v>
      </c>
      <c r="AL347" s="76">
        <v>259</v>
      </c>
      <c r="AM347" s="202"/>
      <c r="AN347" s="77"/>
      <c r="AO347" s="202"/>
      <c r="AP347" s="202"/>
      <c r="AQ347" s="202"/>
      <c r="AR347" s="202"/>
      <c r="AS347" s="202"/>
      <c r="AT347" s="202"/>
      <c r="AU347" s="202"/>
      <c r="AV347" s="202"/>
      <c r="AW347" s="202"/>
      <c r="AX347" s="202"/>
      <c r="AY347" s="202"/>
    </row>
    <row r="348" spans="1:51" x14ac:dyDescent="0.2">
      <c r="A348" s="76">
        <v>13</v>
      </c>
      <c r="B348" s="77" t="s">
        <v>626</v>
      </c>
      <c r="C348" s="76" t="s">
        <v>144</v>
      </c>
      <c r="D348" s="76">
        <v>9</v>
      </c>
      <c r="E348" s="76">
        <v>19</v>
      </c>
      <c r="F348" s="76">
        <v>4.0199999999999996</v>
      </c>
      <c r="G348" s="76">
        <v>33</v>
      </c>
      <c r="H348" s="76">
        <v>33</v>
      </c>
      <c r="I348" s="76">
        <v>0</v>
      </c>
      <c r="J348" s="76">
        <v>0</v>
      </c>
      <c r="K348" s="76">
        <v>201.1</v>
      </c>
      <c r="L348" s="76">
        <v>183</v>
      </c>
      <c r="M348" s="76">
        <v>100</v>
      </c>
      <c r="N348" s="76">
        <v>90</v>
      </c>
      <c r="O348" s="76">
        <v>30</v>
      </c>
      <c r="P348" s="76">
        <v>67</v>
      </c>
      <c r="Q348" s="76">
        <v>233</v>
      </c>
      <c r="R348" s="76">
        <v>0.23799999999999999</v>
      </c>
      <c r="S348" s="76">
        <v>1.24</v>
      </c>
      <c r="T348" s="76">
        <v>13</v>
      </c>
      <c r="U348" s="77" t="s">
        <v>626</v>
      </c>
      <c r="V348" s="76" t="s">
        <v>144</v>
      </c>
      <c r="W348" s="76">
        <v>0</v>
      </c>
      <c r="X348" s="76">
        <v>0</v>
      </c>
      <c r="Y348" s="76">
        <v>3</v>
      </c>
      <c r="Z348" s="76">
        <v>0</v>
      </c>
      <c r="AA348" s="76">
        <v>0</v>
      </c>
      <c r="AB348" s="76">
        <v>0</v>
      </c>
      <c r="AC348" s="76">
        <v>12</v>
      </c>
      <c r="AD348" s="76">
        <v>192</v>
      </c>
      <c r="AE348" s="76">
        <v>171</v>
      </c>
      <c r="AF348" s="76">
        <v>11</v>
      </c>
      <c r="AG348" s="76">
        <v>0</v>
      </c>
      <c r="AH348" s="76">
        <v>13</v>
      </c>
      <c r="AI348" s="76">
        <v>5</v>
      </c>
      <c r="AJ348" s="76">
        <v>1</v>
      </c>
      <c r="AK348" s="76">
        <v>850</v>
      </c>
      <c r="AL348" s="76">
        <v>3409</v>
      </c>
      <c r="AM348" s="202"/>
      <c r="AN348" s="77"/>
      <c r="AO348" s="202"/>
      <c r="AP348" s="202"/>
      <c r="AQ348" s="202"/>
      <c r="AR348" s="202"/>
      <c r="AS348" s="202"/>
      <c r="AT348" s="202"/>
      <c r="AU348" s="202"/>
      <c r="AV348" s="202"/>
      <c r="AW348" s="202"/>
      <c r="AX348" s="202"/>
      <c r="AY348" s="202"/>
    </row>
    <row r="349" spans="1:51" x14ac:dyDescent="0.2">
      <c r="A349" s="76">
        <v>14</v>
      </c>
      <c r="B349" s="77" t="s">
        <v>627</v>
      </c>
      <c r="C349" s="76" t="s">
        <v>144</v>
      </c>
      <c r="D349" s="76">
        <v>7</v>
      </c>
      <c r="E349" s="76">
        <v>7</v>
      </c>
      <c r="F349" s="76">
        <v>4.08</v>
      </c>
      <c r="G349" s="76">
        <v>21</v>
      </c>
      <c r="H349" s="76">
        <v>21</v>
      </c>
      <c r="I349" s="76">
        <v>0</v>
      </c>
      <c r="J349" s="76">
        <v>0</v>
      </c>
      <c r="K349" s="76">
        <v>130</v>
      </c>
      <c r="L349" s="76">
        <v>125</v>
      </c>
      <c r="M349" s="76">
        <v>62</v>
      </c>
      <c r="N349" s="76">
        <v>59</v>
      </c>
      <c r="O349" s="76">
        <v>20</v>
      </c>
      <c r="P349" s="76">
        <v>40</v>
      </c>
      <c r="Q349" s="76">
        <v>109</v>
      </c>
      <c r="R349" s="76">
        <v>0.251</v>
      </c>
      <c r="S349" s="76">
        <v>1.27</v>
      </c>
      <c r="T349" s="76">
        <v>14</v>
      </c>
      <c r="U349" s="77" t="s">
        <v>627</v>
      </c>
      <c r="V349" s="76" t="s">
        <v>144</v>
      </c>
      <c r="W349" s="76">
        <v>0</v>
      </c>
      <c r="X349" s="76">
        <v>0</v>
      </c>
      <c r="Y349" s="76">
        <v>5</v>
      </c>
      <c r="Z349" s="76">
        <v>0</v>
      </c>
      <c r="AA349" s="76">
        <v>0</v>
      </c>
      <c r="AB349" s="76">
        <v>0</v>
      </c>
      <c r="AC349" s="76">
        <v>7</v>
      </c>
      <c r="AD349" s="76">
        <v>108</v>
      </c>
      <c r="AE349" s="76">
        <v>162</v>
      </c>
      <c r="AF349" s="76">
        <v>3</v>
      </c>
      <c r="AG349" s="76">
        <v>1</v>
      </c>
      <c r="AH349" s="76">
        <v>2</v>
      </c>
      <c r="AI349" s="76">
        <v>4</v>
      </c>
      <c r="AJ349" s="76">
        <v>1</v>
      </c>
      <c r="AK349" s="76">
        <v>549</v>
      </c>
      <c r="AL349" s="76">
        <v>2126</v>
      </c>
      <c r="AM349" s="202"/>
      <c r="AN349" s="77"/>
      <c r="AO349" s="202"/>
      <c r="AP349" s="202"/>
      <c r="AQ349" s="202"/>
      <c r="AR349" s="202"/>
      <c r="AS349" s="202"/>
      <c r="AT349" s="202"/>
      <c r="AU349" s="202"/>
      <c r="AV349" s="202"/>
      <c r="AW349" s="202"/>
      <c r="AX349" s="202"/>
      <c r="AY349" s="202"/>
    </row>
    <row r="350" spans="1:51" x14ac:dyDescent="0.2">
      <c r="A350" s="76">
        <v>15</v>
      </c>
      <c r="B350" s="77" t="s">
        <v>1385</v>
      </c>
      <c r="C350" s="76" t="s">
        <v>144</v>
      </c>
      <c r="D350" s="76">
        <v>0</v>
      </c>
      <c r="E350" s="76">
        <v>1</v>
      </c>
      <c r="F350" s="76">
        <v>4.2</v>
      </c>
      <c r="G350" s="76">
        <v>12</v>
      </c>
      <c r="H350" s="76">
        <v>0</v>
      </c>
      <c r="I350" s="76">
        <v>0</v>
      </c>
      <c r="J350" s="76">
        <v>0</v>
      </c>
      <c r="K350" s="76">
        <v>15</v>
      </c>
      <c r="L350" s="76">
        <v>23</v>
      </c>
      <c r="M350" s="76">
        <v>8</v>
      </c>
      <c r="N350" s="76">
        <v>7</v>
      </c>
      <c r="O350" s="76">
        <v>0</v>
      </c>
      <c r="P350" s="76">
        <v>5</v>
      </c>
      <c r="Q350" s="76">
        <v>14</v>
      </c>
      <c r="R350" s="76">
        <v>0.34799999999999998</v>
      </c>
      <c r="S350" s="76">
        <v>1.87</v>
      </c>
      <c r="T350" s="76">
        <v>15</v>
      </c>
      <c r="U350" s="77" t="s">
        <v>1385</v>
      </c>
      <c r="V350" s="76" t="s">
        <v>144</v>
      </c>
      <c r="W350" s="76">
        <v>0</v>
      </c>
      <c r="X350" s="76">
        <v>0</v>
      </c>
      <c r="Y350" s="76">
        <v>0</v>
      </c>
      <c r="Z350" s="76">
        <v>1</v>
      </c>
      <c r="AA350" s="76">
        <v>4</v>
      </c>
      <c r="AB350" s="76">
        <v>0</v>
      </c>
      <c r="AC350" s="76">
        <v>3</v>
      </c>
      <c r="AD350" s="76">
        <v>18</v>
      </c>
      <c r="AE350" s="76">
        <v>12</v>
      </c>
      <c r="AF350" s="76">
        <v>2</v>
      </c>
      <c r="AG350" s="76">
        <v>0</v>
      </c>
      <c r="AH350" s="76">
        <v>2</v>
      </c>
      <c r="AI350" s="76">
        <v>0</v>
      </c>
      <c r="AJ350" s="76">
        <v>0</v>
      </c>
      <c r="AK350" s="76">
        <v>72</v>
      </c>
      <c r="AL350" s="76">
        <v>248</v>
      </c>
      <c r="AM350" s="202"/>
      <c r="AN350" s="77"/>
      <c r="AO350" s="202"/>
      <c r="AP350" s="202"/>
      <c r="AQ350" s="202"/>
      <c r="AR350" s="202"/>
      <c r="AS350" s="202"/>
      <c r="AT350" s="202"/>
      <c r="AU350" s="202"/>
      <c r="AV350" s="202"/>
      <c r="AW350" s="202"/>
      <c r="AX350" s="202"/>
      <c r="AY350" s="202"/>
    </row>
    <row r="351" spans="1:51" ht="25.5" x14ac:dyDescent="0.2">
      <c r="A351" s="76">
        <v>16</v>
      </c>
      <c r="B351" s="77" t="s">
        <v>1386</v>
      </c>
      <c r="C351" s="76" t="s">
        <v>144</v>
      </c>
      <c r="D351" s="76">
        <v>1</v>
      </c>
      <c r="E351" s="76">
        <v>2</v>
      </c>
      <c r="F351" s="76">
        <v>4.3499999999999996</v>
      </c>
      <c r="G351" s="76">
        <v>37</v>
      </c>
      <c r="H351" s="76">
        <v>0</v>
      </c>
      <c r="I351" s="76">
        <v>1</v>
      </c>
      <c r="J351" s="76">
        <v>1</v>
      </c>
      <c r="K351" s="76">
        <v>39.1</v>
      </c>
      <c r="L351" s="76">
        <v>44</v>
      </c>
      <c r="M351" s="76">
        <v>20</v>
      </c>
      <c r="N351" s="76">
        <v>19</v>
      </c>
      <c r="O351" s="76">
        <v>5</v>
      </c>
      <c r="P351" s="76">
        <v>11</v>
      </c>
      <c r="Q351" s="76">
        <v>33</v>
      </c>
      <c r="R351" s="76">
        <v>0.27700000000000002</v>
      </c>
      <c r="S351" s="76">
        <v>1.4</v>
      </c>
      <c r="T351" s="76">
        <v>16</v>
      </c>
      <c r="U351" s="77" t="s">
        <v>1386</v>
      </c>
      <c r="V351" s="76" t="s">
        <v>144</v>
      </c>
      <c r="W351" s="76">
        <v>0</v>
      </c>
      <c r="X351" s="76">
        <v>0</v>
      </c>
      <c r="Y351" s="76">
        <v>0</v>
      </c>
      <c r="Z351" s="76">
        <v>2</v>
      </c>
      <c r="AA351" s="76">
        <v>14</v>
      </c>
      <c r="AB351" s="76">
        <v>2</v>
      </c>
      <c r="AC351" s="76">
        <v>4</v>
      </c>
      <c r="AD351" s="76">
        <v>43</v>
      </c>
      <c r="AE351" s="76">
        <v>40</v>
      </c>
      <c r="AF351" s="76">
        <v>2</v>
      </c>
      <c r="AG351" s="76">
        <v>0</v>
      </c>
      <c r="AH351" s="76">
        <v>1</v>
      </c>
      <c r="AI351" s="76">
        <v>1</v>
      </c>
      <c r="AJ351" s="76">
        <v>0</v>
      </c>
      <c r="AK351" s="76">
        <v>171</v>
      </c>
      <c r="AL351" s="76">
        <v>695</v>
      </c>
      <c r="AM351" s="202"/>
      <c r="AN351" s="77"/>
      <c r="AO351" s="202"/>
      <c r="AP351" s="202"/>
      <c r="AQ351" s="202"/>
      <c r="AR351" s="202"/>
      <c r="AS351" s="202"/>
      <c r="AT351" s="202"/>
      <c r="AU351" s="202"/>
      <c r="AV351" s="202"/>
      <c r="AW351" s="202"/>
      <c r="AX351" s="202"/>
      <c r="AY351" s="202"/>
    </row>
    <row r="352" spans="1:51" ht="25.5" x14ac:dyDescent="0.2">
      <c r="A352" s="76">
        <v>17</v>
      </c>
      <c r="B352" s="77" t="s">
        <v>1211</v>
      </c>
      <c r="C352" s="76" t="s">
        <v>144</v>
      </c>
      <c r="D352" s="76">
        <v>8</v>
      </c>
      <c r="E352" s="76">
        <v>8</v>
      </c>
      <c r="F352" s="76">
        <v>4.37</v>
      </c>
      <c r="G352" s="76">
        <v>29</v>
      </c>
      <c r="H352" s="76">
        <v>19</v>
      </c>
      <c r="I352" s="76">
        <v>1</v>
      </c>
      <c r="J352" s="76">
        <v>1</v>
      </c>
      <c r="K352" s="76">
        <v>127.2</v>
      </c>
      <c r="L352" s="76">
        <v>131</v>
      </c>
      <c r="M352" s="76">
        <v>64</v>
      </c>
      <c r="N352" s="76">
        <v>62</v>
      </c>
      <c r="O352" s="76">
        <v>17</v>
      </c>
      <c r="P352" s="76">
        <v>25</v>
      </c>
      <c r="Q352" s="76">
        <v>109</v>
      </c>
      <c r="R352" s="76">
        <v>0.26500000000000001</v>
      </c>
      <c r="S352" s="76">
        <v>1.22</v>
      </c>
      <c r="T352" s="76">
        <v>17</v>
      </c>
      <c r="U352" s="77" t="s">
        <v>1211</v>
      </c>
      <c r="V352" s="76" t="s">
        <v>144</v>
      </c>
      <c r="W352" s="76">
        <v>1</v>
      </c>
      <c r="X352" s="76">
        <v>1</v>
      </c>
      <c r="Y352" s="76">
        <v>1</v>
      </c>
      <c r="Z352" s="76">
        <v>1</v>
      </c>
      <c r="AA352" s="76">
        <v>3</v>
      </c>
      <c r="AB352" s="76">
        <v>4</v>
      </c>
      <c r="AC352" s="76">
        <v>13</v>
      </c>
      <c r="AD352" s="76">
        <v>120</v>
      </c>
      <c r="AE352" s="76">
        <v>140</v>
      </c>
      <c r="AF352" s="76">
        <v>3</v>
      </c>
      <c r="AG352" s="76">
        <v>4</v>
      </c>
      <c r="AH352" s="76">
        <v>16</v>
      </c>
      <c r="AI352" s="76">
        <v>1</v>
      </c>
      <c r="AJ352" s="76">
        <v>0</v>
      </c>
      <c r="AK352" s="76">
        <v>527</v>
      </c>
      <c r="AL352" s="76">
        <v>1983</v>
      </c>
      <c r="AM352" s="202"/>
      <c r="AN352" s="77"/>
      <c r="AO352" s="202"/>
      <c r="AP352" s="202"/>
      <c r="AQ352" s="202"/>
      <c r="AR352" s="202"/>
      <c r="AS352" s="202"/>
      <c r="AT352" s="202"/>
      <c r="AU352" s="202"/>
      <c r="AV352" s="202"/>
      <c r="AW352" s="202"/>
      <c r="AX352" s="202"/>
      <c r="AY352" s="202"/>
    </row>
    <row r="353" spans="1:51" ht="25.5" x14ac:dyDescent="0.2">
      <c r="A353" s="76">
        <v>18</v>
      </c>
      <c r="B353" s="77" t="s">
        <v>441</v>
      </c>
      <c r="C353" s="76" t="s">
        <v>144</v>
      </c>
      <c r="D353" s="76">
        <v>4</v>
      </c>
      <c r="E353" s="76">
        <v>3</v>
      </c>
      <c r="F353" s="76">
        <v>4.8099999999999996</v>
      </c>
      <c r="G353" s="76">
        <v>27</v>
      </c>
      <c r="H353" s="76">
        <v>0</v>
      </c>
      <c r="I353" s="76">
        <v>0</v>
      </c>
      <c r="J353" s="76">
        <v>3</v>
      </c>
      <c r="K353" s="76">
        <v>24.1</v>
      </c>
      <c r="L353" s="76">
        <v>23</v>
      </c>
      <c r="M353" s="76">
        <v>13</v>
      </c>
      <c r="N353" s="76">
        <v>13</v>
      </c>
      <c r="O353" s="76">
        <v>3</v>
      </c>
      <c r="P353" s="76">
        <v>19</v>
      </c>
      <c r="Q353" s="76">
        <v>22</v>
      </c>
      <c r="R353" s="76">
        <v>0.25</v>
      </c>
      <c r="S353" s="76">
        <v>1.73</v>
      </c>
      <c r="T353" s="76">
        <v>18</v>
      </c>
      <c r="U353" s="77" t="s">
        <v>441</v>
      </c>
      <c r="V353" s="76" t="s">
        <v>144</v>
      </c>
      <c r="W353" s="76">
        <v>0</v>
      </c>
      <c r="X353" s="76">
        <v>0</v>
      </c>
      <c r="Y353" s="76">
        <v>2</v>
      </c>
      <c r="Z353" s="76">
        <v>1</v>
      </c>
      <c r="AA353" s="76">
        <v>3</v>
      </c>
      <c r="AB353" s="76">
        <v>7</v>
      </c>
      <c r="AC353" s="76">
        <v>1</v>
      </c>
      <c r="AD353" s="76">
        <v>21</v>
      </c>
      <c r="AE353" s="76">
        <v>27</v>
      </c>
      <c r="AF353" s="76">
        <v>0</v>
      </c>
      <c r="AG353" s="76">
        <v>0</v>
      </c>
      <c r="AH353" s="76">
        <v>4</v>
      </c>
      <c r="AI353" s="76">
        <v>0</v>
      </c>
      <c r="AJ353" s="76">
        <v>0</v>
      </c>
      <c r="AK353" s="76">
        <v>114</v>
      </c>
      <c r="AL353" s="76">
        <v>471</v>
      </c>
      <c r="AM353" s="202"/>
      <c r="AN353" s="77"/>
      <c r="AO353" s="202"/>
      <c r="AP353" s="202"/>
      <c r="AQ353" s="202"/>
      <c r="AR353" s="202"/>
      <c r="AS353" s="202"/>
      <c r="AT353" s="202"/>
      <c r="AU353" s="202"/>
      <c r="AV353" s="202"/>
      <c r="AW353" s="202"/>
      <c r="AX353" s="202"/>
      <c r="AY353" s="202"/>
    </row>
    <row r="354" spans="1:51" x14ac:dyDescent="0.2">
      <c r="A354" s="76">
        <v>19</v>
      </c>
      <c r="B354" s="77" t="s">
        <v>536</v>
      </c>
      <c r="C354" s="76" t="s">
        <v>144</v>
      </c>
      <c r="D354" s="76">
        <v>7</v>
      </c>
      <c r="E354" s="76">
        <v>12</v>
      </c>
      <c r="F354" s="76">
        <v>4.88</v>
      </c>
      <c r="G354" s="76">
        <v>30</v>
      </c>
      <c r="H354" s="76">
        <v>30</v>
      </c>
      <c r="I354" s="76">
        <v>0</v>
      </c>
      <c r="J354" s="76">
        <v>0</v>
      </c>
      <c r="K354" s="76">
        <v>175.1</v>
      </c>
      <c r="L354" s="76">
        <v>174</v>
      </c>
      <c r="M354" s="76">
        <v>103</v>
      </c>
      <c r="N354" s="76">
        <v>95</v>
      </c>
      <c r="O354" s="76">
        <v>32</v>
      </c>
      <c r="P354" s="76">
        <v>49</v>
      </c>
      <c r="Q354" s="76">
        <v>167</v>
      </c>
      <c r="R354" s="76">
        <v>0.25900000000000001</v>
      </c>
      <c r="S354" s="76">
        <v>1.27</v>
      </c>
      <c r="T354" s="76">
        <v>19</v>
      </c>
      <c r="U354" s="77" t="s">
        <v>536</v>
      </c>
      <c r="V354" s="76" t="s">
        <v>144</v>
      </c>
      <c r="W354" s="76">
        <v>0</v>
      </c>
      <c r="X354" s="76">
        <v>0</v>
      </c>
      <c r="Y354" s="76">
        <v>2</v>
      </c>
      <c r="Z354" s="76">
        <v>2</v>
      </c>
      <c r="AA354" s="76">
        <v>0</v>
      </c>
      <c r="AB354" s="76">
        <v>0</v>
      </c>
      <c r="AC354" s="76">
        <v>10</v>
      </c>
      <c r="AD354" s="76">
        <v>119</v>
      </c>
      <c r="AE354" s="76">
        <v>227</v>
      </c>
      <c r="AF354" s="76">
        <v>10</v>
      </c>
      <c r="AG354" s="76">
        <v>0</v>
      </c>
      <c r="AH354" s="76">
        <v>14</v>
      </c>
      <c r="AI354" s="76">
        <v>4</v>
      </c>
      <c r="AJ354" s="76">
        <v>1</v>
      </c>
      <c r="AK354" s="76">
        <v>738</v>
      </c>
      <c r="AL354" s="76">
        <v>2893</v>
      </c>
      <c r="AM354" s="202"/>
      <c r="AN354" s="77"/>
      <c r="AO354" s="202"/>
      <c r="AP354" s="202"/>
      <c r="AQ354" s="202"/>
      <c r="AR354" s="202"/>
      <c r="AS354" s="202"/>
      <c r="AT354" s="202"/>
      <c r="AU354" s="202"/>
      <c r="AV354" s="202"/>
      <c r="AW354" s="202"/>
      <c r="AX354" s="202"/>
      <c r="AY354" s="202"/>
    </row>
    <row r="355" spans="1:51" x14ac:dyDescent="0.2">
      <c r="A355" s="76">
        <v>20</v>
      </c>
      <c r="B355" s="77" t="s">
        <v>390</v>
      </c>
      <c r="C355" s="76" t="s">
        <v>144</v>
      </c>
      <c r="D355" s="76">
        <v>0</v>
      </c>
      <c r="E355" s="76">
        <v>0</v>
      </c>
      <c r="F355" s="76">
        <v>5.19</v>
      </c>
      <c r="G355" s="76">
        <v>18</v>
      </c>
      <c r="H355" s="76">
        <v>0</v>
      </c>
      <c r="I355" s="76">
        <v>0</v>
      </c>
      <c r="J355" s="76">
        <v>0</v>
      </c>
      <c r="K355" s="76">
        <v>17.100000000000001</v>
      </c>
      <c r="L355" s="76">
        <v>27</v>
      </c>
      <c r="M355" s="76">
        <v>11</v>
      </c>
      <c r="N355" s="76">
        <v>10</v>
      </c>
      <c r="O355" s="76">
        <v>2</v>
      </c>
      <c r="P355" s="76">
        <v>3</v>
      </c>
      <c r="Q355" s="76">
        <v>11</v>
      </c>
      <c r="R355" s="76">
        <v>0.37</v>
      </c>
      <c r="S355" s="76">
        <v>1.73</v>
      </c>
      <c r="T355" s="76">
        <v>20</v>
      </c>
      <c r="U355" s="77" t="s">
        <v>390</v>
      </c>
      <c r="V355" s="76" t="s">
        <v>144</v>
      </c>
      <c r="W355" s="76">
        <v>0</v>
      </c>
      <c r="X355" s="76">
        <v>0</v>
      </c>
      <c r="Y355" s="76">
        <v>0</v>
      </c>
      <c r="Z355" s="76">
        <v>1</v>
      </c>
      <c r="AA355" s="76">
        <v>7</v>
      </c>
      <c r="AB355" s="76">
        <v>0</v>
      </c>
      <c r="AC355" s="76">
        <v>4</v>
      </c>
      <c r="AD355" s="76">
        <v>18</v>
      </c>
      <c r="AE355" s="76">
        <v>17</v>
      </c>
      <c r="AF355" s="76">
        <v>3</v>
      </c>
      <c r="AG355" s="76">
        <v>0</v>
      </c>
      <c r="AH355" s="76">
        <v>2</v>
      </c>
      <c r="AI355" s="76">
        <v>1</v>
      </c>
      <c r="AJ355" s="76">
        <v>2</v>
      </c>
      <c r="AK355" s="76">
        <v>76</v>
      </c>
      <c r="AL355" s="76">
        <v>292</v>
      </c>
      <c r="AM355" s="102"/>
      <c r="AN355" s="102"/>
      <c r="AO355" s="102"/>
      <c r="AP355" s="102"/>
      <c r="AQ355" s="102"/>
      <c r="AR355" s="102"/>
      <c r="AS355" s="102"/>
      <c r="AT355" s="102"/>
      <c r="AU355" s="102"/>
      <c r="AV355" s="102"/>
      <c r="AW355" s="102"/>
      <c r="AX355" s="102"/>
      <c r="AY355" s="102"/>
    </row>
    <row r="356" spans="1:51" ht="25.5" x14ac:dyDescent="0.2">
      <c r="A356" s="76">
        <v>21</v>
      </c>
      <c r="B356" s="77" t="s">
        <v>567</v>
      </c>
      <c r="C356" s="76" t="s">
        <v>144</v>
      </c>
      <c r="D356" s="76">
        <v>0</v>
      </c>
      <c r="E356" s="76">
        <v>1</v>
      </c>
      <c r="F356" s="76">
        <v>5.68</v>
      </c>
      <c r="G356" s="76">
        <v>25</v>
      </c>
      <c r="H356" s="76">
        <v>0</v>
      </c>
      <c r="I356" s="76">
        <v>0</v>
      </c>
      <c r="J356" s="76">
        <v>0</v>
      </c>
      <c r="K356" s="76">
        <v>19</v>
      </c>
      <c r="L356" s="76">
        <v>20</v>
      </c>
      <c r="M356" s="76">
        <v>13</v>
      </c>
      <c r="N356" s="76">
        <v>12</v>
      </c>
      <c r="O356" s="76">
        <v>5</v>
      </c>
      <c r="P356" s="76">
        <v>9</v>
      </c>
      <c r="Q356" s="76">
        <v>13</v>
      </c>
      <c r="R356" s="76">
        <v>0.28199999999999997</v>
      </c>
      <c r="S356" s="76">
        <v>1.53</v>
      </c>
      <c r="T356" s="76">
        <v>21</v>
      </c>
      <c r="U356" s="77" t="s">
        <v>567</v>
      </c>
      <c r="V356" s="76" t="s">
        <v>144</v>
      </c>
      <c r="W356" s="76">
        <v>0</v>
      </c>
      <c r="X356" s="76">
        <v>0</v>
      </c>
      <c r="Y356" s="76">
        <v>0</v>
      </c>
      <c r="Z356" s="76">
        <v>1</v>
      </c>
      <c r="AA356" s="76">
        <v>5</v>
      </c>
      <c r="AB356" s="76">
        <v>3</v>
      </c>
      <c r="AC356" s="76">
        <v>3</v>
      </c>
      <c r="AD356" s="76">
        <v>14</v>
      </c>
      <c r="AE356" s="76">
        <v>27</v>
      </c>
      <c r="AF356" s="76">
        <v>2</v>
      </c>
      <c r="AG356" s="76">
        <v>0</v>
      </c>
      <c r="AH356" s="76">
        <v>1</v>
      </c>
      <c r="AI356" s="76">
        <v>1</v>
      </c>
      <c r="AJ356" s="76">
        <v>0</v>
      </c>
      <c r="AK356" s="76">
        <v>83</v>
      </c>
      <c r="AL356" s="76">
        <v>335</v>
      </c>
      <c r="AM356" s="202"/>
      <c r="AN356" s="77"/>
      <c r="AO356" s="202"/>
      <c r="AP356" s="202"/>
      <c r="AQ356" s="202"/>
      <c r="AR356" s="202"/>
      <c r="AS356" s="202"/>
      <c r="AT356" s="202"/>
      <c r="AU356" s="202"/>
      <c r="AV356" s="202"/>
      <c r="AW356" s="202"/>
      <c r="AX356" s="202"/>
      <c r="AY356" s="202"/>
    </row>
    <row r="357" spans="1:51" x14ac:dyDescent="0.2">
      <c r="A357" s="76">
        <v>22</v>
      </c>
      <c r="B357" s="77" t="s">
        <v>821</v>
      </c>
      <c r="C357" s="76" t="s">
        <v>144</v>
      </c>
      <c r="D357" s="76">
        <v>0</v>
      </c>
      <c r="E357" s="76">
        <v>2</v>
      </c>
      <c r="F357" s="76">
        <v>5.74</v>
      </c>
      <c r="G357" s="76">
        <v>27</v>
      </c>
      <c r="H357" s="76">
        <v>0</v>
      </c>
      <c r="I357" s="76">
        <v>0</v>
      </c>
      <c r="J357" s="76">
        <v>1</v>
      </c>
      <c r="K357" s="76">
        <v>26.2</v>
      </c>
      <c r="L357" s="76">
        <v>24</v>
      </c>
      <c r="M357" s="76">
        <v>17</v>
      </c>
      <c r="N357" s="76">
        <v>17</v>
      </c>
      <c r="O357" s="76">
        <v>11</v>
      </c>
      <c r="P357" s="76">
        <v>9</v>
      </c>
      <c r="Q357" s="76">
        <v>23</v>
      </c>
      <c r="R357" s="76">
        <v>0.23799999999999999</v>
      </c>
      <c r="S357" s="76">
        <v>1.24</v>
      </c>
      <c r="T357" s="76">
        <v>22</v>
      </c>
      <c r="U357" s="77" t="s">
        <v>821</v>
      </c>
      <c r="V357" s="76" t="s">
        <v>144</v>
      </c>
      <c r="W357" s="76">
        <v>0</v>
      </c>
      <c r="X357" s="76">
        <v>0</v>
      </c>
      <c r="Y357" s="76">
        <v>1</v>
      </c>
      <c r="Z357" s="76">
        <v>0</v>
      </c>
      <c r="AA357" s="76">
        <v>11</v>
      </c>
      <c r="AB357" s="76">
        <v>1</v>
      </c>
      <c r="AC357" s="76">
        <v>1</v>
      </c>
      <c r="AD357" s="76">
        <v>13</v>
      </c>
      <c r="AE357" s="76">
        <v>42</v>
      </c>
      <c r="AF357" s="76">
        <v>3</v>
      </c>
      <c r="AG357" s="76">
        <v>0</v>
      </c>
      <c r="AH357" s="76">
        <v>2</v>
      </c>
      <c r="AI357" s="76">
        <v>1</v>
      </c>
      <c r="AJ357" s="76">
        <v>0</v>
      </c>
      <c r="AK357" s="76">
        <v>112</v>
      </c>
      <c r="AL357" s="76">
        <v>465</v>
      </c>
      <c r="AM357" s="202"/>
      <c r="AN357" s="77"/>
      <c r="AO357" s="202"/>
      <c r="AP357" s="202"/>
      <c r="AQ357" s="202"/>
      <c r="AR357" s="202"/>
      <c r="AS357" s="202"/>
      <c r="AT357" s="202"/>
      <c r="AU357" s="202"/>
      <c r="AV357" s="202"/>
      <c r="AW357" s="202"/>
      <c r="AX357" s="202"/>
      <c r="AY357" s="202"/>
    </row>
    <row r="358" spans="1:51" ht="25.5" x14ac:dyDescent="0.2">
      <c r="A358" s="76">
        <v>23</v>
      </c>
      <c r="B358" s="77" t="s">
        <v>1212</v>
      </c>
      <c r="C358" s="76" t="s">
        <v>144</v>
      </c>
      <c r="D358" s="76">
        <v>2</v>
      </c>
      <c r="E358" s="76">
        <v>0</v>
      </c>
      <c r="F358" s="76">
        <v>5.91</v>
      </c>
      <c r="G358" s="76">
        <v>52</v>
      </c>
      <c r="H358" s="76">
        <v>0</v>
      </c>
      <c r="I358" s="76">
        <v>1</v>
      </c>
      <c r="J358" s="76">
        <v>2</v>
      </c>
      <c r="K358" s="76">
        <v>45.2</v>
      </c>
      <c r="L358" s="76">
        <v>42</v>
      </c>
      <c r="M358" s="76">
        <v>31</v>
      </c>
      <c r="N358" s="76">
        <v>30</v>
      </c>
      <c r="O358" s="76">
        <v>7</v>
      </c>
      <c r="P358" s="76">
        <v>28</v>
      </c>
      <c r="Q358" s="76">
        <v>50</v>
      </c>
      <c r="R358" s="76">
        <v>0.24399999999999999</v>
      </c>
      <c r="S358" s="76">
        <v>1.53</v>
      </c>
      <c r="T358" s="76">
        <v>23</v>
      </c>
      <c r="U358" s="77" t="s">
        <v>1212</v>
      </c>
      <c r="V358" s="76" t="s">
        <v>144</v>
      </c>
      <c r="W358" s="76">
        <v>0</v>
      </c>
      <c r="X358" s="76">
        <v>0</v>
      </c>
      <c r="Y358" s="76">
        <v>0</v>
      </c>
      <c r="Z358" s="76">
        <v>1</v>
      </c>
      <c r="AA358" s="76">
        <v>15</v>
      </c>
      <c r="AB358" s="76">
        <v>6</v>
      </c>
      <c r="AC358" s="76">
        <v>3</v>
      </c>
      <c r="AD358" s="76">
        <v>35</v>
      </c>
      <c r="AE358" s="76">
        <v>49</v>
      </c>
      <c r="AF358" s="76">
        <v>1</v>
      </c>
      <c r="AG358" s="76">
        <v>0</v>
      </c>
      <c r="AH358" s="76">
        <v>1</v>
      </c>
      <c r="AI358" s="76">
        <v>0</v>
      </c>
      <c r="AJ358" s="76">
        <v>0</v>
      </c>
      <c r="AK358" s="76">
        <v>204</v>
      </c>
      <c r="AL358" s="76">
        <v>811</v>
      </c>
      <c r="AM358" s="202"/>
      <c r="AN358" s="77"/>
      <c r="AO358" s="202"/>
      <c r="AP358" s="202"/>
      <c r="AQ358" s="202"/>
      <c r="AR358" s="202"/>
      <c r="AS358" s="202"/>
      <c r="AT358" s="202"/>
      <c r="AU358" s="202"/>
      <c r="AV358" s="202"/>
      <c r="AW358" s="202"/>
      <c r="AX358" s="202"/>
      <c r="AY358" s="202"/>
    </row>
    <row r="359" spans="1:51" x14ac:dyDescent="0.2">
      <c r="A359" s="76">
        <v>24</v>
      </c>
      <c r="B359" s="77" t="s">
        <v>1387</v>
      </c>
      <c r="C359" s="76" t="s">
        <v>144</v>
      </c>
      <c r="D359" s="76">
        <v>1</v>
      </c>
      <c r="E359" s="76">
        <v>2</v>
      </c>
      <c r="F359" s="76">
        <v>8.59</v>
      </c>
      <c r="G359" s="76">
        <v>5</v>
      </c>
      <c r="H359" s="76">
        <v>5</v>
      </c>
      <c r="I359" s="76">
        <v>0</v>
      </c>
      <c r="J359" s="76">
        <v>0</v>
      </c>
      <c r="K359" s="76">
        <v>22</v>
      </c>
      <c r="L359" s="76">
        <v>32</v>
      </c>
      <c r="M359" s="76">
        <v>22</v>
      </c>
      <c r="N359" s="76">
        <v>21</v>
      </c>
      <c r="O359" s="76">
        <v>5</v>
      </c>
      <c r="P359" s="76">
        <v>7</v>
      </c>
      <c r="Q359" s="76">
        <v>16</v>
      </c>
      <c r="R359" s="76">
        <v>0.33700000000000002</v>
      </c>
      <c r="S359" s="76">
        <v>1.77</v>
      </c>
      <c r="T359" s="76">
        <v>24</v>
      </c>
      <c r="U359" s="77" t="s">
        <v>1387</v>
      </c>
      <c r="V359" s="76" t="s">
        <v>144</v>
      </c>
      <c r="W359" s="76">
        <v>0</v>
      </c>
      <c r="X359" s="76">
        <v>0</v>
      </c>
      <c r="Y359" s="76">
        <v>0</v>
      </c>
      <c r="Z359" s="76">
        <v>0</v>
      </c>
      <c r="AA359" s="76">
        <v>0</v>
      </c>
      <c r="AB359" s="76">
        <v>0</v>
      </c>
      <c r="AC359" s="76">
        <v>1</v>
      </c>
      <c r="AD359" s="76">
        <v>31</v>
      </c>
      <c r="AE359" s="76">
        <v>18</v>
      </c>
      <c r="AF359" s="76">
        <v>0</v>
      </c>
      <c r="AG359" s="76">
        <v>0</v>
      </c>
      <c r="AH359" s="76">
        <v>1</v>
      </c>
      <c r="AI359" s="76">
        <v>1</v>
      </c>
      <c r="AJ359" s="76">
        <v>0</v>
      </c>
      <c r="AK359" s="76">
        <v>104</v>
      </c>
      <c r="AL359" s="76">
        <v>386</v>
      </c>
      <c r="AM359" s="202"/>
      <c r="AN359" s="77"/>
      <c r="AO359" s="202"/>
      <c r="AP359" s="202"/>
      <c r="AQ359" s="202"/>
      <c r="AR359" s="202"/>
      <c r="AS359" s="202"/>
      <c r="AT359" s="202"/>
      <c r="AU359" s="202"/>
      <c r="AV359" s="202"/>
      <c r="AW359" s="202"/>
      <c r="AX359" s="202"/>
      <c r="AY359" s="202"/>
    </row>
    <row r="360" spans="1:51" ht="25.5" x14ac:dyDescent="0.2">
      <c r="A360" s="76">
        <v>25</v>
      </c>
      <c r="B360" s="77" t="s">
        <v>768</v>
      </c>
      <c r="C360" s="76" t="s">
        <v>144</v>
      </c>
      <c r="D360" s="76">
        <v>0</v>
      </c>
      <c r="E360" s="76">
        <v>1</v>
      </c>
      <c r="F360" s="76">
        <v>9</v>
      </c>
      <c r="G360" s="76">
        <v>33</v>
      </c>
      <c r="H360" s="76">
        <v>0</v>
      </c>
      <c r="I360" s="76">
        <v>0</v>
      </c>
      <c r="J360" s="76">
        <v>0</v>
      </c>
      <c r="K360" s="76">
        <v>23</v>
      </c>
      <c r="L360" s="76">
        <v>32</v>
      </c>
      <c r="M360" s="76">
        <v>23</v>
      </c>
      <c r="N360" s="76">
        <v>23</v>
      </c>
      <c r="O360" s="76">
        <v>3</v>
      </c>
      <c r="P360" s="76">
        <v>19</v>
      </c>
      <c r="Q360" s="76">
        <v>21</v>
      </c>
      <c r="R360" s="76">
        <v>0.33300000000000002</v>
      </c>
      <c r="S360" s="76">
        <v>2.2200000000000002</v>
      </c>
      <c r="T360" s="76">
        <v>25</v>
      </c>
      <c r="U360" s="77" t="s">
        <v>768</v>
      </c>
      <c r="V360" s="76" t="s">
        <v>144</v>
      </c>
      <c r="W360" s="76">
        <v>0</v>
      </c>
      <c r="X360" s="76">
        <v>0</v>
      </c>
      <c r="Y360" s="76">
        <v>3</v>
      </c>
      <c r="Z360" s="76">
        <v>3</v>
      </c>
      <c r="AA360" s="76">
        <v>8</v>
      </c>
      <c r="AB360" s="76">
        <v>3</v>
      </c>
      <c r="AC360" s="76">
        <v>3</v>
      </c>
      <c r="AD360" s="76">
        <v>26</v>
      </c>
      <c r="AE360" s="76">
        <v>18</v>
      </c>
      <c r="AF360" s="76">
        <v>0</v>
      </c>
      <c r="AG360" s="76">
        <v>0</v>
      </c>
      <c r="AH360" s="76">
        <v>9</v>
      </c>
      <c r="AI360" s="76">
        <v>0</v>
      </c>
      <c r="AJ360" s="76">
        <v>0</v>
      </c>
      <c r="AK360" s="76">
        <v>119</v>
      </c>
      <c r="AL360" s="76">
        <v>458</v>
      </c>
      <c r="AM360" s="202"/>
      <c r="AN360" s="77"/>
      <c r="AO360" s="202"/>
      <c r="AP360" s="202"/>
      <c r="AQ360" s="202"/>
      <c r="AR360" s="202"/>
      <c r="AS360" s="202"/>
      <c r="AT360" s="202"/>
      <c r="AU360" s="202"/>
      <c r="AV360" s="202"/>
      <c r="AW360" s="202"/>
      <c r="AX360" s="202"/>
      <c r="AY360" s="202"/>
    </row>
    <row r="361" spans="1:51" x14ac:dyDescent="0.2">
      <c r="A361" s="225" t="s">
        <v>105</v>
      </c>
      <c r="B361" s="225" t="s">
        <v>106</v>
      </c>
      <c r="C361" s="225" t="s">
        <v>157</v>
      </c>
      <c r="D361" s="225" t="s">
        <v>85</v>
      </c>
      <c r="E361" s="225" t="s">
        <v>86</v>
      </c>
      <c r="F361" s="225" t="s">
        <v>107</v>
      </c>
      <c r="G361" s="225" t="s">
        <v>108</v>
      </c>
      <c r="H361" s="225" t="s">
        <v>88</v>
      </c>
      <c r="I361" s="225" t="s">
        <v>90</v>
      </c>
      <c r="J361" s="225" t="s">
        <v>158</v>
      </c>
      <c r="K361" s="225" t="s">
        <v>91</v>
      </c>
      <c r="L361" s="225" t="s">
        <v>92</v>
      </c>
      <c r="M361" s="225" t="s">
        <v>93</v>
      </c>
      <c r="N361" s="225" t="s">
        <v>94</v>
      </c>
      <c r="O361" s="225" t="s">
        <v>95</v>
      </c>
      <c r="P361" s="225" t="s">
        <v>96</v>
      </c>
      <c r="Q361" s="225" t="s">
        <v>97</v>
      </c>
      <c r="R361" s="225" t="s">
        <v>1071</v>
      </c>
      <c r="S361" s="225" t="s">
        <v>1072</v>
      </c>
      <c r="T361" s="225" t="s">
        <v>105</v>
      </c>
      <c r="U361" s="225" t="s">
        <v>106</v>
      </c>
      <c r="V361" s="225" t="s">
        <v>157</v>
      </c>
      <c r="W361" s="225" t="s">
        <v>89</v>
      </c>
      <c r="X361" s="225" t="s">
        <v>1073</v>
      </c>
      <c r="Y361" s="225" t="s">
        <v>1074</v>
      </c>
      <c r="Z361" s="225" t="s">
        <v>98</v>
      </c>
      <c r="AA361" s="225" t="s">
        <v>1075</v>
      </c>
      <c r="AB361" s="225" t="s">
        <v>1076</v>
      </c>
      <c r="AC361" s="225" t="s">
        <v>1077</v>
      </c>
      <c r="AD361" s="225" t="s">
        <v>1066</v>
      </c>
      <c r="AE361" s="225" t="s">
        <v>1067</v>
      </c>
      <c r="AF361" s="225" t="s">
        <v>1078</v>
      </c>
      <c r="AG361" s="225" t="s">
        <v>1079</v>
      </c>
      <c r="AH361" s="225" t="s">
        <v>1057</v>
      </c>
      <c r="AI361" s="225" t="s">
        <v>1058</v>
      </c>
      <c r="AJ361" s="225" t="s">
        <v>1080</v>
      </c>
      <c r="AK361" s="225" t="s">
        <v>109</v>
      </c>
      <c r="AL361" s="225" t="s">
        <v>1069</v>
      </c>
      <c r="AM361" s="202"/>
      <c r="AN361" s="77"/>
      <c r="AO361" s="202"/>
      <c r="AP361" s="202"/>
      <c r="AQ361" s="202"/>
      <c r="AR361" s="202"/>
      <c r="AS361" s="202"/>
      <c r="AT361" s="202"/>
      <c r="AU361" s="202"/>
      <c r="AV361" s="202"/>
      <c r="AW361" s="202"/>
      <c r="AX361" s="202"/>
      <c r="AY361" s="202"/>
    </row>
    <row r="362" spans="1:51" ht="25.5" x14ac:dyDescent="0.2">
      <c r="A362" s="76">
        <v>1</v>
      </c>
      <c r="B362" s="77" t="s">
        <v>1388</v>
      </c>
      <c r="C362" s="76" t="s">
        <v>155</v>
      </c>
      <c r="D362" s="76">
        <v>0</v>
      </c>
      <c r="E362" s="76">
        <v>0</v>
      </c>
      <c r="F362" s="76">
        <v>0</v>
      </c>
      <c r="G362" s="76">
        <v>1</v>
      </c>
      <c r="H362" s="76">
        <v>0</v>
      </c>
      <c r="I362" s="76">
        <v>0</v>
      </c>
      <c r="J362" s="76">
        <v>0</v>
      </c>
      <c r="K362" s="76">
        <v>1.1000000000000001</v>
      </c>
      <c r="L362" s="76">
        <v>0</v>
      </c>
      <c r="M362" s="76">
        <v>0</v>
      </c>
      <c r="N362" s="76">
        <v>0</v>
      </c>
      <c r="O362" s="76">
        <v>0</v>
      </c>
      <c r="P362" s="76">
        <v>0</v>
      </c>
      <c r="Q362" s="76">
        <v>0</v>
      </c>
      <c r="R362" s="76">
        <v>0</v>
      </c>
      <c r="S362" s="76">
        <v>0</v>
      </c>
      <c r="T362" s="76">
        <v>1</v>
      </c>
      <c r="U362" s="77" t="s">
        <v>1388</v>
      </c>
      <c r="V362" s="76" t="s">
        <v>155</v>
      </c>
      <c r="W362" s="76">
        <v>0</v>
      </c>
      <c r="X362" s="76">
        <v>0</v>
      </c>
      <c r="Y362" s="76">
        <v>0</v>
      </c>
      <c r="Z362" s="76">
        <v>0</v>
      </c>
      <c r="AA362" s="76">
        <v>1</v>
      </c>
      <c r="AB362" s="76">
        <v>0</v>
      </c>
      <c r="AC362" s="76">
        <v>0</v>
      </c>
      <c r="AD362" s="76">
        <v>0</v>
      </c>
      <c r="AE362" s="76">
        <v>4</v>
      </c>
      <c r="AF362" s="76">
        <v>0</v>
      </c>
      <c r="AG362" s="76">
        <v>0</v>
      </c>
      <c r="AH362" s="76">
        <v>0</v>
      </c>
      <c r="AI362" s="76">
        <v>0</v>
      </c>
      <c r="AJ362" s="76">
        <v>0</v>
      </c>
      <c r="AK362" s="76">
        <v>4</v>
      </c>
      <c r="AL362" s="76">
        <v>18</v>
      </c>
      <c r="AM362" s="202"/>
      <c r="AN362" s="77"/>
      <c r="AO362" s="202"/>
      <c r="AP362" s="202"/>
      <c r="AQ362" s="202"/>
      <c r="AR362" s="202"/>
      <c r="AS362" s="202"/>
      <c r="AT362" s="202"/>
      <c r="AU362" s="202"/>
      <c r="AV362" s="202"/>
      <c r="AW362" s="202"/>
      <c r="AX362" s="202"/>
      <c r="AY362" s="202"/>
    </row>
    <row r="363" spans="1:51" ht="25.5" x14ac:dyDescent="0.2">
      <c r="A363" s="76">
        <v>2</v>
      </c>
      <c r="B363" s="77" t="s">
        <v>1389</v>
      </c>
      <c r="C363" s="76" t="s">
        <v>155</v>
      </c>
      <c r="D363" s="76">
        <v>0</v>
      </c>
      <c r="E363" s="76">
        <v>0</v>
      </c>
      <c r="F363" s="76">
        <v>1.8</v>
      </c>
      <c r="G363" s="76">
        <v>12</v>
      </c>
      <c r="H363" s="76">
        <v>0</v>
      </c>
      <c r="I363" s="76">
        <v>0</v>
      </c>
      <c r="J363" s="76">
        <v>0</v>
      </c>
      <c r="K363" s="76">
        <v>15</v>
      </c>
      <c r="L363" s="76">
        <v>11</v>
      </c>
      <c r="M363" s="76">
        <v>4</v>
      </c>
      <c r="N363" s="76">
        <v>3</v>
      </c>
      <c r="O363" s="76">
        <v>0</v>
      </c>
      <c r="P363" s="76">
        <v>13</v>
      </c>
      <c r="Q363" s="76">
        <v>15</v>
      </c>
      <c r="R363" s="76">
        <v>0.21199999999999999</v>
      </c>
      <c r="S363" s="76">
        <v>1.6</v>
      </c>
      <c r="T363" s="76">
        <v>2</v>
      </c>
      <c r="U363" s="77" t="s">
        <v>1389</v>
      </c>
      <c r="V363" s="76" t="s">
        <v>155</v>
      </c>
      <c r="W363" s="76">
        <v>0</v>
      </c>
      <c r="X363" s="76">
        <v>0</v>
      </c>
      <c r="Y363" s="76">
        <v>0</v>
      </c>
      <c r="Z363" s="76">
        <v>2</v>
      </c>
      <c r="AA363" s="76">
        <v>5</v>
      </c>
      <c r="AB363" s="76">
        <v>0</v>
      </c>
      <c r="AC363" s="76">
        <v>3</v>
      </c>
      <c r="AD363" s="76">
        <v>11</v>
      </c>
      <c r="AE363" s="76">
        <v>16</v>
      </c>
      <c r="AF363" s="76">
        <v>1</v>
      </c>
      <c r="AG363" s="76">
        <v>0</v>
      </c>
      <c r="AH363" s="76">
        <v>0</v>
      </c>
      <c r="AI363" s="76">
        <v>0</v>
      </c>
      <c r="AJ363" s="76">
        <v>0</v>
      </c>
      <c r="AK363" s="76">
        <v>66</v>
      </c>
      <c r="AL363" s="76">
        <v>264</v>
      </c>
      <c r="AM363" s="202"/>
      <c r="AN363" s="77"/>
      <c r="AO363" s="202"/>
      <c r="AP363" s="202"/>
      <c r="AQ363" s="202"/>
      <c r="AR363" s="202"/>
      <c r="AS363" s="202"/>
      <c r="AT363" s="202"/>
      <c r="AU363" s="202"/>
      <c r="AV363" s="202"/>
      <c r="AW363" s="202"/>
      <c r="AX363" s="202"/>
      <c r="AY363" s="202"/>
    </row>
    <row r="364" spans="1:51" ht="25.5" x14ac:dyDescent="0.2">
      <c r="A364" s="76">
        <v>3</v>
      </c>
      <c r="B364" s="77" t="s">
        <v>1390</v>
      </c>
      <c r="C364" s="76" t="s">
        <v>155</v>
      </c>
      <c r="D364" s="76">
        <v>7</v>
      </c>
      <c r="E364" s="76">
        <v>3</v>
      </c>
      <c r="F364" s="76">
        <v>2.09</v>
      </c>
      <c r="G364" s="76">
        <v>53</v>
      </c>
      <c r="H364" s="76">
        <v>0</v>
      </c>
      <c r="I364" s="76">
        <v>0</v>
      </c>
      <c r="J364" s="76">
        <v>1</v>
      </c>
      <c r="K364" s="76">
        <v>60.1</v>
      </c>
      <c r="L364" s="76">
        <v>54</v>
      </c>
      <c r="M364" s="76">
        <v>16</v>
      </c>
      <c r="N364" s="76">
        <v>14</v>
      </c>
      <c r="O364" s="76">
        <v>4</v>
      </c>
      <c r="P364" s="76">
        <v>16</v>
      </c>
      <c r="Q364" s="76">
        <v>49</v>
      </c>
      <c r="R364" s="76">
        <v>0.24199999999999999</v>
      </c>
      <c r="S364" s="76">
        <v>1.1599999999999999</v>
      </c>
      <c r="T364" s="76">
        <v>3</v>
      </c>
      <c r="U364" s="77" t="s">
        <v>1390</v>
      </c>
      <c r="V364" s="76" t="s">
        <v>155</v>
      </c>
      <c r="W364" s="76">
        <v>0</v>
      </c>
      <c r="X364" s="76">
        <v>0</v>
      </c>
      <c r="Y364" s="76">
        <v>4</v>
      </c>
      <c r="Z364" s="76">
        <v>1</v>
      </c>
      <c r="AA364" s="76">
        <v>9</v>
      </c>
      <c r="AB364" s="76">
        <v>15</v>
      </c>
      <c r="AC364" s="76">
        <v>10</v>
      </c>
      <c r="AD364" s="76">
        <v>66</v>
      </c>
      <c r="AE364" s="76">
        <v>57</v>
      </c>
      <c r="AF364" s="76">
        <v>6</v>
      </c>
      <c r="AG364" s="76">
        <v>0</v>
      </c>
      <c r="AH364" s="76">
        <v>3</v>
      </c>
      <c r="AI364" s="76">
        <v>1</v>
      </c>
      <c r="AJ364" s="76">
        <v>0</v>
      </c>
      <c r="AK364" s="76">
        <v>246</v>
      </c>
      <c r="AL364" s="76">
        <v>921</v>
      </c>
      <c r="AM364" s="202"/>
      <c r="AN364" s="77"/>
      <c r="AO364" s="202"/>
      <c r="AP364" s="202"/>
      <c r="AQ364" s="202"/>
      <c r="AR364" s="202"/>
      <c r="AS364" s="202"/>
      <c r="AT364" s="202"/>
      <c r="AU364" s="202"/>
      <c r="AV364" s="202"/>
      <c r="AW364" s="202"/>
      <c r="AX364" s="202"/>
      <c r="AY364" s="202"/>
    </row>
    <row r="365" spans="1:51" x14ac:dyDescent="0.2">
      <c r="A365" s="76">
        <v>4</v>
      </c>
      <c r="B365" s="77" t="s">
        <v>397</v>
      </c>
      <c r="C365" s="76" t="s">
        <v>155</v>
      </c>
      <c r="D365" s="76">
        <v>3</v>
      </c>
      <c r="E365" s="76">
        <v>2</v>
      </c>
      <c r="F365" s="76">
        <v>2.4300000000000002</v>
      </c>
      <c r="G365" s="76">
        <v>73</v>
      </c>
      <c r="H365" s="76">
        <v>0</v>
      </c>
      <c r="I365" s="76">
        <v>38</v>
      </c>
      <c r="J365" s="76">
        <v>43</v>
      </c>
      <c r="K365" s="76">
        <v>70.099999999999994</v>
      </c>
      <c r="L365" s="76">
        <v>63</v>
      </c>
      <c r="M365" s="76">
        <v>19</v>
      </c>
      <c r="N365" s="76">
        <v>19</v>
      </c>
      <c r="O365" s="76">
        <v>5</v>
      </c>
      <c r="P365" s="76">
        <v>23</v>
      </c>
      <c r="Q365" s="76">
        <v>55</v>
      </c>
      <c r="R365" s="76">
        <v>0.24399999999999999</v>
      </c>
      <c r="S365" s="76">
        <v>1.22</v>
      </c>
      <c r="T365" s="76">
        <v>4</v>
      </c>
      <c r="U365" s="77" t="s">
        <v>397</v>
      </c>
      <c r="V365" s="76" t="s">
        <v>155</v>
      </c>
      <c r="W365" s="76">
        <v>0</v>
      </c>
      <c r="X365" s="76">
        <v>0</v>
      </c>
      <c r="Y365" s="76">
        <v>3</v>
      </c>
      <c r="Z365" s="76">
        <v>0</v>
      </c>
      <c r="AA365" s="76">
        <v>53</v>
      </c>
      <c r="AB365" s="76">
        <v>10</v>
      </c>
      <c r="AC365" s="76">
        <v>12</v>
      </c>
      <c r="AD365" s="76">
        <v>103</v>
      </c>
      <c r="AE365" s="76">
        <v>38</v>
      </c>
      <c r="AF365" s="76">
        <v>3</v>
      </c>
      <c r="AG365" s="76">
        <v>0</v>
      </c>
      <c r="AH365" s="76">
        <v>5</v>
      </c>
      <c r="AI365" s="76">
        <v>2</v>
      </c>
      <c r="AJ365" s="76">
        <v>0</v>
      </c>
      <c r="AK365" s="76">
        <v>285</v>
      </c>
      <c r="AL365" s="76">
        <v>990</v>
      </c>
      <c r="AM365" s="202"/>
      <c r="AN365" s="77"/>
      <c r="AO365" s="202"/>
      <c r="AP365" s="202"/>
      <c r="AQ365" s="202"/>
      <c r="AR365" s="202"/>
      <c r="AS365" s="202"/>
      <c r="AT365" s="202"/>
      <c r="AU365" s="202"/>
      <c r="AV365" s="202"/>
      <c r="AW365" s="202"/>
      <c r="AX365" s="202"/>
      <c r="AY365" s="202"/>
    </row>
    <row r="366" spans="1:51" x14ac:dyDescent="0.2">
      <c r="A366" s="76">
        <v>5</v>
      </c>
      <c r="B366" s="77" t="s">
        <v>1391</v>
      </c>
      <c r="C366" s="76" t="s">
        <v>155</v>
      </c>
      <c r="D366" s="76">
        <v>7</v>
      </c>
      <c r="E366" s="76">
        <v>2</v>
      </c>
      <c r="F366" s="76">
        <v>2.48</v>
      </c>
      <c r="G366" s="76">
        <v>58</v>
      </c>
      <c r="H366" s="76">
        <v>0</v>
      </c>
      <c r="I366" s="76">
        <v>1</v>
      </c>
      <c r="J366" s="76">
        <v>4</v>
      </c>
      <c r="K366" s="76">
        <v>61.2</v>
      </c>
      <c r="L366" s="76">
        <v>44</v>
      </c>
      <c r="M366" s="76">
        <v>18</v>
      </c>
      <c r="N366" s="76">
        <v>17</v>
      </c>
      <c r="O366" s="76">
        <v>4</v>
      </c>
      <c r="P366" s="76">
        <v>14</v>
      </c>
      <c r="Q366" s="76">
        <v>61</v>
      </c>
      <c r="R366" s="76">
        <v>0.19600000000000001</v>
      </c>
      <c r="S366" s="76">
        <v>0.94</v>
      </c>
      <c r="T366" s="76">
        <v>5</v>
      </c>
      <c r="U366" s="77" t="s">
        <v>1391</v>
      </c>
      <c r="V366" s="76" t="s">
        <v>155</v>
      </c>
      <c r="W366" s="76">
        <v>0</v>
      </c>
      <c r="X366" s="76">
        <v>0</v>
      </c>
      <c r="Y366" s="76">
        <v>1</v>
      </c>
      <c r="Z366" s="76">
        <v>0</v>
      </c>
      <c r="AA366" s="76">
        <v>15</v>
      </c>
      <c r="AB366" s="76">
        <v>22</v>
      </c>
      <c r="AC366" s="76">
        <v>3</v>
      </c>
      <c r="AD366" s="76">
        <v>63</v>
      </c>
      <c r="AE366" s="76">
        <v>60</v>
      </c>
      <c r="AF366" s="76">
        <v>2</v>
      </c>
      <c r="AG366" s="76">
        <v>0</v>
      </c>
      <c r="AH366" s="76">
        <v>1</v>
      </c>
      <c r="AI366" s="76">
        <v>0</v>
      </c>
      <c r="AJ366" s="76">
        <v>0</v>
      </c>
      <c r="AK366" s="76">
        <v>243</v>
      </c>
      <c r="AL366" s="76">
        <v>941</v>
      </c>
      <c r="AM366" s="202"/>
      <c r="AN366" s="77"/>
      <c r="AO366" s="202"/>
      <c r="AP366" s="202"/>
      <c r="AQ366" s="202"/>
      <c r="AR366" s="202"/>
      <c r="AS366" s="202"/>
      <c r="AT366" s="202"/>
      <c r="AU366" s="202"/>
      <c r="AV366" s="202"/>
      <c r="AW366" s="202"/>
      <c r="AX366" s="202"/>
      <c r="AY366" s="202"/>
    </row>
    <row r="367" spans="1:51" ht="25.5" x14ac:dyDescent="0.2">
      <c r="A367" s="76">
        <v>6</v>
      </c>
      <c r="B367" s="77" t="s">
        <v>615</v>
      </c>
      <c r="C367" s="76" t="s">
        <v>155</v>
      </c>
      <c r="D367" s="76">
        <v>1</v>
      </c>
      <c r="E367" s="76">
        <v>0</v>
      </c>
      <c r="F367" s="76">
        <v>2.7</v>
      </c>
      <c r="G367" s="76">
        <v>12</v>
      </c>
      <c r="H367" s="76">
        <v>0</v>
      </c>
      <c r="I367" s="76">
        <v>0</v>
      </c>
      <c r="J367" s="76">
        <v>0</v>
      </c>
      <c r="K367" s="76">
        <v>13.1</v>
      </c>
      <c r="L367" s="76">
        <v>10</v>
      </c>
      <c r="M367" s="76">
        <v>4</v>
      </c>
      <c r="N367" s="76">
        <v>4</v>
      </c>
      <c r="O367" s="76">
        <v>0</v>
      </c>
      <c r="P367" s="76">
        <v>7</v>
      </c>
      <c r="Q367" s="76">
        <v>7</v>
      </c>
      <c r="R367" s="76">
        <v>0.22700000000000001</v>
      </c>
      <c r="S367" s="76">
        <v>1.28</v>
      </c>
      <c r="T367" s="76">
        <v>6</v>
      </c>
      <c r="U367" s="77" t="s">
        <v>615</v>
      </c>
      <c r="V367" s="76" t="s">
        <v>155</v>
      </c>
      <c r="W367" s="76">
        <v>0</v>
      </c>
      <c r="X367" s="76">
        <v>0</v>
      </c>
      <c r="Y367" s="76">
        <v>0</v>
      </c>
      <c r="Z367" s="76">
        <v>0</v>
      </c>
      <c r="AA367" s="76">
        <v>1</v>
      </c>
      <c r="AB367" s="76">
        <v>6</v>
      </c>
      <c r="AC367" s="76">
        <v>5</v>
      </c>
      <c r="AD367" s="76">
        <v>22</v>
      </c>
      <c r="AE367" s="76">
        <v>5</v>
      </c>
      <c r="AF367" s="76">
        <v>3</v>
      </c>
      <c r="AG367" s="76">
        <v>0</v>
      </c>
      <c r="AH367" s="76">
        <v>0</v>
      </c>
      <c r="AI367" s="76">
        <v>0</v>
      </c>
      <c r="AJ367" s="76">
        <v>0</v>
      </c>
      <c r="AK367" s="76">
        <v>51</v>
      </c>
      <c r="AL367" s="76">
        <v>204</v>
      </c>
      <c r="AM367" s="202"/>
      <c r="AN367" s="77"/>
      <c r="AO367" s="202"/>
      <c r="AP367" s="202"/>
      <c r="AQ367" s="202"/>
      <c r="AR367" s="202"/>
      <c r="AS367" s="202"/>
      <c r="AT367" s="202"/>
      <c r="AU367" s="202"/>
      <c r="AV367" s="202"/>
      <c r="AW367" s="202"/>
      <c r="AX367" s="202"/>
      <c r="AY367" s="202"/>
    </row>
    <row r="368" spans="1:51" ht="25.5" x14ac:dyDescent="0.2">
      <c r="A368" s="76">
        <v>7</v>
      </c>
      <c r="B368" s="77" t="s">
        <v>825</v>
      </c>
      <c r="C368" s="76" t="s">
        <v>155</v>
      </c>
      <c r="D368" s="76">
        <v>4</v>
      </c>
      <c r="E368" s="76">
        <v>1</v>
      </c>
      <c r="F368" s="76">
        <v>2.79</v>
      </c>
      <c r="G368" s="76">
        <v>39</v>
      </c>
      <c r="H368" s="76">
        <v>0</v>
      </c>
      <c r="I368" s="76">
        <v>0</v>
      </c>
      <c r="J368" s="76">
        <v>0</v>
      </c>
      <c r="K368" s="76">
        <v>51.2</v>
      </c>
      <c r="L368" s="76">
        <v>55</v>
      </c>
      <c r="M368" s="76">
        <v>19</v>
      </c>
      <c r="N368" s="76">
        <v>16</v>
      </c>
      <c r="O368" s="76">
        <v>2</v>
      </c>
      <c r="P368" s="76">
        <v>10</v>
      </c>
      <c r="Q368" s="76">
        <v>34</v>
      </c>
      <c r="R368" s="76">
        <v>0.27</v>
      </c>
      <c r="S368" s="76">
        <v>1.26</v>
      </c>
      <c r="T368" s="76">
        <v>7</v>
      </c>
      <c r="U368" s="77" t="s">
        <v>825</v>
      </c>
      <c r="V368" s="76" t="s">
        <v>155</v>
      </c>
      <c r="W368" s="76">
        <v>0</v>
      </c>
      <c r="X368" s="76">
        <v>0</v>
      </c>
      <c r="Y368" s="76">
        <v>1</v>
      </c>
      <c r="Z368" s="76">
        <v>0</v>
      </c>
      <c r="AA368" s="76">
        <v>15</v>
      </c>
      <c r="AB368" s="76">
        <v>2</v>
      </c>
      <c r="AC368" s="76">
        <v>8</v>
      </c>
      <c r="AD368" s="76">
        <v>81</v>
      </c>
      <c r="AE368" s="76">
        <v>36</v>
      </c>
      <c r="AF368" s="76">
        <v>0</v>
      </c>
      <c r="AG368" s="76">
        <v>0</v>
      </c>
      <c r="AH368" s="76">
        <v>0</v>
      </c>
      <c r="AI368" s="76">
        <v>0</v>
      </c>
      <c r="AJ368" s="76">
        <v>0</v>
      </c>
      <c r="AK368" s="76">
        <v>217</v>
      </c>
      <c r="AL368" s="76">
        <v>789</v>
      </c>
      <c r="AM368" s="202"/>
      <c r="AN368" s="77"/>
      <c r="AO368" s="202"/>
      <c r="AP368" s="202"/>
      <c r="AQ368" s="202"/>
      <c r="AR368" s="202"/>
      <c r="AS368" s="202"/>
      <c r="AT368" s="202"/>
      <c r="AU368" s="202"/>
      <c r="AV368" s="202"/>
      <c r="AW368" s="202"/>
      <c r="AX368" s="202"/>
      <c r="AY368" s="202"/>
    </row>
    <row r="369" spans="1:51" ht="25.5" x14ac:dyDescent="0.2">
      <c r="A369" s="76">
        <v>8</v>
      </c>
      <c r="B369" s="77" t="s">
        <v>421</v>
      </c>
      <c r="C369" s="76" t="s">
        <v>155</v>
      </c>
      <c r="D369" s="76">
        <v>15</v>
      </c>
      <c r="E369" s="76">
        <v>5</v>
      </c>
      <c r="F369" s="76">
        <v>3.32</v>
      </c>
      <c r="G369" s="76">
        <v>32</v>
      </c>
      <c r="H369" s="76">
        <v>32</v>
      </c>
      <c r="I369" s="76">
        <v>0</v>
      </c>
      <c r="J369" s="76">
        <v>0</v>
      </c>
      <c r="K369" s="76">
        <v>200.2</v>
      </c>
      <c r="L369" s="76">
        <v>185</v>
      </c>
      <c r="M369" s="76">
        <v>83</v>
      </c>
      <c r="N369" s="76">
        <v>74</v>
      </c>
      <c r="O369" s="76">
        <v>24</v>
      </c>
      <c r="P369" s="76">
        <v>77</v>
      </c>
      <c r="Q369" s="76">
        <v>200</v>
      </c>
      <c r="R369" s="76">
        <v>0.24299999999999999</v>
      </c>
      <c r="S369" s="76">
        <v>1.31</v>
      </c>
      <c r="T369" s="76">
        <v>8</v>
      </c>
      <c r="U369" s="77" t="s">
        <v>421</v>
      </c>
      <c r="V369" s="76" t="s">
        <v>155</v>
      </c>
      <c r="W369" s="76">
        <v>0</v>
      </c>
      <c r="X369" s="76">
        <v>0</v>
      </c>
      <c r="Y369" s="76">
        <v>8</v>
      </c>
      <c r="Z369" s="76">
        <v>1</v>
      </c>
      <c r="AA369" s="76">
        <v>0</v>
      </c>
      <c r="AB369" s="76">
        <v>0</v>
      </c>
      <c r="AC369" s="76">
        <v>19</v>
      </c>
      <c r="AD369" s="76">
        <v>216</v>
      </c>
      <c r="AE369" s="76">
        <v>162</v>
      </c>
      <c r="AF369" s="76">
        <v>4</v>
      </c>
      <c r="AG369" s="76">
        <v>1</v>
      </c>
      <c r="AH369" s="76">
        <v>23</v>
      </c>
      <c r="AI369" s="76">
        <v>5</v>
      </c>
      <c r="AJ369" s="76">
        <v>3</v>
      </c>
      <c r="AK369" s="76">
        <v>848</v>
      </c>
      <c r="AL369" s="76">
        <v>3253</v>
      </c>
      <c r="AM369" s="202"/>
      <c r="AN369" s="77"/>
      <c r="AO369" s="202"/>
      <c r="AP369" s="202"/>
      <c r="AQ369" s="202"/>
      <c r="AR369" s="202"/>
      <c r="AS369" s="202"/>
      <c r="AT369" s="202"/>
      <c r="AU369" s="202"/>
      <c r="AV369" s="202"/>
      <c r="AW369" s="202"/>
      <c r="AX369" s="202"/>
      <c r="AY369" s="202"/>
    </row>
    <row r="370" spans="1:51" ht="25.5" x14ac:dyDescent="0.2">
      <c r="A370" s="76">
        <v>9</v>
      </c>
      <c r="B370" s="77" t="s">
        <v>419</v>
      </c>
      <c r="C370" s="76" t="s">
        <v>155</v>
      </c>
      <c r="D370" s="76">
        <v>4</v>
      </c>
      <c r="E370" s="76">
        <v>2</v>
      </c>
      <c r="F370" s="76">
        <v>3.4</v>
      </c>
      <c r="G370" s="76">
        <v>66</v>
      </c>
      <c r="H370" s="76">
        <v>0</v>
      </c>
      <c r="I370" s="76">
        <v>4</v>
      </c>
      <c r="J370" s="76">
        <v>5</v>
      </c>
      <c r="K370" s="76">
        <v>53</v>
      </c>
      <c r="L370" s="76">
        <v>36</v>
      </c>
      <c r="M370" s="76">
        <v>22</v>
      </c>
      <c r="N370" s="76">
        <v>20</v>
      </c>
      <c r="O370" s="76">
        <v>4</v>
      </c>
      <c r="P370" s="76">
        <v>26</v>
      </c>
      <c r="Q370" s="76">
        <v>59</v>
      </c>
      <c r="R370" s="76">
        <v>0.189</v>
      </c>
      <c r="S370" s="76">
        <v>1.17</v>
      </c>
      <c r="T370" s="76">
        <v>9</v>
      </c>
      <c r="U370" s="77" t="s">
        <v>419</v>
      </c>
      <c r="V370" s="76" t="s">
        <v>155</v>
      </c>
      <c r="W370" s="76">
        <v>0</v>
      </c>
      <c r="X370" s="76">
        <v>0</v>
      </c>
      <c r="Y370" s="76">
        <v>3</v>
      </c>
      <c r="Z370" s="76">
        <v>1</v>
      </c>
      <c r="AA370" s="76">
        <v>14</v>
      </c>
      <c r="AB370" s="76">
        <v>26</v>
      </c>
      <c r="AC370" s="76">
        <v>5</v>
      </c>
      <c r="AD370" s="76">
        <v>51</v>
      </c>
      <c r="AE370" s="76">
        <v>46</v>
      </c>
      <c r="AF370" s="76">
        <v>3</v>
      </c>
      <c r="AG370" s="76">
        <v>0</v>
      </c>
      <c r="AH370" s="76">
        <v>0</v>
      </c>
      <c r="AI370" s="76">
        <v>0</v>
      </c>
      <c r="AJ370" s="76">
        <v>0</v>
      </c>
      <c r="AK370" s="76">
        <v>221</v>
      </c>
      <c r="AL370" s="76">
        <v>932</v>
      </c>
      <c r="AM370" s="202"/>
      <c r="AN370" s="77"/>
      <c r="AO370" s="202"/>
      <c r="AP370" s="202"/>
      <c r="AQ370" s="202"/>
      <c r="AR370" s="202"/>
      <c r="AS370" s="202"/>
      <c r="AT370" s="202"/>
      <c r="AU370" s="202"/>
      <c r="AV370" s="202"/>
      <c r="AW370" s="202"/>
      <c r="AX370" s="202"/>
      <c r="AY370" s="202"/>
    </row>
    <row r="371" spans="1:51" ht="25.5" x14ac:dyDescent="0.2">
      <c r="A371" s="76">
        <v>10</v>
      </c>
      <c r="B371" s="77" t="s">
        <v>1392</v>
      </c>
      <c r="C371" s="76" t="s">
        <v>155</v>
      </c>
      <c r="D371" s="76">
        <v>7</v>
      </c>
      <c r="E371" s="76">
        <v>5</v>
      </c>
      <c r="F371" s="76">
        <v>3.41</v>
      </c>
      <c r="G371" s="76">
        <v>17</v>
      </c>
      <c r="H371" s="76">
        <v>17</v>
      </c>
      <c r="I371" s="76">
        <v>0</v>
      </c>
      <c r="J371" s="76">
        <v>0</v>
      </c>
      <c r="K371" s="76">
        <v>100.1</v>
      </c>
      <c r="L371" s="76">
        <v>81</v>
      </c>
      <c r="M371" s="76">
        <v>43</v>
      </c>
      <c r="N371" s="76">
        <v>38</v>
      </c>
      <c r="O371" s="76">
        <v>12</v>
      </c>
      <c r="P371" s="76">
        <v>31</v>
      </c>
      <c r="Q371" s="76">
        <v>132</v>
      </c>
      <c r="R371" s="76">
        <v>0.214</v>
      </c>
      <c r="S371" s="76">
        <v>1.1200000000000001</v>
      </c>
      <c r="T371" s="76">
        <v>10</v>
      </c>
      <c r="U371" s="77" t="s">
        <v>1392</v>
      </c>
      <c r="V371" s="76" t="s">
        <v>155</v>
      </c>
      <c r="W371" s="76">
        <v>0</v>
      </c>
      <c r="X371" s="76">
        <v>0</v>
      </c>
      <c r="Y371" s="76">
        <v>3</v>
      </c>
      <c r="Z371" s="76">
        <v>1</v>
      </c>
      <c r="AA371" s="76">
        <v>0</v>
      </c>
      <c r="AB371" s="76">
        <v>0</v>
      </c>
      <c r="AC371" s="76">
        <v>3</v>
      </c>
      <c r="AD371" s="76">
        <v>75</v>
      </c>
      <c r="AE371" s="76">
        <v>94</v>
      </c>
      <c r="AF371" s="76">
        <v>6</v>
      </c>
      <c r="AG371" s="76">
        <v>0</v>
      </c>
      <c r="AH371" s="76">
        <v>13</v>
      </c>
      <c r="AI371" s="76">
        <v>0</v>
      </c>
      <c r="AJ371" s="76">
        <v>0</v>
      </c>
      <c r="AK371" s="76">
        <v>416</v>
      </c>
      <c r="AL371" s="76">
        <v>1579</v>
      </c>
      <c r="AM371" s="202"/>
      <c r="AN371" s="77"/>
      <c r="AO371" s="202"/>
      <c r="AP371" s="202"/>
      <c r="AQ371" s="202"/>
      <c r="AR371" s="202"/>
      <c r="AS371" s="202"/>
      <c r="AT371" s="202"/>
      <c r="AU371" s="202"/>
      <c r="AV371" s="202"/>
      <c r="AW371" s="202"/>
      <c r="AX371" s="202"/>
      <c r="AY371" s="202"/>
    </row>
    <row r="372" spans="1:51" x14ac:dyDescent="0.2">
      <c r="A372" s="76">
        <v>11</v>
      </c>
      <c r="B372" s="77" t="s">
        <v>827</v>
      </c>
      <c r="C372" s="76" t="s">
        <v>155</v>
      </c>
      <c r="D372" s="76">
        <v>6</v>
      </c>
      <c r="E372" s="76">
        <v>5</v>
      </c>
      <c r="F372" s="76">
        <v>3.71</v>
      </c>
      <c r="G372" s="76">
        <v>19</v>
      </c>
      <c r="H372" s="76">
        <v>19</v>
      </c>
      <c r="I372" s="76">
        <v>0</v>
      </c>
      <c r="J372" s="76">
        <v>0</v>
      </c>
      <c r="K372" s="76">
        <v>116.1</v>
      </c>
      <c r="L372" s="76">
        <v>103</v>
      </c>
      <c r="M372" s="76">
        <v>53</v>
      </c>
      <c r="N372" s="76">
        <v>48</v>
      </c>
      <c r="O372" s="76">
        <v>19</v>
      </c>
      <c r="P372" s="76">
        <v>28</v>
      </c>
      <c r="Q372" s="76">
        <v>73</v>
      </c>
      <c r="R372" s="76">
        <v>0.23599999999999999</v>
      </c>
      <c r="S372" s="76">
        <v>1.1299999999999999</v>
      </c>
      <c r="T372" s="76">
        <v>11</v>
      </c>
      <c r="U372" s="77" t="s">
        <v>827</v>
      </c>
      <c r="V372" s="76" t="s">
        <v>155</v>
      </c>
      <c r="W372" s="76">
        <v>1</v>
      </c>
      <c r="X372" s="76">
        <v>0</v>
      </c>
      <c r="Y372" s="76">
        <v>3</v>
      </c>
      <c r="Z372" s="76">
        <v>0</v>
      </c>
      <c r="AA372" s="76">
        <v>0</v>
      </c>
      <c r="AB372" s="76">
        <v>0</v>
      </c>
      <c r="AC372" s="76">
        <v>9</v>
      </c>
      <c r="AD372" s="76">
        <v>107</v>
      </c>
      <c r="AE372" s="76">
        <v>158</v>
      </c>
      <c r="AF372" s="76">
        <v>1</v>
      </c>
      <c r="AG372" s="76">
        <v>0</v>
      </c>
      <c r="AH372" s="76">
        <v>2</v>
      </c>
      <c r="AI372" s="76">
        <v>5</v>
      </c>
      <c r="AJ372" s="76">
        <v>0</v>
      </c>
      <c r="AK372" s="76">
        <v>472</v>
      </c>
      <c r="AL372" s="76">
        <v>1750</v>
      </c>
      <c r="AM372" s="202"/>
      <c r="AN372" s="77"/>
      <c r="AO372" s="202"/>
      <c r="AP372" s="202"/>
      <c r="AQ372" s="202"/>
      <c r="AR372" s="202"/>
      <c r="AS372" s="202"/>
      <c r="AT372" s="202"/>
      <c r="AU372" s="202"/>
      <c r="AV372" s="202"/>
      <c r="AW372" s="202"/>
      <c r="AX372" s="202"/>
      <c r="AY372" s="202"/>
    </row>
    <row r="373" spans="1:51" ht="25.5" x14ac:dyDescent="0.2">
      <c r="A373" s="76">
        <v>12</v>
      </c>
      <c r="B373" s="77" t="s">
        <v>639</v>
      </c>
      <c r="C373" s="76" t="s">
        <v>155</v>
      </c>
      <c r="D373" s="76">
        <v>1</v>
      </c>
      <c r="E373" s="76">
        <v>1</v>
      </c>
      <c r="F373" s="76">
        <v>4.1500000000000004</v>
      </c>
      <c r="G373" s="76">
        <v>10</v>
      </c>
      <c r="H373" s="76">
        <v>0</v>
      </c>
      <c r="I373" s="76">
        <v>1</v>
      </c>
      <c r="J373" s="76">
        <v>1</v>
      </c>
      <c r="K373" s="76">
        <v>8.1999999999999993</v>
      </c>
      <c r="L373" s="76">
        <v>6</v>
      </c>
      <c r="M373" s="76">
        <v>4</v>
      </c>
      <c r="N373" s="76">
        <v>4</v>
      </c>
      <c r="O373" s="76">
        <v>0</v>
      </c>
      <c r="P373" s="76">
        <v>3</v>
      </c>
      <c r="Q373" s="76">
        <v>5</v>
      </c>
      <c r="R373" s="76">
        <v>0.188</v>
      </c>
      <c r="S373" s="76">
        <v>1.04</v>
      </c>
      <c r="T373" s="76">
        <v>12</v>
      </c>
      <c r="U373" s="77" t="s">
        <v>639</v>
      </c>
      <c r="V373" s="76" t="s">
        <v>155</v>
      </c>
      <c r="W373" s="76">
        <v>0</v>
      </c>
      <c r="X373" s="76">
        <v>0</v>
      </c>
      <c r="Y373" s="76">
        <v>0</v>
      </c>
      <c r="Z373" s="76">
        <v>1</v>
      </c>
      <c r="AA373" s="76">
        <v>5</v>
      </c>
      <c r="AB373" s="76">
        <v>2</v>
      </c>
      <c r="AC373" s="76">
        <v>0</v>
      </c>
      <c r="AD373" s="76">
        <v>10</v>
      </c>
      <c r="AE373" s="76">
        <v>11</v>
      </c>
      <c r="AF373" s="76">
        <v>2</v>
      </c>
      <c r="AG373" s="76">
        <v>0</v>
      </c>
      <c r="AH373" s="76">
        <v>0</v>
      </c>
      <c r="AI373" s="76">
        <v>0</v>
      </c>
      <c r="AJ373" s="76">
        <v>0</v>
      </c>
      <c r="AK373" s="76">
        <v>35</v>
      </c>
      <c r="AL373" s="76">
        <v>126</v>
      </c>
      <c r="AM373" s="202"/>
      <c r="AN373" s="77"/>
      <c r="AO373" s="202"/>
      <c r="AP373" s="202"/>
      <c r="AQ373" s="202"/>
      <c r="AR373" s="202"/>
      <c r="AS373" s="202"/>
      <c r="AT373" s="202"/>
      <c r="AU373" s="202"/>
      <c r="AV373" s="202"/>
      <c r="AW373" s="202"/>
      <c r="AX373" s="202"/>
      <c r="AY373" s="202"/>
    </row>
    <row r="374" spans="1:51" x14ac:dyDescent="0.2">
      <c r="A374" s="76">
        <v>13</v>
      </c>
      <c r="B374" s="77" t="s">
        <v>643</v>
      </c>
      <c r="C374" s="76" t="s">
        <v>155</v>
      </c>
      <c r="D374" s="76">
        <v>10</v>
      </c>
      <c r="E374" s="76">
        <v>11</v>
      </c>
      <c r="F374" s="76">
        <v>4.3899999999999997</v>
      </c>
      <c r="G374" s="76">
        <v>33</v>
      </c>
      <c r="H374" s="76">
        <v>33</v>
      </c>
      <c r="I374" s="76">
        <v>0</v>
      </c>
      <c r="J374" s="76">
        <v>0</v>
      </c>
      <c r="K374" s="76">
        <v>198.2</v>
      </c>
      <c r="L374" s="76">
        <v>205</v>
      </c>
      <c r="M374" s="76">
        <v>110</v>
      </c>
      <c r="N374" s="76">
        <v>97</v>
      </c>
      <c r="O374" s="76">
        <v>18</v>
      </c>
      <c r="P374" s="76">
        <v>76</v>
      </c>
      <c r="Q374" s="76">
        <v>103</v>
      </c>
      <c r="R374" s="76">
        <v>0.27</v>
      </c>
      <c r="S374" s="76">
        <v>1.41</v>
      </c>
      <c r="T374" s="76">
        <v>13</v>
      </c>
      <c r="U374" s="77" t="s">
        <v>643</v>
      </c>
      <c r="V374" s="76" t="s">
        <v>155</v>
      </c>
      <c r="W374" s="76">
        <v>0</v>
      </c>
      <c r="X374" s="76">
        <v>0</v>
      </c>
      <c r="Y374" s="76">
        <v>4</v>
      </c>
      <c r="Z374" s="76">
        <v>0</v>
      </c>
      <c r="AA374" s="76">
        <v>0</v>
      </c>
      <c r="AB374" s="76">
        <v>0</v>
      </c>
      <c r="AC374" s="76">
        <v>36</v>
      </c>
      <c r="AD374" s="76">
        <v>287</v>
      </c>
      <c r="AE374" s="76">
        <v>180</v>
      </c>
      <c r="AF374" s="76">
        <v>3</v>
      </c>
      <c r="AG374" s="76">
        <v>2</v>
      </c>
      <c r="AH374" s="76">
        <v>8</v>
      </c>
      <c r="AI374" s="76">
        <v>3</v>
      </c>
      <c r="AJ374" s="76">
        <v>0</v>
      </c>
      <c r="AK374" s="76">
        <v>855</v>
      </c>
      <c r="AL374" s="76">
        <v>3078</v>
      </c>
      <c r="AM374" s="202"/>
      <c r="AN374" s="77"/>
      <c r="AO374" s="202"/>
      <c r="AP374" s="202"/>
      <c r="AQ374" s="202"/>
      <c r="AR374" s="202"/>
      <c r="AS374" s="202"/>
      <c r="AT374" s="202"/>
      <c r="AU374" s="202"/>
      <c r="AV374" s="202"/>
      <c r="AW374" s="202"/>
      <c r="AX374" s="202"/>
      <c r="AY374" s="202"/>
    </row>
    <row r="375" spans="1:51" ht="25.5" x14ac:dyDescent="0.2">
      <c r="A375" s="76">
        <v>14</v>
      </c>
      <c r="B375" s="77" t="s">
        <v>642</v>
      </c>
      <c r="C375" s="76" t="s">
        <v>155</v>
      </c>
      <c r="D375" s="76">
        <v>7</v>
      </c>
      <c r="E375" s="76">
        <v>9</v>
      </c>
      <c r="F375" s="76">
        <v>4.95</v>
      </c>
      <c r="G375" s="76">
        <v>22</v>
      </c>
      <c r="H375" s="76">
        <v>20</v>
      </c>
      <c r="I375" s="76">
        <v>0</v>
      </c>
      <c r="J375" s="76">
        <v>0</v>
      </c>
      <c r="K375" s="76">
        <v>107.1</v>
      </c>
      <c r="L375" s="76">
        <v>116</v>
      </c>
      <c r="M375" s="76">
        <v>62</v>
      </c>
      <c r="N375" s="76">
        <v>59</v>
      </c>
      <c r="O375" s="76">
        <v>15</v>
      </c>
      <c r="P375" s="76">
        <v>35</v>
      </c>
      <c r="Q375" s="76">
        <v>67</v>
      </c>
      <c r="R375" s="76">
        <v>0.27600000000000002</v>
      </c>
      <c r="S375" s="76">
        <v>1.41</v>
      </c>
      <c r="T375" s="76">
        <v>14</v>
      </c>
      <c r="U375" s="77" t="s">
        <v>642</v>
      </c>
      <c r="V375" s="76" t="s">
        <v>155</v>
      </c>
      <c r="W375" s="76">
        <v>0</v>
      </c>
      <c r="X375" s="76">
        <v>0</v>
      </c>
      <c r="Y375" s="76">
        <v>2</v>
      </c>
      <c r="Z375" s="76">
        <v>2</v>
      </c>
      <c r="AA375" s="76">
        <v>0</v>
      </c>
      <c r="AB375" s="76">
        <v>0</v>
      </c>
      <c r="AC375" s="76">
        <v>8</v>
      </c>
      <c r="AD375" s="76">
        <v>103</v>
      </c>
      <c r="AE375" s="76">
        <v>138</v>
      </c>
      <c r="AF375" s="76">
        <v>2</v>
      </c>
      <c r="AG375" s="76">
        <v>0</v>
      </c>
      <c r="AH375" s="76">
        <v>3</v>
      </c>
      <c r="AI375" s="76">
        <v>3</v>
      </c>
      <c r="AJ375" s="76">
        <v>0</v>
      </c>
      <c r="AK375" s="76">
        <v>461</v>
      </c>
      <c r="AL375" s="76">
        <v>1828</v>
      </c>
      <c r="AM375" s="202"/>
      <c r="AN375" s="77"/>
      <c r="AO375" s="202"/>
      <c r="AP375" s="202"/>
      <c r="AQ375" s="202"/>
      <c r="AR375" s="202"/>
      <c r="AS375" s="202"/>
      <c r="AT375" s="202"/>
      <c r="AU375" s="202"/>
      <c r="AV375" s="202"/>
      <c r="AW375" s="202"/>
      <c r="AX375" s="202"/>
      <c r="AY375" s="202"/>
    </row>
    <row r="376" spans="1:51" x14ac:dyDescent="0.2">
      <c r="A376" s="76">
        <v>15</v>
      </c>
      <c r="B376" s="77" t="s">
        <v>1393</v>
      </c>
      <c r="C376" s="76" t="s">
        <v>155</v>
      </c>
      <c r="D376" s="76">
        <v>7</v>
      </c>
      <c r="E376" s="76">
        <v>4</v>
      </c>
      <c r="F376" s="76">
        <v>5.07</v>
      </c>
      <c r="G376" s="76">
        <v>23</v>
      </c>
      <c r="H376" s="76">
        <v>23</v>
      </c>
      <c r="I376" s="76">
        <v>0</v>
      </c>
      <c r="J376" s="76">
        <v>0</v>
      </c>
      <c r="K376" s="76">
        <v>119</v>
      </c>
      <c r="L376" s="76">
        <v>116</v>
      </c>
      <c r="M376" s="76">
        <v>68</v>
      </c>
      <c r="N376" s="76">
        <v>67</v>
      </c>
      <c r="O376" s="76">
        <v>28</v>
      </c>
      <c r="P376" s="76">
        <v>46</v>
      </c>
      <c r="Q376" s="76">
        <v>107</v>
      </c>
      <c r="R376" s="76">
        <v>0.25600000000000001</v>
      </c>
      <c r="S376" s="76">
        <v>1.36</v>
      </c>
      <c r="T376" s="76">
        <v>15</v>
      </c>
      <c r="U376" s="77" t="s">
        <v>1393</v>
      </c>
      <c r="V376" s="76" t="s">
        <v>155</v>
      </c>
      <c r="W376" s="76">
        <v>0</v>
      </c>
      <c r="X376" s="76">
        <v>0</v>
      </c>
      <c r="Y376" s="76">
        <v>7</v>
      </c>
      <c r="Z376" s="76">
        <v>1</v>
      </c>
      <c r="AA376" s="76">
        <v>0</v>
      </c>
      <c r="AB376" s="76">
        <v>0</v>
      </c>
      <c r="AC376" s="76">
        <v>10</v>
      </c>
      <c r="AD376" s="76">
        <v>78</v>
      </c>
      <c r="AE376" s="76">
        <v>155</v>
      </c>
      <c r="AF376" s="76">
        <v>0</v>
      </c>
      <c r="AG376" s="76">
        <v>1</v>
      </c>
      <c r="AH376" s="76">
        <v>4</v>
      </c>
      <c r="AI376" s="76">
        <v>5</v>
      </c>
      <c r="AJ376" s="76">
        <v>0</v>
      </c>
      <c r="AK376" s="76">
        <v>509</v>
      </c>
      <c r="AL376" s="76">
        <v>2063</v>
      </c>
      <c r="AM376" s="202"/>
      <c r="AN376" s="77"/>
      <c r="AO376" s="202"/>
      <c r="AP376" s="202"/>
      <c r="AQ376" s="202"/>
      <c r="AR376" s="202"/>
      <c r="AS376" s="202"/>
      <c r="AT376" s="202"/>
      <c r="AU376" s="202"/>
      <c r="AV376" s="202"/>
      <c r="AW376" s="202"/>
      <c r="AX376" s="202"/>
      <c r="AY376" s="202"/>
    </row>
    <row r="377" spans="1:51" x14ac:dyDescent="0.2">
      <c r="A377" s="76">
        <v>16</v>
      </c>
      <c r="B377" s="77" t="s">
        <v>824</v>
      </c>
      <c r="C377" s="76" t="s">
        <v>155</v>
      </c>
      <c r="D377" s="76">
        <v>0</v>
      </c>
      <c r="E377" s="76">
        <v>1</v>
      </c>
      <c r="F377" s="76">
        <v>5.19</v>
      </c>
      <c r="G377" s="76">
        <v>8</v>
      </c>
      <c r="H377" s="76">
        <v>0</v>
      </c>
      <c r="I377" s="76">
        <v>0</v>
      </c>
      <c r="J377" s="76">
        <v>0</v>
      </c>
      <c r="K377" s="76">
        <v>8.1999999999999993</v>
      </c>
      <c r="L377" s="76">
        <v>8</v>
      </c>
      <c r="M377" s="76">
        <v>5</v>
      </c>
      <c r="N377" s="76">
        <v>5</v>
      </c>
      <c r="O377" s="76">
        <v>2</v>
      </c>
      <c r="P377" s="76">
        <v>2</v>
      </c>
      <c r="Q377" s="76">
        <v>12</v>
      </c>
      <c r="R377" s="76">
        <v>0.24199999999999999</v>
      </c>
      <c r="S377" s="76">
        <v>1.1499999999999999</v>
      </c>
      <c r="T377" s="76">
        <v>16</v>
      </c>
      <c r="U377" s="77" t="s">
        <v>824</v>
      </c>
      <c r="V377" s="76" t="s">
        <v>155</v>
      </c>
      <c r="W377" s="76">
        <v>0</v>
      </c>
      <c r="X377" s="76">
        <v>0</v>
      </c>
      <c r="Y377" s="76">
        <v>0</v>
      </c>
      <c r="Z377" s="76">
        <v>0</v>
      </c>
      <c r="AA377" s="76">
        <v>5</v>
      </c>
      <c r="AB377" s="76">
        <v>0</v>
      </c>
      <c r="AC377" s="76">
        <v>1</v>
      </c>
      <c r="AD377" s="76">
        <v>5</v>
      </c>
      <c r="AE377" s="76">
        <v>8</v>
      </c>
      <c r="AF377" s="76">
        <v>1</v>
      </c>
      <c r="AG377" s="76">
        <v>0</v>
      </c>
      <c r="AH377" s="76">
        <v>0</v>
      </c>
      <c r="AI377" s="76">
        <v>0</v>
      </c>
      <c r="AJ377" s="76">
        <v>0</v>
      </c>
      <c r="AK377" s="76">
        <v>35</v>
      </c>
      <c r="AL377" s="76">
        <v>149</v>
      </c>
      <c r="AM377" s="202"/>
      <c r="AN377" s="77"/>
      <c r="AO377" s="202"/>
      <c r="AP377" s="202"/>
      <c r="AQ377" s="202"/>
      <c r="AR377" s="202"/>
      <c r="AS377" s="202"/>
      <c r="AT377" s="202"/>
      <c r="AU377" s="202"/>
      <c r="AV377" s="202"/>
      <c r="AW377" s="202"/>
      <c r="AX377" s="202"/>
      <c r="AY377" s="202"/>
    </row>
    <row r="378" spans="1:51" ht="25.5" x14ac:dyDescent="0.2">
      <c r="A378" s="76">
        <v>17</v>
      </c>
      <c r="B378" s="77" t="s">
        <v>826</v>
      </c>
      <c r="C378" s="76" t="s">
        <v>155</v>
      </c>
      <c r="D378" s="76">
        <v>2</v>
      </c>
      <c r="E378" s="76">
        <v>3</v>
      </c>
      <c r="F378" s="76">
        <v>5.59</v>
      </c>
      <c r="G378" s="76">
        <v>12</v>
      </c>
      <c r="H378" s="76">
        <v>5</v>
      </c>
      <c r="I378" s="76">
        <v>0</v>
      </c>
      <c r="J378" s="76">
        <v>0</v>
      </c>
      <c r="K378" s="76">
        <v>38.200000000000003</v>
      </c>
      <c r="L378" s="76">
        <v>45</v>
      </c>
      <c r="M378" s="76">
        <v>24</v>
      </c>
      <c r="N378" s="76">
        <v>24</v>
      </c>
      <c r="O378" s="76">
        <v>8</v>
      </c>
      <c r="P378" s="76">
        <v>19</v>
      </c>
      <c r="Q378" s="76">
        <v>16</v>
      </c>
      <c r="R378" s="76">
        <v>0.28999999999999998</v>
      </c>
      <c r="S378" s="76">
        <v>1.66</v>
      </c>
      <c r="T378" s="76">
        <v>17</v>
      </c>
      <c r="U378" s="77" t="s">
        <v>826</v>
      </c>
      <c r="V378" s="76" t="s">
        <v>155</v>
      </c>
      <c r="W378" s="76">
        <v>0</v>
      </c>
      <c r="X378" s="76">
        <v>0</v>
      </c>
      <c r="Y378" s="76">
        <v>5</v>
      </c>
      <c r="Z378" s="76">
        <v>1</v>
      </c>
      <c r="AA378" s="76">
        <v>2</v>
      </c>
      <c r="AB378" s="76">
        <v>0</v>
      </c>
      <c r="AC378" s="76">
        <v>8</v>
      </c>
      <c r="AD378" s="76">
        <v>52</v>
      </c>
      <c r="AE378" s="76">
        <v>42</v>
      </c>
      <c r="AF378" s="76">
        <v>0</v>
      </c>
      <c r="AG378" s="76">
        <v>0</v>
      </c>
      <c r="AH378" s="76">
        <v>5</v>
      </c>
      <c r="AI378" s="76">
        <v>1</v>
      </c>
      <c r="AJ378" s="76">
        <v>0</v>
      </c>
      <c r="AK378" s="76">
        <v>179</v>
      </c>
      <c r="AL378" s="76">
        <v>649</v>
      </c>
      <c r="AM378" s="202"/>
      <c r="AN378" s="77"/>
      <c r="AO378" s="202"/>
      <c r="AP378" s="202"/>
      <c r="AQ378" s="202"/>
      <c r="AR378" s="202"/>
      <c r="AS378" s="202"/>
      <c r="AT378" s="202"/>
      <c r="AU378" s="202"/>
      <c r="AV378" s="202"/>
      <c r="AW378" s="202"/>
      <c r="AX378" s="202"/>
      <c r="AY378" s="202"/>
    </row>
    <row r="379" spans="1:51" x14ac:dyDescent="0.2">
      <c r="A379" s="76">
        <v>18</v>
      </c>
      <c r="B379" s="77" t="s">
        <v>1394</v>
      </c>
      <c r="C379" s="76" t="s">
        <v>155</v>
      </c>
      <c r="D379" s="76">
        <v>1</v>
      </c>
      <c r="E379" s="76">
        <v>0</v>
      </c>
      <c r="F379" s="76">
        <v>5.6</v>
      </c>
      <c r="G379" s="76">
        <v>4</v>
      </c>
      <c r="H379" s="76">
        <v>4</v>
      </c>
      <c r="I379" s="76">
        <v>0</v>
      </c>
      <c r="J379" s="76">
        <v>0</v>
      </c>
      <c r="K379" s="76">
        <v>17.2</v>
      </c>
      <c r="L379" s="76">
        <v>21</v>
      </c>
      <c r="M379" s="76">
        <v>11</v>
      </c>
      <c r="N379" s="76">
        <v>11</v>
      </c>
      <c r="O379" s="76">
        <v>3</v>
      </c>
      <c r="P379" s="76">
        <v>13</v>
      </c>
      <c r="Q379" s="76">
        <v>15</v>
      </c>
      <c r="R379" s="76">
        <v>0.309</v>
      </c>
      <c r="S379" s="76">
        <v>1.92</v>
      </c>
      <c r="T379" s="76">
        <v>18</v>
      </c>
      <c r="U379" s="77" t="s">
        <v>1394</v>
      </c>
      <c r="V379" s="76" t="s">
        <v>155</v>
      </c>
      <c r="W379" s="76">
        <v>0</v>
      </c>
      <c r="X379" s="76">
        <v>0</v>
      </c>
      <c r="Y379" s="76">
        <v>1</v>
      </c>
      <c r="Z379" s="76">
        <v>0</v>
      </c>
      <c r="AA379" s="76">
        <v>0</v>
      </c>
      <c r="AB379" s="76">
        <v>0</v>
      </c>
      <c r="AC379" s="76">
        <v>3</v>
      </c>
      <c r="AD379" s="76">
        <v>20</v>
      </c>
      <c r="AE379" s="76">
        <v>14</v>
      </c>
      <c r="AF379" s="76">
        <v>2</v>
      </c>
      <c r="AG379" s="76">
        <v>0</v>
      </c>
      <c r="AH379" s="76">
        <v>4</v>
      </c>
      <c r="AI379" s="76">
        <v>1</v>
      </c>
      <c r="AJ379" s="76">
        <v>0</v>
      </c>
      <c r="AK379" s="76">
        <v>84</v>
      </c>
      <c r="AL379" s="76">
        <v>351</v>
      </c>
      <c r="AM379" s="202"/>
      <c r="AN379" s="77"/>
      <c r="AO379" s="202"/>
      <c r="AP379" s="202"/>
      <c r="AQ379" s="202"/>
      <c r="AR379" s="202"/>
      <c r="AS379" s="202"/>
      <c r="AT379" s="202"/>
      <c r="AU379" s="202"/>
      <c r="AV379" s="202"/>
      <c r="AW379" s="202"/>
      <c r="AX379" s="202"/>
      <c r="AY379" s="202"/>
    </row>
    <row r="380" spans="1:51" ht="25.5" x14ac:dyDescent="0.2">
      <c r="A380" s="76">
        <v>19</v>
      </c>
      <c r="B380" s="77" t="s">
        <v>633</v>
      </c>
      <c r="C380" s="76" t="s">
        <v>155</v>
      </c>
      <c r="D380" s="76">
        <v>3</v>
      </c>
      <c r="E380" s="76">
        <v>3</v>
      </c>
      <c r="F380" s="76">
        <v>6.04</v>
      </c>
      <c r="G380" s="76">
        <v>16</v>
      </c>
      <c r="H380" s="76">
        <v>4</v>
      </c>
      <c r="I380" s="76">
        <v>1</v>
      </c>
      <c r="J380" s="76">
        <v>1</v>
      </c>
      <c r="K380" s="76">
        <v>47.2</v>
      </c>
      <c r="L380" s="76">
        <v>60</v>
      </c>
      <c r="M380" s="76">
        <v>34</v>
      </c>
      <c r="N380" s="76">
        <v>32</v>
      </c>
      <c r="O380" s="76">
        <v>12</v>
      </c>
      <c r="P380" s="76">
        <v>20</v>
      </c>
      <c r="Q380" s="76">
        <v>27</v>
      </c>
      <c r="R380" s="76">
        <v>0.31900000000000001</v>
      </c>
      <c r="S380" s="76">
        <v>1.68</v>
      </c>
      <c r="T380" s="76">
        <v>19</v>
      </c>
      <c r="U380" s="77" t="s">
        <v>633</v>
      </c>
      <c r="V380" s="76" t="s">
        <v>155</v>
      </c>
      <c r="W380" s="76">
        <v>0</v>
      </c>
      <c r="X380" s="76">
        <v>0</v>
      </c>
      <c r="Y380" s="76">
        <v>1</v>
      </c>
      <c r="Z380" s="76">
        <v>1</v>
      </c>
      <c r="AA380" s="76">
        <v>2</v>
      </c>
      <c r="AB380" s="76">
        <v>0</v>
      </c>
      <c r="AC380" s="76">
        <v>10</v>
      </c>
      <c r="AD380" s="76">
        <v>54</v>
      </c>
      <c r="AE380" s="76">
        <v>50</v>
      </c>
      <c r="AF380" s="76">
        <v>0</v>
      </c>
      <c r="AG380" s="76">
        <v>0</v>
      </c>
      <c r="AH380" s="76">
        <v>4</v>
      </c>
      <c r="AI380" s="76">
        <v>1</v>
      </c>
      <c r="AJ380" s="76">
        <v>1</v>
      </c>
      <c r="AK380" s="76">
        <v>212</v>
      </c>
      <c r="AL380" s="76">
        <v>785</v>
      </c>
      <c r="AM380" s="202"/>
      <c r="AN380" s="77"/>
      <c r="AO380" s="202"/>
      <c r="AP380" s="202"/>
      <c r="AQ380" s="202"/>
      <c r="AR380" s="202"/>
      <c r="AS380" s="202"/>
      <c r="AT380" s="202"/>
      <c r="AU380" s="202"/>
      <c r="AV380" s="202"/>
      <c r="AW380" s="202"/>
      <c r="AX380" s="202"/>
      <c r="AY380" s="202"/>
    </row>
    <row r="381" spans="1:51" x14ac:dyDescent="0.2">
      <c r="A381" s="76">
        <v>20</v>
      </c>
      <c r="B381" s="77" t="s">
        <v>1213</v>
      </c>
      <c r="C381" s="76" t="s">
        <v>155</v>
      </c>
      <c r="D381" s="76">
        <v>5</v>
      </c>
      <c r="E381" s="76">
        <v>1</v>
      </c>
      <c r="F381" s="76">
        <v>6.09</v>
      </c>
      <c r="G381" s="76">
        <v>35</v>
      </c>
      <c r="H381" s="76">
        <v>0</v>
      </c>
      <c r="I381" s="76">
        <v>0</v>
      </c>
      <c r="J381" s="76">
        <v>1</v>
      </c>
      <c r="K381" s="76">
        <v>34</v>
      </c>
      <c r="L381" s="76">
        <v>30</v>
      </c>
      <c r="M381" s="76">
        <v>23</v>
      </c>
      <c r="N381" s="76">
        <v>23</v>
      </c>
      <c r="O381" s="76">
        <v>6</v>
      </c>
      <c r="P381" s="76">
        <v>17</v>
      </c>
      <c r="Q381" s="76">
        <v>45</v>
      </c>
      <c r="R381" s="76">
        <v>0.23599999999999999</v>
      </c>
      <c r="S381" s="76">
        <v>1.38</v>
      </c>
      <c r="T381" s="76">
        <v>20</v>
      </c>
      <c r="U381" s="77" t="s">
        <v>1213</v>
      </c>
      <c r="V381" s="76" t="s">
        <v>155</v>
      </c>
      <c r="W381" s="76">
        <v>0</v>
      </c>
      <c r="X381" s="76">
        <v>0</v>
      </c>
      <c r="Y381" s="76">
        <v>3</v>
      </c>
      <c r="Z381" s="76">
        <v>0</v>
      </c>
      <c r="AA381" s="76">
        <v>2</v>
      </c>
      <c r="AB381" s="76">
        <v>15</v>
      </c>
      <c r="AC381" s="76">
        <v>4</v>
      </c>
      <c r="AD381" s="76">
        <v>32</v>
      </c>
      <c r="AE381" s="76">
        <v>23</v>
      </c>
      <c r="AF381" s="76">
        <v>2</v>
      </c>
      <c r="AG381" s="76">
        <v>1</v>
      </c>
      <c r="AH381" s="76">
        <v>1</v>
      </c>
      <c r="AI381" s="76">
        <v>1</v>
      </c>
      <c r="AJ381" s="76">
        <v>0</v>
      </c>
      <c r="AK381" s="76">
        <v>150</v>
      </c>
      <c r="AL381" s="76">
        <v>632</v>
      </c>
      <c r="AM381" s="202"/>
      <c r="AN381" s="77"/>
      <c r="AO381" s="202"/>
      <c r="AP381" s="202"/>
      <c r="AQ381" s="202"/>
      <c r="AR381" s="202"/>
      <c r="AS381" s="202"/>
      <c r="AT381" s="202"/>
      <c r="AU381" s="202"/>
      <c r="AV381" s="202"/>
      <c r="AW381" s="202"/>
      <c r="AX381" s="202"/>
      <c r="AY381" s="202"/>
    </row>
    <row r="382" spans="1:51" ht="25.5" x14ac:dyDescent="0.2">
      <c r="A382" s="76">
        <v>21</v>
      </c>
      <c r="B382" s="77" t="s">
        <v>1214</v>
      </c>
      <c r="C382" s="76" t="s">
        <v>155</v>
      </c>
      <c r="D382" s="76">
        <v>0</v>
      </c>
      <c r="E382" s="76">
        <v>0</v>
      </c>
      <c r="F382" s="76">
        <v>6.75</v>
      </c>
      <c r="G382" s="76">
        <v>9</v>
      </c>
      <c r="H382" s="76">
        <v>0</v>
      </c>
      <c r="I382" s="76">
        <v>0</v>
      </c>
      <c r="J382" s="76">
        <v>0</v>
      </c>
      <c r="K382" s="76">
        <v>6.2</v>
      </c>
      <c r="L382" s="76">
        <v>8</v>
      </c>
      <c r="M382" s="76">
        <v>7</v>
      </c>
      <c r="N382" s="76">
        <v>5</v>
      </c>
      <c r="O382" s="76">
        <v>3</v>
      </c>
      <c r="P382" s="76">
        <v>4</v>
      </c>
      <c r="Q382" s="76">
        <v>1</v>
      </c>
      <c r="R382" s="76">
        <v>0.28599999999999998</v>
      </c>
      <c r="S382" s="76">
        <v>1.8</v>
      </c>
      <c r="T382" s="76">
        <v>21</v>
      </c>
      <c r="U382" s="77" t="s">
        <v>1214</v>
      </c>
      <c r="V382" s="76" t="s">
        <v>155</v>
      </c>
      <c r="W382" s="76">
        <v>0</v>
      </c>
      <c r="X382" s="76">
        <v>0</v>
      </c>
      <c r="Y382" s="76">
        <v>0</v>
      </c>
      <c r="Z382" s="76">
        <v>1</v>
      </c>
      <c r="AA382" s="76">
        <v>1</v>
      </c>
      <c r="AB382" s="76">
        <v>1</v>
      </c>
      <c r="AC382" s="76">
        <v>1</v>
      </c>
      <c r="AD382" s="76">
        <v>9</v>
      </c>
      <c r="AE382" s="76">
        <v>10</v>
      </c>
      <c r="AF382" s="76">
        <v>2</v>
      </c>
      <c r="AG382" s="76">
        <v>0</v>
      </c>
      <c r="AH382" s="76">
        <v>0</v>
      </c>
      <c r="AI382" s="76">
        <v>0</v>
      </c>
      <c r="AJ382" s="76">
        <v>0</v>
      </c>
      <c r="AK382" s="76">
        <v>32</v>
      </c>
      <c r="AL382" s="76">
        <v>123</v>
      </c>
      <c r="AM382" s="202"/>
      <c r="AN382" s="77"/>
      <c r="AO382" s="202"/>
      <c r="AP382" s="202"/>
      <c r="AQ382" s="202"/>
      <c r="AR382" s="202"/>
      <c r="AS382" s="202"/>
      <c r="AT382" s="202"/>
      <c r="AU382" s="202"/>
      <c r="AV382" s="202"/>
      <c r="AW382" s="202"/>
      <c r="AX382" s="202"/>
      <c r="AY382" s="202"/>
    </row>
    <row r="383" spans="1:51" ht="25.5" x14ac:dyDescent="0.2">
      <c r="A383" s="76">
        <v>22</v>
      </c>
      <c r="B383" s="77" t="s">
        <v>384</v>
      </c>
      <c r="C383" s="76" t="s">
        <v>155</v>
      </c>
      <c r="D383" s="76">
        <v>2</v>
      </c>
      <c r="E383" s="76">
        <v>2</v>
      </c>
      <c r="F383" s="76">
        <v>7.68</v>
      </c>
      <c r="G383" s="76">
        <v>37</v>
      </c>
      <c r="H383" s="76">
        <v>0</v>
      </c>
      <c r="I383" s="76">
        <v>11</v>
      </c>
      <c r="J383" s="76">
        <v>15</v>
      </c>
      <c r="K383" s="76">
        <v>36.1</v>
      </c>
      <c r="L383" s="76">
        <v>53</v>
      </c>
      <c r="M383" s="76">
        <v>32</v>
      </c>
      <c r="N383" s="76">
        <v>31</v>
      </c>
      <c r="O383" s="76">
        <v>8</v>
      </c>
      <c r="P383" s="76">
        <v>10</v>
      </c>
      <c r="Q383" s="76">
        <v>29</v>
      </c>
      <c r="R383" s="76">
        <v>0.33800000000000002</v>
      </c>
      <c r="S383" s="76">
        <v>1.73</v>
      </c>
      <c r="T383" s="76">
        <v>22</v>
      </c>
      <c r="U383" s="77" t="s">
        <v>384</v>
      </c>
      <c r="V383" s="76" t="s">
        <v>155</v>
      </c>
      <c r="W383" s="76">
        <v>0</v>
      </c>
      <c r="X383" s="76">
        <v>0</v>
      </c>
      <c r="Y383" s="76">
        <v>0</v>
      </c>
      <c r="Z383" s="76">
        <v>2</v>
      </c>
      <c r="AA383" s="76">
        <v>19</v>
      </c>
      <c r="AB383" s="76">
        <v>1</v>
      </c>
      <c r="AC383" s="76">
        <v>0</v>
      </c>
      <c r="AD383" s="76">
        <v>43</v>
      </c>
      <c r="AE383" s="76">
        <v>33</v>
      </c>
      <c r="AF383" s="76">
        <v>1</v>
      </c>
      <c r="AG383" s="76">
        <v>0</v>
      </c>
      <c r="AH383" s="76">
        <v>1</v>
      </c>
      <c r="AI383" s="76">
        <v>3</v>
      </c>
      <c r="AJ383" s="76">
        <v>1</v>
      </c>
      <c r="AK383" s="76">
        <v>168</v>
      </c>
      <c r="AL383" s="76">
        <v>659</v>
      </c>
      <c r="AM383" s="202"/>
      <c r="AN383" s="77"/>
      <c r="AO383" s="202"/>
      <c r="AP383" s="202"/>
      <c r="AQ383" s="202"/>
      <c r="AR383" s="202"/>
      <c r="AS383" s="202"/>
      <c r="AT383" s="202"/>
      <c r="AU383" s="202"/>
      <c r="AV383" s="202"/>
      <c r="AW383" s="202"/>
      <c r="AX383" s="202"/>
      <c r="AY383" s="202"/>
    </row>
    <row r="384" spans="1:51" ht="25.5" x14ac:dyDescent="0.2">
      <c r="A384" s="76">
        <v>23</v>
      </c>
      <c r="B384" s="77" t="s">
        <v>772</v>
      </c>
      <c r="C384" s="76" t="s">
        <v>155</v>
      </c>
      <c r="D384" s="76">
        <v>0</v>
      </c>
      <c r="E384" s="76">
        <v>0</v>
      </c>
      <c r="F384" s="76">
        <v>7.71</v>
      </c>
      <c r="G384" s="76">
        <v>10</v>
      </c>
      <c r="H384" s="76">
        <v>0</v>
      </c>
      <c r="I384" s="76">
        <v>0</v>
      </c>
      <c r="J384" s="76">
        <v>0</v>
      </c>
      <c r="K384" s="76">
        <v>11.2</v>
      </c>
      <c r="L384" s="76">
        <v>17</v>
      </c>
      <c r="M384" s="76">
        <v>11</v>
      </c>
      <c r="N384" s="76">
        <v>10</v>
      </c>
      <c r="O384" s="76">
        <v>3</v>
      </c>
      <c r="P384" s="76">
        <v>2</v>
      </c>
      <c r="Q384" s="76">
        <v>13</v>
      </c>
      <c r="R384" s="76">
        <v>0.36199999999999999</v>
      </c>
      <c r="S384" s="76">
        <v>1.63</v>
      </c>
      <c r="T384" s="76">
        <v>23</v>
      </c>
      <c r="U384" s="77" t="s">
        <v>772</v>
      </c>
      <c r="V384" s="76" t="s">
        <v>155</v>
      </c>
      <c r="W384" s="76">
        <v>0</v>
      </c>
      <c r="X384" s="76">
        <v>0</v>
      </c>
      <c r="Y384" s="76">
        <v>2</v>
      </c>
      <c r="Z384" s="76">
        <v>0</v>
      </c>
      <c r="AA384" s="76">
        <v>5</v>
      </c>
      <c r="AB384" s="76">
        <v>0</v>
      </c>
      <c r="AC384" s="76">
        <v>3</v>
      </c>
      <c r="AD384" s="76">
        <v>9</v>
      </c>
      <c r="AE384" s="76">
        <v>9</v>
      </c>
      <c r="AF384" s="76">
        <v>1</v>
      </c>
      <c r="AG384" s="76">
        <v>0</v>
      </c>
      <c r="AH384" s="76">
        <v>0</v>
      </c>
      <c r="AI384" s="76">
        <v>1</v>
      </c>
      <c r="AJ384" s="76">
        <v>0</v>
      </c>
      <c r="AK384" s="76">
        <v>52</v>
      </c>
      <c r="AL384" s="76">
        <v>202</v>
      </c>
      <c r="AM384" s="202"/>
      <c r="AN384" s="77"/>
      <c r="AO384" s="202"/>
      <c r="AP384" s="202"/>
      <c r="AQ384" s="202"/>
      <c r="AR384" s="202"/>
      <c r="AS384" s="202"/>
      <c r="AT384" s="202"/>
      <c r="AU384" s="202"/>
      <c r="AV384" s="202"/>
      <c r="AW384" s="202"/>
      <c r="AX384" s="202"/>
      <c r="AY384" s="202"/>
    </row>
    <row r="385" spans="1:51" ht="25.5" x14ac:dyDescent="0.2">
      <c r="A385" s="76">
        <v>24</v>
      </c>
      <c r="B385" s="77" t="s">
        <v>1216</v>
      </c>
      <c r="C385" s="76" t="s">
        <v>155</v>
      </c>
      <c r="D385" s="76">
        <v>0</v>
      </c>
      <c r="E385" s="76">
        <v>2</v>
      </c>
      <c r="F385" s="76">
        <v>8.7100000000000009</v>
      </c>
      <c r="G385" s="76">
        <v>3</v>
      </c>
      <c r="H385" s="76">
        <v>3</v>
      </c>
      <c r="I385" s="76">
        <v>0</v>
      </c>
      <c r="J385" s="76">
        <v>0</v>
      </c>
      <c r="K385" s="76">
        <v>10.1</v>
      </c>
      <c r="L385" s="76">
        <v>21</v>
      </c>
      <c r="M385" s="76">
        <v>13</v>
      </c>
      <c r="N385" s="76">
        <v>10</v>
      </c>
      <c r="O385" s="76">
        <v>1</v>
      </c>
      <c r="P385" s="76">
        <v>9</v>
      </c>
      <c r="Q385" s="76">
        <v>7</v>
      </c>
      <c r="R385" s="76">
        <v>0.40400000000000003</v>
      </c>
      <c r="S385" s="76">
        <v>2.9</v>
      </c>
      <c r="T385" s="76">
        <v>24</v>
      </c>
      <c r="U385" s="77" t="s">
        <v>1216</v>
      </c>
      <c r="V385" s="76" t="s">
        <v>155</v>
      </c>
      <c r="W385" s="76">
        <v>0</v>
      </c>
      <c r="X385" s="76">
        <v>0</v>
      </c>
      <c r="Y385" s="76">
        <v>0</v>
      </c>
      <c r="Z385" s="76">
        <v>0</v>
      </c>
      <c r="AA385" s="76">
        <v>0</v>
      </c>
      <c r="AB385" s="76">
        <v>0</v>
      </c>
      <c r="AC385" s="76">
        <v>1</v>
      </c>
      <c r="AD385" s="76">
        <v>12</v>
      </c>
      <c r="AE385" s="76">
        <v>13</v>
      </c>
      <c r="AF385" s="76">
        <v>0</v>
      </c>
      <c r="AG385" s="76">
        <v>0</v>
      </c>
      <c r="AH385" s="76">
        <v>2</v>
      </c>
      <c r="AI385" s="76">
        <v>0</v>
      </c>
      <c r="AJ385" s="76">
        <v>0</v>
      </c>
      <c r="AK385" s="76">
        <v>62</v>
      </c>
      <c r="AL385" s="76">
        <v>249</v>
      </c>
      <c r="AM385" s="202"/>
      <c r="AN385" s="77"/>
      <c r="AO385" s="202"/>
      <c r="AP385" s="202"/>
      <c r="AQ385" s="202"/>
      <c r="AR385" s="202"/>
      <c r="AS385" s="202"/>
      <c r="AT385" s="202"/>
      <c r="AU385" s="202"/>
      <c r="AV385" s="202"/>
      <c r="AW385" s="202"/>
      <c r="AX385" s="202"/>
      <c r="AY385" s="202"/>
    </row>
    <row r="386" spans="1:51" x14ac:dyDescent="0.2">
      <c r="A386" s="76">
        <v>25</v>
      </c>
      <c r="B386" s="77" t="s">
        <v>1395</v>
      </c>
      <c r="C386" s="76" t="s">
        <v>155</v>
      </c>
      <c r="D386" s="76">
        <v>0</v>
      </c>
      <c r="E386" s="76">
        <v>0</v>
      </c>
      <c r="F386" s="76">
        <v>9</v>
      </c>
      <c r="G386" s="76">
        <v>1</v>
      </c>
      <c r="H386" s="76">
        <v>0</v>
      </c>
      <c r="I386" s="76">
        <v>0</v>
      </c>
      <c r="J386" s="76">
        <v>0</v>
      </c>
      <c r="K386" s="76">
        <v>1</v>
      </c>
      <c r="L386" s="76">
        <v>1</v>
      </c>
      <c r="M386" s="76">
        <v>1</v>
      </c>
      <c r="N386" s="76">
        <v>1</v>
      </c>
      <c r="O386" s="76">
        <v>1</v>
      </c>
      <c r="P386" s="76">
        <v>0</v>
      </c>
      <c r="Q386" s="76">
        <v>0</v>
      </c>
      <c r="R386" s="76">
        <v>0.25</v>
      </c>
      <c r="S386" s="76">
        <v>1</v>
      </c>
      <c r="T386" s="76">
        <v>25</v>
      </c>
      <c r="U386" s="77" t="s">
        <v>1395</v>
      </c>
      <c r="V386" s="76" t="s">
        <v>155</v>
      </c>
      <c r="W386" s="76">
        <v>0</v>
      </c>
      <c r="X386" s="76">
        <v>0</v>
      </c>
      <c r="Y386" s="76">
        <v>0</v>
      </c>
      <c r="Z386" s="76">
        <v>0</v>
      </c>
      <c r="AA386" s="76">
        <v>1</v>
      </c>
      <c r="AB386" s="76">
        <v>0</v>
      </c>
      <c r="AC386" s="76">
        <v>0</v>
      </c>
      <c r="AD386" s="76">
        <v>1</v>
      </c>
      <c r="AE386" s="76">
        <v>2</v>
      </c>
      <c r="AF386" s="76">
        <v>0</v>
      </c>
      <c r="AG386" s="76">
        <v>0</v>
      </c>
      <c r="AH386" s="76">
        <v>0</v>
      </c>
      <c r="AI386" s="76">
        <v>0</v>
      </c>
      <c r="AJ386" s="76">
        <v>0</v>
      </c>
      <c r="AK386" s="76">
        <v>4</v>
      </c>
      <c r="AL386" s="76">
        <v>14</v>
      </c>
      <c r="AM386" s="202"/>
      <c r="AN386" s="77"/>
      <c r="AO386" s="202"/>
      <c r="AP386" s="202"/>
      <c r="AQ386" s="202"/>
      <c r="AR386" s="202"/>
      <c r="AS386" s="202"/>
      <c r="AT386" s="202"/>
      <c r="AU386" s="202"/>
      <c r="AV386" s="202"/>
      <c r="AW386" s="202"/>
      <c r="AX386" s="202"/>
      <c r="AY386" s="202"/>
    </row>
    <row r="387" spans="1:51" ht="25.5" x14ac:dyDescent="0.2">
      <c r="A387" s="76">
        <v>26</v>
      </c>
      <c r="B387" s="77" t="s">
        <v>610</v>
      </c>
      <c r="C387" s="76" t="s">
        <v>155</v>
      </c>
      <c r="D387" s="76">
        <v>2</v>
      </c>
      <c r="E387" s="76">
        <v>3</v>
      </c>
      <c r="F387" s="76">
        <v>10.55</v>
      </c>
      <c r="G387" s="76">
        <v>21</v>
      </c>
      <c r="H387" s="76">
        <v>0</v>
      </c>
      <c r="I387" s="76">
        <v>0</v>
      </c>
      <c r="J387" s="76">
        <v>2</v>
      </c>
      <c r="K387" s="76">
        <v>21.1</v>
      </c>
      <c r="L387" s="76">
        <v>38</v>
      </c>
      <c r="M387" s="76">
        <v>25</v>
      </c>
      <c r="N387" s="76">
        <v>25</v>
      </c>
      <c r="O387" s="76">
        <v>7</v>
      </c>
      <c r="P387" s="76">
        <v>9</v>
      </c>
      <c r="Q387" s="76">
        <v>11</v>
      </c>
      <c r="R387" s="76">
        <v>0.39200000000000002</v>
      </c>
      <c r="S387" s="76">
        <v>2.2000000000000002</v>
      </c>
      <c r="T387" s="76">
        <v>26</v>
      </c>
      <c r="U387" s="77" t="s">
        <v>610</v>
      </c>
      <c r="V387" s="76" t="s">
        <v>155</v>
      </c>
      <c r="W387" s="76">
        <v>0</v>
      </c>
      <c r="X387" s="76">
        <v>0</v>
      </c>
      <c r="Y387" s="76">
        <v>2</v>
      </c>
      <c r="Z387" s="76">
        <v>0</v>
      </c>
      <c r="AA387" s="76">
        <v>3</v>
      </c>
      <c r="AB387" s="76">
        <v>3</v>
      </c>
      <c r="AC387" s="76">
        <v>4</v>
      </c>
      <c r="AD387" s="76">
        <v>28</v>
      </c>
      <c r="AE387" s="76">
        <v>21</v>
      </c>
      <c r="AF387" s="76">
        <v>0</v>
      </c>
      <c r="AG387" s="76">
        <v>0</v>
      </c>
      <c r="AH387" s="76">
        <v>0</v>
      </c>
      <c r="AI387" s="76">
        <v>0</v>
      </c>
      <c r="AJ387" s="76">
        <v>0</v>
      </c>
      <c r="AK387" s="76">
        <v>109</v>
      </c>
      <c r="AL387" s="76">
        <v>403</v>
      </c>
      <c r="AM387" s="102"/>
      <c r="AN387" s="102"/>
      <c r="AO387" s="102"/>
      <c r="AP387" s="102"/>
      <c r="AQ387" s="102"/>
      <c r="AR387" s="102"/>
      <c r="AS387" s="102"/>
      <c r="AT387" s="102"/>
      <c r="AU387" s="102"/>
      <c r="AV387" s="102"/>
      <c r="AW387" s="102"/>
      <c r="AX387" s="102"/>
      <c r="AY387" s="102"/>
    </row>
    <row r="388" spans="1:51" ht="25.5" x14ac:dyDescent="0.2">
      <c r="A388" s="76">
        <v>27</v>
      </c>
      <c r="B388" s="77" t="s">
        <v>1217</v>
      </c>
      <c r="C388" s="76" t="s">
        <v>155</v>
      </c>
      <c r="D388" s="76">
        <v>0</v>
      </c>
      <c r="E388" s="76">
        <v>0</v>
      </c>
      <c r="F388" s="76">
        <v>10.8</v>
      </c>
      <c r="G388" s="76">
        <v>8</v>
      </c>
      <c r="H388" s="76">
        <v>0</v>
      </c>
      <c r="I388" s="76">
        <v>0</v>
      </c>
      <c r="J388" s="76">
        <v>0</v>
      </c>
      <c r="K388" s="76">
        <v>11.2</v>
      </c>
      <c r="L388" s="76">
        <v>22</v>
      </c>
      <c r="M388" s="76">
        <v>14</v>
      </c>
      <c r="N388" s="76">
        <v>14</v>
      </c>
      <c r="O388" s="76">
        <v>4</v>
      </c>
      <c r="P388" s="76">
        <v>8</v>
      </c>
      <c r="Q388" s="76">
        <v>3</v>
      </c>
      <c r="R388" s="76">
        <v>0.41499999999999998</v>
      </c>
      <c r="S388" s="76">
        <v>2.57</v>
      </c>
      <c r="T388" s="76">
        <v>27</v>
      </c>
      <c r="U388" s="77" t="s">
        <v>1217</v>
      </c>
      <c r="V388" s="76" t="s">
        <v>155</v>
      </c>
      <c r="W388" s="76">
        <v>0</v>
      </c>
      <c r="X388" s="76">
        <v>0</v>
      </c>
      <c r="Y388" s="76">
        <v>0</v>
      </c>
      <c r="Z388" s="76">
        <v>0</v>
      </c>
      <c r="AA388" s="76">
        <v>2</v>
      </c>
      <c r="AB388" s="76">
        <v>0</v>
      </c>
      <c r="AC388" s="76">
        <v>2</v>
      </c>
      <c r="AD388" s="76">
        <v>12</v>
      </c>
      <c r="AE388" s="76">
        <v>17</v>
      </c>
      <c r="AF388" s="76">
        <v>0</v>
      </c>
      <c r="AG388" s="76">
        <v>0</v>
      </c>
      <c r="AH388" s="76">
        <v>1</v>
      </c>
      <c r="AI388" s="76">
        <v>1</v>
      </c>
      <c r="AJ388" s="76">
        <v>0</v>
      </c>
      <c r="AK388" s="76">
        <v>62</v>
      </c>
      <c r="AL388" s="76">
        <v>242</v>
      </c>
      <c r="AM388" s="202"/>
      <c r="AN388" s="77"/>
      <c r="AO388" s="202"/>
      <c r="AP388" s="202"/>
      <c r="AQ388" s="202"/>
      <c r="AR388" s="202"/>
      <c r="AS388" s="202"/>
      <c r="AT388" s="202"/>
      <c r="AU388" s="202"/>
      <c r="AV388" s="202"/>
      <c r="AW388" s="202"/>
      <c r="AX388" s="202"/>
      <c r="AY388" s="202"/>
    </row>
    <row r="389" spans="1:51" x14ac:dyDescent="0.2">
      <c r="A389" s="76">
        <v>28</v>
      </c>
      <c r="B389" s="77" t="s">
        <v>403</v>
      </c>
      <c r="C389" s="76" t="s">
        <v>155</v>
      </c>
      <c r="D389" s="76">
        <v>0</v>
      </c>
      <c r="E389" s="76">
        <v>2</v>
      </c>
      <c r="F389" s="76">
        <v>12.54</v>
      </c>
      <c r="G389" s="76">
        <v>2</v>
      </c>
      <c r="H389" s="76">
        <v>2</v>
      </c>
      <c r="I389" s="76">
        <v>0</v>
      </c>
      <c r="J389" s="76">
        <v>0</v>
      </c>
      <c r="K389" s="76">
        <v>9.1</v>
      </c>
      <c r="L389" s="76">
        <v>15</v>
      </c>
      <c r="M389" s="76">
        <v>13</v>
      </c>
      <c r="N389" s="76">
        <v>13</v>
      </c>
      <c r="O389" s="76">
        <v>4</v>
      </c>
      <c r="P389" s="76">
        <v>5</v>
      </c>
      <c r="Q389" s="76">
        <v>3</v>
      </c>
      <c r="R389" s="76">
        <v>0.35699999999999998</v>
      </c>
      <c r="S389" s="76">
        <v>2.14</v>
      </c>
      <c r="T389" s="76">
        <v>28</v>
      </c>
      <c r="U389" s="77" t="s">
        <v>403</v>
      </c>
      <c r="V389" s="76" t="s">
        <v>155</v>
      </c>
      <c r="W389" s="76">
        <v>0</v>
      </c>
      <c r="X389" s="76">
        <v>0</v>
      </c>
      <c r="Y389" s="76">
        <v>0</v>
      </c>
      <c r="Z389" s="76">
        <v>1</v>
      </c>
      <c r="AA389" s="76">
        <v>0</v>
      </c>
      <c r="AB389" s="76">
        <v>0</v>
      </c>
      <c r="AC389" s="76">
        <v>0</v>
      </c>
      <c r="AD389" s="76">
        <v>9</v>
      </c>
      <c r="AE389" s="76">
        <v>16</v>
      </c>
      <c r="AF389" s="76">
        <v>0</v>
      </c>
      <c r="AG389" s="76">
        <v>0</v>
      </c>
      <c r="AH389" s="76">
        <v>1</v>
      </c>
      <c r="AI389" s="76">
        <v>0</v>
      </c>
      <c r="AJ389" s="76">
        <v>0</v>
      </c>
      <c r="AK389" s="76">
        <v>48</v>
      </c>
      <c r="AL389" s="76">
        <v>188</v>
      </c>
      <c r="AM389" s="202"/>
      <c r="AN389" s="77"/>
      <c r="AO389" s="202"/>
      <c r="AP389" s="202"/>
      <c r="AQ389" s="202"/>
      <c r="AR389" s="202"/>
      <c r="AS389" s="202"/>
      <c r="AT389" s="202"/>
      <c r="AU389" s="202"/>
      <c r="AV389" s="202"/>
      <c r="AW389" s="202"/>
      <c r="AX389" s="202"/>
      <c r="AY389" s="202"/>
    </row>
    <row r="390" spans="1:51" x14ac:dyDescent="0.2">
      <c r="A390" s="76">
        <v>29</v>
      </c>
      <c r="B390" s="77" t="s">
        <v>1396</v>
      </c>
      <c r="C390" s="76" t="s">
        <v>155</v>
      </c>
      <c r="D390" s="76">
        <v>0</v>
      </c>
      <c r="E390" s="76">
        <v>0</v>
      </c>
      <c r="F390" s="76">
        <v>14.73</v>
      </c>
      <c r="G390" s="76">
        <v>1</v>
      </c>
      <c r="H390" s="76">
        <v>0</v>
      </c>
      <c r="I390" s="76">
        <v>0</v>
      </c>
      <c r="J390" s="76">
        <v>0</v>
      </c>
      <c r="K390" s="76">
        <v>3.2</v>
      </c>
      <c r="L390" s="76">
        <v>10</v>
      </c>
      <c r="M390" s="76">
        <v>6</v>
      </c>
      <c r="N390" s="76">
        <v>6</v>
      </c>
      <c r="O390" s="76">
        <v>3</v>
      </c>
      <c r="P390" s="76">
        <v>1</v>
      </c>
      <c r="Q390" s="76">
        <v>3</v>
      </c>
      <c r="R390" s="76">
        <v>0.47599999999999998</v>
      </c>
      <c r="S390" s="76">
        <v>3</v>
      </c>
      <c r="T390" s="76">
        <v>29</v>
      </c>
      <c r="U390" s="77" t="s">
        <v>1396</v>
      </c>
      <c r="V390" s="76" t="s">
        <v>155</v>
      </c>
      <c r="W390" s="76">
        <v>0</v>
      </c>
      <c r="X390" s="76">
        <v>0</v>
      </c>
      <c r="Y390" s="76">
        <v>0</v>
      </c>
      <c r="Z390" s="76">
        <v>0</v>
      </c>
      <c r="AA390" s="76">
        <v>1</v>
      </c>
      <c r="AB390" s="76">
        <v>0</v>
      </c>
      <c r="AC390" s="76">
        <v>0</v>
      </c>
      <c r="AD390" s="76">
        <v>7</v>
      </c>
      <c r="AE390" s="76">
        <v>1</v>
      </c>
      <c r="AF390" s="76">
        <v>0</v>
      </c>
      <c r="AG390" s="76">
        <v>0</v>
      </c>
      <c r="AH390" s="76">
        <v>0</v>
      </c>
      <c r="AI390" s="76">
        <v>0</v>
      </c>
      <c r="AJ390" s="76">
        <v>0</v>
      </c>
      <c r="AK390" s="76">
        <v>22</v>
      </c>
      <c r="AL390" s="76">
        <v>82</v>
      </c>
      <c r="AM390" s="202"/>
      <c r="AN390" s="77"/>
      <c r="AO390" s="202"/>
      <c r="AP390" s="202"/>
      <c r="AQ390" s="202"/>
      <c r="AR390" s="202"/>
      <c r="AS390" s="202"/>
      <c r="AT390" s="202"/>
      <c r="AU390" s="202"/>
      <c r="AV390" s="202"/>
      <c r="AW390" s="202"/>
      <c r="AX390" s="202"/>
      <c r="AY390" s="202"/>
    </row>
    <row r="391" spans="1:51" ht="25.5" x14ac:dyDescent="0.2">
      <c r="A391" s="76">
        <v>30</v>
      </c>
      <c r="B391" s="77" t="s">
        <v>789</v>
      </c>
      <c r="C391" s="76" t="s">
        <v>155</v>
      </c>
      <c r="D391" s="76">
        <v>1</v>
      </c>
      <c r="E391" s="76">
        <v>0</v>
      </c>
      <c r="F391" s="76">
        <v>17.18</v>
      </c>
      <c r="G391" s="76">
        <v>2</v>
      </c>
      <c r="H391" s="76">
        <v>0</v>
      </c>
      <c r="I391" s="76">
        <v>0</v>
      </c>
      <c r="J391" s="76">
        <v>0</v>
      </c>
      <c r="K391" s="76">
        <v>3.2</v>
      </c>
      <c r="L391" s="76">
        <v>2</v>
      </c>
      <c r="M391" s="76">
        <v>7</v>
      </c>
      <c r="N391" s="76">
        <v>7</v>
      </c>
      <c r="O391" s="76">
        <v>1</v>
      </c>
      <c r="P391" s="76">
        <v>8</v>
      </c>
      <c r="Q391" s="76">
        <v>2</v>
      </c>
      <c r="R391" s="76">
        <v>0.16700000000000001</v>
      </c>
      <c r="S391" s="76">
        <v>2.73</v>
      </c>
      <c r="T391" s="76">
        <v>30</v>
      </c>
      <c r="U391" s="77" t="s">
        <v>789</v>
      </c>
      <c r="V391" s="76" t="s">
        <v>155</v>
      </c>
      <c r="W391" s="76">
        <v>0</v>
      </c>
      <c r="X391" s="76">
        <v>0</v>
      </c>
      <c r="Y391" s="76">
        <v>0</v>
      </c>
      <c r="Z391" s="76">
        <v>0</v>
      </c>
      <c r="AA391" s="76">
        <v>0</v>
      </c>
      <c r="AB391" s="76">
        <v>0</v>
      </c>
      <c r="AC391" s="76">
        <v>0</v>
      </c>
      <c r="AD391" s="76">
        <v>4</v>
      </c>
      <c r="AE391" s="76">
        <v>5</v>
      </c>
      <c r="AF391" s="76">
        <v>0</v>
      </c>
      <c r="AG391" s="76">
        <v>0</v>
      </c>
      <c r="AH391" s="76">
        <v>0</v>
      </c>
      <c r="AI391" s="76">
        <v>0</v>
      </c>
      <c r="AJ391" s="76">
        <v>0</v>
      </c>
      <c r="AK391" s="76">
        <v>21</v>
      </c>
      <c r="AL391" s="76">
        <v>100</v>
      </c>
      <c r="AM391" s="202"/>
      <c r="AN391" s="77"/>
      <c r="AO391" s="202"/>
      <c r="AP391" s="202"/>
      <c r="AQ391" s="202"/>
      <c r="AR391" s="202"/>
      <c r="AS391" s="202"/>
      <c r="AT391" s="202"/>
      <c r="AU391" s="202"/>
      <c r="AV391" s="202"/>
      <c r="AW391" s="202"/>
      <c r="AX391" s="202"/>
      <c r="AY391" s="202"/>
    </row>
    <row r="392" spans="1:51" ht="25.5" x14ac:dyDescent="0.2">
      <c r="A392" s="76">
        <v>31</v>
      </c>
      <c r="B392" s="77" t="s">
        <v>1397</v>
      </c>
      <c r="C392" s="76" t="s">
        <v>155</v>
      </c>
      <c r="D392" s="76">
        <v>0</v>
      </c>
      <c r="E392" s="76">
        <v>0</v>
      </c>
      <c r="F392" s="76">
        <v>18</v>
      </c>
      <c r="G392" s="76">
        <v>2</v>
      </c>
      <c r="H392" s="76">
        <v>0</v>
      </c>
      <c r="I392" s="76">
        <v>0</v>
      </c>
      <c r="J392" s="76">
        <v>0</v>
      </c>
      <c r="K392" s="76">
        <v>3</v>
      </c>
      <c r="L392" s="76">
        <v>5</v>
      </c>
      <c r="M392" s="76">
        <v>6</v>
      </c>
      <c r="N392" s="76">
        <v>6</v>
      </c>
      <c r="O392" s="76">
        <v>0</v>
      </c>
      <c r="P392" s="76">
        <v>2</v>
      </c>
      <c r="Q392" s="76">
        <v>0</v>
      </c>
      <c r="R392" s="76">
        <v>0.33300000000000002</v>
      </c>
      <c r="S392" s="76">
        <v>2.33</v>
      </c>
      <c r="T392" s="76">
        <v>31</v>
      </c>
      <c r="U392" s="77" t="s">
        <v>1397</v>
      </c>
      <c r="V392" s="76" t="s">
        <v>155</v>
      </c>
      <c r="W392" s="76">
        <v>0</v>
      </c>
      <c r="X392" s="76">
        <v>0</v>
      </c>
      <c r="Y392" s="76">
        <v>0</v>
      </c>
      <c r="Z392" s="76">
        <v>0</v>
      </c>
      <c r="AA392" s="76">
        <v>0</v>
      </c>
      <c r="AB392" s="76">
        <v>0</v>
      </c>
      <c r="AC392" s="76">
        <v>0</v>
      </c>
      <c r="AD392" s="76">
        <v>3</v>
      </c>
      <c r="AE392" s="76">
        <v>7</v>
      </c>
      <c r="AF392" s="76">
        <v>0</v>
      </c>
      <c r="AG392" s="76">
        <v>0</v>
      </c>
      <c r="AH392" s="76">
        <v>1</v>
      </c>
      <c r="AI392" s="76">
        <v>0</v>
      </c>
      <c r="AJ392" s="76">
        <v>0</v>
      </c>
      <c r="AK392" s="76">
        <v>17</v>
      </c>
      <c r="AL392" s="76">
        <v>73</v>
      </c>
      <c r="AM392" s="202"/>
      <c r="AN392" s="77"/>
      <c r="AO392" s="202"/>
      <c r="AP392" s="202"/>
      <c r="AQ392" s="202"/>
      <c r="AR392" s="202"/>
      <c r="AS392" s="202"/>
      <c r="AT392" s="202"/>
      <c r="AU392" s="202"/>
      <c r="AV392" s="202"/>
      <c r="AW392" s="202"/>
      <c r="AX392" s="202"/>
      <c r="AY392" s="202"/>
    </row>
    <row r="393" spans="1:51" x14ac:dyDescent="0.2">
      <c r="A393" s="225" t="s">
        <v>105</v>
      </c>
      <c r="B393" s="225" t="s">
        <v>106</v>
      </c>
      <c r="C393" s="225" t="s">
        <v>157</v>
      </c>
      <c r="D393" s="225" t="s">
        <v>85</v>
      </c>
      <c r="E393" s="225" t="s">
        <v>86</v>
      </c>
      <c r="F393" s="225" t="s">
        <v>107</v>
      </c>
      <c r="G393" s="225" t="s">
        <v>108</v>
      </c>
      <c r="H393" s="225" t="s">
        <v>88</v>
      </c>
      <c r="I393" s="225" t="s">
        <v>90</v>
      </c>
      <c r="J393" s="225" t="s">
        <v>158</v>
      </c>
      <c r="K393" s="225" t="s">
        <v>91</v>
      </c>
      <c r="L393" s="225" t="s">
        <v>92</v>
      </c>
      <c r="M393" s="225" t="s">
        <v>93</v>
      </c>
      <c r="N393" s="225" t="s">
        <v>94</v>
      </c>
      <c r="O393" s="225" t="s">
        <v>95</v>
      </c>
      <c r="P393" s="225" t="s">
        <v>96</v>
      </c>
      <c r="Q393" s="225" t="s">
        <v>97</v>
      </c>
      <c r="R393" s="225" t="s">
        <v>1071</v>
      </c>
      <c r="S393" s="225" t="s">
        <v>1072</v>
      </c>
      <c r="T393" s="225" t="s">
        <v>105</v>
      </c>
      <c r="U393" s="225" t="s">
        <v>106</v>
      </c>
      <c r="V393" s="225" t="s">
        <v>157</v>
      </c>
      <c r="W393" s="225" t="s">
        <v>89</v>
      </c>
      <c r="X393" s="225" t="s">
        <v>1073</v>
      </c>
      <c r="Y393" s="225" t="s">
        <v>1074</v>
      </c>
      <c r="Z393" s="225" t="s">
        <v>98</v>
      </c>
      <c r="AA393" s="225" t="s">
        <v>1075</v>
      </c>
      <c r="AB393" s="225" t="s">
        <v>1076</v>
      </c>
      <c r="AC393" s="225" t="s">
        <v>1077</v>
      </c>
      <c r="AD393" s="225" t="s">
        <v>1066</v>
      </c>
      <c r="AE393" s="225" t="s">
        <v>1067</v>
      </c>
      <c r="AF393" s="225" t="s">
        <v>1078</v>
      </c>
      <c r="AG393" s="225" t="s">
        <v>1079</v>
      </c>
      <c r="AH393" s="225" t="s">
        <v>1057</v>
      </c>
      <c r="AI393" s="225" t="s">
        <v>1058</v>
      </c>
      <c r="AJ393" s="225" t="s">
        <v>1080</v>
      </c>
      <c r="AK393" s="225" t="s">
        <v>109</v>
      </c>
      <c r="AL393" s="225" t="s">
        <v>1069</v>
      </c>
      <c r="AM393" s="202"/>
      <c r="AN393" s="77"/>
      <c r="AO393" s="202"/>
      <c r="AP393" s="202"/>
      <c r="AQ393" s="202"/>
      <c r="AR393" s="202"/>
      <c r="AS393" s="202"/>
      <c r="AT393" s="202"/>
      <c r="AU393" s="202"/>
      <c r="AV393" s="202"/>
      <c r="AW393" s="202"/>
      <c r="AX393" s="202"/>
      <c r="AY393" s="202"/>
    </row>
    <row r="394" spans="1:51" x14ac:dyDescent="0.2">
      <c r="A394" s="76">
        <v>1</v>
      </c>
      <c r="B394" s="77" t="s">
        <v>1398</v>
      </c>
      <c r="C394" s="76" t="s">
        <v>156</v>
      </c>
      <c r="D394" s="76">
        <v>0</v>
      </c>
      <c r="E394" s="76">
        <v>0</v>
      </c>
      <c r="F394" s="76">
        <v>0</v>
      </c>
      <c r="G394" s="76">
        <v>1</v>
      </c>
      <c r="H394" s="76">
        <v>0</v>
      </c>
      <c r="I394" s="76">
        <v>0</v>
      </c>
      <c r="J394" s="76">
        <v>0</v>
      </c>
      <c r="K394" s="76">
        <v>1</v>
      </c>
      <c r="L394" s="76">
        <v>2</v>
      </c>
      <c r="M394" s="76">
        <v>0</v>
      </c>
      <c r="N394" s="76">
        <v>0</v>
      </c>
      <c r="O394" s="76">
        <v>0</v>
      </c>
      <c r="P394" s="76">
        <v>1</v>
      </c>
      <c r="Q394" s="76">
        <v>0</v>
      </c>
      <c r="R394" s="76">
        <v>0.5</v>
      </c>
      <c r="S394" s="76">
        <v>3</v>
      </c>
      <c r="T394" s="76">
        <v>1</v>
      </c>
      <c r="U394" s="77" t="s">
        <v>1398</v>
      </c>
      <c r="V394" s="76" t="s">
        <v>156</v>
      </c>
      <c r="W394" s="76">
        <v>0</v>
      </c>
      <c r="X394" s="76">
        <v>0</v>
      </c>
      <c r="Y394" s="76">
        <v>0</v>
      </c>
      <c r="Z394" s="76">
        <v>1</v>
      </c>
      <c r="AA394" s="76">
        <v>0</v>
      </c>
      <c r="AB394" s="76">
        <v>0</v>
      </c>
      <c r="AC394" s="76">
        <v>1</v>
      </c>
      <c r="AD394" s="76">
        <v>2</v>
      </c>
      <c r="AE394" s="76">
        <v>0</v>
      </c>
      <c r="AF394" s="76">
        <v>0</v>
      </c>
      <c r="AG394" s="76">
        <v>0</v>
      </c>
      <c r="AH394" s="76">
        <v>0</v>
      </c>
      <c r="AI394" s="76">
        <v>0</v>
      </c>
      <c r="AJ394" s="76">
        <v>0</v>
      </c>
      <c r="AK394" s="76">
        <v>5</v>
      </c>
      <c r="AL394" s="76">
        <v>15</v>
      </c>
      <c r="AM394" s="202"/>
      <c r="AN394" s="77"/>
      <c r="AO394" s="202"/>
      <c r="AP394" s="202"/>
      <c r="AQ394" s="202"/>
      <c r="AR394" s="202"/>
      <c r="AS394" s="202"/>
      <c r="AT394" s="202"/>
      <c r="AU394" s="202"/>
      <c r="AV394" s="202"/>
      <c r="AW394" s="202"/>
      <c r="AX394" s="202"/>
      <c r="AY394" s="202"/>
    </row>
    <row r="395" spans="1:51" x14ac:dyDescent="0.2">
      <c r="A395" s="76">
        <v>2</v>
      </c>
      <c r="B395" s="77" t="s">
        <v>535</v>
      </c>
      <c r="C395" s="76" t="s">
        <v>156</v>
      </c>
      <c r="D395" s="76">
        <v>2</v>
      </c>
      <c r="E395" s="76">
        <v>0</v>
      </c>
      <c r="F395" s="76">
        <v>0.38</v>
      </c>
      <c r="G395" s="76">
        <v>25</v>
      </c>
      <c r="H395" s="76">
        <v>0</v>
      </c>
      <c r="I395" s="76">
        <v>1</v>
      </c>
      <c r="J395" s="76">
        <v>3</v>
      </c>
      <c r="K395" s="76">
        <v>23.2</v>
      </c>
      <c r="L395" s="76">
        <v>17</v>
      </c>
      <c r="M395" s="76">
        <v>1</v>
      </c>
      <c r="N395" s="76">
        <v>1</v>
      </c>
      <c r="O395" s="76">
        <v>1</v>
      </c>
      <c r="P395" s="76">
        <v>9</v>
      </c>
      <c r="Q395" s="76">
        <v>24</v>
      </c>
      <c r="R395" s="76">
        <v>0.20499999999999999</v>
      </c>
      <c r="S395" s="76">
        <v>1.1000000000000001</v>
      </c>
      <c r="T395" s="76">
        <v>2</v>
      </c>
      <c r="U395" s="77" t="s">
        <v>535</v>
      </c>
      <c r="V395" s="76" t="s">
        <v>156</v>
      </c>
      <c r="W395" s="76">
        <v>0</v>
      </c>
      <c r="X395" s="76">
        <v>0</v>
      </c>
      <c r="Y395" s="76">
        <v>0</v>
      </c>
      <c r="Z395" s="76">
        <v>0</v>
      </c>
      <c r="AA395" s="76">
        <v>4</v>
      </c>
      <c r="AB395" s="76">
        <v>10</v>
      </c>
      <c r="AC395" s="76">
        <v>4</v>
      </c>
      <c r="AD395" s="76">
        <v>17</v>
      </c>
      <c r="AE395" s="76">
        <v>26</v>
      </c>
      <c r="AF395" s="76">
        <v>0</v>
      </c>
      <c r="AG395" s="76">
        <v>0</v>
      </c>
      <c r="AH395" s="76">
        <v>2</v>
      </c>
      <c r="AI395" s="76">
        <v>1</v>
      </c>
      <c r="AJ395" s="76">
        <v>0</v>
      </c>
      <c r="AK395" s="76">
        <v>93</v>
      </c>
      <c r="AL395" s="76">
        <v>373</v>
      </c>
      <c r="AM395" s="202"/>
      <c r="AN395" s="77"/>
      <c r="AO395" s="202"/>
      <c r="AP395" s="202"/>
      <c r="AQ395" s="202"/>
      <c r="AR395" s="202"/>
      <c r="AS395" s="202"/>
      <c r="AT395" s="202"/>
      <c r="AU395" s="202"/>
      <c r="AV395" s="202"/>
      <c r="AW395" s="202"/>
      <c r="AX395" s="202"/>
      <c r="AY395" s="202"/>
    </row>
    <row r="396" spans="1:51" x14ac:dyDescent="0.2">
      <c r="A396" s="76">
        <v>3</v>
      </c>
      <c r="B396" s="77" t="s">
        <v>1218</v>
      </c>
      <c r="C396" s="76" t="s">
        <v>156</v>
      </c>
      <c r="D396" s="76">
        <v>4</v>
      </c>
      <c r="E396" s="76">
        <v>3</v>
      </c>
      <c r="F396" s="76">
        <v>2.68</v>
      </c>
      <c r="G396" s="76">
        <v>72</v>
      </c>
      <c r="H396" s="76">
        <v>0</v>
      </c>
      <c r="I396" s="76">
        <v>36</v>
      </c>
      <c r="J396" s="76">
        <v>42</v>
      </c>
      <c r="K396" s="76">
        <v>74</v>
      </c>
      <c r="L396" s="76">
        <v>55</v>
      </c>
      <c r="M396" s="76">
        <v>23</v>
      </c>
      <c r="N396" s="76">
        <v>22</v>
      </c>
      <c r="O396" s="76">
        <v>9</v>
      </c>
      <c r="P396" s="76">
        <v>14</v>
      </c>
      <c r="Q396" s="76">
        <v>82</v>
      </c>
      <c r="R396" s="76">
        <v>0.20599999999999999</v>
      </c>
      <c r="S396" s="76">
        <v>0.93</v>
      </c>
      <c r="T396" s="76">
        <v>3</v>
      </c>
      <c r="U396" s="77" t="s">
        <v>1218</v>
      </c>
      <c r="V396" s="76" t="s">
        <v>156</v>
      </c>
      <c r="W396" s="76">
        <v>0</v>
      </c>
      <c r="X396" s="76">
        <v>0</v>
      </c>
      <c r="Y396" s="76">
        <v>3</v>
      </c>
      <c r="Z396" s="76">
        <v>4</v>
      </c>
      <c r="AA396" s="76">
        <v>61</v>
      </c>
      <c r="AB396" s="76">
        <v>0</v>
      </c>
      <c r="AC396" s="76">
        <v>4</v>
      </c>
      <c r="AD396" s="76">
        <v>51</v>
      </c>
      <c r="AE396" s="76">
        <v>83</v>
      </c>
      <c r="AF396" s="76">
        <v>4</v>
      </c>
      <c r="AG396" s="76">
        <v>1</v>
      </c>
      <c r="AH396" s="76">
        <v>6</v>
      </c>
      <c r="AI396" s="76">
        <v>1</v>
      </c>
      <c r="AJ396" s="76">
        <v>0</v>
      </c>
      <c r="AK396" s="76">
        <v>288</v>
      </c>
      <c r="AL396" s="76">
        <v>1134</v>
      </c>
      <c r="AM396" s="202"/>
      <c r="AN396" s="77"/>
      <c r="AO396" s="202"/>
      <c r="AP396" s="202"/>
      <c r="AQ396" s="202"/>
      <c r="AR396" s="202"/>
      <c r="AS396" s="202"/>
      <c r="AT396" s="202"/>
      <c r="AU396" s="202"/>
      <c r="AV396" s="202"/>
      <c r="AW396" s="202"/>
      <c r="AX396" s="202"/>
      <c r="AY396" s="202"/>
    </row>
    <row r="397" spans="1:51" x14ac:dyDescent="0.2">
      <c r="A397" s="76">
        <v>4</v>
      </c>
      <c r="B397" s="77" t="s">
        <v>430</v>
      </c>
      <c r="C397" s="76" t="s">
        <v>156</v>
      </c>
      <c r="D397" s="76">
        <v>2</v>
      </c>
      <c r="E397" s="76">
        <v>2</v>
      </c>
      <c r="F397" s="76">
        <v>2.92</v>
      </c>
      <c r="G397" s="76">
        <v>10</v>
      </c>
      <c r="H397" s="76">
        <v>8</v>
      </c>
      <c r="I397" s="76">
        <v>0</v>
      </c>
      <c r="J397" s="76">
        <v>0</v>
      </c>
      <c r="K397" s="76">
        <v>49.1</v>
      </c>
      <c r="L397" s="76">
        <v>42</v>
      </c>
      <c r="M397" s="76">
        <v>22</v>
      </c>
      <c r="N397" s="76">
        <v>16</v>
      </c>
      <c r="O397" s="76">
        <v>7</v>
      </c>
      <c r="P397" s="76">
        <v>16</v>
      </c>
      <c r="Q397" s="76">
        <v>52</v>
      </c>
      <c r="R397" s="76">
        <v>0.222</v>
      </c>
      <c r="S397" s="76">
        <v>1.18</v>
      </c>
      <c r="T397" s="76">
        <v>4</v>
      </c>
      <c r="U397" s="77" t="s">
        <v>430</v>
      </c>
      <c r="V397" s="76" t="s">
        <v>156</v>
      </c>
      <c r="W397" s="76">
        <v>0</v>
      </c>
      <c r="X397" s="76">
        <v>0</v>
      </c>
      <c r="Y397" s="76">
        <v>2</v>
      </c>
      <c r="Z397" s="76">
        <v>0</v>
      </c>
      <c r="AA397" s="76">
        <v>0</v>
      </c>
      <c r="AB397" s="76">
        <v>0</v>
      </c>
      <c r="AC397" s="76">
        <v>6</v>
      </c>
      <c r="AD397" s="76">
        <v>57</v>
      </c>
      <c r="AE397" s="76">
        <v>39</v>
      </c>
      <c r="AF397" s="76">
        <v>1</v>
      </c>
      <c r="AG397" s="76">
        <v>0</v>
      </c>
      <c r="AH397" s="76">
        <v>4</v>
      </c>
      <c r="AI397" s="76">
        <v>1</v>
      </c>
      <c r="AJ397" s="76">
        <v>0</v>
      </c>
      <c r="AK397" s="76">
        <v>208</v>
      </c>
      <c r="AL397" s="76">
        <v>793</v>
      </c>
      <c r="AM397" s="202"/>
      <c r="AN397" s="77"/>
      <c r="AO397" s="202"/>
      <c r="AP397" s="202"/>
      <c r="AQ397" s="202"/>
      <c r="AR397" s="202"/>
      <c r="AS397" s="202"/>
      <c r="AT397" s="202"/>
      <c r="AU397" s="202"/>
      <c r="AV397" s="202"/>
      <c r="AW397" s="202"/>
      <c r="AX397" s="202"/>
      <c r="AY397" s="202"/>
    </row>
    <row r="398" spans="1:51" ht="25.5" x14ac:dyDescent="0.2">
      <c r="A398" s="76">
        <v>5</v>
      </c>
      <c r="B398" s="77" t="s">
        <v>1219</v>
      </c>
      <c r="C398" s="76" t="s">
        <v>156</v>
      </c>
      <c r="D398" s="76">
        <v>0</v>
      </c>
      <c r="E398" s="76">
        <v>1</v>
      </c>
      <c r="F398" s="76">
        <v>2.95</v>
      </c>
      <c r="G398" s="76">
        <v>20</v>
      </c>
      <c r="H398" s="76">
        <v>0</v>
      </c>
      <c r="I398" s="76">
        <v>0</v>
      </c>
      <c r="J398" s="76">
        <v>0</v>
      </c>
      <c r="K398" s="76">
        <v>18.100000000000001</v>
      </c>
      <c r="L398" s="76">
        <v>17</v>
      </c>
      <c r="M398" s="76">
        <v>8</v>
      </c>
      <c r="N398" s="76">
        <v>6</v>
      </c>
      <c r="O398" s="76">
        <v>1</v>
      </c>
      <c r="P398" s="76">
        <v>8</v>
      </c>
      <c r="Q398" s="76">
        <v>18</v>
      </c>
      <c r="R398" s="76">
        <v>0.23300000000000001</v>
      </c>
      <c r="S398" s="76">
        <v>1.36</v>
      </c>
      <c r="T398" s="76">
        <v>5</v>
      </c>
      <c r="U398" s="77" t="s">
        <v>1219</v>
      </c>
      <c r="V398" s="76" t="s">
        <v>156</v>
      </c>
      <c r="W398" s="76">
        <v>0</v>
      </c>
      <c r="X398" s="76">
        <v>0</v>
      </c>
      <c r="Y398" s="76">
        <v>3</v>
      </c>
      <c r="Z398" s="76">
        <v>1</v>
      </c>
      <c r="AA398" s="76">
        <v>13</v>
      </c>
      <c r="AB398" s="76">
        <v>0</v>
      </c>
      <c r="AC398" s="76">
        <v>0</v>
      </c>
      <c r="AD398" s="76">
        <v>23</v>
      </c>
      <c r="AE398" s="76">
        <v>16</v>
      </c>
      <c r="AF398" s="76">
        <v>3</v>
      </c>
      <c r="AG398" s="76">
        <v>0</v>
      </c>
      <c r="AH398" s="76">
        <v>0</v>
      </c>
      <c r="AI398" s="76">
        <v>0</v>
      </c>
      <c r="AJ398" s="76">
        <v>0</v>
      </c>
      <c r="AK398" s="76">
        <v>85</v>
      </c>
      <c r="AL398" s="76">
        <v>290</v>
      </c>
      <c r="AM398" s="202"/>
      <c r="AN398" s="77"/>
      <c r="AO398" s="202"/>
      <c r="AP398" s="202"/>
      <c r="AQ398" s="202"/>
      <c r="AR398" s="202"/>
      <c r="AS398" s="202"/>
      <c r="AT398" s="202"/>
      <c r="AU398" s="202"/>
      <c r="AV398" s="202"/>
      <c r="AW398" s="202"/>
      <c r="AX398" s="202"/>
      <c r="AY398" s="202"/>
    </row>
    <row r="399" spans="1:51" ht="25.5" x14ac:dyDescent="0.2">
      <c r="A399" s="76">
        <v>6</v>
      </c>
      <c r="B399" s="77" t="s">
        <v>537</v>
      </c>
      <c r="C399" s="76" t="s">
        <v>156</v>
      </c>
      <c r="D399" s="76">
        <v>15</v>
      </c>
      <c r="E399" s="76">
        <v>2</v>
      </c>
      <c r="F399" s="76">
        <v>3</v>
      </c>
      <c r="G399" s="76">
        <v>30</v>
      </c>
      <c r="H399" s="76">
        <v>30</v>
      </c>
      <c r="I399" s="76">
        <v>0</v>
      </c>
      <c r="J399" s="76">
        <v>0</v>
      </c>
      <c r="K399" s="76">
        <v>192</v>
      </c>
      <c r="L399" s="76">
        <v>161</v>
      </c>
      <c r="M399" s="76">
        <v>69</v>
      </c>
      <c r="N399" s="76">
        <v>64</v>
      </c>
      <c r="O399" s="76">
        <v>15</v>
      </c>
      <c r="P399" s="76">
        <v>63</v>
      </c>
      <c r="Q399" s="76">
        <v>161</v>
      </c>
      <c r="R399" s="76">
        <v>0.224</v>
      </c>
      <c r="S399" s="76">
        <v>1.17</v>
      </c>
      <c r="T399" s="76">
        <v>6</v>
      </c>
      <c r="U399" s="77" t="s">
        <v>537</v>
      </c>
      <c r="V399" s="76" t="s">
        <v>156</v>
      </c>
      <c r="W399" s="76">
        <v>0</v>
      </c>
      <c r="X399" s="76">
        <v>0</v>
      </c>
      <c r="Y399" s="76">
        <v>5</v>
      </c>
      <c r="Z399" s="76">
        <v>0</v>
      </c>
      <c r="AA399" s="76">
        <v>0</v>
      </c>
      <c r="AB399" s="76">
        <v>0</v>
      </c>
      <c r="AC399" s="76">
        <v>14</v>
      </c>
      <c r="AD399" s="76">
        <v>246</v>
      </c>
      <c r="AE399" s="76">
        <v>154</v>
      </c>
      <c r="AF399" s="76">
        <v>5</v>
      </c>
      <c r="AG399" s="76">
        <v>0</v>
      </c>
      <c r="AH399" s="76">
        <v>12</v>
      </c>
      <c r="AI399" s="76">
        <v>2</v>
      </c>
      <c r="AJ399" s="76">
        <v>0</v>
      </c>
      <c r="AK399" s="76">
        <v>790</v>
      </c>
      <c r="AL399" s="76">
        <v>2919</v>
      </c>
      <c r="AM399" s="202"/>
      <c r="AN399" s="77"/>
      <c r="AO399" s="202"/>
      <c r="AP399" s="202"/>
      <c r="AQ399" s="202"/>
      <c r="AR399" s="202"/>
      <c r="AS399" s="202"/>
      <c r="AT399" s="202"/>
      <c r="AU399" s="202"/>
      <c r="AV399" s="202"/>
      <c r="AW399" s="202"/>
      <c r="AX399" s="202"/>
      <c r="AY399" s="202"/>
    </row>
    <row r="400" spans="1:51" x14ac:dyDescent="0.2">
      <c r="A400" s="76">
        <v>7</v>
      </c>
      <c r="B400" s="77" t="s">
        <v>1399</v>
      </c>
      <c r="C400" s="76" t="s">
        <v>156</v>
      </c>
      <c r="D400" s="76">
        <v>4</v>
      </c>
      <c r="E400" s="76">
        <v>3</v>
      </c>
      <c r="F400" s="76">
        <v>3.06</v>
      </c>
      <c r="G400" s="76">
        <v>60</v>
      </c>
      <c r="H400" s="76">
        <v>0</v>
      </c>
      <c r="I400" s="76">
        <v>1</v>
      </c>
      <c r="J400" s="76">
        <v>3</v>
      </c>
      <c r="K400" s="76">
        <v>67.2</v>
      </c>
      <c r="L400" s="76">
        <v>69</v>
      </c>
      <c r="M400" s="76">
        <v>28</v>
      </c>
      <c r="N400" s="76">
        <v>23</v>
      </c>
      <c r="O400" s="76">
        <v>3</v>
      </c>
      <c r="P400" s="76">
        <v>19</v>
      </c>
      <c r="Q400" s="76">
        <v>62</v>
      </c>
      <c r="R400" s="76">
        <v>0.25900000000000001</v>
      </c>
      <c r="S400" s="76">
        <v>1.3</v>
      </c>
      <c r="T400" s="76">
        <v>7</v>
      </c>
      <c r="U400" s="77" t="s">
        <v>1399</v>
      </c>
      <c r="V400" s="76" t="s">
        <v>156</v>
      </c>
      <c r="W400" s="76">
        <v>0</v>
      </c>
      <c r="X400" s="76">
        <v>0</v>
      </c>
      <c r="Y400" s="76">
        <v>5</v>
      </c>
      <c r="Z400" s="76">
        <v>1</v>
      </c>
      <c r="AA400" s="76">
        <v>12</v>
      </c>
      <c r="AB400" s="76">
        <v>9</v>
      </c>
      <c r="AC400" s="76">
        <v>4</v>
      </c>
      <c r="AD400" s="76">
        <v>80</v>
      </c>
      <c r="AE400" s="76">
        <v>60</v>
      </c>
      <c r="AF400" s="76">
        <v>3</v>
      </c>
      <c r="AG400" s="76">
        <v>0</v>
      </c>
      <c r="AH400" s="76">
        <v>7</v>
      </c>
      <c r="AI400" s="76">
        <v>2</v>
      </c>
      <c r="AJ400" s="76">
        <v>1</v>
      </c>
      <c r="AK400" s="76">
        <v>295</v>
      </c>
      <c r="AL400" s="76">
        <v>1117</v>
      </c>
      <c r="AM400" s="202"/>
      <c r="AN400" s="77"/>
      <c r="AO400" s="202"/>
      <c r="AP400" s="202"/>
      <c r="AQ400" s="202"/>
      <c r="AR400" s="202"/>
      <c r="AS400" s="202"/>
      <c r="AT400" s="202"/>
      <c r="AU400" s="202"/>
      <c r="AV400" s="202"/>
      <c r="AW400" s="202"/>
      <c r="AX400" s="202"/>
      <c r="AY400" s="202"/>
    </row>
    <row r="401" spans="1:51" x14ac:dyDescent="0.2">
      <c r="A401" s="76">
        <v>8</v>
      </c>
      <c r="B401" s="77" t="s">
        <v>621</v>
      </c>
      <c r="C401" s="76" t="s">
        <v>156</v>
      </c>
      <c r="D401" s="76">
        <v>20</v>
      </c>
      <c r="E401" s="76">
        <v>4</v>
      </c>
      <c r="F401" s="76">
        <v>3.18</v>
      </c>
      <c r="G401" s="76">
        <v>32</v>
      </c>
      <c r="H401" s="76">
        <v>32</v>
      </c>
      <c r="I401" s="76">
        <v>0</v>
      </c>
      <c r="J401" s="76">
        <v>0</v>
      </c>
      <c r="K401" s="76">
        <v>195</v>
      </c>
      <c r="L401" s="76">
        <v>168</v>
      </c>
      <c r="M401" s="76">
        <v>72</v>
      </c>
      <c r="N401" s="76">
        <v>69</v>
      </c>
      <c r="O401" s="76">
        <v>22</v>
      </c>
      <c r="P401" s="76">
        <v>60</v>
      </c>
      <c r="Q401" s="76">
        <v>163</v>
      </c>
      <c r="R401" s="76">
        <v>0.23100000000000001</v>
      </c>
      <c r="S401" s="76">
        <v>1.17</v>
      </c>
      <c r="T401" s="76">
        <v>8</v>
      </c>
      <c r="U401" s="77" t="s">
        <v>621</v>
      </c>
      <c r="V401" s="76" t="s">
        <v>156</v>
      </c>
      <c r="W401" s="76">
        <v>0</v>
      </c>
      <c r="X401" s="76">
        <v>0</v>
      </c>
      <c r="Y401" s="76">
        <v>6</v>
      </c>
      <c r="Z401" s="76">
        <v>0</v>
      </c>
      <c r="AA401" s="76">
        <v>0</v>
      </c>
      <c r="AB401" s="76">
        <v>0</v>
      </c>
      <c r="AC401" s="76">
        <v>21</v>
      </c>
      <c r="AD401" s="76">
        <v>194</v>
      </c>
      <c r="AE401" s="76">
        <v>205</v>
      </c>
      <c r="AF401" s="76">
        <v>3</v>
      </c>
      <c r="AG401" s="76">
        <v>2</v>
      </c>
      <c r="AH401" s="76">
        <v>7</v>
      </c>
      <c r="AI401" s="76">
        <v>1</v>
      </c>
      <c r="AJ401" s="76">
        <v>0</v>
      </c>
      <c r="AK401" s="76">
        <v>796</v>
      </c>
      <c r="AL401" s="76">
        <v>3033</v>
      </c>
      <c r="AM401" s="202"/>
      <c r="AN401" s="77"/>
      <c r="AO401" s="202"/>
      <c r="AP401" s="202"/>
      <c r="AQ401" s="202"/>
      <c r="AR401" s="202"/>
      <c r="AS401" s="202"/>
      <c r="AT401" s="202"/>
      <c r="AU401" s="202"/>
      <c r="AV401" s="202"/>
      <c r="AW401" s="202"/>
      <c r="AX401" s="202"/>
      <c r="AY401" s="202"/>
    </row>
    <row r="402" spans="1:51" ht="25.5" x14ac:dyDescent="0.2">
      <c r="A402" s="76">
        <v>9</v>
      </c>
      <c r="B402" s="77" t="s">
        <v>404</v>
      </c>
      <c r="C402" s="76" t="s">
        <v>156</v>
      </c>
      <c r="D402" s="76">
        <v>9</v>
      </c>
      <c r="E402" s="76">
        <v>9</v>
      </c>
      <c r="F402" s="76">
        <v>3.48</v>
      </c>
      <c r="G402" s="76">
        <v>29</v>
      </c>
      <c r="H402" s="76">
        <v>29</v>
      </c>
      <c r="I402" s="76">
        <v>0</v>
      </c>
      <c r="J402" s="76">
        <v>0</v>
      </c>
      <c r="K402" s="76">
        <v>176</v>
      </c>
      <c r="L402" s="76">
        <v>132</v>
      </c>
      <c r="M402" s="76">
        <v>73</v>
      </c>
      <c r="N402" s="76">
        <v>68</v>
      </c>
      <c r="O402" s="76">
        <v>23</v>
      </c>
      <c r="P402" s="76">
        <v>65</v>
      </c>
      <c r="Q402" s="76">
        <v>165</v>
      </c>
      <c r="R402" s="76">
        <v>0.20300000000000001</v>
      </c>
      <c r="S402" s="76">
        <v>1.1200000000000001</v>
      </c>
      <c r="T402" s="76">
        <v>9</v>
      </c>
      <c r="U402" s="77" t="s">
        <v>404</v>
      </c>
      <c r="V402" s="76" t="s">
        <v>156</v>
      </c>
      <c r="W402" s="76">
        <v>0</v>
      </c>
      <c r="X402" s="76">
        <v>0</v>
      </c>
      <c r="Y402" s="76">
        <v>4</v>
      </c>
      <c r="Z402" s="76">
        <v>1</v>
      </c>
      <c r="AA402" s="76">
        <v>0</v>
      </c>
      <c r="AB402" s="76">
        <v>0</v>
      </c>
      <c r="AC402" s="76">
        <v>6</v>
      </c>
      <c r="AD402" s="76">
        <v>132</v>
      </c>
      <c r="AE402" s="76">
        <v>225</v>
      </c>
      <c r="AF402" s="76">
        <v>5</v>
      </c>
      <c r="AG402" s="76">
        <v>0</v>
      </c>
      <c r="AH402" s="76">
        <v>12</v>
      </c>
      <c r="AI402" s="76">
        <v>1</v>
      </c>
      <c r="AJ402" s="76">
        <v>0</v>
      </c>
      <c r="AK402" s="76">
        <v>723</v>
      </c>
      <c r="AL402" s="76">
        <v>2843</v>
      </c>
      <c r="AM402" s="202"/>
      <c r="AN402" s="77"/>
      <c r="AO402" s="202"/>
      <c r="AP402" s="202"/>
      <c r="AQ402" s="202"/>
      <c r="AR402" s="202"/>
      <c r="AS402" s="202"/>
      <c r="AT402" s="202"/>
      <c r="AU402" s="202"/>
      <c r="AV402" s="202"/>
      <c r="AW402" s="202"/>
      <c r="AX402" s="202"/>
      <c r="AY402" s="202"/>
    </row>
    <row r="403" spans="1:51" x14ac:dyDescent="0.2">
      <c r="A403" s="76">
        <v>10</v>
      </c>
      <c r="B403" s="77" t="s">
        <v>428</v>
      </c>
      <c r="C403" s="76" t="s">
        <v>156</v>
      </c>
      <c r="D403" s="76">
        <v>6</v>
      </c>
      <c r="E403" s="76">
        <v>4</v>
      </c>
      <c r="F403" s="76">
        <v>3.64</v>
      </c>
      <c r="G403" s="76">
        <v>46</v>
      </c>
      <c r="H403" s="76">
        <v>0</v>
      </c>
      <c r="I403" s="76">
        <v>2</v>
      </c>
      <c r="J403" s="76">
        <v>4</v>
      </c>
      <c r="K403" s="76">
        <v>42</v>
      </c>
      <c r="L403" s="76">
        <v>28</v>
      </c>
      <c r="M403" s="76">
        <v>17</v>
      </c>
      <c r="N403" s="76">
        <v>17</v>
      </c>
      <c r="O403" s="76">
        <v>8</v>
      </c>
      <c r="P403" s="76">
        <v>19</v>
      </c>
      <c r="Q403" s="76">
        <v>58</v>
      </c>
      <c r="R403" s="76">
        <v>0.189</v>
      </c>
      <c r="S403" s="76">
        <v>1.1200000000000001</v>
      </c>
      <c r="T403" s="76">
        <v>10</v>
      </c>
      <c r="U403" s="77" t="s">
        <v>428</v>
      </c>
      <c r="V403" s="76" t="s">
        <v>156</v>
      </c>
      <c r="W403" s="76">
        <v>0</v>
      </c>
      <c r="X403" s="76">
        <v>0</v>
      </c>
      <c r="Y403" s="76">
        <v>1</v>
      </c>
      <c r="Z403" s="76">
        <v>0</v>
      </c>
      <c r="AA403" s="76">
        <v>6</v>
      </c>
      <c r="AB403" s="76">
        <v>21</v>
      </c>
      <c r="AC403" s="76">
        <v>4</v>
      </c>
      <c r="AD403" s="76">
        <v>27</v>
      </c>
      <c r="AE403" s="76">
        <v>37</v>
      </c>
      <c r="AF403" s="76">
        <v>1</v>
      </c>
      <c r="AG403" s="76">
        <v>0</v>
      </c>
      <c r="AH403" s="76">
        <v>0</v>
      </c>
      <c r="AI403" s="76">
        <v>0</v>
      </c>
      <c r="AJ403" s="76">
        <v>0</v>
      </c>
      <c r="AK403" s="76">
        <v>170</v>
      </c>
      <c r="AL403" s="76">
        <v>738</v>
      </c>
      <c r="AM403" s="202"/>
      <c r="AN403" s="77"/>
      <c r="AO403" s="202"/>
      <c r="AP403" s="202"/>
      <c r="AQ403" s="202"/>
      <c r="AR403" s="202"/>
      <c r="AS403" s="202"/>
      <c r="AT403" s="202"/>
      <c r="AU403" s="202"/>
      <c r="AV403" s="202"/>
      <c r="AW403" s="202"/>
      <c r="AX403" s="202"/>
      <c r="AY403" s="202"/>
    </row>
    <row r="404" spans="1:51" x14ac:dyDescent="0.2">
      <c r="A404" s="76">
        <v>11</v>
      </c>
      <c r="B404" s="77" t="s">
        <v>618</v>
      </c>
      <c r="C404" s="76" t="s">
        <v>156</v>
      </c>
      <c r="D404" s="76">
        <v>1</v>
      </c>
      <c r="E404" s="76">
        <v>7</v>
      </c>
      <c r="F404" s="76">
        <v>3.93</v>
      </c>
      <c r="G404" s="76">
        <v>54</v>
      </c>
      <c r="H404" s="76">
        <v>0</v>
      </c>
      <c r="I404" s="76">
        <v>0</v>
      </c>
      <c r="J404" s="76">
        <v>4</v>
      </c>
      <c r="K404" s="76">
        <v>36.200000000000003</v>
      </c>
      <c r="L404" s="76">
        <v>39</v>
      </c>
      <c r="M404" s="76">
        <v>17</v>
      </c>
      <c r="N404" s="76">
        <v>16</v>
      </c>
      <c r="O404" s="76">
        <v>6</v>
      </c>
      <c r="P404" s="76">
        <v>8</v>
      </c>
      <c r="Q404" s="76">
        <v>45</v>
      </c>
      <c r="R404" s="76">
        <v>0.26900000000000002</v>
      </c>
      <c r="S404" s="76">
        <v>1.28</v>
      </c>
      <c r="T404" s="76">
        <v>11</v>
      </c>
      <c r="U404" s="77" t="s">
        <v>618</v>
      </c>
      <c r="V404" s="76" t="s">
        <v>156</v>
      </c>
      <c r="W404" s="76">
        <v>0</v>
      </c>
      <c r="X404" s="76">
        <v>0</v>
      </c>
      <c r="Y404" s="76">
        <v>2</v>
      </c>
      <c r="Z404" s="76">
        <v>0</v>
      </c>
      <c r="AA404" s="76">
        <v>8</v>
      </c>
      <c r="AB404" s="76">
        <v>9</v>
      </c>
      <c r="AC404" s="76">
        <v>3</v>
      </c>
      <c r="AD404" s="76">
        <v>33</v>
      </c>
      <c r="AE404" s="76">
        <v>30</v>
      </c>
      <c r="AF404" s="76">
        <v>0</v>
      </c>
      <c r="AG404" s="76">
        <v>0</v>
      </c>
      <c r="AH404" s="76">
        <v>6</v>
      </c>
      <c r="AI404" s="76">
        <v>0</v>
      </c>
      <c r="AJ404" s="76">
        <v>0</v>
      </c>
      <c r="AK404" s="76">
        <v>157</v>
      </c>
      <c r="AL404" s="76">
        <v>566</v>
      </c>
      <c r="AM404" s="202"/>
      <c r="AN404" s="77"/>
      <c r="AO404" s="202"/>
      <c r="AP404" s="202"/>
      <c r="AQ404" s="202"/>
      <c r="AR404" s="202"/>
      <c r="AS404" s="202"/>
      <c r="AT404" s="202"/>
      <c r="AU404" s="202"/>
      <c r="AV404" s="202"/>
      <c r="AW404" s="202"/>
      <c r="AX404" s="202"/>
      <c r="AY404" s="202"/>
    </row>
    <row r="405" spans="1:51" ht="25.5" x14ac:dyDescent="0.2">
      <c r="A405" s="76">
        <v>12</v>
      </c>
      <c r="B405" s="77" t="s">
        <v>1400</v>
      </c>
      <c r="C405" s="76" t="s">
        <v>156</v>
      </c>
      <c r="D405" s="76">
        <v>0</v>
      </c>
      <c r="E405" s="76">
        <v>0</v>
      </c>
      <c r="F405" s="76">
        <v>3.95</v>
      </c>
      <c r="G405" s="76">
        <v>12</v>
      </c>
      <c r="H405" s="76">
        <v>0</v>
      </c>
      <c r="I405" s="76">
        <v>0</v>
      </c>
      <c r="J405" s="76">
        <v>0</v>
      </c>
      <c r="K405" s="76">
        <v>13.2</v>
      </c>
      <c r="L405" s="76">
        <v>14</v>
      </c>
      <c r="M405" s="76">
        <v>6</v>
      </c>
      <c r="N405" s="76">
        <v>6</v>
      </c>
      <c r="O405" s="76">
        <v>0</v>
      </c>
      <c r="P405" s="76">
        <v>5</v>
      </c>
      <c r="Q405" s="76">
        <v>14</v>
      </c>
      <c r="R405" s="76">
        <v>0.27500000000000002</v>
      </c>
      <c r="S405" s="76">
        <v>1.39</v>
      </c>
      <c r="T405" s="76">
        <v>12</v>
      </c>
      <c r="U405" s="77" t="s">
        <v>1400</v>
      </c>
      <c r="V405" s="76" t="s">
        <v>156</v>
      </c>
      <c r="W405" s="76">
        <v>0</v>
      </c>
      <c r="X405" s="76">
        <v>0</v>
      </c>
      <c r="Y405" s="76">
        <v>0</v>
      </c>
      <c r="Z405" s="76">
        <v>0</v>
      </c>
      <c r="AA405" s="76">
        <v>4</v>
      </c>
      <c r="AB405" s="76">
        <v>1</v>
      </c>
      <c r="AC405" s="76">
        <v>1</v>
      </c>
      <c r="AD405" s="76">
        <v>11</v>
      </c>
      <c r="AE405" s="76">
        <v>14</v>
      </c>
      <c r="AF405" s="76">
        <v>1</v>
      </c>
      <c r="AG405" s="76">
        <v>0</v>
      </c>
      <c r="AH405" s="76">
        <v>0</v>
      </c>
      <c r="AI405" s="76">
        <v>1</v>
      </c>
      <c r="AJ405" s="76">
        <v>0</v>
      </c>
      <c r="AK405" s="76">
        <v>58</v>
      </c>
      <c r="AL405" s="76">
        <v>234</v>
      </c>
      <c r="AM405" s="202"/>
      <c r="AN405" s="77"/>
      <c r="AO405" s="202"/>
      <c r="AP405" s="202"/>
      <c r="AQ405" s="202"/>
      <c r="AR405" s="202"/>
      <c r="AS405" s="202"/>
      <c r="AT405" s="202"/>
      <c r="AU405" s="202"/>
      <c r="AV405" s="202"/>
      <c r="AW405" s="202"/>
      <c r="AX405" s="202"/>
      <c r="AY405" s="202"/>
    </row>
    <row r="406" spans="1:51" x14ac:dyDescent="0.2">
      <c r="A406" s="76">
        <v>13</v>
      </c>
      <c r="B406" s="77" t="s">
        <v>519</v>
      </c>
      <c r="C406" s="76" t="s">
        <v>156</v>
      </c>
      <c r="D406" s="76">
        <v>2</v>
      </c>
      <c r="E406" s="76">
        <v>4</v>
      </c>
      <c r="F406" s="76">
        <v>4.0599999999999996</v>
      </c>
      <c r="G406" s="76">
        <v>28</v>
      </c>
      <c r="H406" s="76">
        <v>0</v>
      </c>
      <c r="I406" s="76">
        <v>0</v>
      </c>
      <c r="J406" s="76">
        <v>1</v>
      </c>
      <c r="K406" s="76">
        <v>31</v>
      </c>
      <c r="L406" s="76">
        <v>23</v>
      </c>
      <c r="M406" s="76">
        <v>14</v>
      </c>
      <c r="N406" s="76">
        <v>14</v>
      </c>
      <c r="O406" s="76">
        <v>4</v>
      </c>
      <c r="P406" s="76">
        <v>8</v>
      </c>
      <c r="Q406" s="76">
        <v>30</v>
      </c>
      <c r="R406" s="76">
        <v>0.20499999999999999</v>
      </c>
      <c r="S406" s="76">
        <v>1</v>
      </c>
      <c r="T406" s="76">
        <v>13</v>
      </c>
      <c r="U406" s="77" t="s">
        <v>519</v>
      </c>
      <c r="V406" s="76" t="s">
        <v>156</v>
      </c>
      <c r="W406" s="76">
        <v>0</v>
      </c>
      <c r="X406" s="76">
        <v>0</v>
      </c>
      <c r="Y406" s="76">
        <v>3</v>
      </c>
      <c r="Z406" s="76">
        <v>1</v>
      </c>
      <c r="AA406" s="76">
        <v>10</v>
      </c>
      <c r="AB406" s="76">
        <v>6</v>
      </c>
      <c r="AC406" s="76">
        <v>2</v>
      </c>
      <c r="AD406" s="76">
        <v>27</v>
      </c>
      <c r="AE406" s="76">
        <v>33</v>
      </c>
      <c r="AF406" s="76">
        <v>4</v>
      </c>
      <c r="AG406" s="76">
        <v>0</v>
      </c>
      <c r="AH406" s="76">
        <v>3</v>
      </c>
      <c r="AI406" s="76">
        <v>0</v>
      </c>
      <c r="AJ406" s="76">
        <v>0</v>
      </c>
      <c r="AK406" s="76">
        <v>124</v>
      </c>
      <c r="AL406" s="76">
        <v>475</v>
      </c>
      <c r="AM406" s="202"/>
      <c r="AN406" s="77"/>
      <c r="AO406" s="202"/>
      <c r="AP406" s="202"/>
      <c r="AQ406" s="202"/>
      <c r="AR406" s="202"/>
      <c r="AS406" s="202"/>
      <c r="AT406" s="202"/>
      <c r="AU406" s="202"/>
      <c r="AV406" s="202"/>
      <c r="AW406" s="202"/>
      <c r="AX406" s="202"/>
      <c r="AY406" s="202"/>
    </row>
    <row r="407" spans="1:51" x14ac:dyDescent="0.2">
      <c r="A407" s="76">
        <v>14</v>
      </c>
      <c r="B407" s="77" t="s">
        <v>1401</v>
      </c>
      <c r="C407" s="76" t="s">
        <v>156</v>
      </c>
      <c r="D407" s="76">
        <v>0</v>
      </c>
      <c r="E407" s="76">
        <v>0</v>
      </c>
      <c r="F407" s="76">
        <v>4.3499999999999996</v>
      </c>
      <c r="G407" s="76">
        <v>14</v>
      </c>
      <c r="H407" s="76">
        <v>0</v>
      </c>
      <c r="I407" s="76">
        <v>0</v>
      </c>
      <c r="J407" s="76">
        <v>0</v>
      </c>
      <c r="K407" s="76">
        <v>10.1</v>
      </c>
      <c r="L407" s="76">
        <v>11</v>
      </c>
      <c r="M407" s="76">
        <v>5</v>
      </c>
      <c r="N407" s="76">
        <v>5</v>
      </c>
      <c r="O407" s="76">
        <v>3</v>
      </c>
      <c r="P407" s="76">
        <v>2</v>
      </c>
      <c r="Q407" s="76">
        <v>5</v>
      </c>
      <c r="R407" s="76">
        <v>0.26800000000000002</v>
      </c>
      <c r="S407" s="76">
        <v>1.26</v>
      </c>
      <c r="T407" s="76">
        <v>14</v>
      </c>
      <c r="U407" s="77" t="s">
        <v>1401</v>
      </c>
      <c r="V407" s="76" t="s">
        <v>156</v>
      </c>
      <c r="W407" s="76">
        <v>0</v>
      </c>
      <c r="X407" s="76">
        <v>0</v>
      </c>
      <c r="Y407" s="76">
        <v>1</v>
      </c>
      <c r="Z407" s="76">
        <v>0</v>
      </c>
      <c r="AA407" s="76">
        <v>2</v>
      </c>
      <c r="AB407" s="76">
        <v>0</v>
      </c>
      <c r="AC407" s="76">
        <v>1</v>
      </c>
      <c r="AD407" s="76">
        <v>21</v>
      </c>
      <c r="AE407" s="76">
        <v>4</v>
      </c>
      <c r="AF407" s="76">
        <v>1</v>
      </c>
      <c r="AG407" s="76">
        <v>0</v>
      </c>
      <c r="AH407" s="76">
        <v>0</v>
      </c>
      <c r="AI407" s="76">
        <v>0</v>
      </c>
      <c r="AJ407" s="76">
        <v>0</v>
      </c>
      <c r="AK407" s="76">
        <v>44</v>
      </c>
      <c r="AL407" s="76">
        <v>144</v>
      </c>
      <c r="AM407" s="202"/>
      <c r="AN407" s="77"/>
      <c r="AO407" s="202"/>
      <c r="AP407" s="202"/>
      <c r="AQ407" s="202"/>
      <c r="AR407" s="202"/>
      <c r="AS407" s="202"/>
      <c r="AT407" s="202"/>
      <c r="AU407" s="202"/>
      <c r="AV407" s="202"/>
      <c r="AW407" s="202"/>
      <c r="AX407" s="202"/>
      <c r="AY407" s="202"/>
    </row>
    <row r="408" spans="1:51" ht="25.5" x14ac:dyDescent="0.2">
      <c r="A408" s="76">
        <v>15</v>
      </c>
      <c r="B408" s="77" t="s">
        <v>828</v>
      </c>
      <c r="C408" s="76" t="s">
        <v>156</v>
      </c>
      <c r="D408" s="76">
        <v>9</v>
      </c>
      <c r="E408" s="76">
        <v>10</v>
      </c>
      <c r="F408" s="76">
        <v>4.37</v>
      </c>
      <c r="G408" s="76">
        <v>32</v>
      </c>
      <c r="H408" s="76">
        <v>32</v>
      </c>
      <c r="I408" s="76">
        <v>0</v>
      </c>
      <c r="J408" s="76">
        <v>0</v>
      </c>
      <c r="K408" s="76">
        <v>204</v>
      </c>
      <c r="L408" s="76">
        <v>209</v>
      </c>
      <c r="M408" s="76">
        <v>104</v>
      </c>
      <c r="N408" s="76">
        <v>99</v>
      </c>
      <c r="O408" s="76">
        <v>21</v>
      </c>
      <c r="P408" s="76">
        <v>54</v>
      </c>
      <c r="Q408" s="76">
        <v>166</v>
      </c>
      <c r="R408" s="76">
        <v>0.26400000000000001</v>
      </c>
      <c r="S408" s="76">
        <v>1.29</v>
      </c>
      <c r="T408" s="76">
        <v>15</v>
      </c>
      <c r="U408" s="77" t="s">
        <v>828</v>
      </c>
      <c r="V408" s="76" t="s">
        <v>156</v>
      </c>
      <c r="W408" s="76">
        <v>0</v>
      </c>
      <c r="X408" s="76">
        <v>0</v>
      </c>
      <c r="Y408" s="76">
        <v>4</v>
      </c>
      <c r="Z408" s="76">
        <v>0</v>
      </c>
      <c r="AA408" s="76">
        <v>0</v>
      </c>
      <c r="AB408" s="76">
        <v>0</v>
      </c>
      <c r="AC408" s="76">
        <v>22</v>
      </c>
      <c r="AD408" s="76">
        <v>297</v>
      </c>
      <c r="AE408" s="76">
        <v>124</v>
      </c>
      <c r="AF408" s="76">
        <v>9</v>
      </c>
      <c r="AG408" s="76">
        <v>1</v>
      </c>
      <c r="AH408" s="76">
        <v>13</v>
      </c>
      <c r="AI408" s="76">
        <v>5</v>
      </c>
      <c r="AJ408" s="76">
        <v>0</v>
      </c>
      <c r="AK408" s="76">
        <v>855</v>
      </c>
      <c r="AL408" s="76">
        <v>3102</v>
      </c>
      <c r="AM408" s="202"/>
      <c r="AN408" s="77"/>
      <c r="AO408" s="202"/>
      <c r="AP408" s="202"/>
      <c r="AQ408" s="202"/>
      <c r="AR408" s="202"/>
      <c r="AS408" s="202"/>
      <c r="AT408" s="202"/>
      <c r="AU408" s="202"/>
      <c r="AV408" s="202"/>
      <c r="AW408" s="202"/>
      <c r="AX408" s="202"/>
      <c r="AY408" s="202"/>
    </row>
    <row r="409" spans="1:51" ht="25.5" x14ac:dyDescent="0.2">
      <c r="A409" s="76">
        <v>16</v>
      </c>
      <c r="B409" s="77" t="s">
        <v>620</v>
      </c>
      <c r="C409" s="76" t="s">
        <v>156</v>
      </c>
      <c r="D409" s="76">
        <v>10</v>
      </c>
      <c r="E409" s="76">
        <v>15</v>
      </c>
      <c r="F409" s="76">
        <v>4.46</v>
      </c>
      <c r="G409" s="76">
        <v>30</v>
      </c>
      <c r="H409" s="76">
        <v>29</v>
      </c>
      <c r="I409" s="76">
        <v>0</v>
      </c>
      <c r="J409" s="76">
        <v>0</v>
      </c>
      <c r="K409" s="76">
        <v>169.2</v>
      </c>
      <c r="L409" s="76">
        <v>169</v>
      </c>
      <c r="M409" s="76">
        <v>97</v>
      </c>
      <c r="N409" s="76">
        <v>84</v>
      </c>
      <c r="O409" s="76">
        <v>28</v>
      </c>
      <c r="P409" s="76">
        <v>63</v>
      </c>
      <c r="Q409" s="76">
        <v>126</v>
      </c>
      <c r="R409" s="76">
        <v>0.25800000000000001</v>
      </c>
      <c r="S409" s="76">
        <v>1.37</v>
      </c>
      <c r="T409" s="76">
        <v>16</v>
      </c>
      <c r="U409" s="77" t="s">
        <v>620</v>
      </c>
      <c r="V409" s="76" t="s">
        <v>156</v>
      </c>
      <c r="W409" s="76">
        <v>0</v>
      </c>
      <c r="X409" s="76">
        <v>0</v>
      </c>
      <c r="Y409" s="76">
        <v>6</v>
      </c>
      <c r="Z409" s="76">
        <v>0</v>
      </c>
      <c r="AA409" s="76">
        <v>1</v>
      </c>
      <c r="AB409" s="76">
        <v>0</v>
      </c>
      <c r="AC409" s="76">
        <v>21</v>
      </c>
      <c r="AD409" s="76">
        <v>176</v>
      </c>
      <c r="AE409" s="76">
        <v>188</v>
      </c>
      <c r="AF409" s="76">
        <v>5</v>
      </c>
      <c r="AG409" s="76">
        <v>1</v>
      </c>
      <c r="AH409" s="76">
        <v>2</v>
      </c>
      <c r="AI409" s="76">
        <v>1</v>
      </c>
      <c r="AJ409" s="76">
        <v>4</v>
      </c>
      <c r="AK409" s="76">
        <v>728</v>
      </c>
      <c r="AL409" s="76">
        <v>2742</v>
      </c>
      <c r="AM409" s="202"/>
      <c r="AN409" s="77"/>
      <c r="AO409" s="202"/>
      <c r="AP409" s="202"/>
      <c r="AQ409" s="202"/>
      <c r="AR409" s="202"/>
      <c r="AS409" s="202"/>
      <c r="AT409" s="202"/>
      <c r="AU409" s="202"/>
      <c r="AV409" s="202"/>
      <c r="AW409" s="202"/>
      <c r="AX409" s="202"/>
      <c r="AY409" s="202"/>
    </row>
    <row r="410" spans="1:51" ht="25.5" x14ac:dyDescent="0.2">
      <c r="A410" s="76">
        <v>17</v>
      </c>
      <c r="B410" s="77" t="s">
        <v>600</v>
      </c>
      <c r="C410" s="76" t="s">
        <v>156</v>
      </c>
      <c r="D410" s="76">
        <v>1</v>
      </c>
      <c r="E410" s="76">
        <v>2</v>
      </c>
      <c r="F410" s="76">
        <v>4.57</v>
      </c>
      <c r="G410" s="76">
        <v>39</v>
      </c>
      <c r="H410" s="76">
        <v>0</v>
      </c>
      <c r="I410" s="76">
        <v>0</v>
      </c>
      <c r="J410" s="76">
        <v>2</v>
      </c>
      <c r="K410" s="76">
        <v>41.1</v>
      </c>
      <c r="L410" s="76">
        <v>43</v>
      </c>
      <c r="M410" s="76">
        <v>22</v>
      </c>
      <c r="N410" s="76">
        <v>21</v>
      </c>
      <c r="O410" s="76">
        <v>9</v>
      </c>
      <c r="P410" s="76">
        <v>10</v>
      </c>
      <c r="Q410" s="76">
        <v>42</v>
      </c>
      <c r="R410" s="76">
        <v>0.26900000000000002</v>
      </c>
      <c r="S410" s="76">
        <v>1.28</v>
      </c>
      <c r="T410" s="76">
        <v>17</v>
      </c>
      <c r="U410" s="77" t="s">
        <v>600</v>
      </c>
      <c r="V410" s="76" t="s">
        <v>156</v>
      </c>
      <c r="W410" s="76">
        <v>0</v>
      </c>
      <c r="X410" s="76">
        <v>0</v>
      </c>
      <c r="Y410" s="76">
        <v>2</v>
      </c>
      <c r="Z410" s="76">
        <v>0</v>
      </c>
      <c r="AA410" s="76">
        <v>6</v>
      </c>
      <c r="AB410" s="76">
        <v>7</v>
      </c>
      <c r="AC410" s="76">
        <v>4</v>
      </c>
      <c r="AD410" s="76">
        <v>40</v>
      </c>
      <c r="AE410" s="76">
        <v>36</v>
      </c>
      <c r="AF410" s="76">
        <v>1</v>
      </c>
      <c r="AG410" s="76">
        <v>0</v>
      </c>
      <c r="AH410" s="76">
        <v>2</v>
      </c>
      <c r="AI410" s="76">
        <v>1</v>
      </c>
      <c r="AJ410" s="76">
        <v>0</v>
      </c>
      <c r="AK410" s="76">
        <v>173</v>
      </c>
      <c r="AL410" s="76">
        <v>681</v>
      </c>
      <c r="AM410" s="202"/>
      <c r="AN410" s="77"/>
      <c r="AO410" s="202"/>
      <c r="AP410" s="202"/>
      <c r="AQ410" s="202"/>
      <c r="AR410" s="202"/>
      <c r="AS410" s="202"/>
      <c r="AT410" s="202"/>
      <c r="AU410" s="202"/>
      <c r="AV410" s="202"/>
      <c r="AW410" s="202"/>
      <c r="AX410" s="202"/>
      <c r="AY410" s="202"/>
    </row>
    <row r="411" spans="1:51" ht="25.5" x14ac:dyDescent="0.2">
      <c r="A411" s="76">
        <v>18</v>
      </c>
      <c r="B411" s="77" t="s">
        <v>830</v>
      </c>
      <c r="C411" s="76" t="s">
        <v>156</v>
      </c>
      <c r="D411" s="76">
        <v>1</v>
      </c>
      <c r="E411" s="76">
        <v>0</v>
      </c>
      <c r="F411" s="76">
        <v>4.97</v>
      </c>
      <c r="G411" s="76">
        <v>3</v>
      </c>
      <c r="H411" s="76">
        <v>2</v>
      </c>
      <c r="I411" s="76">
        <v>0</v>
      </c>
      <c r="J411" s="76">
        <v>1</v>
      </c>
      <c r="K411" s="76">
        <v>12.2</v>
      </c>
      <c r="L411" s="76">
        <v>13</v>
      </c>
      <c r="M411" s="76">
        <v>7</v>
      </c>
      <c r="N411" s="76">
        <v>7</v>
      </c>
      <c r="O411" s="76">
        <v>4</v>
      </c>
      <c r="P411" s="76">
        <v>4</v>
      </c>
      <c r="Q411" s="76">
        <v>12</v>
      </c>
      <c r="R411" s="76">
        <v>0.27100000000000002</v>
      </c>
      <c r="S411" s="76">
        <v>1.34</v>
      </c>
      <c r="T411" s="76">
        <v>18</v>
      </c>
      <c r="U411" s="77" t="s">
        <v>830</v>
      </c>
      <c r="V411" s="76" t="s">
        <v>156</v>
      </c>
      <c r="W411" s="76">
        <v>0</v>
      </c>
      <c r="X411" s="76">
        <v>0</v>
      </c>
      <c r="Y411" s="76">
        <v>1</v>
      </c>
      <c r="Z411" s="76">
        <v>0</v>
      </c>
      <c r="AA411" s="76">
        <v>0</v>
      </c>
      <c r="AB411" s="76">
        <v>0</v>
      </c>
      <c r="AC411" s="76">
        <v>1</v>
      </c>
      <c r="AD411" s="76">
        <v>10</v>
      </c>
      <c r="AE411" s="76">
        <v>13</v>
      </c>
      <c r="AF411" s="76">
        <v>0</v>
      </c>
      <c r="AG411" s="76">
        <v>0</v>
      </c>
      <c r="AH411" s="76">
        <v>1</v>
      </c>
      <c r="AI411" s="76">
        <v>1</v>
      </c>
      <c r="AJ411" s="76">
        <v>0</v>
      </c>
      <c r="AK411" s="76">
        <v>53</v>
      </c>
      <c r="AL411" s="76">
        <v>206</v>
      </c>
      <c r="AM411" s="202"/>
      <c r="AN411" s="77"/>
      <c r="AO411" s="202"/>
      <c r="AP411" s="202"/>
      <c r="AQ411" s="202"/>
      <c r="AR411" s="202"/>
      <c r="AS411" s="202"/>
      <c r="AT411" s="202"/>
      <c r="AU411" s="202"/>
      <c r="AV411" s="202"/>
      <c r="AW411" s="202"/>
      <c r="AX411" s="202"/>
      <c r="AY411" s="202"/>
    </row>
    <row r="412" spans="1:51" x14ac:dyDescent="0.2">
      <c r="A412" s="76">
        <v>19</v>
      </c>
      <c r="B412" s="77" t="s">
        <v>617</v>
      </c>
      <c r="C412" s="76" t="s">
        <v>156</v>
      </c>
      <c r="D412" s="76">
        <v>0</v>
      </c>
      <c r="E412" s="76">
        <v>0</v>
      </c>
      <c r="F412" s="76">
        <v>5.0199999999999996</v>
      </c>
      <c r="G412" s="76">
        <v>21</v>
      </c>
      <c r="H412" s="76">
        <v>0</v>
      </c>
      <c r="I412" s="76">
        <v>0</v>
      </c>
      <c r="J412" s="76">
        <v>1</v>
      </c>
      <c r="K412" s="76">
        <v>14.1</v>
      </c>
      <c r="L412" s="76">
        <v>15</v>
      </c>
      <c r="M412" s="76">
        <v>8</v>
      </c>
      <c r="N412" s="76">
        <v>8</v>
      </c>
      <c r="O412" s="76">
        <v>2</v>
      </c>
      <c r="P412" s="76">
        <v>4</v>
      </c>
      <c r="Q412" s="76">
        <v>15</v>
      </c>
      <c r="R412" s="76">
        <v>0.28799999999999998</v>
      </c>
      <c r="S412" s="76">
        <v>1.33</v>
      </c>
      <c r="T412" s="76">
        <v>19</v>
      </c>
      <c r="U412" s="77" t="s">
        <v>617</v>
      </c>
      <c r="V412" s="76" t="s">
        <v>156</v>
      </c>
      <c r="W412" s="76">
        <v>0</v>
      </c>
      <c r="X412" s="76">
        <v>0</v>
      </c>
      <c r="Y412" s="76">
        <v>3</v>
      </c>
      <c r="Z412" s="76">
        <v>0</v>
      </c>
      <c r="AA412" s="76">
        <v>2</v>
      </c>
      <c r="AB412" s="76">
        <v>2</v>
      </c>
      <c r="AC412" s="76">
        <v>2</v>
      </c>
      <c r="AD412" s="76">
        <v>15</v>
      </c>
      <c r="AE412" s="76">
        <v>10</v>
      </c>
      <c r="AF412" s="76">
        <v>3</v>
      </c>
      <c r="AG412" s="76">
        <v>0</v>
      </c>
      <c r="AH412" s="76">
        <v>0</v>
      </c>
      <c r="AI412" s="76">
        <v>1</v>
      </c>
      <c r="AJ412" s="76">
        <v>0</v>
      </c>
      <c r="AK412" s="76">
        <v>62</v>
      </c>
      <c r="AL412" s="76">
        <v>261</v>
      </c>
      <c r="AM412" s="202"/>
      <c r="AN412" s="77"/>
      <c r="AO412" s="202"/>
      <c r="AP412" s="202"/>
      <c r="AQ412" s="202"/>
      <c r="AR412" s="202"/>
      <c r="AS412" s="202"/>
      <c r="AT412" s="202"/>
      <c r="AU412" s="202"/>
      <c r="AV412" s="202"/>
      <c r="AW412" s="202"/>
      <c r="AX412" s="202"/>
      <c r="AY412" s="202"/>
    </row>
    <row r="413" spans="1:51" ht="25.5" x14ac:dyDescent="0.2">
      <c r="A413" s="76">
        <v>20</v>
      </c>
      <c r="B413" s="77" t="s">
        <v>1204</v>
      </c>
      <c r="C413" s="76" t="s">
        <v>156</v>
      </c>
      <c r="D413" s="76">
        <v>0</v>
      </c>
      <c r="E413" s="76">
        <v>0</v>
      </c>
      <c r="F413" s="76">
        <v>5.19</v>
      </c>
      <c r="G413" s="76">
        <v>8</v>
      </c>
      <c r="H413" s="76">
        <v>0</v>
      </c>
      <c r="I413" s="76">
        <v>0</v>
      </c>
      <c r="J413" s="76">
        <v>0</v>
      </c>
      <c r="K413" s="76">
        <v>8.1999999999999993</v>
      </c>
      <c r="L413" s="76">
        <v>11</v>
      </c>
      <c r="M413" s="76">
        <v>8</v>
      </c>
      <c r="N413" s="76">
        <v>5</v>
      </c>
      <c r="O413" s="76">
        <v>1</v>
      </c>
      <c r="P413" s="76">
        <v>4</v>
      </c>
      <c r="Q413" s="76">
        <v>7</v>
      </c>
      <c r="R413" s="76">
        <v>0.29699999999999999</v>
      </c>
      <c r="S413" s="76">
        <v>1.73</v>
      </c>
      <c r="T413" s="76">
        <v>20</v>
      </c>
      <c r="U413" s="77" t="s">
        <v>1204</v>
      </c>
      <c r="V413" s="76" t="s">
        <v>156</v>
      </c>
      <c r="W413" s="76">
        <v>0</v>
      </c>
      <c r="X413" s="76">
        <v>0</v>
      </c>
      <c r="Y413" s="76">
        <v>1</v>
      </c>
      <c r="Z413" s="76">
        <v>0</v>
      </c>
      <c r="AA413" s="76">
        <v>3</v>
      </c>
      <c r="AB413" s="76">
        <v>1</v>
      </c>
      <c r="AC413" s="76">
        <v>0</v>
      </c>
      <c r="AD413" s="76">
        <v>9</v>
      </c>
      <c r="AE413" s="76">
        <v>12</v>
      </c>
      <c r="AF413" s="76">
        <v>0</v>
      </c>
      <c r="AG413" s="76">
        <v>0</v>
      </c>
      <c r="AH413" s="76">
        <v>1</v>
      </c>
      <c r="AI413" s="76">
        <v>0</v>
      </c>
      <c r="AJ413" s="76">
        <v>0</v>
      </c>
      <c r="AK413" s="76">
        <v>44</v>
      </c>
      <c r="AL413" s="76">
        <v>168</v>
      </c>
      <c r="AM413" s="202"/>
      <c r="AN413" s="77"/>
      <c r="AO413" s="202"/>
      <c r="AP413" s="202"/>
      <c r="AQ413" s="202"/>
      <c r="AR413" s="202"/>
      <c r="AS413" s="202"/>
      <c r="AT413" s="202"/>
      <c r="AU413" s="202"/>
      <c r="AV413" s="202"/>
      <c r="AW413" s="202"/>
      <c r="AX413" s="202"/>
      <c r="AY413" s="202"/>
    </row>
    <row r="414" spans="1:51" ht="25.5" x14ac:dyDescent="0.2">
      <c r="A414" s="76">
        <v>21</v>
      </c>
      <c r="B414" s="77" t="s">
        <v>749</v>
      </c>
      <c r="C414" s="76" t="s">
        <v>156</v>
      </c>
      <c r="D414" s="76">
        <v>0</v>
      </c>
      <c r="E414" s="76">
        <v>1</v>
      </c>
      <c r="F414" s="76">
        <v>5.51</v>
      </c>
      <c r="G414" s="76">
        <v>16</v>
      </c>
      <c r="H414" s="76">
        <v>0</v>
      </c>
      <c r="I414" s="76">
        <v>0</v>
      </c>
      <c r="J414" s="76">
        <v>0</v>
      </c>
      <c r="K414" s="76">
        <v>16.100000000000001</v>
      </c>
      <c r="L414" s="76">
        <v>17</v>
      </c>
      <c r="M414" s="76">
        <v>10</v>
      </c>
      <c r="N414" s="76">
        <v>10</v>
      </c>
      <c r="O414" s="76">
        <v>3</v>
      </c>
      <c r="P414" s="76">
        <v>3</v>
      </c>
      <c r="Q414" s="76">
        <v>10</v>
      </c>
      <c r="R414" s="76">
        <v>0.26600000000000001</v>
      </c>
      <c r="S414" s="76">
        <v>1.22</v>
      </c>
      <c r="T414" s="76">
        <v>21</v>
      </c>
      <c r="U414" s="77" t="s">
        <v>749</v>
      </c>
      <c r="V414" s="76" t="s">
        <v>156</v>
      </c>
      <c r="W414" s="76">
        <v>0</v>
      </c>
      <c r="X414" s="76">
        <v>0</v>
      </c>
      <c r="Y414" s="76">
        <v>0</v>
      </c>
      <c r="Z414" s="76">
        <v>0</v>
      </c>
      <c r="AA414" s="76">
        <v>8</v>
      </c>
      <c r="AB414" s="76">
        <v>0</v>
      </c>
      <c r="AC414" s="76">
        <v>1</v>
      </c>
      <c r="AD414" s="76">
        <v>25</v>
      </c>
      <c r="AE414" s="76">
        <v>13</v>
      </c>
      <c r="AF414" s="76">
        <v>0</v>
      </c>
      <c r="AG414" s="76">
        <v>0</v>
      </c>
      <c r="AH414" s="76">
        <v>0</v>
      </c>
      <c r="AI414" s="76">
        <v>0</v>
      </c>
      <c r="AJ414" s="76">
        <v>0</v>
      </c>
      <c r="AK414" s="76">
        <v>68</v>
      </c>
      <c r="AL414" s="76">
        <v>260</v>
      </c>
      <c r="AM414" s="202"/>
      <c r="AN414" s="77"/>
      <c r="AO414" s="202"/>
      <c r="AP414" s="202"/>
      <c r="AQ414" s="202"/>
      <c r="AR414" s="202"/>
      <c r="AS414" s="202"/>
      <c r="AT414" s="202"/>
      <c r="AU414" s="202"/>
      <c r="AV414" s="202"/>
      <c r="AW414" s="202"/>
      <c r="AX414" s="202"/>
      <c r="AY414" s="202"/>
    </row>
    <row r="415" spans="1:51" x14ac:dyDescent="0.2">
      <c r="A415" s="76">
        <v>22</v>
      </c>
      <c r="B415" s="77" t="s">
        <v>481</v>
      </c>
      <c r="C415" s="76" t="s">
        <v>156</v>
      </c>
      <c r="D415" s="76">
        <v>1</v>
      </c>
      <c r="E415" s="76">
        <v>3</v>
      </c>
      <c r="F415" s="76">
        <v>6.21</v>
      </c>
      <c r="G415" s="76">
        <v>38</v>
      </c>
      <c r="H415" s="76">
        <v>0</v>
      </c>
      <c r="I415" s="76">
        <v>3</v>
      </c>
      <c r="J415" s="76">
        <v>4</v>
      </c>
      <c r="K415" s="76">
        <v>33.1</v>
      </c>
      <c r="L415" s="76">
        <v>43</v>
      </c>
      <c r="M415" s="76">
        <v>23</v>
      </c>
      <c r="N415" s="76">
        <v>23</v>
      </c>
      <c r="O415" s="76">
        <v>6</v>
      </c>
      <c r="P415" s="76">
        <v>10</v>
      </c>
      <c r="Q415" s="76">
        <v>32</v>
      </c>
      <c r="R415" s="76">
        <v>0.309</v>
      </c>
      <c r="S415" s="76">
        <v>1.59</v>
      </c>
      <c r="T415" s="76">
        <v>22</v>
      </c>
      <c r="U415" s="77" t="s">
        <v>481</v>
      </c>
      <c r="V415" s="76" t="s">
        <v>156</v>
      </c>
      <c r="W415" s="76">
        <v>0</v>
      </c>
      <c r="X415" s="76">
        <v>0</v>
      </c>
      <c r="Y415" s="76">
        <v>6</v>
      </c>
      <c r="Z415" s="76">
        <v>1</v>
      </c>
      <c r="AA415" s="76">
        <v>13</v>
      </c>
      <c r="AB415" s="76">
        <v>8</v>
      </c>
      <c r="AC415" s="76">
        <v>2</v>
      </c>
      <c r="AD415" s="76">
        <v>36</v>
      </c>
      <c r="AE415" s="76">
        <v>29</v>
      </c>
      <c r="AF415" s="76">
        <v>0</v>
      </c>
      <c r="AG415" s="76">
        <v>1</v>
      </c>
      <c r="AH415" s="76">
        <v>4</v>
      </c>
      <c r="AI415" s="76">
        <v>1</v>
      </c>
      <c r="AJ415" s="76">
        <v>0</v>
      </c>
      <c r="AK415" s="76">
        <v>156</v>
      </c>
      <c r="AL415" s="76">
        <v>589</v>
      </c>
      <c r="AM415" s="202"/>
      <c r="AN415" s="77"/>
      <c r="AO415" s="202"/>
      <c r="AP415" s="202"/>
      <c r="AQ415" s="202"/>
      <c r="AR415" s="202"/>
      <c r="AS415" s="202"/>
      <c r="AT415" s="202"/>
      <c r="AU415" s="202"/>
      <c r="AV415" s="202"/>
      <c r="AW415" s="202"/>
      <c r="AX415" s="202"/>
      <c r="AY415" s="202"/>
    </row>
    <row r="416" spans="1:51" x14ac:dyDescent="0.2">
      <c r="A416" s="76">
        <v>23</v>
      </c>
      <c r="B416" s="77" t="s">
        <v>1203</v>
      </c>
      <c r="C416" s="76" t="s">
        <v>156</v>
      </c>
      <c r="D416" s="76">
        <v>0</v>
      </c>
      <c r="E416" s="76">
        <v>0</v>
      </c>
      <c r="F416" s="76">
        <v>7.71</v>
      </c>
      <c r="G416" s="76">
        <v>2</v>
      </c>
      <c r="H416" s="76">
        <v>0</v>
      </c>
      <c r="I416" s="76">
        <v>0</v>
      </c>
      <c r="J416" s="76">
        <v>1</v>
      </c>
      <c r="K416" s="76">
        <v>2.1</v>
      </c>
      <c r="L416" s="76">
        <v>3</v>
      </c>
      <c r="M416" s="76">
        <v>2</v>
      </c>
      <c r="N416" s="76">
        <v>2</v>
      </c>
      <c r="O416" s="76">
        <v>1</v>
      </c>
      <c r="P416" s="76">
        <v>1</v>
      </c>
      <c r="Q416" s="76">
        <v>2</v>
      </c>
      <c r="R416" s="76">
        <v>0.3</v>
      </c>
      <c r="S416" s="76">
        <v>1.71</v>
      </c>
      <c r="T416" s="76">
        <v>23</v>
      </c>
      <c r="U416" s="77" t="s">
        <v>1203</v>
      </c>
      <c r="V416" s="76" t="s">
        <v>156</v>
      </c>
      <c r="W416" s="76">
        <v>0</v>
      </c>
      <c r="X416" s="76">
        <v>0</v>
      </c>
      <c r="Y416" s="76">
        <v>0</v>
      </c>
      <c r="Z416" s="76">
        <v>0</v>
      </c>
      <c r="AA416" s="76">
        <v>0</v>
      </c>
      <c r="AB416" s="76">
        <v>0</v>
      </c>
      <c r="AC416" s="76">
        <v>0</v>
      </c>
      <c r="AD416" s="76">
        <v>3</v>
      </c>
      <c r="AE416" s="76">
        <v>2</v>
      </c>
      <c r="AF416" s="76">
        <v>0</v>
      </c>
      <c r="AG416" s="76">
        <v>0</v>
      </c>
      <c r="AH416" s="76">
        <v>0</v>
      </c>
      <c r="AI416" s="76">
        <v>0</v>
      </c>
      <c r="AJ416" s="76">
        <v>0</v>
      </c>
      <c r="AK416" s="76">
        <v>11</v>
      </c>
      <c r="AL416" s="76">
        <v>46</v>
      </c>
    </row>
    <row r="417" spans="1:38" ht="25.5" x14ac:dyDescent="0.2">
      <c r="A417" s="76">
        <v>24</v>
      </c>
      <c r="B417" s="77" t="s">
        <v>345</v>
      </c>
      <c r="C417" s="76" t="s">
        <v>156</v>
      </c>
      <c r="D417" s="76">
        <v>2</v>
      </c>
      <c r="E417" s="76">
        <v>1</v>
      </c>
      <c r="F417" s="76">
        <v>8.4</v>
      </c>
      <c r="G417" s="76">
        <v>14</v>
      </c>
      <c r="H417" s="76">
        <v>0</v>
      </c>
      <c r="I417" s="76">
        <v>0</v>
      </c>
      <c r="J417" s="76">
        <v>0</v>
      </c>
      <c r="K417" s="76">
        <v>15</v>
      </c>
      <c r="L417" s="76">
        <v>23</v>
      </c>
      <c r="M417" s="76">
        <v>15</v>
      </c>
      <c r="N417" s="76">
        <v>14</v>
      </c>
      <c r="O417" s="76">
        <v>2</v>
      </c>
      <c r="P417" s="76">
        <v>6</v>
      </c>
      <c r="Q417" s="76">
        <v>14</v>
      </c>
      <c r="R417" s="76">
        <v>0.34799999999999998</v>
      </c>
      <c r="S417" s="76">
        <v>1.93</v>
      </c>
      <c r="T417" s="76">
        <v>24</v>
      </c>
      <c r="U417" s="77" t="s">
        <v>345</v>
      </c>
      <c r="V417" s="76" t="s">
        <v>156</v>
      </c>
      <c r="W417" s="76">
        <v>0</v>
      </c>
      <c r="X417" s="76">
        <v>0</v>
      </c>
      <c r="Y417" s="76">
        <v>0</v>
      </c>
      <c r="Z417" s="76">
        <v>0</v>
      </c>
      <c r="AA417" s="76">
        <v>4</v>
      </c>
      <c r="AB417" s="76">
        <v>0</v>
      </c>
      <c r="AC417" s="76">
        <v>2</v>
      </c>
      <c r="AD417" s="76">
        <v>23</v>
      </c>
      <c r="AE417" s="76">
        <v>7</v>
      </c>
      <c r="AF417" s="76">
        <v>0</v>
      </c>
      <c r="AG417" s="76">
        <v>0</v>
      </c>
      <c r="AH417" s="76">
        <v>2</v>
      </c>
      <c r="AI417" s="76">
        <v>0</v>
      </c>
      <c r="AJ417" s="76">
        <v>0</v>
      </c>
      <c r="AK417" s="76">
        <v>73</v>
      </c>
      <c r="AL417" s="76">
        <v>312</v>
      </c>
    </row>
    <row r="418" spans="1:38" ht="25.5" x14ac:dyDescent="0.2">
      <c r="A418" s="76">
        <v>25</v>
      </c>
      <c r="B418" s="77" t="s">
        <v>1402</v>
      </c>
      <c r="C418" s="76" t="s">
        <v>156</v>
      </c>
      <c r="D418" s="76">
        <v>0</v>
      </c>
      <c r="E418" s="76">
        <v>1</v>
      </c>
      <c r="F418" s="76">
        <v>9</v>
      </c>
      <c r="G418" s="76">
        <v>1</v>
      </c>
      <c r="H418" s="76">
        <v>0</v>
      </c>
      <c r="I418" s="76">
        <v>0</v>
      </c>
      <c r="J418" s="76">
        <v>0</v>
      </c>
      <c r="K418" s="76">
        <v>1</v>
      </c>
      <c r="L418" s="76">
        <v>1</v>
      </c>
      <c r="M418" s="76">
        <v>1</v>
      </c>
      <c r="N418" s="76">
        <v>1</v>
      </c>
      <c r="O418" s="76">
        <v>1</v>
      </c>
      <c r="P418" s="76">
        <v>0</v>
      </c>
      <c r="Q418" s="76">
        <v>1</v>
      </c>
      <c r="R418" s="76">
        <v>0.25</v>
      </c>
      <c r="S418" s="76">
        <v>1</v>
      </c>
      <c r="T418" s="76">
        <v>25</v>
      </c>
      <c r="U418" s="77" t="s">
        <v>1402</v>
      </c>
      <c r="V418" s="76" t="s">
        <v>156</v>
      </c>
      <c r="W418" s="76">
        <v>0</v>
      </c>
      <c r="X418" s="76">
        <v>0</v>
      </c>
      <c r="Y418" s="76">
        <v>0</v>
      </c>
      <c r="Z418" s="76">
        <v>0</v>
      </c>
      <c r="AA418" s="76">
        <v>1</v>
      </c>
      <c r="AB418" s="76">
        <v>0</v>
      </c>
      <c r="AC418" s="76">
        <v>0</v>
      </c>
      <c r="AD418" s="76">
        <v>0</v>
      </c>
      <c r="AE418" s="76">
        <v>2</v>
      </c>
      <c r="AF418" s="76">
        <v>0</v>
      </c>
      <c r="AG418" s="76">
        <v>0</v>
      </c>
      <c r="AH418" s="76">
        <v>0</v>
      </c>
      <c r="AI418" s="76">
        <v>0</v>
      </c>
      <c r="AJ418" s="76">
        <v>0</v>
      </c>
      <c r="AK418" s="76">
        <v>4</v>
      </c>
      <c r="AL418" s="76">
        <v>16</v>
      </c>
    </row>
    <row r="419" spans="1:38" ht="25.5" x14ac:dyDescent="0.2">
      <c r="A419" s="76">
        <v>25</v>
      </c>
      <c r="B419" s="77" t="s">
        <v>506</v>
      </c>
      <c r="C419" s="76" t="s">
        <v>156</v>
      </c>
      <c r="D419" s="76">
        <v>0</v>
      </c>
      <c r="E419" s="76">
        <v>1</v>
      </c>
      <c r="F419" s="76">
        <v>9</v>
      </c>
      <c r="G419" s="76">
        <v>5</v>
      </c>
      <c r="H419" s="76">
        <v>0</v>
      </c>
      <c r="I419" s="76">
        <v>0</v>
      </c>
      <c r="J419" s="76">
        <v>0</v>
      </c>
      <c r="K419" s="76">
        <v>4</v>
      </c>
      <c r="L419" s="76">
        <v>3</v>
      </c>
      <c r="M419" s="76">
        <v>4</v>
      </c>
      <c r="N419" s="76">
        <v>4</v>
      </c>
      <c r="O419" s="76">
        <v>1</v>
      </c>
      <c r="P419" s="76">
        <v>2</v>
      </c>
      <c r="Q419" s="76">
        <v>2</v>
      </c>
      <c r="R419" s="76">
        <v>0.214</v>
      </c>
      <c r="S419" s="76">
        <v>1.25</v>
      </c>
      <c r="T419" s="76">
        <v>25</v>
      </c>
      <c r="U419" s="77" t="s">
        <v>506</v>
      </c>
      <c r="V419" s="76" t="s">
        <v>156</v>
      </c>
      <c r="W419" s="76">
        <v>0</v>
      </c>
      <c r="X419" s="76">
        <v>0</v>
      </c>
      <c r="Y419" s="76">
        <v>0</v>
      </c>
      <c r="Z419" s="76">
        <v>0</v>
      </c>
      <c r="AA419" s="76">
        <v>2</v>
      </c>
      <c r="AB419" s="76">
        <v>0</v>
      </c>
      <c r="AC419" s="76">
        <v>1</v>
      </c>
      <c r="AD419" s="76">
        <v>3</v>
      </c>
      <c r="AE419" s="76">
        <v>6</v>
      </c>
      <c r="AF419" s="76">
        <v>0</v>
      </c>
      <c r="AG419" s="76">
        <v>1</v>
      </c>
      <c r="AH419" s="76">
        <v>0</v>
      </c>
      <c r="AI419" s="76">
        <v>0</v>
      </c>
      <c r="AJ419" s="76">
        <v>0</v>
      </c>
      <c r="AK419" s="76">
        <v>16</v>
      </c>
      <c r="AL419" s="76">
        <v>59</v>
      </c>
    </row>
    <row r="420" spans="1:38" ht="25.5" x14ac:dyDescent="0.2">
      <c r="A420" s="76">
        <v>27</v>
      </c>
      <c r="B420" s="77" t="s">
        <v>1403</v>
      </c>
      <c r="C420" s="76" t="s">
        <v>156</v>
      </c>
      <c r="D420" s="76">
        <v>0</v>
      </c>
      <c r="E420" s="76">
        <v>0</v>
      </c>
      <c r="F420" s="76">
        <v>12</v>
      </c>
      <c r="G420" s="76">
        <v>5</v>
      </c>
      <c r="H420" s="76">
        <v>0</v>
      </c>
      <c r="I420" s="76">
        <v>0</v>
      </c>
      <c r="J420" s="76">
        <v>0</v>
      </c>
      <c r="K420" s="76">
        <v>3</v>
      </c>
      <c r="L420" s="76">
        <v>6</v>
      </c>
      <c r="M420" s="76">
        <v>4</v>
      </c>
      <c r="N420" s="76">
        <v>4</v>
      </c>
      <c r="O420" s="76">
        <v>1</v>
      </c>
      <c r="P420" s="76">
        <v>0</v>
      </c>
      <c r="Q420" s="76">
        <v>5</v>
      </c>
      <c r="R420" s="76">
        <v>0.4</v>
      </c>
      <c r="S420" s="76">
        <v>2</v>
      </c>
      <c r="T420" s="76">
        <v>27</v>
      </c>
      <c r="U420" s="77" t="s">
        <v>1403</v>
      </c>
      <c r="V420" s="76" t="s">
        <v>156</v>
      </c>
      <c r="W420" s="76">
        <v>0</v>
      </c>
      <c r="X420" s="76">
        <v>0</v>
      </c>
      <c r="Y420" s="76">
        <v>1</v>
      </c>
      <c r="Z420" s="76">
        <v>0</v>
      </c>
      <c r="AA420" s="76">
        <v>1</v>
      </c>
      <c r="AB420" s="76">
        <v>0</v>
      </c>
      <c r="AC420" s="76">
        <v>0</v>
      </c>
      <c r="AD420" s="76">
        <v>2</v>
      </c>
      <c r="AE420" s="76">
        <v>2</v>
      </c>
      <c r="AF420" s="76">
        <v>1</v>
      </c>
      <c r="AG420" s="76">
        <v>0</v>
      </c>
      <c r="AH420" s="76">
        <v>0</v>
      </c>
      <c r="AI420" s="76">
        <v>0</v>
      </c>
      <c r="AJ420" s="76">
        <v>0</v>
      </c>
      <c r="AK420" s="76">
        <v>16</v>
      </c>
      <c r="AL420" s="76">
        <v>60</v>
      </c>
    </row>
    <row r="421" spans="1:38" ht="25.5" x14ac:dyDescent="0.2">
      <c r="A421" s="76">
        <v>28</v>
      </c>
      <c r="B421" s="77" t="s">
        <v>1404</v>
      </c>
      <c r="C421" s="76" t="s">
        <v>156</v>
      </c>
      <c r="D421" s="76">
        <v>0</v>
      </c>
      <c r="E421" s="76">
        <v>0</v>
      </c>
      <c r="F421" s="76">
        <v>13.5</v>
      </c>
      <c r="G421" s="76">
        <v>1</v>
      </c>
      <c r="H421" s="76">
        <v>0</v>
      </c>
      <c r="I421" s="76">
        <v>0</v>
      </c>
      <c r="J421" s="76">
        <v>0</v>
      </c>
      <c r="K421" s="76">
        <v>2</v>
      </c>
      <c r="L421" s="76">
        <v>4</v>
      </c>
      <c r="M421" s="76">
        <v>3</v>
      </c>
      <c r="N421" s="76">
        <v>3</v>
      </c>
      <c r="O421" s="76">
        <v>1</v>
      </c>
      <c r="P421" s="76">
        <v>1</v>
      </c>
      <c r="Q421" s="76">
        <v>1</v>
      </c>
      <c r="R421" s="76">
        <v>0.4</v>
      </c>
      <c r="S421" s="76">
        <v>2.5</v>
      </c>
      <c r="T421" s="76">
        <v>28</v>
      </c>
      <c r="U421" s="77" t="s">
        <v>1404</v>
      </c>
      <c r="V421" s="76" t="s">
        <v>156</v>
      </c>
      <c r="W421" s="76">
        <v>0</v>
      </c>
      <c r="X421" s="76">
        <v>0</v>
      </c>
      <c r="Y421" s="76">
        <v>0</v>
      </c>
      <c r="Z421" s="76">
        <v>0</v>
      </c>
      <c r="AA421" s="76">
        <v>0</v>
      </c>
      <c r="AB421" s="76">
        <v>0</v>
      </c>
      <c r="AC421" s="76">
        <v>0</v>
      </c>
      <c r="AD421" s="76">
        <v>0</v>
      </c>
      <c r="AE421" s="76">
        <v>5</v>
      </c>
      <c r="AF421" s="76">
        <v>0</v>
      </c>
      <c r="AG421" s="76">
        <v>0</v>
      </c>
      <c r="AH421" s="76">
        <v>0</v>
      </c>
      <c r="AI421" s="76">
        <v>0</v>
      </c>
      <c r="AJ421" s="76">
        <v>0</v>
      </c>
      <c r="AK421" s="76">
        <v>11</v>
      </c>
      <c r="AL421" s="76">
        <v>42</v>
      </c>
    </row>
    <row r="422" spans="1:38" ht="25.5" x14ac:dyDescent="0.2">
      <c r="A422" s="76">
        <v>29</v>
      </c>
      <c r="B422" s="77" t="s">
        <v>1405</v>
      </c>
      <c r="C422" s="76" t="s">
        <v>156</v>
      </c>
      <c r="D422" s="76">
        <v>0</v>
      </c>
      <c r="E422" s="76">
        <v>0</v>
      </c>
      <c r="F422" s="76">
        <v>27</v>
      </c>
      <c r="G422" s="76">
        <v>1</v>
      </c>
      <c r="H422" s="76">
        <v>0</v>
      </c>
      <c r="I422" s="76">
        <v>0</v>
      </c>
      <c r="J422" s="76">
        <v>0</v>
      </c>
      <c r="K422" s="76">
        <v>1</v>
      </c>
      <c r="L422" s="76">
        <v>2</v>
      </c>
      <c r="M422" s="76">
        <v>3</v>
      </c>
      <c r="N422" s="76">
        <v>3</v>
      </c>
      <c r="O422" s="76">
        <v>0</v>
      </c>
      <c r="P422" s="76">
        <v>2</v>
      </c>
      <c r="Q422" s="76">
        <v>0</v>
      </c>
      <c r="R422" s="76">
        <v>0.4</v>
      </c>
      <c r="S422" s="76">
        <v>4</v>
      </c>
      <c r="T422" s="76">
        <v>29</v>
      </c>
      <c r="U422" s="77" t="s">
        <v>1405</v>
      </c>
      <c r="V422" s="76" t="s">
        <v>156</v>
      </c>
      <c r="W422" s="76">
        <v>0</v>
      </c>
      <c r="X422" s="76">
        <v>0</v>
      </c>
      <c r="Y422" s="76">
        <v>0</v>
      </c>
      <c r="Z422" s="76">
        <v>0</v>
      </c>
      <c r="AA422" s="76">
        <v>1</v>
      </c>
      <c r="AB422" s="76">
        <v>0</v>
      </c>
      <c r="AC422" s="76">
        <v>0</v>
      </c>
      <c r="AD422" s="76">
        <v>1</v>
      </c>
      <c r="AE422" s="76">
        <v>2</v>
      </c>
      <c r="AF422" s="76">
        <v>0</v>
      </c>
      <c r="AG422" s="76">
        <v>0</v>
      </c>
      <c r="AH422" s="76">
        <v>0</v>
      </c>
      <c r="AI422" s="76">
        <v>0</v>
      </c>
      <c r="AJ422" s="76">
        <v>0</v>
      </c>
      <c r="AK422" s="76">
        <v>7</v>
      </c>
      <c r="AL422" s="76">
        <v>26</v>
      </c>
    </row>
  </sheetData>
  <sortState ref="B331:AU355">
    <sortCondition ref="B331:B355"/>
  </sortState>
  <phoneticPr fontId="0" type="noConversion"/>
  <hyperlinks>
    <hyperlink ref="B3" r:id="rId1" display="http://mlb.mlb.com/team/player.jsp?player_id=593969"/>
    <hyperlink ref="B4" r:id="rId2" display="http://mlb.mlb.com/team/player.jsp?player_id=643354"/>
    <hyperlink ref="B5" r:id="rId3" display="http://mlb.mlb.com/team/player.jsp?player_id=502154"/>
    <hyperlink ref="B6" r:id="rId4" display="http://mlb.mlb.com/team/player.jsp?player_id=542960"/>
    <hyperlink ref="B7" r:id="rId5" display="http://mlb.mlb.com/team/player.jsp?player_id=488984"/>
    <hyperlink ref="B8" r:id="rId6" display="http://mlb.mlb.com/team/player.jsp?player_id=571710"/>
    <hyperlink ref="B9" r:id="rId7" display="http://mlb.mlb.com/team/player.jsp?player_id=474699"/>
    <hyperlink ref="B10" r:id="rId8" display="http://mlb.mlb.com/team/player.jsp?player_id=592332"/>
    <hyperlink ref="B11" r:id="rId9" display="http://mlb.mlb.com/team/player.jsp?player_id=475054"/>
    <hyperlink ref="B12" r:id="rId10" display="http://mlb.mlb.com/team/player.jsp?player_id=501957"/>
    <hyperlink ref="B13" r:id="rId11" display="http://mlb.mlb.com/team/player.jsp?player_id=503285"/>
    <hyperlink ref="B14" r:id="rId12" display="http://mlb.mlb.com/team/player.jsp?player_id=543118"/>
    <hyperlink ref="B15" r:id="rId13" display="http://mlb.mlb.com/team/player.jsp?player_id=605164"/>
    <hyperlink ref="B16" r:id="rId14" display="http://mlb.mlb.com/team/player.jsp?player_id=488846"/>
    <hyperlink ref="B17" r:id="rId15" display="http://mlb.mlb.com/team/player.jsp?player_id=592869"/>
    <hyperlink ref="B18" r:id="rId16" display="http://mlb.mlb.com/team/player.jsp?player_id=451596"/>
    <hyperlink ref="B19" r:id="rId17" display="http://mlb.mlb.com/team/player.jsp?player_id=434622"/>
    <hyperlink ref="B20" r:id="rId18" display="http://mlb.mlb.com/team/player.jsp?player_id=628333"/>
    <hyperlink ref="B21" r:id="rId19" display="http://mlb.mlb.com/team/player.jsp?player_id=572208"/>
    <hyperlink ref="B22" r:id="rId20" display="http://mlb.mlb.com/team/player.jsp?player_id=605541"/>
    <hyperlink ref="B23" r:id="rId21" display="http://mlb.mlb.com/team/player.jsp?player_id=489119"/>
    <hyperlink ref="B24" r:id="rId22" display="http://mlb.mlb.com/team/player.jsp?player_id=519008"/>
    <hyperlink ref="B25" r:id="rId23" display="http://mlb.mlb.com/team/player.jsp?player_id=446185"/>
    <hyperlink ref="B26" r:id="rId24" display="http://mlb.mlb.com/team/player.jsp?player_id=451085"/>
    <hyperlink ref="B27" r:id="rId25" display="http://mlb.mlb.com/team/player.jsp?player_id=592170"/>
    <hyperlink ref="B28" r:id="rId26" display="http://mlb.mlb.com/team/player.jsp?player_id=664641"/>
    <hyperlink ref="B29" r:id="rId27" display="http://mlb.mlb.com/team/player.jsp?player_id=475247"/>
    <hyperlink ref="U3" r:id="rId28" display="http://mlb.mlb.com/team/player.jsp?player_id=593969"/>
    <hyperlink ref="U4" r:id="rId29" display="http://mlb.mlb.com/team/player.jsp?player_id=643354"/>
    <hyperlink ref="U5" r:id="rId30" display="http://mlb.mlb.com/team/player.jsp?player_id=502154"/>
    <hyperlink ref="U6" r:id="rId31" display="http://mlb.mlb.com/team/player.jsp?player_id=542960"/>
    <hyperlink ref="U7" r:id="rId32" display="http://mlb.mlb.com/team/player.jsp?player_id=488984"/>
    <hyperlink ref="U8" r:id="rId33" display="http://mlb.mlb.com/team/player.jsp?player_id=571710"/>
    <hyperlink ref="U9" r:id="rId34" display="http://mlb.mlb.com/team/player.jsp?player_id=474699"/>
    <hyperlink ref="U10" r:id="rId35" display="http://mlb.mlb.com/team/player.jsp?player_id=592332"/>
    <hyperlink ref="U11" r:id="rId36" display="http://mlb.mlb.com/team/player.jsp?player_id=475054"/>
    <hyperlink ref="U12" r:id="rId37" display="http://mlb.mlb.com/team/player.jsp?player_id=501957"/>
    <hyperlink ref="U13" r:id="rId38" display="http://mlb.mlb.com/team/player.jsp?player_id=503285"/>
    <hyperlink ref="U14" r:id="rId39" display="http://mlb.mlb.com/team/player.jsp?player_id=543118"/>
    <hyperlink ref="U15" r:id="rId40" display="http://mlb.mlb.com/team/player.jsp?player_id=605164"/>
    <hyperlink ref="U16" r:id="rId41" display="http://mlb.mlb.com/team/player.jsp?player_id=488846"/>
    <hyperlink ref="U17" r:id="rId42" display="http://mlb.mlb.com/team/player.jsp?player_id=592869"/>
    <hyperlink ref="U18" r:id="rId43" display="http://mlb.mlb.com/team/player.jsp?player_id=451596"/>
    <hyperlink ref="U19" r:id="rId44" display="http://mlb.mlb.com/team/player.jsp?player_id=434622"/>
    <hyperlink ref="U20" r:id="rId45" display="http://mlb.mlb.com/team/player.jsp?player_id=628333"/>
    <hyperlink ref="U21" r:id="rId46" display="http://mlb.mlb.com/team/player.jsp?player_id=572208"/>
    <hyperlink ref="U22" r:id="rId47" display="http://mlb.mlb.com/team/player.jsp?player_id=605541"/>
    <hyperlink ref="U23" r:id="rId48" display="http://mlb.mlb.com/team/player.jsp?player_id=489119"/>
    <hyperlink ref="U24" r:id="rId49" display="http://mlb.mlb.com/team/player.jsp?player_id=519008"/>
    <hyperlink ref="U25" r:id="rId50" display="http://mlb.mlb.com/team/player.jsp?player_id=446185"/>
    <hyperlink ref="U26" r:id="rId51" display="http://mlb.mlb.com/team/player.jsp?player_id=451085"/>
    <hyperlink ref="U27" r:id="rId52" display="http://mlb.mlb.com/team/player.jsp?player_id=592170"/>
    <hyperlink ref="U28" r:id="rId53" display="http://mlb.mlb.com/team/player.jsp?player_id=664641"/>
    <hyperlink ref="U29" r:id="rId54" display="http://mlb.mlb.com/team/player.jsp?player_id=475247"/>
    <hyperlink ref="B31" r:id="rId55" display="http://mlb.mlb.com/team/player.jsp?player_id=534606"/>
    <hyperlink ref="B32" r:id="rId56" display="http://mlb.mlb.com/team/player.jsp?player_id=582494"/>
    <hyperlink ref="B33" r:id="rId57" display="http://mlb.mlb.com/team/player.jsp?player_id=605476"/>
    <hyperlink ref="B34" r:id="rId58" display="http://mlb.mlb.com/team/player.jsp?player_id=446899"/>
    <hyperlink ref="B35" r:id="rId59" display="http://mlb.mlb.com/team/player.jsp?player_id=592390"/>
    <hyperlink ref="B36" r:id="rId60" display="http://mlb.mlb.com/team/player.jsp?player_id=519144"/>
    <hyperlink ref="B37" r:id="rId61" display="http://mlb.mlb.com/team/player.jsp?player_id=543726"/>
    <hyperlink ref="B38" r:id="rId62" display="http://mlb.mlb.com/team/player.jsp?player_id=453214"/>
    <hyperlink ref="B39" r:id="rId63" display="http://mlb.mlb.com/team/player.jsp?player_id=518886"/>
    <hyperlink ref="B40" r:id="rId64" display="http://mlb.mlb.com/team/player.jsp?player_id=493157"/>
    <hyperlink ref="B41" r:id="rId65" display="http://mlb.mlb.com/team/player.jsp?player_id=571035"/>
    <hyperlink ref="B42" r:id="rId66" display="http://mlb.mlb.com/team/player.jsp?player_id=518927"/>
    <hyperlink ref="B43" r:id="rId67" display="http://mlb.mlb.com/team/player.jsp?player_id=456034"/>
    <hyperlink ref="B44" r:id="rId68" display="http://mlb.mlb.com/team/player.jsp?player_id=598264"/>
    <hyperlink ref="B45" r:id="rId69" display="http://mlb.mlb.com/team/player.jsp?player_id=547749"/>
    <hyperlink ref="B46" r:id="rId70" display="http://mlb.mlb.com/team/player.jsp?player_id=519141"/>
    <hyperlink ref="B47" r:id="rId71" display="http://mlb.mlb.com/team/player.jsp?player_id=593958"/>
    <hyperlink ref="B48" r:id="rId72" display="http://mlb.mlb.com/team/player.jsp?player_id=453329"/>
    <hyperlink ref="B49" r:id="rId73" display="http://mlb.mlb.com/team/player.jsp?player_id=523260"/>
    <hyperlink ref="B50" r:id="rId74" display="http://mlb.mlb.com/team/player.jsp?player_id=598287"/>
    <hyperlink ref="B51" r:id="rId75" display="http://mlb.mlb.com/team/player.jsp?player_id=472551"/>
    <hyperlink ref="B52" r:id="rId76" display="http://mlb.mlb.com/team/player.jsp?player_id=457711"/>
    <hyperlink ref="B53" r:id="rId77" display="http://mlb.mlb.com/team/player.jsp?player_id=596064"/>
    <hyperlink ref="B54" r:id="rId78" display="http://mlb.mlb.com/team/player.jsp?player_id=606273"/>
    <hyperlink ref="B55" r:id="rId79" display="http://mlb.mlb.com/team/player.jsp?player_id=572990"/>
    <hyperlink ref="U31" r:id="rId80" display="http://mlb.mlb.com/team/player.jsp?player_id=534606"/>
    <hyperlink ref="U32" r:id="rId81" display="http://mlb.mlb.com/team/player.jsp?player_id=582494"/>
    <hyperlink ref="U33" r:id="rId82" display="http://mlb.mlb.com/team/player.jsp?player_id=605476"/>
    <hyperlink ref="U34" r:id="rId83" display="http://mlb.mlb.com/team/player.jsp?player_id=446899"/>
    <hyperlink ref="U35" r:id="rId84" display="http://mlb.mlb.com/team/player.jsp?player_id=592390"/>
    <hyperlink ref="U36" r:id="rId85" display="http://mlb.mlb.com/team/player.jsp?player_id=519144"/>
    <hyperlink ref="U37" r:id="rId86" display="http://mlb.mlb.com/team/player.jsp?player_id=543726"/>
    <hyperlink ref="U38" r:id="rId87" display="http://mlb.mlb.com/team/player.jsp?player_id=453214"/>
    <hyperlink ref="U39" r:id="rId88" display="http://mlb.mlb.com/team/player.jsp?player_id=518886"/>
    <hyperlink ref="U40" r:id="rId89" display="http://mlb.mlb.com/team/player.jsp?player_id=493157"/>
    <hyperlink ref="U41" r:id="rId90" display="http://mlb.mlb.com/team/player.jsp?player_id=571035"/>
    <hyperlink ref="U42" r:id="rId91" display="http://mlb.mlb.com/team/player.jsp?player_id=518927"/>
    <hyperlink ref="U43" r:id="rId92" display="http://mlb.mlb.com/team/player.jsp?player_id=456034"/>
    <hyperlink ref="U44" r:id="rId93" display="http://mlb.mlb.com/team/player.jsp?player_id=598264"/>
    <hyperlink ref="U45" r:id="rId94" display="http://mlb.mlb.com/team/player.jsp?player_id=547749"/>
    <hyperlink ref="U46" r:id="rId95" display="http://mlb.mlb.com/team/player.jsp?player_id=519141"/>
    <hyperlink ref="U47" r:id="rId96" display="http://mlb.mlb.com/team/player.jsp?player_id=593958"/>
    <hyperlink ref="U48" r:id="rId97" display="http://mlb.mlb.com/team/player.jsp?player_id=453329"/>
    <hyperlink ref="U49" r:id="rId98" display="http://mlb.mlb.com/team/player.jsp?player_id=523260"/>
    <hyperlink ref="U50" r:id="rId99" display="http://mlb.mlb.com/team/player.jsp?player_id=598287"/>
    <hyperlink ref="U51" r:id="rId100" display="http://mlb.mlb.com/team/player.jsp?player_id=472551"/>
    <hyperlink ref="U52" r:id="rId101" display="http://mlb.mlb.com/team/player.jsp?player_id=457711"/>
    <hyperlink ref="U53" r:id="rId102" display="http://mlb.mlb.com/team/player.jsp?player_id=596064"/>
    <hyperlink ref="U54" r:id="rId103" display="http://mlb.mlb.com/team/player.jsp?player_id=606273"/>
    <hyperlink ref="U55" r:id="rId104" display="http://mlb.mlb.com/team/player.jsp?player_id=572990"/>
    <hyperlink ref="B57" r:id="rId105" display="http://mlb.mlb.com/team/player.jsp?player_id=543900"/>
    <hyperlink ref="B58" r:id="rId106" display="http://mlb.mlb.com/team/player.jsp?player_id=543359"/>
    <hyperlink ref="B59" r:id="rId107" display="http://mlb.mlb.com/team/player.jsp?player_id=518858"/>
    <hyperlink ref="B60" r:id="rId108" display="http://mlb.mlb.com/team/player.jsp?player_id=474029"/>
    <hyperlink ref="B61" r:id="rId109" display="http://mlb.mlb.com/team/player.jsp?player_id=435043"/>
    <hyperlink ref="B62" r:id="rId110" display="http://mlb.mlb.com/team/player.jsp?player_id=592454"/>
    <hyperlink ref="B63" r:id="rId111" display="http://mlb.mlb.com/team/player.jsp?player_id=573589"/>
    <hyperlink ref="B64" r:id="rId112" display="http://mlb.mlb.com/team/player.jsp?player_id=500779"/>
    <hyperlink ref="B65" r:id="rId113" display="http://mlb.mlb.com/team/player.jsp?player_id=519242"/>
    <hyperlink ref="B66" r:id="rId114" display="http://mlb.mlb.com/team/player.jsp?player_id=502085"/>
    <hyperlink ref="B67" r:id="rId115" display="http://mlb.mlb.com/team/player.jsp?player_id=456068"/>
    <hyperlink ref="B68" r:id="rId116" display="http://mlb.mlb.com/team/player.jsp?player_id=607074"/>
    <hyperlink ref="B69" r:id="rId117" display="http://mlb.mlb.com/team/player.jsp?player_id=573668"/>
    <hyperlink ref="B70" r:id="rId118" display="http://mlb.mlb.com/team/player.jsp?player_id=502593"/>
    <hyperlink ref="B71" r:id="rId119" display="http://mlb.mlb.com/team/player.jsp?player_id=502009"/>
    <hyperlink ref="B72" r:id="rId120" display="http://mlb.mlb.com/team/player.jsp?player_id=545357"/>
    <hyperlink ref="B73" r:id="rId121" display="http://mlb.mlb.com/team/player.jsp?player_id=544930"/>
    <hyperlink ref="B74" r:id="rId122" display="http://mlb.mlb.com/team/player.jsp?player_id=458006"/>
    <hyperlink ref="B75" r:id="rId123" display="http://mlb.mlb.com/team/player.jsp?player_id=571476"/>
    <hyperlink ref="B76" r:id="rId124" display="http://mlb.mlb.com/team/player.jsp?player_id=545363"/>
    <hyperlink ref="B77" r:id="rId125" display="http://mlb.mlb.com/team/player.jsp?player_id=448306"/>
    <hyperlink ref="B78" r:id="rId126" display="http://mlb.mlb.com/team/player.jsp?player_id=605304"/>
    <hyperlink ref="B79" r:id="rId127" display="http://mlb.mlb.com/team/player.jsp?player_id=433579"/>
    <hyperlink ref="B80" r:id="rId128" display="http://mlb.mlb.com/team/player.jsp?player_id=519168"/>
    <hyperlink ref="B81" r:id="rId129" display="http://mlb.mlb.com/team/player.jsp?player_id=608334"/>
    <hyperlink ref="B82" r:id="rId130" display="http://mlb.mlb.com/team/player.jsp?player_id=543776"/>
    <hyperlink ref="B83" r:id="rId131" display="http://mlb.mlb.com/team/player.jsp?player_id=641501"/>
    <hyperlink ref="B84" r:id="rId132" display="http://mlb.mlb.com/team/player.jsp?player_id=453222"/>
    <hyperlink ref="U57" r:id="rId133" display="http://mlb.mlb.com/team/player.jsp?player_id=543900"/>
    <hyperlink ref="U58" r:id="rId134" display="http://mlb.mlb.com/team/player.jsp?player_id=543359"/>
    <hyperlink ref="U59" r:id="rId135" display="http://mlb.mlb.com/team/player.jsp?player_id=518858"/>
    <hyperlink ref="U60" r:id="rId136" display="http://mlb.mlb.com/team/player.jsp?player_id=474029"/>
    <hyperlink ref="U61" r:id="rId137" display="http://mlb.mlb.com/team/player.jsp?player_id=435043"/>
    <hyperlink ref="U62" r:id="rId138" display="http://mlb.mlb.com/team/player.jsp?player_id=592454"/>
    <hyperlink ref="U63" r:id="rId139" display="http://mlb.mlb.com/team/player.jsp?player_id=573589"/>
    <hyperlink ref="U64" r:id="rId140" display="http://mlb.mlb.com/team/player.jsp?player_id=500779"/>
    <hyperlink ref="U65" r:id="rId141" display="http://mlb.mlb.com/team/player.jsp?player_id=519242"/>
    <hyperlink ref="U66" r:id="rId142" display="http://mlb.mlb.com/team/player.jsp?player_id=502085"/>
    <hyperlink ref="U67" r:id="rId143" display="http://mlb.mlb.com/team/player.jsp?player_id=456068"/>
    <hyperlink ref="U68" r:id="rId144" display="http://mlb.mlb.com/team/player.jsp?player_id=607074"/>
    <hyperlink ref="U69" r:id="rId145" display="http://mlb.mlb.com/team/player.jsp?player_id=573668"/>
    <hyperlink ref="U70" r:id="rId146" display="http://mlb.mlb.com/team/player.jsp?player_id=502593"/>
    <hyperlink ref="U71" r:id="rId147" display="http://mlb.mlb.com/team/player.jsp?player_id=502009"/>
    <hyperlink ref="U72" r:id="rId148" display="http://mlb.mlb.com/team/player.jsp?player_id=545357"/>
    <hyperlink ref="U73" r:id="rId149" display="http://mlb.mlb.com/team/player.jsp?player_id=544930"/>
    <hyperlink ref="U74" r:id="rId150" display="http://mlb.mlb.com/team/player.jsp?player_id=458006"/>
    <hyperlink ref="U75" r:id="rId151" display="http://mlb.mlb.com/team/player.jsp?player_id=571476"/>
    <hyperlink ref="U76" r:id="rId152" display="http://mlb.mlb.com/team/player.jsp?player_id=545363"/>
    <hyperlink ref="U77" r:id="rId153" display="http://mlb.mlb.com/team/player.jsp?player_id=448306"/>
    <hyperlink ref="U78" r:id="rId154" display="http://mlb.mlb.com/team/player.jsp?player_id=605304"/>
    <hyperlink ref="U79" r:id="rId155" display="http://mlb.mlb.com/team/player.jsp?player_id=433579"/>
    <hyperlink ref="U80" r:id="rId156" display="http://mlb.mlb.com/team/player.jsp?player_id=519168"/>
    <hyperlink ref="U81" r:id="rId157" display="http://mlb.mlb.com/team/player.jsp?player_id=608334"/>
    <hyperlink ref="U82" r:id="rId158" display="http://mlb.mlb.com/team/player.jsp?player_id=543776"/>
    <hyperlink ref="U83" r:id="rId159" display="http://mlb.mlb.com/team/player.jsp?player_id=641501"/>
    <hyperlink ref="U84" r:id="rId160" display="http://mlb.mlb.com/team/player.jsp?player_id=453222"/>
    <hyperlink ref="B86" r:id="rId161" display="http://mlb.mlb.com/team/player.jsp?player_id=519096"/>
    <hyperlink ref="B87" r:id="rId162" display="http://mlb.mlb.com/team/player.jsp?player_id=453192"/>
    <hyperlink ref="B88" r:id="rId163" display="http://mlb.mlb.com/team/player.jsp?player_id=607320"/>
    <hyperlink ref="B89" r:id="rId164" display="http://mlb.mlb.com/team/player.jsp?player_id=501955"/>
    <hyperlink ref="B90" r:id="rId165" display="http://mlb.mlb.com/team/player.jsp?player_id=592102"/>
    <hyperlink ref="B91" r:id="rId166" display="http://mlb.mlb.com/team/player.jsp?player_id=542888"/>
    <hyperlink ref="B92" r:id="rId167" display="http://mlb.mlb.com/team/player.jsp?player_id=453249"/>
    <hyperlink ref="B93" r:id="rId168" display="http://mlb.mlb.com/team/player.jsp?player_id=446372"/>
    <hyperlink ref="B94" r:id="rId169" display="http://mlb.mlb.com/team/player.jsp?player_id=543766"/>
    <hyperlink ref="B95" r:id="rId170" display="http://mlb.mlb.com/team/player.jsp?player_id=471911"/>
    <hyperlink ref="B96" r:id="rId171" display="http://mlb.mlb.com/team/player.jsp?player_id=543334"/>
    <hyperlink ref="B97" r:id="rId172" display="http://mlb.mlb.com/team/player.jsp?player_id=502083"/>
    <hyperlink ref="B98" r:id="rId173" display="http://mlb.mlb.com/team/player.jsp?player_id=488984"/>
    <hyperlink ref="B99" r:id="rId174" display="http://mlb.mlb.com/team/player.jsp?player_id=517593"/>
    <hyperlink ref="B100" r:id="rId175" display="http://mlb.mlb.com/team/player.jsp?player_id=545333"/>
    <hyperlink ref="B101" r:id="rId176" display="http://mlb.mlb.com/team/player.jsp?player_id=458708"/>
    <hyperlink ref="B102" r:id="rId177" display="http://mlb.mlb.com/team/player.jsp?player_id=592330"/>
    <hyperlink ref="B103" r:id="rId178" display="http://mlb.mlb.com/team/player.jsp?player_id=641490"/>
    <hyperlink ref="B104" r:id="rId179" display="http://mlb.mlb.com/team/player.jsp?player_id=605182"/>
    <hyperlink ref="B105" r:id="rId180" display="http://mlb.mlb.com/team/player.jsp?player_id=446321"/>
    <hyperlink ref="B106" r:id="rId181" display="http://mlb.mlb.com/team/player.jsp?player_id=594736"/>
    <hyperlink ref="B107" r:id="rId182" display="http://mlb.mlb.com/team/player.jsp?player_id=571572"/>
    <hyperlink ref="B108" r:id="rId183" display="http://mlb.mlb.com/team/player.jsp?player_id=592644"/>
    <hyperlink ref="B109" r:id="rId184" display="http://mlb.mlb.com/team/player.jsp?player_id=542866"/>
    <hyperlink ref="B110" r:id="rId185" display="http://mlb.mlb.com/team/player.jsp?player_id=596049"/>
    <hyperlink ref="B111" r:id="rId186" display="http://mlb.mlb.com/team/player.jsp?player_id=460269"/>
    <hyperlink ref="B112" r:id="rId187" display="http://mlb.mlb.com/team/player.jsp?player_id=452733"/>
    <hyperlink ref="U86" r:id="rId188" display="http://mlb.mlb.com/team/player.jsp?player_id=519096"/>
    <hyperlink ref="U87" r:id="rId189" display="http://mlb.mlb.com/team/player.jsp?player_id=453192"/>
    <hyperlink ref="U88" r:id="rId190" display="http://mlb.mlb.com/team/player.jsp?player_id=607320"/>
    <hyperlink ref="U89" r:id="rId191" display="http://mlb.mlb.com/team/player.jsp?player_id=501955"/>
    <hyperlink ref="U90" r:id="rId192" display="http://mlb.mlb.com/team/player.jsp?player_id=592102"/>
    <hyperlink ref="U91" r:id="rId193" display="http://mlb.mlb.com/team/player.jsp?player_id=542888"/>
    <hyperlink ref="U92" r:id="rId194" display="http://mlb.mlb.com/team/player.jsp?player_id=453249"/>
    <hyperlink ref="U93" r:id="rId195" display="http://mlb.mlb.com/team/player.jsp?player_id=446372"/>
    <hyperlink ref="U94" r:id="rId196" display="http://mlb.mlb.com/team/player.jsp?player_id=543766"/>
    <hyperlink ref="U95" r:id="rId197" display="http://mlb.mlb.com/team/player.jsp?player_id=471911"/>
    <hyperlink ref="U96" r:id="rId198" display="http://mlb.mlb.com/team/player.jsp?player_id=543334"/>
    <hyperlink ref="U97" r:id="rId199" display="http://mlb.mlb.com/team/player.jsp?player_id=502083"/>
    <hyperlink ref="U98" r:id="rId200" display="http://mlb.mlb.com/team/player.jsp?player_id=488984"/>
    <hyperlink ref="U99" r:id="rId201" display="http://mlb.mlb.com/team/player.jsp?player_id=517593"/>
    <hyperlink ref="U100" r:id="rId202" display="http://mlb.mlb.com/team/player.jsp?player_id=545333"/>
    <hyperlink ref="U101" r:id="rId203" display="http://mlb.mlb.com/team/player.jsp?player_id=458708"/>
    <hyperlink ref="U102" r:id="rId204" display="http://mlb.mlb.com/team/player.jsp?player_id=592330"/>
    <hyperlink ref="U103" r:id="rId205" display="http://mlb.mlb.com/team/player.jsp?player_id=641490"/>
    <hyperlink ref="U104" r:id="rId206" display="http://mlb.mlb.com/team/player.jsp?player_id=605182"/>
    <hyperlink ref="U105" r:id="rId207" display="http://mlb.mlb.com/team/player.jsp?player_id=446321"/>
    <hyperlink ref="U106" r:id="rId208" display="http://mlb.mlb.com/team/player.jsp?player_id=594736"/>
    <hyperlink ref="U107" r:id="rId209" display="http://mlb.mlb.com/team/player.jsp?player_id=571572"/>
    <hyperlink ref="U108" r:id="rId210" display="http://mlb.mlb.com/team/player.jsp?player_id=592644"/>
    <hyperlink ref="U109" r:id="rId211" display="http://mlb.mlb.com/team/player.jsp?player_id=542866"/>
    <hyperlink ref="U110" r:id="rId212" display="http://mlb.mlb.com/team/player.jsp?player_id=596049"/>
    <hyperlink ref="U111" r:id="rId213" display="http://mlb.mlb.com/team/player.jsp?player_id=460269"/>
    <hyperlink ref="U112" r:id="rId214" display="http://mlb.mlb.com/team/player.jsp?player_id=452733"/>
    <hyperlink ref="B114" r:id="rId215" display="http://mlb.mlb.com/team/player.jsp?player_id=461865"/>
    <hyperlink ref="B115" r:id="rId216" display="http://mlb.mlb.com/team/player.jsp?player_id=434137"/>
    <hyperlink ref="B116" r:id="rId217" display="http://mlb.mlb.com/team/player.jsp?player_id=543935"/>
    <hyperlink ref="B117" r:id="rId218" display="http://mlb.mlb.com/team/player.jsp?player_id=541652"/>
    <hyperlink ref="B118" r:id="rId219" display="http://mlb.mlb.com/team/player.jsp?player_id=434378"/>
    <hyperlink ref="B119" r:id="rId220" display="http://mlb.mlb.com/team/player.jsp?player_id=605242"/>
    <hyperlink ref="B120" r:id="rId221" display="http://mlb.mlb.com/team/player.jsp?player_id=594986"/>
    <hyperlink ref="B121" r:id="rId222" display="http://mlb.mlb.com/team/player.jsp?player_id=408061"/>
    <hyperlink ref="B122" r:id="rId223" display="http://mlb.mlb.com/team/player.jsp?player_id=596057"/>
    <hyperlink ref="B123" r:id="rId224" display="http://mlb.mlb.com/team/player.jsp?player_id=543278"/>
    <hyperlink ref="B124" r:id="rId225" display="http://mlb.mlb.com/team/player.jsp?player_id=458677"/>
    <hyperlink ref="B125" r:id="rId226" display="http://mlb.mlb.com/team/player.jsp?player_id=451783"/>
    <hyperlink ref="B126" r:id="rId227" display="http://mlb.mlb.com/team/player.jsp?player_id=571510"/>
    <hyperlink ref="B127" r:id="rId228" display="http://mlb.mlb.com/team/player.jsp?player_id=571656"/>
    <hyperlink ref="B128" r:id="rId229" display="http://mlb.mlb.com/team/player.jsp?player_id=519455"/>
    <hyperlink ref="B129" r:id="rId230" display="http://mlb.mlb.com/team/player.jsp?player_id=460059"/>
    <hyperlink ref="B130" r:id="rId231" display="http://mlb.mlb.com/team/player.jsp?player_id=572888"/>
    <hyperlink ref="B131" r:id="rId232" display="http://mlb.mlb.com/team/player.jsp?player_id=434671"/>
    <hyperlink ref="B132" r:id="rId233" display="http://mlb.mlb.com/team/player.jsp?player_id=458730"/>
    <hyperlink ref="B133" r:id="rId234" display="http://mlb.mlb.com/team/player.jsp?player_id=572403"/>
    <hyperlink ref="B134" r:id="rId235" display="http://mlb.mlb.com/team/player.jsp?player_id=450275"/>
    <hyperlink ref="B135" r:id="rId236" display="http://mlb.mlb.com/team/player.jsp?player_id=599683"/>
    <hyperlink ref="B136" r:id="rId237" display="http://mlb.mlb.com/team/player.jsp?player_id=573009"/>
    <hyperlink ref="U114" r:id="rId238" display="http://mlb.mlb.com/team/player.jsp?player_id=461865"/>
    <hyperlink ref="U115" r:id="rId239" display="http://mlb.mlb.com/team/player.jsp?player_id=434137"/>
    <hyperlink ref="U116" r:id="rId240" display="http://mlb.mlb.com/team/player.jsp?player_id=543935"/>
    <hyperlink ref="U117" r:id="rId241" display="http://mlb.mlb.com/team/player.jsp?player_id=541652"/>
    <hyperlink ref="U118" r:id="rId242" display="http://mlb.mlb.com/team/player.jsp?player_id=434378"/>
    <hyperlink ref="U119" r:id="rId243" display="http://mlb.mlb.com/team/player.jsp?player_id=605242"/>
    <hyperlink ref="U120" r:id="rId244" display="http://mlb.mlb.com/team/player.jsp?player_id=594986"/>
    <hyperlink ref="U121" r:id="rId245" display="http://mlb.mlb.com/team/player.jsp?player_id=408061"/>
    <hyperlink ref="U122" r:id="rId246" display="http://mlb.mlb.com/team/player.jsp?player_id=596057"/>
    <hyperlink ref="U123" r:id="rId247" display="http://mlb.mlb.com/team/player.jsp?player_id=543278"/>
    <hyperlink ref="U124" r:id="rId248" display="http://mlb.mlb.com/team/player.jsp?player_id=458677"/>
    <hyperlink ref="U125" r:id="rId249" display="http://mlb.mlb.com/team/player.jsp?player_id=451783"/>
    <hyperlink ref="U126" r:id="rId250" display="http://mlb.mlb.com/team/player.jsp?player_id=571510"/>
    <hyperlink ref="U127" r:id="rId251" display="http://mlb.mlb.com/team/player.jsp?player_id=571656"/>
    <hyperlink ref="U128" r:id="rId252" display="http://mlb.mlb.com/team/player.jsp?player_id=519455"/>
    <hyperlink ref="U129" r:id="rId253" display="http://mlb.mlb.com/team/player.jsp?player_id=460059"/>
    <hyperlink ref="U130" r:id="rId254" display="http://mlb.mlb.com/team/player.jsp?player_id=572888"/>
    <hyperlink ref="U131" r:id="rId255" display="http://mlb.mlb.com/team/player.jsp?player_id=434671"/>
    <hyperlink ref="U132" r:id="rId256" display="http://mlb.mlb.com/team/player.jsp?player_id=458730"/>
    <hyperlink ref="U133" r:id="rId257" display="http://mlb.mlb.com/team/player.jsp?player_id=572403"/>
    <hyperlink ref="U134" r:id="rId258" display="http://mlb.mlb.com/team/player.jsp?player_id=450275"/>
    <hyperlink ref="U135" r:id="rId259" display="http://mlb.mlb.com/team/player.jsp?player_id=599683"/>
    <hyperlink ref="U136" r:id="rId260" display="http://mlb.mlb.com/team/player.jsp?player_id=573009"/>
    <hyperlink ref="B138" r:id="rId261" display="http://mlb.mlb.com/team/player.jsp?player_id=606965"/>
    <hyperlink ref="B139" r:id="rId262" display="http://mlb.mlb.com/team/player.jsp?player_id=501789"/>
    <hyperlink ref="B140" r:id="rId263" display="http://mlb.mlb.com/team/player.jsp?player_id=444857"/>
    <hyperlink ref="B141" r:id="rId264" display="http://mlb.mlb.com/team/player.jsp?player_id=450212"/>
    <hyperlink ref="B142" r:id="rId265" display="http://mlb.mlb.com/team/player.jsp?player_id=621121"/>
    <hyperlink ref="B143" r:id="rId266" display="http://mlb.mlb.com/team/player.jsp?player_id=502381"/>
    <hyperlink ref="B144" r:id="rId267" display="http://mlb.mlb.com/team/player.jsp?player_id=594311"/>
    <hyperlink ref="B145" r:id="rId268" display="http://mlb.mlb.com/team/player.jsp?player_id=502748"/>
    <hyperlink ref="B146" r:id="rId269" display="http://mlb.mlb.com/team/player.jsp?player_id=605397"/>
    <hyperlink ref="B147" r:id="rId270" display="http://mlb.mlb.com/team/player.jsp?player_id=571704"/>
    <hyperlink ref="B148" r:id="rId271" display="http://mlb.mlb.com/team/player.jsp?player_id=543521"/>
    <hyperlink ref="B149" r:id="rId272" display="http://mlb.mlb.com/team/player.jsp?player_id=593140"/>
    <hyperlink ref="B150" r:id="rId273" display="http://mlb.mlb.com/team/player.jsp?player_id=571666"/>
    <hyperlink ref="B151" r:id="rId274" display="http://mlb.mlb.com/team/player.jsp?player_id=624586"/>
    <hyperlink ref="B152" r:id="rId275" display="http://mlb.mlb.com/team/player.jsp?player_id=572971"/>
    <hyperlink ref="B153" r:id="rId276" display="http://mlb.mlb.com/team/player.jsp?player_id=450729"/>
    <hyperlink ref="B154" r:id="rId277" display="http://mlb.mlb.com/team/player.jsp?player_id=448609"/>
    <hyperlink ref="B155" r:id="rId278" display="http://mlb.mlb.com/team/player.jsp?player_id=600944"/>
    <hyperlink ref="B156" r:id="rId279" display="http://mlb.mlb.com/team/player.jsp?player_id=451661"/>
    <hyperlink ref="B157" r:id="rId280" display="http://mlb.mlb.com/team/player.jsp?player_id=502087"/>
    <hyperlink ref="B158" r:id="rId281" display="http://mlb.mlb.com/team/player.jsp?player_id=456124"/>
    <hyperlink ref="B159" r:id="rId282" display="http://mlb.mlb.com/team/player.jsp?player_id=643603"/>
    <hyperlink ref="B160" r:id="rId283" display="http://mlb.mlb.com/team/player.jsp?player_id=572086"/>
    <hyperlink ref="U138" r:id="rId284" display="http://mlb.mlb.com/team/player.jsp?player_id=606965"/>
    <hyperlink ref="U139" r:id="rId285" display="http://mlb.mlb.com/team/player.jsp?player_id=501789"/>
    <hyperlink ref="U140" r:id="rId286" display="http://mlb.mlb.com/team/player.jsp?player_id=444857"/>
    <hyperlink ref="U141" r:id="rId287" display="http://mlb.mlb.com/team/player.jsp?player_id=450212"/>
    <hyperlink ref="U142" r:id="rId288" display="http://mlb.mlb.com/team/player.jsp?player_id=621121"/>
    <hyperlink ref="U143" r:id="rId289" display="http://mlb.mlb.com/team/player.jsp?player_id=502381"/>
    <hyperlink ref="U144" r:id="rId290" display="http://mlb.mlb.com/team/player.jsp?player_id=594311"/>
    <hyperlink ref="U145" r:id="rId291" display="http://mlb.mlb.com/team/player.jsp?player_id=502748"/>
    <hyperlink ref="U146" r:id="rId292" display="http://mlb.mlb.com/team/player.jsp?player_id=605397"/>
    <hyperlink ref="U147" r:id="rId293" display="http://mlb.mlb.com/team/player.jsp?player_id=571704"/>
    <hyperlink ref="U148" r:id="rId294" display="http://mlb.mlb.com/team/player.jsp?player_id=543521"/>
    <hyperlink ref="U149" r:id="rId295" display="http://mlb.mlb.com/team/player.jsp?player_id=593140"/>
    <hyperlink ref="U150" r:id="rId296" display="http://mlb.mlb.com/team/player.jsp?player_id=571666"/>
    <hyperlink ref="U151" r:id="rId297" display="http://mlb.mlb.com/team/player.jsp?player_id=624586"/>
    <hyperlink ref="U152" r:id="rId298" display="http://mlb.mlb.com/team/player.jsp?player_id=572971"/>
    <hyperlink ref="U153" r:id="rId299" display="http://mlb.mlb.com/team/player.jsp?player_id=450729"/>
    <hyperlink ref="U154" r:id="rId300" display="http://mlb.mlb.com/team/player.jsp?player_id=448609"/>
    <hyperlink ref="U155" r:id="rId301" display="http://mlb.mlb.com/team/player.jsp?player_id=600944"/>
    <hyperlink ref="U156" r:id="rId302" display="http://mlb.mlb.com/team/player.jsp?player_id=451661"/>
    <hyperlink ref="U157" r:id="rId303" display="http://mlb.mlb.com/team/player.jsp?player_id=502087"/>
    <hyperlink ref="U158" r:id="rId304" display="http://mlb.mlb.com/team/player.jsp?player_id=456124"/>
    <hyperlink ref="U159" r:id="rId305" display="http://mlb.mlb.com/team/player.jsp?player_id=643603"/>
    <hyperlink ref="U160" r:id="rId306" display="http://mlb.mlb.com/team/player.jsp?player_id=572086"/>
    <hyperlink ref="B162" r:id="rId307" display="http://mlb.mlb.com/team/player.jsp?player_id=460077"/>
    <hyperlink ref="B163" r:id="rId308" display="http://mlb.mlb.com/team/player.jsp?player_id=621381"/>
    <hyperlink ref="B164" r:id="rId309" display="http://mlb.mlb.com/team/player.jsp?player_id=451584"/>
    <hyperlink ref="B165" r:id="rId310" display="http://mlb.mlb.com/team/player.jsp?player_id=450306"/>
    <hyperlink ref="B166" r:id="rId311" display="http://mlb.mlb.com/team/player.jsp?player_id=543169"/>
    <hyperlink ref="B167" r:id="rId312" display="http://mlb.mlb.com/team/player.jsp?player_id=516969"/>
    <hyperlink ref="B168" r:id="rId313" display="http://mlb.mlb.com/team/player.jsp?player_id=518397"/>
    <hyperlink ref="B169" r:id="rId314" display="http://mlb.mlb.com/team/player.jsp?player_id=493247"/>
    <hyperlink ref="B170" r:id="rId315" display="http://mlb.mlb.com/team/player.jsp?player_id=518633"/>
    <hyperlink ref="B171" r:id="rId316" display="http://mlb.mlb.com/team/player.jsp?player_id=453178"/>
    <hyperlink ref="B172" r:id="rId317" display="http://mlb.mlb.com/team/player.jsp?player_id=460024"/>
    <hyperlink ref="B173" r:id="rId318" display="http://mlb.mlb.com/team/player.jsp?player_id=465657"/>
    <hyperlink ref="B174" r:id="rId319" display="http://mlb.mlb.com/team/player.jsp?player_id=425426"/>
    <hyperlink ref="B175" r:id="rId320" display="http://mlb.mlb.com/team/player.jsp?player_id=570649"/>
    <hyperlink ref="B176" r:id="rId321" display="http://mlb.mlb.com/team/player.jsp?player_id=518716"/>
    <hyperlink ref="B177" r:id="rId322" display="http://mlb.mlb.com/team/player.jsp?player_id=450172"/>
    <hyperlink ref="B178" r:id="rId323" display="http://mlb.mlb.com/team/player.jsp?player_id=432934"/>
    <hyperlink ref="B179" r:id="rId324" display="http://mlb.mlb.com/team/player.jsp?player_id=641838"/>
    <hyperlink ref="B180" r:id="rId325" display="http://mlb.mlb.com/team/player.jsp?player_id=450665"/>
    <hyperlink ref="B181" r:id="rId326" display="http://mlb.mlb.com/team/player.jsp?player_id=572044"/>
    <hyperlink ref="B182" r:id="rId327" display="http://mlb.mlb.com/team/player.jsp?player_id=621219"/>
    <hyperlink ref="U162" r:id="rId328" display="http://mlb.mlb.com/team/player.jsp?player_id=460077"/>
    <hyperlink ref="U163" r:id="rId329" display="http://mlb.mlb.com/team/player.jsp?player_id=621381"/>
    <hyperlink ref="U164" r:id="rId330" display="http://mlb.mlb.com/team/player.jsp?player_id=451584"/>
    <hyperlink ref="U165" r:id="rId331" display="http://mlb.mlb.com/team/player.jsp?player_id=450306"/>
    <hyperlink ref="U166" r:id="rId332" display="http://mlb.mlb.com/team/player.jsp?player_id=543169"/>
    <hyperlink ref="U167" r:id="rId333" display="http://mlb.mlb.com/team/player.jsp?player_id=516969"/>
    <hyperlink ref="U168" r:id="rId334" display="http://mlb.mlb.com/team/player.jsp?player_id=518397"/>
    <hyperlink ref="U169" r:id="rId335" display="http://mlb.mlb.com/team/player.jsp?player_id=493247"/>
    <hyperlink ref="U170" r:id="rId336" display="http://mlb.mlb.com/team/player.jsp?player_id=518633"/>
    <hyperlink ref="U171" r:id="rId337" display="http://mlb.mlb.com/team/player.jsp?player_id=453178"/>
    <hyperlink ref="U172" r:id="rId338" display="http://mlb.mlb.com/team/player.jsp?player_id=460024"/>
    <hyperlink ref="U173" r:id="rId339" display="http://mlb.mlb.com/team/player.jsp?player_id=465657"/>
    <hyperlink ref="U174" r:id="rId340" display="http://mlb.mlb.com/team/player.jsp?player_id=425426"/>
    <hyperlink ref="U175" r:id="rId341" display="http://mlb.mlb.com/team/player.jsp?player_id=570649"/>
    <hyperlink ref="U176" r:id="rId342" display="http://mlb.mlb.com/team/player.jsp?player_id=518716"/>
    <hyperlink ref="U177" r:id="rId343" display="http://mlb.mlb.com/team/player.jsp?player_id=450172"/>
    <hyperlink ref="U178" r:id="rId344" display="http://mlb.mlb.com/team/player.jsp?player_id=432934"/>
    <hyperlink ref="U179" r:id="rId345" display="http://mlb.mlb.com/team/player.jsp?player_id=641838"/>
    <hyperlink ref="U180" r:id="rId346" display="http://mlb.mlb.com/team/player.jsp?player_id=450665"/>
    <hyperlink ref="U181" r:id="rId347" display="http://mlb.mlb.com/team/player.jsp?player_id=572044"/>
    <hyperlink ref="U182" r:id="rId348" display="http://mlb.mlb.com/team/player.jsp?player_id=621219"/>
    <hyperlink ref="B184" r:id="rId349" display="http://mlb.mlb.com/team/player.jsp?player_id=643297"/>
    <hyperlink ref="B185" r:id="rId350" display="http://mlb.mlb.com/team/player.jsp?player_id=592135"/>
    <hyperlink ref="B186" r:id="rId351" display="http://mlb.mlb.com/team/player.jsp?player_id=572070"/>
    <hyperlink ref="B187" r:id="rId352" display="http://mlb.mlb.com/team/player.jsp?player_id=457732"/>
    <hyperlink ref="B188" r:id="rId353" display="http://mlb.mlb.com/team/player.jsp?player_id=500724"/>
    <hyperlink ref="B189" r:id="rId354" display="http://mlb.mlb.com/team/player.jsp?player_id=592091"/>
    <hyperlink ref="B190" r:id="rId355" display="http://mlb.mlb.com/team/player.jsp?player_id=445060"/>
    <hyperlink ref="B191" r:id="rId356" display="http://mlb.mlb.com/team/player.jsp?player_id=500610"/>
    <hyperlink ref="B192" r:id="rId357" display="http://mlb.mlb.com/team/player.jsp?player_id=501625"/>
    <hyperlink ref="B193" r:id="rId358" display="http://mlb.mlb.com/team/player.jsp?player_id=607374"/>
    <hyperlink ref="B194" r:id="rId359" display="http://mlb.mlb.com/team/player.jsp?player_id=501925"/>
    <hyperlink ref="B195" r:id="rId360" display="http://mlb.mlb.com/team/player.jsp?player_id=533167"/>
    <hyperlink ref="B196" r:id="rId361" display="http://mlb.mlb.com/team/player.jsp?player_id=572140"/>
    <hyperlink ref="B197" r:id="rId362" display="http://mlb.mlb.com/team/player.jsp?player_id=572308"/>
    <hyperlink ref="B198" r:id="rId363" display="http://mlb.mlb.com/team/player.jsp?player_id=502327"/>
    <hyperlink ref="B199" r:id="rId364" display="http://mlb.mlb.com/team/player.jsp?player_id=573046"/>
    <hyperlink ref="B200" r:id="rId365" display="http://mlb.mlb.com/team/player.jsp?player_id=477569"/>
    <hyperlink ref="B201" r:id="rId366" display="http://mlb.mlb.com/team/player.jsp?player_id=456379"/>
    <hyperlink ref="B202" r:id="rId367" display="http://mlb.mlb.com/team/player.jsp?player_id=543542"/>
    <hyperlink ref="B203" r:id="rId368" display="http://mlb.mlb.com/team/player.jsp?player_id=468504"/>
    <hyperlink ref="B204" r:id="rId369" display="http://mlb.mlb.com/team/player.jsp?player_id=450308"/>
    <hyperlink ref="B205" r:id="rId370" display="http://mlb.mlb.com/team/player.jsp?player_id=657670"/>
    <hyperlink ref="B206" r:id="rId371" display="http://mlb.mlb.com/team/player.jsp?player_id=642229"/>
    <hyperlink ref="B207" r:id="rId372" display="http://mlb.mlb.com/team/player.jsp?player_id=457915"/>
    <hyperlink ref="B208" r:id="rId373" display="http://mlb.mlb.com/team/player.jsp?player_id=474284"/>
    <hyperlink ref="B209" r:id="rId374" display="http://mlb.mlb.com/team/player.jsp?player_id=571760"/>
    <hyperlink ref="B210" r:id="rId375" display="http://mlb.mlb.com/team/player.jsp?player_id=434718"/>
    <hyperlink ref="B211" r:id="rId376" display="http://mlb.mlb.com/team/player.jsp?player_id=519085"/>
    <hyperlink ref="B212" r:id="rId377" display="http://mlb.mlb.com/team/player.jsp?player_id=453311"/>
    <hyperlink ref="B213" r:id="rId378" display="http://mlb.mlb.com/team/player.jsp?player_id=453307"/>
    <hyperlink ref="U184" r:id="rId379" display="http://mlb.mlb.com/team/player.jsp?player_id=643297"/>
    <hyperlink ref="U185" r:id="rId380" display="http://mlb.mlb.com/team/player.jsp?player_id=592135"/>
    <hyperlink ref="U186" r:id="rId381" display="http://mlb.mlb.com/team/player.jsp?player_id=572070"/>
    <hyperlink ref="U187" r:id="rId382" display="http://mlb.mlb.com/team/player.jsp?player_id=457732"/>
    <hyperlink ref="U188" r:id="rId383" display="http://mlb.mlb.com/team/player.jsp?player_id=500724"/>
    <hyperlink ref="U189" r:id="rId384" display="http://mlb.mlb.com/team/player.jsp?player_id=592091"/>
    <hyperlink ref="U190" r:id="rId385" display="http://mlb.mlb.com/team/player.jsp?player_id=445060"/>
    <hyperlink ref="U191" r:id="rId386" display="http://mlb.mlb.com/team/player.jsp?player_id=500610"/>
    <hyperlink ref="U192" r:id="rId387" display="http://mlb.mlb.com/team/player.jsp?player_id=501625"/>
    <hyperlink ref="U193" r:id="rId388" display="http://mlb.mlb.com/team/player.jsp?player_id=607374"/>
    <hyperlink ref="U194" r:id="rId389" display="http://mlb.mlb.com/team/player.jsp?player_id=501925"/>
    <hyperlink ref="U195" r:id="rId390" display="http://mlb.mlb.com/team/player.jsp?player_id=533167"/>
    <hyperlink ref="U196" r:id="rId391" display="http://mlb.mlb.com/team/player.jsp?player_id=572140"/>
    <hyperlink ref="U197" r:id="rId392" display="http://mlb.mlb.com/team/player.jsp?player_id=572308"/>
    <hyperlink ref="U198" r:id="rId393" display="http://mlb.mlb.com/team/player.jsp?player_id=502327"/>
    <hyperlink ref="U199" r:id="rId394" display="http://mlb.mlb.com/team/player.jsp?player_id=573046"/>
    <hyperlink ref="U200" r:id="rId395" display="http://mlb.mlb.com/team/player.jsp?player_id=477569"/>
    <hyperlink ref="U201" r:id="rId396" display="http://mlb.mlb.com/team/player.jsp?player_id=456379"/>
    <hyperlink ref="U202" r:id="rId397" display="http://mlb.mlb.com/team/player.jsp?player_id=543542"/>
    <hyperlink ref="U203" r:id="rId398" display="http://mlb.mlb.com/team/player.jsp?player_id=468504"/>
    <hyperlink ref="U204" r:id="rId399" display="http://mlb.mlb.com/team/player.jsp?player_id=450308"/>
    <hyperlink ref="U205" r:id="rId400" display="http://mlb.mlb.com/team/player.jsp?player_id=657670"/>
    <hyperlink ref="U206" r:id="rId401" display="http://mlb.mlb.com/team/player.jsp?player_id=642229"/>
    <hyperlink ref="U207" r:id="rId402" display="http://mlb.mlb.com/team/player.jsp?player_id=457915"/>
    <hyperlink ref="U208" r:id="rId403" display="http://mlb.mlb.com/team/player.jsp?player_id=474284"/>
    <hyperlink ref="U209" r:id="rId404" display="http://mlb.mlb.com/team/player.jsp?player_id=571760"/>
    <hyperlink ref="U210" r:id="rId405" display="http://mlb.mlb.com/team/player.jsp?player_id=434718"/>
    <hyperlink ref="U211" r:id="rId406" display="http://mlb.mlb.com/team/player.jsp?player_id=519085"/>
    <hyperlink ref="U212" r:id="rId407" display="http://mlb.mlb.com/team/player.jsp?player_id=453311"/>
    <hyperlink ref="U213" r:id="rId408" display="http://mlb.mlb.com/team/player.jsp?player_id=453307"/>
    <hyperlink ref="B215" r:id="rId409" display="http://mlb.mlb.com/team/player.jsp?player_id=500871"/>
    <hyperlink ref="B216" r:id="rId410" display="http://mlb.mlb.com/team/player.jsp?player_id=472551"/>
    <hyperlink ref="B217" r:id="rId411" display="http://mlb.mlb.com/team/player.jsp?player_id=445213"/>
    <hyperlink ref="B218" r:id="rId412" display="http://mlb.mlb.com/team/player.jsp?player_id=429722"/>
    <hyperlink ref="B219" r:id="rId413" display="http://mlb.mlb.com/team/player.jsp?player_id=519151"/>
    <hyperlink ref="B220" r:id="rId414" display="http://mlb.mlb.com/team/player.jsp?player_id=594951"/>
    <hyperlink ref="B221" r:id="rId415" display="http://mlb.mlb.com/team/player.jsp?player_id=573124"/>
    <hyperlink ref="B222" r:id="rId416" display="http://mlb.mlb.com/team/player.jsp?player_id=592872"/>
    <hyperlink ref="B223" r:id="rId417" display="http://mlb.mlb.com/team/player.jsp?player_id=542953"/>
    <hyperlink ref="B224" r:id="rId418" display="http://mlb.mlb.com/team/player.jsp?player_id=608638"/>
    <hyperlink ref="B225" r:id="rId419" display="http://mlb.mlb.com/team/player.jsp?player_id=543859"/>
    <hyperlink ref="B226" r:id="rId420" display="http://mlb.mlb.com/team/player.jsp?player_id=502043"/>
    <hyperlink ref="B227" r:id="rId421" display="http://mlb.mlb.com/team/player.jsp?player_id=445060"/>
    <hyperlink ref="B228" r:id="rId422" display="http://mlb.mlb.com/team/player.jsp?player_id=543507"/>
    <hyperlink ref="B229" r:id="rId423" display="http://mlb.mlb.com/team/player.jsp?player_id=502327"/>
    <hyperlink ref="B230" r:id="rId424" display="http://mlb.mlb.com/team/player.jsp?player_id=543548"/>
    <hyperlink ref="B231" r:id="rId425" display="http://mlb.mlb.com/team/player.jsp?player_id=452027"/>
    <hyperlink ref="B232" r:id="rId426" display="http://mlb.mlb.com/team/player.jsp?player_id=461833"/>
    <hyperlink ref="B233" r:id="rId427" display="http://mlb.mlb.com/team/player.jsp?player_id=519166"/>
    <hyperlink ref="B234" r:id="rId428" display="http://mlb.mlb.com/team/player.jsp?player_id=448178"/>
    <hyperlink ref="B235" r:id="rId429" display="http://mlb.mlb.com/team/player.jsp?player_id=534737"/>
    <hyperlink ref="B236" r:id="rId430" display="http://mlb.mlb.com/team/player.jsp?player_id=608648"/>
    <hyperlink ref="B237" r:id="rId431" display="http://mlb.mlb.com/team/player.jsp?player_id=606167"/>
    <hyperlink ref="B238" r:id="rId432" display="http://mlb.mlb.com/team/player.jsp?player_id=502272"/>
    <hyperlink ref="B239" r:id="rId433" display="http://mlb.mlb.com/team/player.jsp?player_id=621244"/>
    <hyperlink ref="B240" r:id="rId434" display="http://mlb.mlb.com/team/player.jsp?player_id=572990"/>
    <hyperlink ref="B241" r:id="rId435" display="http://mlb.mlb.com/team/player.jsp?player_id=450282"/>
    <hyperlink ref="B242" r:id="rId436" display="http://mlb.mlb.com/team/player.jsp?player_id=543242"/>
    <hyperlink ref="B243" r:id="rId437" display="http://mlb.mlb.com/team/player.jsp?player_id=543542"/>
    <hyperlink ref="U215" r:id="rId438" display="http://mlb.mlb.com/team/player.jsp?player_id=500871"/>
    <hyperlink ref="U216" r:id="rId439" display="http://mlb.mlb.com/team/player.jsp?player_id=472551"/>
    <hyperlink ref="U217" r:id="rId440" display="http://mlb.mlb.com/team/player.jsp?player_id=445213"/>
    <hyperlink ref="U218" r:id="rId441" display="http://mlb.mlb.com/team/player.jsp?player_id=429722"/>
    <hyperlink ref="U219" r:id="rId442" display="http://mlb.mlb.com/team/player.jsp?player_id=519151"/>
    <hyperlink ref="U220" r:id="rId443" display="http://mlb.mlb.com/team/player.jsp?player_id=594951"/>
    <hyperlink ref="U221" r:id="rId444" display="http://mlb.mlb.com/team/player.jsp?player_id=573124"/>
    <hyperlink ref="U222" r:id="rId445" display="http://mlb.mlb.com/team/player.jsp?player_id=592872"/>
    <hyperlink ref="U223" r:id="rId446" display="http://mlb.mlb.com/team/player.jsp?player_id=542953"/>
    <hyperlink ref="U224" r:id="rId447" display="http://mlb.mlb.com/team/player.jsp?player_id=608638"/>
    <hyperlink ref="U225" r:id="rId448" display="http://mlb.mlb.com/team/player.jsp?player_id=543859"/>
    <hyperlink ref="U226" r:id="rId449" display="http://mlb.mlb.com/team/player.jsp?player_id=502043"/>
    <hyperlink ref="U227" r:id="rId450" display="http://mlb.mlb.com/team/player.jsp?player_id=445060"/>
    <hyperlink ref="U228" r:id="rId451" display="http://mlb.mlb.com/team/player.jsp?player_id=543507"/>
    <hyperlink ref="U229" r:id="rId452" display="http://mlb.mlb.com/team/player.jsp?player_id=502327"/>
    <hyperlink ref="U230" r:id="rId453" display="http://mlb.mlb.com/team/player.jsp?player_id=543548"/>
    <hyperlink ref="U231" r:id="rId454" display="http://mlb.mlb.com/team/player.jsp?player_id=452027"/>
    <hyperlink ref="U232" r:id="rId455" display="http://mlb.mlb.com/team/player.jsp?player_id=461833"/>
    <hyperlink ref="U233" r:id="rId456" display="http://mlb.mlb.com/team/player.jsp?player_id=519166"/>
    <hyperlink ref="U234" r:id="rId457" display="http://mlb.mlb.com/team/player.jsp?player_id=448178"/>
    <hyperlink ref="U235" r:id="rId458" display="http://mlb.mlb.com/team/player.jsp?player_id=534737"/>
    <hyperlink ref="U236" r:id="rId459" display="http://mlb.mlb.com/team/player.jsp?player_id=608648"/>
    <hyperlink ref="U237" r:id="rId460" display="http://mlb.mlb.com/team/player.jsp?player_id=606167"/>
    <hyperlink ref="U238" r:id="rId461" display="http://mlb.mlb.com/team/player.jsp?player_id=502272"/>
    <hyperlink ref="U239" r:id="rId462" display="http://mlb.mlb.com/team/player.jsp?player_id=621244"/>
    <hyperlink ref="U240" r:id="rId463" display="http://mlb.mlb.com/team/player.jsp?player_id=572990"/>
    <hyperlink ref="U241" r:id="rId464" display="http://mlb.mlb.com/team/player.jsp?player_id=450282"/>
    <hyperlink ref="U242" r:id="rId465" display="http://mlb.mlb.com/team/player.jsp?player_id=543242"/>
    <hyperlink ref="U243" r:id="rId466" display="http://mlb.mlb.com/team/player.jsp?player_id=543542"/>
    <hyperlink ref="B245" r:id="rId467" display="http://mlb.mlb.com/team/player.jsp?player_id=453192"/>
    <hyperlink ref="B246" r:id="rId468" display="http://mlb.mlb.com/team/player.jsp?player_id=542947"/>
    <hyperlink ref="B247" r:id="rId469" display="http://mlb.mlb.com/team/player.jsp?player_id=547973"/>
    <hyperlink ref="B248" r:id="rId470" display="http://mlb.mlb.com/team/player.jsp?player_id=461325"/>
    <hyperlink ref="B249" r:id="rId471" display="http://mlb.mlb.com/team/player.jsp?player_id=571969"/>
    <hyperlink ref="B250" r:id="rId472" display="http://mlb.mlb.com/team/player.jsp?player_id=547888"/>
    <hyperlink ref="B251" r:id="rId473" display="http://mlb.mlb.com/team/player.jsp?player_id=476454"/>
    <hyperlink ref="B252" r:id="rId474" display="http://mlb.mlb.com/team/player.jsp?player_id=571951"/>
    <hyperlink ref="B253" r:id="rId475" display="http://mlb.mlb.com/team/player.jsp?player_id=476589"/>
    <hyperlink ref="B254" r:id="rId476" display="http://mlb.mlb.com/team/player.jsp?player_id=518927"/>
    <hyperlink ref="B255" r:id="rId477" display="http://mlb.mlb.com/team/player.jsp?player_id=282332"/>
    <hyperlink ref="B256" r:id="rId478" display="http://mlb.mlb.com/team/player.jsp?player_id=570666"/>
    <hyperlink ref="B257" r:id="rId479" display="http://mlb.mlb.com/team/player.jsp?player_id=580792"/>
    <hyperlink ref="B258" r:id="rId480" display="http://mlb.mlb.com/team/player.jsp?player_id=643338"/>
    <hyperlink ref="B259" r:id="rId481" display="http://mlb.mlb.com/team/player.jsp?player_id=543135"/>
    <hyperlink ref="B260" r:id="rId482" display="http://mlb.mlb.com/team/player.jsp?player_id=501381"/>
    <hyperlink ref="B261" r:id="rId483" display="http://mlb.mlb.com/team/player.jsp?player_id=467100"/>
    <hyperlink ref="B262" r:id="rId484" display="http://mlb.mlb.com/team/player.jsp?player_id=453284"/>
    <hyperlink ref="B263" r:id="rId485" display="http://mlb.mlb.com/team/player.jsp?player_id=592741"/>
    <hyperlink ref="B264" r:id="rId486" display="http://mlb.mlb.com/team/player.jsp?player_id=489446"/>
    <hyperlink ref="B265" r:id="rId487" display="http://mlb.mlb.com/team/player.jsp?player_id=656547"/>
    <hyperlink ref="B266" r:id="rId488" display="http://mlb.mlb.com/team/player.jsp?player_id=461872"/>
    <hyperlink ref="B267" r:id="rId489" display="http://mlb.mlb.com/team/player.jsp?player_id=622663"/>
    <hyperlink ref="B268" r:id="rId490" display="http://mlb.mlb.com/team/player.jsp?player_id=457435"/>
    <hyperlink ref="B269" r:id="rId491" display="http://mlb.mlb.com/team/player.jsp?player_id=621294"/>
    <hyperlink ref="B270" r:id="rId492" display="http://mlb.mlb.com/team/player.jsp?player_id=621397"/>
    <hyperlink ref="B271" r:id="rId493" display="http://mlb.mlb.com/team/player.jsp?player_id=592127"/>
    <hyperlink ref="B272" r:id="rId494" display="http://mlb.mlb.com/team/player.jsp?player_id=572021"/>
    <hyperlink ref="B273" r:id="rId495" display="http://mlb.mlb.com/team/player.jsp?player_id=572038"/>
    <hyperlink ref="U245" r:id="rId496" display="http://mlb.mlb.com/team/player.jsp?player_id=453192"/>
    <hyperlink ref="U246" r:id="rId497" display="http://mlb.mlb.com/team/player.jsp?player_id=542947"/>
    <hyperlink ref="U247" r:id="rId498" display="http://mlb.mlb.com/team/player.jsp?player_id=547973"/>
    <hyperlink ref="U248" r:id="rId499" display="http://mlb.mlb.com/team/player.jsp?player_id=461325"/>
    <hyperlink ref="U249" r:id="rId500" display="http://mlb.mlb.com/team/player.jsp?player_id=571969"/>
    <hyperlink ref="U250" r:id="rId501" display="http://mlb.mlb.com/team/player.jsp?player_id=547888"/>
    <hyperlink ref="U251" r:id="rId502" display="http://mlb.mlb.com/team/player.jsp?player_id=476454"/>
    <hyperlink ref="U252" r:id="rId503" display="http://mlb.mlb.com/team/player.jsp?player_id=571951"/>
    <hyperlink ref="U253" r:id="rId504" display="http://mlb.mlb.com/team/player.jsp?player_id=476589"/>
    <hyperlink ref="U254" r:id="rId505" display="http://mlb.mlb.com/team/player.jsp?player_id=518927"/>
    <hyperlink ref="U255" r:id="rId506" display="http://mlb.mlb.com/team/player.jsp?player_id=282332"/>
    <hyperlink ref="U256" r:id="rId507" display="http://mlb.mlb.com/team/player.jsp?player_id=570666"/>
    <hyperlink ref="U257" r:id="rId508" display="http://mlb.mlb.com/team/player.jsp?player_id=580792"/>
    <hyperlink ref="U258" r:id="rId509" display="http://mlb.mlb.com/team/player.jsp?player_id=643338"/>
    <hyperlink ref="U259" r:id="rId510" display="http://mlb.mlb.com/team/player.jsp?player_id=543135"/>
    <hyperlink ref="U260" r:id="rId511" display="http://mlb.mlb.com/team/player.jsp?player_id=501381"/>
    <hyperlink ref="U261" r:id="rId512" display="http://mlb.mlb.com/team/player.jsp?player_id=467100"/>
    <hyperlink ref="U262" r:id="rId513" display="http://mlb.mlb.com/team/player.jsp?player_id=453284"/>
    <hyperlink ref="U263" r:id="rId514" display="http://mlb.mlb.com/team/player.jsp?player_id=592741"/>
    <hyperlink ref="U264" r:id="rId515" display="http://mlb.mlb.com/team/player.jsp?player_id=489446"/>
    <hyperlink ref="U265" r:id="rId516" display="http://mlb.mlb.com/team/player.jsp?player_id=656547"/>
    <hyperlink ref="U266" r:id="rId517" display="http://mlb.mlb.com/team/player.jsp?player_id=461872"/>
    <hyperlink ref="U267" r:id="rId518" display="http://mlb.mlb.com/team/player.jsp?player_id=622663"/>
    <hyperlink ref="U268" r:id="rId519" display="http://mlb.mlb.com/team/player.jsp?player_id=457435"/>
    <hyperlink ref="U269" r:id="rId520" display="http://mlb.mlb.com/team/player.jsp?player_id=621294"/>
    <hyperlink ref="U270" r:id="rId521" display="http://mlb.mlb.com/team/player.jsp?player_id=621397"/>
    <hyperlink ref="U271" r:id="rId522" display="http://mlb.mlb.com/team/player.jsp?player_id=592127"/>
    <hyperlink ref="U272" r:id="rId523" display="http://mlb.mlb.com/team/player.jsp?player_id=572021"/>
    <hyperlink ref="U273" r:id="rId524" display="http://mlb.mlb.com/team/player.jsp?player_id=572038"/>
    <hyperlink ref="B275" r:id="rId525" display="http://mlb.mlb.com/team/player.jsp?player_id=502285"/>
    <hyperlink ref="B276" r:id="rId526" display="http://mlb.mlb.com/team/player.jsp?player_id=572033"/>
    <hyperlink ref="B277" r:id="rId527" display="http://mlb.mlb.com/team/player.jsp?player_id=605194"/>
    <hyperlink ref="B278" r:id="rId528" display="http://mlb.mlb.com/team/player.jsp?player_id=448179"/>
    <hyperlink ref="B279" r:id="rId529" display="http://mlb.mlb.com/team/player.jsp?player_id=623430"/>
    <hyperlink ref="B280" r:id="rId530" display="http://mlb.mlb.com/team/player.jsp?player_id=434672"/>
    <hyperlink ref="B281" r:id="rId531" display="http://mlb.mlb.com/team/player.jsp?player_id=519240"/>
    <hyperlink ref="B282" r:id="rId532" display="http://mlb.mlb.com/team/player.jsp?player_id=448281"/>
    <hyperlink ref="B283" r:id="rId533" display="http://mlb.mlb.com/team/player.jsp?player_id=425492"/>
    <hyperlink ref="B284" r:id="rId534" display="http://mlb.mlb.com/team/player.jsp?player_id=521230"/>
    <hyperlink ref="B285" r:id="rId535" display="http://mlb.mlb.com/team/player.jsp?player_id=640455"/>
    <hyperlink ref="B286" r:id="rId536" display="http://mlb.mlb.com/team/player.jsp?player_id=446099"/>
    <hyperlink ref="B287" r:id="rId537" display="http://mlb.mlb.com/team/player.jsp?player_id=608665"/>
    <hyperlink ref="B288" r:id="rId538" display="http://mlb.mlb.com/team/player.jsp?player_id=451775"/>
    <hyperlink ref="B289" r:id="rId539" display="http://mlb.mlb.com/team/player.jsp?player_id=594943"/>
    <hyperlink ref="B290" r:id="rId540" display="http://mlb.mlb.com/team/player.jsp?player_id=592811"/>
    <hyperlink ref="B291" r:id="rId541" display="http://mlb.mlb.com/team/player.jsp?player_id=543056"/>
    <hyperlink ref="B292" r:id="rId542" display="http://mlb.mlb.com/team/player.jsp?player_id=543243"/>
    <hyperlink ref="B293" r:id="rId543" display="http://mlb.mlb.com/team/player.jsp?player_id=534910"/>
    <hyperlink ref="B294" r:id="rId544" display="http://mlb.mlb.com/team/player.jsp?player_id=605135"/>
    <hyperlink ref="B295" r:id="rId545" display="http://mlb.mlb.com/team/player.jsp?player_id=446321"/>
    <hyperlink ref="B296" r:id="rId546" display="http://mlb.mlb.com/team/player.jsp?player_id=596043"/>
    <hyperlink ref="B297" r:id="rId547" display="http://mlb.mlb.com/team/player.jsp?player_id=474668"/>
    <hyperlink ref="B298" r:id="rId548" display="http://mlb.mlb.com/team/player.jsp?player_id=593417"/>
    <hyperlink ref="B299" r:id="rId549" display="http://mlb.mlb.com/team/player.jsp?player_id=605525"/>
    <hyperlink ref="B300" r:id="rId550" display="http://mlb.mlb.com/team/player.jsp?player_id=572119"/>
    <hyperlink ref="B301" r:id="rId551" display="http://mlb.mlb.com/team/player.jsp?player_id=592614"/>
    <hyperlink ref="U275" r:id="rId552" display="http://mlb.mlb.com/team/player.jsp?player_id=502285"/>
    <hyperlink ref="U276" r:id="rId553" display="http://mlb.mlb.com/team/player.jsp?player_id=572033"/>
    <hyperlink ref="U277" r:id="rId554" display="http://mlb.mlb.com/team/player.jsp?player_id=605194"/>
    <hyperlink ref="U278" r:id="rId555" display="http://mlb.mlb.com/team/player.jsp?player_id=448179"/>
    <hyperlink ref="U279" r:id="rId556" display="http://mlb.mlb.com/team/player.jsp?player_id=623430"/>
    <hyperlink ref="U280" r:id="rId557" display="http://mlb.mlb.com/team/player.jsp?player_id=434672"/>
    <hyperlink ref="U281" r:id="rId558" display="http://mlb.mlb.com/team/player.jsp?player_id=519240"/>
    <hyperlink ref="U282" r:id="rId559" display="http://mlb.mlb.com/team/player.jsp?player_id=448281"/>
    <hyperlink ref="U283" r:id="rId560" display="http://mlb.mlb.com/team/player.jsp?player_id=425492"/>
    <hyperlink ref="U284" r:id="rId561" display="http://mlb.mlb.com/team/player.jsp?player_id=521230"/>
    <hyperlink ref="U285" r:id="rId562" display="http://mlb.mlb.com/team/player.jsp?player_id=640455"/>
    <hyperlink ref="U286" r:id="rId563" display="http://mlb.mlb.com/team/player.jsp?player_id=446099"/>
    <hyperlink ref="U287" r:id="rId564" display="http://mlb.mlb.com/team/player.jsp?player_id=608665"/>
    <hyperlink ref="U288" r:id="rId565" display="http://mlb.mlb.com/team/player.jsp?player_id=451775"/>
    <hyperlink ref="U289" r:id="rId566" display="http://mlb.mlb.com/team/player.jsp?player_id=594943"/>
    <hyperlink ref="U290" r:id="rId567" display="http://mlb.mlb.com/team/player.jsp?player_id=592811"/>
    <hyperlink ref="U291" r:id="rId568" display="http://mlb.mlb.com/team/player.jsp?player_id=543056"/>
    <hyperlink ref="U292" r:id="rId569" display="http://mlb.mlb.com/team/player.jsp?player_id=543243"/>
    <hyperlink ref="U293" r:id="rId570" display="http://mlb.mlb.com/team/player.jsp?player_id=534910"/>
    <hyperlink ref="U294" r:id="rId571" display="http://mlb.mlb.com/team/player.jsp?player_id=605135"/>
    <hyperlink ref="U295" r:id="rId572" display="http://mlb.mlb.com/team/player.jsp?player_id=446321"/>
    <hyperlink ref="U296" r:id="rId573" display="http://mlb.mlb.com/team/player.jsp?player_id=596043"/>
    <hyperlink ref="U297" r:id="rId574" display="http://mlb.mlb.com/team/player.jsp?player_id=474668"/>
    <hyperlink ref="U298" r:id="rId575" display="http://mlb.mlb.com/team/player.jsp?player_id=593417"/>
    <hyperlink ref="U299" r:id="rId576" display="http://mlb.mlb.com/team/player.jsp?player_id=605525"/>
    <hyperlink ref="U300" r:id="rId577" display="http://mlb.mlb.com/team/player.jsp?player_id=572119"/>
    <hyperlink ref="U301" r:id="rId578" display="http://mlb.mlb.com/team/player.jsp?player_id=592614"/>
    <hyperlink ref="B303" r:id="rId579" display="http://mlb.mlb.com/team/player.jsp?player_id=608167"/>
    <hyperlink ref="B304" r:id="rId580" display="http://mlb.mlb.com/team/player.jsp?player_id=453284"/>
    <hyperlink ref="B305" r:id="rId581" display="http://mlb.mlb.com/team/player.jsp?player_id=596143"/>
    <hyperlink ref="B306" r:id="rId582" display="http://mlb.mlb.com/team/player.jsp?player_id=519267"/>
    <hyperlink ref="B307" r:id="rId583" display="http://mlb.mlb.com/team/player.jsp?player_id=656186"/>
    <hyperlink ref="B308" r:id="rId584" display="http://mlb.mlb.com/team/player.jsp?player_id=543557"/>
    <hyperlink ref="B309" r:id="rId585" display="http://mlb.mlb.com/team/player.jsp?player_id=621242"/>
    <hyperlink ref="B310" r:id="rId586" display="http://mlb.mlb.com/team/player.jsp?player_id=518553"/>
    <hyperlink ref="B311" r:id="rId587" display="http://mlb.mlb.com/team/player.jsp?player_id=543964"/>
    <hyperlink ref="B312" r:id="rId588" display="http://mlb.mlb.com/team/player.jsp?player_id=519322"/>
    <hyperlink ref="B313" r:id="rId589" display="http://mlb.mlb.com/team/player.jsp?player_id=573064"/>
    <hyperlink ref="B314" r:id="rId590" display="http://mlb.mlb.com/team/player.jsp?player_id=664641"/>
    <hyperlink ref="B315" r:id="rId591" display="http://mlb.mlb.com/team/player.jsp?player_id=452666"/>
    <hyperlink ref="B316" r:id="rId592" display="http://mlb.mlb.com/team/player.jsp?player_id=491708"/>
    <hyperlink ref="B317" r:id="rId593" display="http://mlb.mlb.com/team/player.jsp?player_id=543883"/>
    <hyperlink ref="B318" r:id="rId594" display="http://mlb.mlb.com/team/player.jsp?player_id=572020"/>
    <hyperlink ref="B319" r:id="rId595" display="http://mlb.mlb.com/team/player.jsp?player_id=433587"/>
    <hyperlink ref="B320" r:id="rId596" display="http://mlb.mlb.com/team/player.jsp?player_id=592533"/>
    <hyperlink ref="B321" r:id="rId597" display="http://mlb.mlb.com/team/player.jsp?player_id=547874"/>
    <hyperlink ref="B322" r:id="rId598" display="http://mlb.mlb.com/team/player.jsp?player_id=592836"/>
    <hyperlink ref="B323" r:id="rId599" display="http://mlb.mlb.com/team/player.jsp?player_id=489002"/>
    <hyperlink ref="B324" r:id="rId600" display="http://mlb.mlb.com/team/player.jsp?player_id=453281"/>
    <hyperlink ref="B325" r:id="rId601" display="http://mlb.mlb.com/team/player.jsp?player_id=515052"/>
    <hyperlink ref="B326" r:id="rId602" display="http://mlb.mlb.com/team/player.jsp?player_id=489119"/>
    <hyperlink ref="B327" r:id="rId603" display="http://mlb.mlb.com/team/player.jsp?player_id=501992"/>
    <hyperlink ref="B328" r:id="rId604" display="http://mlb.mlb.com/team/player.jsp?player_id=276542"/>
    <hyperlink ref="B329" r:id="rId605" display="http://mlb.mlb.com/team/player.jsp?player_id=407908"/>
    <hyperlink ref="B330" r:id="rId606" display="http://mlb.mlb.com/team/player.jsp?player_id=519381"/>
    <hyperlink ref="B331" r:id="rId607" display="http://mlb.mlb.com/team/player.jsp?player_id=543716"/>
    <hyperlink ref="B332" r:id="rId608" display="http://mlb.mlb.com/team/player.jsp?player_id=592716"/>
    <hyperlink ref="B333" r:id="rId609" display="http://mlb.mlb.com/team/player.jsp?player_id=543698"/>
    <hyperlink ref="B334" r:id="rId610" display="http://mlb.mlb.com/team/player.jsp?player_id=543921"/>
    <hyperlink ref="U303" r:id="rId611" display="http://mlb.mlb.com/team/player.jsp?player_id=608167"/>
    <hyperlink ref="U304" r:id="rId612" display="http://mlb.mlb.com/team/player.jsp?player_id=453284"/>
    <hyperlink ref="U305" r:id="rId613" display="http://mlb.mlb.com/team/player.jsp?player_id=596143"/>
    <hyperlink ref="U306" r:id="rId614" display="http://mlb.mlb.com/team/player.jsp?player_id=519267"/>
    <hyperlink ref="U307" r:id="rId615" display="http://mlb.mlb.com/team/player.jsp?player_id=656186"/>
    <hyperlink ref="U308" r:id="rId616" display="http://mlb.mlb.com/team/player.jsp?player_id=543557"/>
    <hyperlink ref="U309" r:id="rId617" display="http://mlb.mlb.com/team/player.jsp?player_id=621242"/>
    <hyperlink ref="U310" r:id="rId618" display="http://mlb.mlb.com/team/player.jsp?player_id=518553"/>
    <hyperlink ref="U311" r:id="rId619" display="http://mlb.mlb.com/team/player.jsp?player_id=543964"/>
    <hyperlink ref="U312" r:id="rId620" display="http://mlb.mlb.com/team/player.jsp?player_id=519322"/>
    <hyperlink ref="U313" r:id="rId621" display="http://mlb.mlb.com/team/player.jsp?player_id=573064"/>
    <hyperlink ref="U314" r:id="rId622" display="http://mlb.mlb.com/team/player.jsp?player_id=664641"/>
    <hyperlink ref="U315" r:id="rId623" display="http://mlb.mlb.com/team/player.jsp?player_id=452666"/>
    <hyperlink ref="U316" r:id="rId624" display="http://mlb.mlb.com/team/player.jsp?player_id=491708"/>
    <hyperlink ref="U317" r:id="rId625" display="http://mlb.mlb.com/team/player.jsp?player_id=543883"/>
    <hyperlink ref="U318" r:id="rId626" display="http://mlb.mlb.com/team/player.jsp?player_id=572020"/>
    <hyperlink ref="U319" r:id="rId627" display="http://mlb.mlb.com/team/player.jsp?player_id=433587"/>
    <hyperlink ref="U320" r:id="rId628" display="http://mlb.mlb.com/team/player.jsp?player_id=592533"/>
    <hyperlink ref="U321" r:id="rId629" display="http://mlb.mlb.com/team/player.jsp?player_id=547874"/>
    <hyperlink ref="U322" r:id="rId630" display="http://mlb.mlb.com/team/player.jsp?player_id=592836"/>
    <hyperlink ref="U323" r:id="rId631" display="http://mlb.mlb.com/team/player.jsp?player_id=489002"/>
    <hyperlink ref="U324" r:id="rId632" display="http://mlb.mlb.com/team/player.jsp?player_id=453281"/>
    <hyperlink ref="U325" r:id="rId633" display="http://mlb.mlb.com/team/player.jsp?player_id=515052"/>
    <hyperlink ref="U326" r:id="rId634" display="http://mlb.mlb.com/team/player.jsp?player_id=489119"/>
    <hyperlink ref="U327" r:id="rId635" display="http://mlb.mlb.com/team/player.jsp?player_id=501992"/>
    <hyperlink ref="U328" r:id="rId636" display="http://mlb.mlb.com/team/player.jsp?player_id=276542"/>
    <hyperlink ref="U329" r:id="rId637" display="http://mlb.mlb.com/team/player.jsp?player_id=407908"/>
    <hyperlink ref="U330" r:id="rId638" display="http://mlb.mlb.com/team/player.jsp?player_id=519381"/>
    <hyperlink ref="U331" r:id="rId639" display="http://mlb.mlb.com/team/player.jsp?player_id=543716"/>
    <hyperlink ref="U332" r:id="rId640" display="http://mlb.mlb.com/team/player.jsp?player_id=592716"/>
    <hyperlink ref="U333" r:id="rId641" display="http://mlb.mlb.com/team/player.jsp?player_id=543698"/>
    <hyperlink ref="U334" r:id="rId642" display="http://mlb.mlb.com/team/player.jsp?player_id=543921"/>
    <hyperlink ref="B336" r:id="rId643" display="http://mlb.mlb.com/team/player.jsp?player_id=600301"/>
    <hyperlink ref="B337" r:id="rId644" display="http://mlb.mlb.com/team/player.jsp?player_id=476123"/>
    <hyperlink ref="B338" r:id="rId645" display="http://mlb.mlb.com/team/player.jsp?player_id=543195"/>
    <hyperlink ref="B339" r:id="rId646" display="http://mlb.mlb.com/team/player.jsp?player_id=517008"/>
    <hyperlink ref="B340" r:id="rId647" display="http://mlb.mlb.com/team/player.jsp?player_id=501697"/>
    <hyperlink ref="B341" r:id="rId648" display="http://mlb.mlb.com/team/player.jsp?player_id=595032"/>
    <hyperlink ref="B342" r:id="rId649" display="http://mlb.mlb.com/team/player.jsp?player_id=543144"/>
    <hyperlink ref="B343" r:id="rId650" display="http://mlb.mlb.com/team/player.jsp?player_id=605483"/>
    <hyperlink ref="B344" r:id="rId651" display="http://mlb.mlb.com/team/player.jsp?player_id=543606"/>
    <hyperlink ref="B345" r:id="rId652" display="http://mlb.mlb.com/team/player.jsp?player_id=458584"/>
    <hyperlink ref="B346" r:id="rId653" display="http://mlb.mlb.com/team/player.jsp?player_id=541640"/>
    <hyperlink ref="B347" r:id="rId654" display="http://mlb.mlb.com/team/player.jsp?player_id=573188"/>
    <hyperlink ref="B348" r:id="rId655" display="http://mlb.mlb.com/team/player.jsp?player_id=502042"/>
    <hyperlink ref="B349" r:id="rId656" display="http://mlb.mlb.com/team/player.jsp?player_id=519043"/>
    <hyperlink ref="B350" r:id="rId657" display="http://mlb.mlb.com/team/player.jsp?player_id=571670"/>
    <hyperlink ref="B351" r:id="rId658" display="http://mlb.mlb.com/team/player.jsp?player_id=623439"/>
    <hyperlink ref="B352" r:id="rId659" display="http://mlb.mlb.com/team/player.jsp?player_id=542882"/>
    <hyperlink ref="B353" r:id="rId660" display="http://mlb.mlb.com/team/player.jsp?player_id=502202"/>
    <hyperlink ref="B354" r:id="rId661" display="http://mlb.mlb.com/team/player.jsp?player_id=592767"/>
    <hyperlink ref="B355" r:id="rId662" display="http://mlb.mlb.com/team/player.jsp?player_id=444436"/>
    <hyperlink ref="B356" r:id="rId663" display="http://mlb.mlb.com/team/player.jsp?player_id=448178"/>
    <hyperlink ref="B357" r:id="rId664" display="http://mlb.mlb.com/team/player.jsp?player_id=544993"/>
    <hyperlink ref="B358" r:id="rId665" display="http://mlb.mlb.com/team/player.jsp?player_id=544836"/>
    <hyperlink ref="B359" r:id="rId666" display="http://mlb.mlb.com/team/player.jsp?player_id=502171"/>
    <hyperlink ref="B360" r:id="rId667" display="http://mlb.mlb.com/team/player.jsp?player_id=445968"/>
    <hyperlink ref="U336" r:id="rId668" display="http://mlb.mlb.com/team/player.jsp?player_id=600301"/>
    <hyperlink ref="U337" r:id="rId669" display="http://mlb.mlb.com/team/player.jsp?player_id=476123"/>
    <hyperlink ref="U338" r:id="rId670" display="http://mlb.mlb.com/team/player.jsp?player_id=543195"/>
    <hyperlink ref="U339" r:id="rId671" display="http://mlb.mlb.com/team/player.jsp?player_id=517008"/>
    <hyperlink ref="U340" r:id="rId672" display="http://mlb.mlb.com/team/player.jsp?player_id=501697"/>
    <hyperlink ref="U341" r:id="rId673" display="http://mlb.mlb.com/team/player.jsp?player_id=595032"/>
    <hyperlink ref="U342" r:id="rId674" display="http://mlb.mlb.com/team/player.jsp?player_id=543144"/>
    <hyperlink ref="U343" r:id="rId675" display="http://mlb.mlb.com/team/player.jsp?player_id=605483"/>
    <hyperlink ref="U344" r:id="rId676" display="http://mlb.mlb.com/team/player.jsp?player_id=543606"/>
    <hyperlink ref="U345" r:id="rId677" display="http://mlb.mlb.com/team/player.jsp?player_id=458584"/>
    <hyperlink ref="U346" r:id="rId678" display="http://mlb.mlb.com/team/player.jsp?player_id=541640"/>
    <hyperlink ref="U347" r:id="rId679" display="http://mlb.mlb.com/team/player.jsp?player_id=573188"/>
    <hyperlink ref="U348" r:id="rId680" display="http://mlb.mlb.com/team/player.jsp?player_id=502042"/>
    <hyperlink ref="U349" r:id="rId681" display="http://mlb.mlb.com/team/player.jsp?player_id=519043"/>
    <hyperlink ref="U350" r:id="rId682" display="http://mlb.mlb.com/team/player.jsp?player_id=571670"/>
    <hyperlink ref="U351" r:id="rId683" display="http://mlb.mlb.com/team/player.jsp?player_id=623439"/>
    <hyperlink ref="U352" r:id="rId684" display="http://mlb.mlb.com/team/player.jsp?player_id=542882"/>
    <hyperlink ref="U353" r:id="rId685" display="http://mlb.mlb.com/team/player.jsp?player_id=502202"/>
    <hyperlink ref="U354" r:id="rId686" display="http://mlb.mlb.com/team/player.jsp?player_id=592767"/>
    <hyperlink ref="U355" r:id="rId687" display="http://mlb.mlb.com/team/player.jsp?player_id=444436"/>
    <hyperlink ref="U356" r:id="rId688" display="http://mlb.mlb.com/team/player.jsp?player_id=448178"/>
    <hyperlink ref="U357" r:id="rId689" display="http://mlb.mlb.com/team/player.jsp?player_id=544993"/>
    <hyperlink ref="U358" r:id="rId690" display="http://mlb.mlb.com/team/player.jsp?player_id=544836"/>
    <hyperlink ref="U359" r:id="rId691" display="http://mlb.mlb.com/team/player.jsp?player_id=502171"/>
    <hyperlink ref="U360" r:id="rId692" display="http://mlb.mlb.com/team/player.jsp?player_id=445968"/>
    <hyperlink ref="B362" r:id="rId693" display="http://mlb.mlb.com/team/player.jsp?player_id=592407"/>
    <hyperlink ref="B363" r:id="rId694" display="http://mlb.mlb.com/team/player.jsp?player_id=600917"/>
    <hyperlink ref="B364" r:id="rId695" display="http://mlb.mlb.com/team/player.jsp?player_id=501817"/>
    <hyperlink ref="B365" r:id="rId696" display="http://mlb.mlb.com/team/player.jsp?player_id=473879"/>
    <hyperlink ref="B366" r:id="rId697" display="http://mlb.mlb.com/team/player.jsp?player_id=456713"/>
    <hyperlink ref="B367" r:id="rId698" display="http://mlb.mlb.com/team/player.jsp?player_id=502026"/>
    <hyperlink ref="B368" r:id="rId699" display="http://mlb.mlb.com/team/player.jsp?player_id=592222"/>
    <hyperlink ref="B369" r:id="rId700" display="http://mlb.mlb.com/team/player.jsp?player_id=430935"/>
    <hyperlink ref="B370" r:id="rId701" display="http://mlb.mlb.com/team/player.jsp?player_id=518617"/>
    <hyperlink ref="B371" r:id="rId702" display="http://mlb.mlb.com/team/player.jsp?player_id=506433"/>
    <hyperlink ref="B372" r:id="rId703" display="http://mlb.mlb.com/team/player.jsp?player_id=407890"/>
    <hyperlink ref="B373" r:id="rId704" display="http://mlb.mlb.com/team/player.jsp?player_id=489294"/>
    <hyperlink ref="B374" r:id="rId705" display="http://mlb.mlb.com/team/player.jsp?player_id=527048"/>
    <hyperlink ref="B375" r:id="rId706" display="http://mlb.mlb.com/team/player.jsp?player_id=502706"/>
    <hyperlink ref="B376" r:id="rId707" display="http://mlb.mlb.com/team/player.jsp?player_id=456167"/>
    <hyperlink ref="B377" r:id="rId708" display="http://mlb.mlb.com/team/player.jsp?player_id=607309"/>
    <hyperlink ref="B378" r:id="rId709" display="http://mlb.mlb.com/team/player.jsp?player_id=607259"/>
    <hyperlink ref="B379" r:id="rId710" display="http://mlb.mlb.com/team/player.jsp?player_id=449173"/>
    <hyperlink ref="B380" r:id="rId711" display="http://mlb.mlb.com/team/player.jsp?player_id=459987"/>
    <hyperlink ref="B381" r:id="rId712" display="http://mlb.mlb.com/team/player.jsp?player_id=605309"/>
    <hyperlink ref="B382" r:id="rId713" display="http://mlb.mlb.com/team/player.jsp?player_id=605226"/>
    <hyperlink ref="B383" r:id="rId714" display="http://mlb.mlb.com/team/player.jsp?player_id=474521"/>
    <hyperlink ref="B384" r:id="rId715" display="http://mlb.mlb.com/team/player.jsp?player_id=516714"/>
    <hyperlink ref="B385" r:id="rId716" display="http://mlb.mlb.com/team/player.jsp?player_id=592346"/>
    <hyperlink ref="B386" r:id="rId717" display="http://mlb.mlb.com/team/player.jsp?player_id=592419"/>
    <hyperlink ref="B387" r:id="rId718" display="http://mlb.mlb.com/team/player.jsp?player_id=452666"/>
    <hyperlink ref="B388" r:id="rId719" display="http://mlb.mlb.com/team/player.jsp?player_id=592426"/>
    <hyperlink ref="B389" r:id="rId720" display="http://mlb.mlb.com/team/player.jsp?player_id=346798"/>
    <hyperlink ref="B390" r:id="rId721" display="http://mlb.mlb.com/team/player.jsp?player_id=607706"/>
    <hyperlink ref="B391" r:id="rId722" display="http://mlb.mlb.com/team/player.jsp?player_id=519168"/>
    <hyperlink ref="B392" r:id="rId723" display="http://mlb.mlb.com/team/player.jsp?player_id=622795"/>
    <hyperlink ref="U362" r:id="rId724" display="http://mlb.mlb.com/team/player.jsp?player_id=592407"/>
    <hyperlink ref="U363" r:id="rId725" display="http://mlb.mlb.com/team/player.jsp?player_id=600917"/>
    <hyperlink ref="U364" r:id="rId726" display="http://mlb.mlb.com/team/player.jsp?player_id=501817"/>
    <hyperlink ref="U365" r:id="rId727" display="http://mlb.mlb.com/team/player.jsp?player_id=473879"/>
    <hyperlink ref="U366" r:id="rId728" display="http://mlb.mlb.com/team/player.jsp?player_id=456713"/>
    <hyperlink ref="U367" r:id="rId729" display="http://mlb.mlb.com/team/player.jsp?player_id=502026"/>
    <hyperlink ref="U368" r:id="rId730" display="http://mlb.mlb.com/team/player.jsp?player_id=592222"/>
    <hyperlink ref="U369" r:id="rId731" display="http://mlb.mlb.com/team/player.jsp?player_id=430935"/>
    <hyperlink ref="U370" r:id="rId732" display="http://mlb.mlb.com/team/player.jsp?player_id=518617"/>
    <hyperlink ref="U371" r:id="rId733" display="http://mlb.mlb.com/team/player.jsp?player_id=506433"/>
    <hyperlink ref="U372" r:id="rId734" display="http://mlb.mlb.com/team/player.jsp?player_id=407890"/>
    <hyperlink ref="U373" r:id="rId735" display="http://mlb.mlb.com/team/player.jsp?player_id=489294"/>
    <hyperlink ref="U374" r:id="rId736" display="http://mlb.mlb.com/team/player.jsp?player_id=527048"/>
    <hyperlink ref="U375" r:id="rId737" display="http://mlb.mlb.com/team/player.jsp?player_id=502706"/>
    <hyperlink ref="U376" r:id="rId738" display="http://mlb.mlb.com/team/player.jsp?player_id=456167"/>
    <hyperlink ref="U377" r:id="rId739" display="http://mlb.mlb.com/team/player.jsp?player_id=607309"/>
    <hyperlink ref="U378" r:id="rId740" display="http://mlb.mlb.com/team/player.jsp?player_id=607259"/>
    <hyperlink ref="U379" r:id="rId741" display="http://mlb.mlb.com/team/player.jsp?player_id=449173"/>
    <hyperlink ref="U380" r:id="rId742" display="http://mlb.mlb.com/team/player.jsp?player_id=459987"/>
    <hyperlink ref="U381" r:id="rId743" display="http://mlb.mlb.com/team/player.jsp?player_id=605309"/>
    <hyperlink ref="U382" r:id="rId744" display="http://mlb.mlb.com/team/player.jsp?player_id=605226"/>
    <hyperlink ref="U383" r:id="rId745" display="http://mlb.mlb.com/team/player.jsp?player_id=474521"/>
    <hyperlink ref="U384" r:id="rId746" display="http://mlb.mlb.com/team/player.jsp?player_id=516714"/>
    <hyperlink ref="U385" r:id="rId747" display="http://mlb.mlb.com/team/player.jsp?player_id=592346"/>
    <hyperlink ref="U386" r:id="rId748" display="http://mlb.mlb.com/team/player.jsp?player_id=592419"/>
    <hyperlink ref="U387" r:id="rId749" display="http://mlb.mlb.com/team/player.jsp?player_id=452666"/>
    <hyperlink ref="U388" r:id="rId750" display="http://mlb.mlb.com/team/player.jsp?player_id=592426"/>
    <hyperlink ref="U389" r:id="rId751" display="http://mlb.mlb.com/team/player.jsp?player_id=346798"/>
    <hyperlink ref="U390" r:id="rId752" display="http://mlb.mlb.com/team/player.jsp?player_id=607706"/>
    <hyperlink ref="U391" r:id="rId753" display="http://mlb.mlb.com/team/player.jsp?player_id=519168"/>
    <hyperlink ref="U392" r:id="rId754" display="http://mlb.mlb.com/team/player.jsp?player_id=622795"/>
    <hyperlink ref="B394" r:id="rId755" display="http://mlb.mlb.com/team/player.jsp?player_id=572365"/>
    <hyperlink ref="B395" r:id="rId756" display="http://mlb.mlb.com/team/player.jsp?player_id=276542"/>
    <hyperlink ref="B396" r:id="rId757" display="http://mlb.mlb.com/team/player.jsp?player_id=532077"/>
    <hyperlink ref="B397" r:id="rId758" display="http://mlb.mlb.com/team/player.jsp?player_id=434538"/>
    <hyperlink ref="B398" r:id="rId759" display="http://mlb.mlb.com/team/player.jsp?player_id=572193"/>
    <hyperlink ref="B399" r:id="rId760" display="http://mlb.mlb.com/team/player.jsp?player_id=592717"/>
    <hyperlink ref="B400" r:id="rId761" display="http://mlb.mlb.com/team/player.jsp?player_id=607352"/>
    <hyperlink ref="B401" r:id="rId762" display="http://mlb.mlb.com/team/player.jsp?player_id=457918"/>
    <hyperlink ref="B402" r:id="rId763" display="http://mlb.mlb.com/team/player.jsp?player_id=462136"/>
    <hyperlink ref="B403" r:id="rId764" display="http://mlb.mlb.com/team/player.jsp?player_id=276351"/>
    <hyperlink ref="B404" r:id="rId765" display="http://mlb.mlb.com/team/player.jsp?player_id=446399"/>
    <hyperlink ref="B405" r:id="rId766" display="http://mlb.mlb.com/team/player.jsp?player_id=592130"/>
    <hyperlink ref="B406" r:id="rId767" display="http://mlb.mlb.com/team/player.jsp?player_id=425856"/>
    <hyperlink ref="B407" r:id="rId768" display="http://mlb.mlb.com/team/player.jsp?player_id=643325"/>
    <hyperlink ref="B408" r:id="rId769" display="http://mlb.mlb.com/team/player.jsp?player_id=573186"/>
    <hyperlink ref="B409" r:id="rId770" display="http://mlb.mlb.com/team/player.jsp?player_id=285079"/>
    <hyperlink ref="B410" r:id="rId771" display="http://mlb.mlb.com/team/player.jsp?player_id=445926"/>
    <hyperlink ref="B411" r:id="rId772" display="http://mlb.mlb.com/team/player.jsp?player_id=571800"/>
    <hyperlink ref="B412" r:id="rId773" display="http://mlb.mlb.com/team/player.jsp?player_id=571901"/>
    <hyperlink ref="B413" r:id="rId774" display="http://mlb.mlb.com/team/player.jsp?player_id=519381"/>
    <hyperlink ref="B414" r:id="rId775" display="http://mlb.mlb.com/team/player.jsp?player_id=544759"/>
    <hyperlink ref="B415" r:id="rId776" display="http://mlb.mlb.com/team/player.jsp?player_id=519322"/>
    <hyperlink ref="B416" r:id="rId777" display="http://mlb.mlb.com/team/player.jsp?player_id=504186"/>
    <hyperlink ref="B417" r:id="rId778" display="http://mlb.mlb.com/team/player.jsp?player_id=444857"/>
    <hyperlink ref="B418" r:id="rId779" display="http://mlb.mlb.com/team/player.jsp?player_id=446381"/>
    <hyperlink ref="B419" r:id="rId780" display="http://mlb.mlb.com/team/player.jsp?player_id=462985"/>
    <hyperlink ref="B420" r:id="rId781" display="http://mlb.mlb.com/team/player.jsp?player_id=571616"/>
    <hyperlink ref="B421" r:id="rId782" display="http://mlb.mlb.com/team/player.jsp?player_id=542884"/>
    <hyperlink ref="B422" r:id="rId783" display="http://mlb.mlb.com/team/player.jsp?player_id=539438"/>
    <hyperlink ref="U394" r:id="rId784" display="http://mlb.mlb.com/team/player.jsp?player_id=572365"/>
    <hyperlink ref="U395" r:id="rId785" display="http://mlb.mlb.com/team/player.jsp?player_id=276542"/>
    <hyperlink ref="U396" r:id="rId786" display="http://mlb.mlb.com/team/player.jsp?player_id=532077"/>
    <hyperlink ref="U397" r:id="rId787" display="http://mlb.mlb.com/team/player.jsp?player_id=434538"/>
    <hyperlink ref="U398" r:id="rId788" display="http://mlb.mlb.com/team/player.jsp?player_id=572193"/>
    <hyperlink ref="U399" r:id="rId789" display="http://mlb.mlb.com/team/player.jsp?player_id=592717"/>
    <hyperlink ref="U400" r:id="rId790" display="http://mlb.mlb.com/team/player.jsp?player_id=607352"/>
    <hyperlink ref="U401" r:id="rId791" display="http://mlb.mlb.com/team/player.jsp?player_id=457918"/>
    <hyperlink ref="U402" r:id="rId792" display="http://mlb.mlb.com/team/player.jsp?player_id=462136"/>
    <hyperlink ref="U403" r:id="rId793" display="http://mlb.mlb.com/team/player.jsp?player_id=276351"/>
    <hyperlink ref="U404" r:id="rId794" display="http://mlb.mlb.com/team/player.jsp?player_id=446399"/>
    <hyperlink ref="U405" r:id="rId795" display="http://mlb.mlb.com/team/player.jsp?player_id=592130"/>
    <hyperlink ref="U406" r:id="rId796" display="http://mlb.mlb.com/team/player.jsp?player_id=425856"/>
    <hyperlink ref="U407" r:id="rId797" display="http://mlb.mlb.com/team/player.jsp?player_id=643325"/>
    <hyperlink ref="U408" r:id="rId798" display="http://mlb.mlb.com/team/player.jsp?player_id=573186"/>
    <hyperlink ref="U409" r:id="rId799" display="http://mlb.mlb.com/team/player.jsp?player_id=285079"/>
    <hyperlink ref="U410" r:id="rId800" display="http://mlb.mlb.com/team/player.jsp?player_id=445926"/>
    <hyperlink ref="U411" r:id="rId801" display="http://mlb.mlb.com/team/player.jsp?player_id=571800"/>
    <hyperlink ref="U412" r:id="rId802" display="http://mlb.mlb.com/team/player.jsp?player_id=571901"/>
    <hyperlink ref="U413" r:id="rId803" display="http://mlb.mlb.com/team/player.jsp?player_id=519381"/>
    <hyperlink ref="U414" r:id="rId804" display="http://mlb.mlb.com/team/player.jsp?player_id=544759"/>
    <hyperlink ref="U415" r:id="rId805" display="http://mlb.mlb.com/team/player.jsp?player_id=519322"/>
    <hyperlink ref="U416" r:id="rId806" display="http://mlb.mlb.com/team/player.jsp?player_id=504186"/>
    <hyperlink ref="U417" r:id="rId807" display="http://mlb.mlb.com/team/player.jsp?player_id=444857"/>
    <hyperlink ref="U418" r:id="rId808" display="http://mlb.mlb.com/team/player.jsp?player_id=446381"/>
    <hyperlink ref="U419" r:id="rId809" display="http://mlb.mlb.com/team/player.jsp?player_id=462985"/>
    <hyperlink ref="U420" r:id="rId810" display="http://mlb.mlb.com/team/player.jsp?player_id=571616"/>
    <hyperlink ref="U421" r:id="rId811" display="http://mlb.mlb.com/team/player.jsp?player_id=542884"/>
    <hyperlink ref="U422" r:id="rId812" display="http://mlb.mlb.com/team/player.jsp?player_id=539438"/>
  </hyperlinks>
  <pageMargins left="0.75" right="0.75" top="1" bottom="1" header="0.5" footer="0.5"/>
  <pageSetup orientation="portrait" horizontalDpi="4294967293" verticalDpi="1200" r:id="rId81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78"/>
  <sheetViews>
    <sheetView topLeftCell="X1" zoomScaleNormal="100" workbookViewId="0">
      <pane ySplit="1" topLeftCell="A2" activePane="bottomLeft" state="frozen"/>
      <selection pane="bottomLeft" activeCell="AK253" sqref="AK253"/>
    </sheetView>
  </sheetViews>
  <sheetFormatPr defaultRowHeight="12.75" x14ac:dyDescent="0.2"/>
  <cols>
    <col min="1" max="1" width="16.42578125" style="42" bestFit="1" customWidth="1"/>
    <col min="2" max="2" width="6.42578125" customWidth="1"/>
    <col min="3" max="4" width="3" bestFit="1" customWidth="1"/>
    <col min="5" max="5" width="5.5703125" style="3" bestFit="1" customWidth="1"/>
    <col min="6" max="6" width="3" bestFit="1" customWidth="1"/>
    <col min="7" max="8" width="3.7109375" bestFit="1" customWidth="1"/>
    <col min="9" max="9" width="4.7109375" bestFit="1" customWidth="1"/>
    <col min="10" max="10" width="3.5703125" bestFit="1" customWidth="1"/>
    <col min="11" max="11" width="5" bestFit="1" customWidth="1"/>
    <col min="12" max="12" width="6.5703125" style="3" bestFit="1" customWidth="1"/>
    <col min="13" max="13" width="4" bestFit="1" customWidth="1"/>
    <col min="14" max="14" width="4" style="3" bestFit="1" customWidth="1"/>
    <col min="15" max="15" width="4" bestFit="1" customWidth="1"/>
    <col min="16" max="17" width="3.5703125" bestFit="1" customWidth="1"/>
    <col min="18" max="18" width="4" bestFit="1" customWidth="1"/>
    <col min="19" max="19" width="5" customWidth="1"/>
    <col min="20" max="21" width="5.5703125" style="5" bestFit="1" customWidth="1"/>
    <col min="22" max="22" width="6.140625" style="220" customWidth="1"/>
    <col min="23" max="23" width="6" style="5" customWidth="1"/>
    <col min="24" max="24" width="2.28515625" style="5" customWidth="1"/>
    <col min="25" max="25" width="7.140625" style="43" bestFit="1" customWidth="1"/>
    <col min="26" max="26" width="10" style="43" bestFit="1" customWidth="1"/>
    <col min="27" max="27" width="10" style="16" bestFit="1" customWidth="1"/>
    <col min="28" max="28" width="9.7109375" style="43" bestFit="1" customWidth="1"/>
    <col min="29" max="29" width="10" style="43" bestFit="1" customWidth="1"/>
    <col min="30" max="30" width="9.7109375" style="16" bestFit="1" customWidth="1"/>
    <col min="31" max="31" width="9.7109375" style="43" bestFit="1" customWidth="1"/>
    <col min="32" max="33" width="7.5703125" style="43" bestFit="1" customWidth="1"/>
    <col min="34" max="34" width="6.5703125" style="24" bestFit="1" customWidth="1"/>
    <col min="35" max="35" width="16.42578125" style="42" bestFit="1" customWidth="1"/>
    <col min="36" max="36" width="5.5703125" style="58" bestFit="1" customWidth="1"/>
    <col min="37" max="37" width="7.5703125" style="5" bestFit="1" customWidth="1"/>
    <col min="38" max="38" width="8.7109375" style="5" bestFit="1" customWidth="1"/>
    <col min="39" max="39" width="8.5703125" style="14" bestFit="1" customWidth="1"/>
    <col min="40" max="40" width="8.140625" style="14" bestFit="1" customWidth="1"/>
    <col min="41" max="41" width="9.42578125" style="14" bestFit="1" customWidth="1"/>
    <col min="42" max="42" width="9.140625" style="68" bestFit="1" customWidth="1"/>
    <col min="43" max="43" width="9.140625" style="24" bestFit="1" customWidth="1"/>
    <col min="44" max="44" width="10.5703125" bestFit="1" customWidth="1"/>
    <col min="45" max="16384" width="9.140625" style="24"/>
  </cols>
  <sheetData>
    <row r="1" spans="1:44" s="30" customFormat="1" ht="16.5" customHeight="1" x14ac:dyDescent="0.2">
      <c r="A1" s="225" t="s">
        <v>106</v>
      </c>
      <c r="B1" s="225" t="s">
        <v>157</v>
      </c>
      <c r="C1" s="225" t="s">
        <v>85</v>
      </c>
      <c r="D1" s="225" t="s">
        <v>86</v>
      </c>
      <c r="E1" s="140" t="s">
        <v>87</v>
      </c>
      <c r="F1" s="225" t="s">
        <v>108</v>
      </c>
      <c r="G1" s="225" t="s">
        <v>88</v>
      </c>
      <c r="H1" s="225" t="s">
        <v>89</v>
      </c>
      <c r="I1" s="225" t="s">
        <v>1073</v>
      </c>
      <c r="J1" s="225" t="s">
        <v>90</v>
      </c>
      <c r="K1" s="225" t="s">
        <v>158</v>
      </c>
      <c r="L1" s="225" t="s">
        <v>91</v>
      </c>
      <c r="M1" s="225" t="s">
        <v>92</v>
      </c>
      <c r="N1" s="225" t="s">
        <v>93</v>
      </c>
      <c r="O1" s="225" t="s">
        <v>94</v>
      </c>
      <c r="P1" s="225" t="s">
        <v>95</v>
      </c>
      <c r="Q1" s="225" t="s">
        <v>96</v>
      </c>
      <c r="R1" s="102" t="s">
        <v>98</v>
      </c>
      <c r="S1" s="225" t="s">
        <v>97</v>
      </c>
      <c r="T1" s="225" t="s">
        <v>109</v>
      </c>
      <c r="U1" s="225" t="s">
        <v>91</v>
      </c>
      <c r="V1" s="275" t="s">
        <v>1071</v>
      </c>
      <c r="W1" s="225" t="s">
        <v>1072</v>
      </c>
      <c r="X1" s="18"/>
      <c r="Y1" s="51" t="s">
        <v>2</v>
      </c>
      <c r="Z1" s="47" t="s">
        <v>3</v>
      </c>
      <c r="AA1" s="46" t="s">
        <v>4</v>
      </c>
      <c r="AB1" s="48" t="s">
        <v>5</v>
      </c>
      <c r="AC1" s="47" t="s">
        <v>6</v>
      </c>
      <c r="AD1" s="46" t="s">
        <v>7</v>
      </c>
      <c r="AE1" s="49" t="s">
        <v>8</v>
      </c>
      <c r="AF1" s="49" t="s">
        <v>81</v>
      </c>
      <c r="AG1" s="49" t="s">
        <v>9</v>
      </c>
      <c r="AH1" s="32" t="s">
        <v>10</v>
      </c>
      <c r="AI1" s="59" t="s">
        <v>106</v>
      </c>
      <c r="AJ1" s="59" t="s">
        <v>11</v>
      </c>
      <c r="AK1" s="59" t="s">
        <v>12</v>
      </c>
      <c r="AL1" s="59" t="s">
        <v>13</v>
      </c>
      <c r="AM1" s="57" t="s">
        <v>83</v>
      </c>
      <c r="AN1" s="57" t="s">
        <v>99</v>
      </c>
      <c r="AO1" s="57" t="s">
        <v>84</v>
      </c>
      <c r="AP1" s="57" t="s">
        <v>191</v>
      </c>
      <c r="AR1" s="112" t="s">
        <v>319</v>
      </c>
    </row>
    <row r="2" spans="1:44" customFormat="1" x14ac:dyDescent="0.2">
      <c r="A2" s="104"/>
      <c r="B2" s="44"/>
      <c r="C2" s="64"/>
      <c r="D2" s="44"/>
      <c r="E2" s="64"/>
      <c r="F2" s="66"/>
      <c r="G2" s="44"/>
      <c r="H2" s="63"/>
      <c r="I2" s="44"/>
      <c r="J2" s="65"/>
      <c r="K2" s="66"/>
      <c r="L2" s="259">
        <f>INDEX('C-P-RollAdj'!$P$4:$P$900,MATCH((U2),'C-P-RollAdj'!$O$4:$O$900,FALSE),0)</f>
        <v>0</v>
      </c>
      <c r="M2" s="63"/>
      <c r="N2" s="44"/>
      <c r="O2" s="63"/>
      <c r="P2" s="44"/>
      <c r="Q2" s="63"/>
      <c r="R2" s="63"/>
      <c r="S2" s="63"/>
      <c r="T2" s="63"/>
      <c r="U2" s="63"/>
      <c r="V2" s="276"/>
      <c r="W2" s="63"/>
      <c r="X2" s="63"/>
      <c r="Y2" s="50"/>
      <c r="Z2" s="6"/>
      <c r="AA2" s="16"/>
      <c r="AB2" s="16"/>
      <c r="AC2" s="6"/>
      <c r="AD2" s="16"/>
      <c r="AE2" s="17"/>
      <c r="AF2" s="17"/>
      <c r="AG2" s="17"/>
      <c r="AH2" s="4"/>
      <c r="AI2" s="104"/>
      <c r="AJ2" s="5"/>
      <c r="AK2" s="5"/>
      <c r="AL2" s="5"/>
      <c r="AM2" s="14"/>
      <c r="AN2" s="14"/>
      <c r="AO2" s="14"/>
      <c r="AP2" s="14"/>
      <c r="AR2" s="67"/>
    </row>
    <row r="3" spans="1:44" customFormat="1" x14ac:dyDescent="0.2">
      <c r="A3" s="41" t="s">
        <v>1409</v>
      </c>
      <c r="B3" s="76" t="s">
        <v>159</v>
      </c>
      <c r="C3" s="76">
        <v>1</v>
      </c>
      <c r="D3" s="76">
        <v>2</v>
      </c>
      <c r="E3" s="97">
        <v>3.49</v>
      </c>
      <c r="F3" s="76">
        <v>68</v>
      </c>
      <c r="G3" s="76">
        <v>0</v>
      </c>
      <c r="H3" s="76">
        <v>0</v>
      </c>
      <c r="I3" s="76">
        <v>0</v>
      </c>
      <c r="J3" s="76">
        <v>4</v>
      </c>
      <c r="K3" s="76">
        <v>9</v>
      </c>
      <c r="L3" s="258">
        <f>INDEX('C-P-RollAdj'!$P$4:$P$900,MATCH((U3),'C-P-RollAdj'!$O$4:$O$900,FALSE),0)</f>
        <v>59.33</v>
      </c>
      <c r="M3" s="76">
        <v>47</v>
      </c>
      <c r="N3" s="76">
        <v>25</v>
      </c>
      <c r="O3" s="76">
        <v>23</v>
      </c>
      <c r="P3" s="76">
        <v>6</v>
      </c>
      <c r="Q3" s="76">
        <v>28</v>
      </c>
      <c r="R3" s="76">
        <v>4</v>
      </c>
      <c r="S3" s="76">
        <v>56</v>
      </c>
      <c r="T3" s="76">
        <v>250</v>
      </c>
      <c r="U3" s="76">
        <v>59.1</v>
      </c>
      <c r="V3" s="100">
        <v>0.218</v>
      </c>
      <c r="W3" s="76">
        <v>1.26</v>
      </c>
      <c r="X3" s="202"/>
      <c r="Y3" s="50">
        <f t="shared" ref="Y3:Y16" si="0">+(Q3-R3)/(T3-R3)*100</f>
        <v>9.7560975609756095</v>
      </c>
      <c r="Z3" s="6">
        <f>IF(Y3&lt;LeagueRatings!$K$21,((LeagueRatings!$K$21-Y3)/LeagueRatings!$K$21)*36,(LeagueRatings!$K$21-Y3)*6.48)</f>
        <v>-5.2039712157909168</v>
      </c>
      <c r="AA3" s="16">
        <f>INDEX('C-P-RollAdj'!$B$4:$B$76,MATCH(INT(Z3),'C-P-RollAdj'!$A$4:$A$76,FALSE),0)</f>
        <v>0.54</v>
      </c>
      <c r="AB3" s="16">
        <f t="shared" ref="AB3:AB16" si="1">(P3/(T3-R3))*100</f>
        <v>2.4390243902439024</v>
      </c>
      <c r="AC3" s="6">
        <f>IF(AB3&lt;LeagueRatings!$K$19,((LeagueRatings!$K$19-AB3)/LeagueRatings!$K$19)*36,(LeagueRatings!$K$19-AB3)/LeagueRatings!$K$22)</f>
        <v>5.805753035108828</v>
      </c>
      <c r="AD3" s="16">
        <f>INDEX('C-P-RollAdj'!$F$4:$F$76,MATCH(INT(AC3),'C-P-RollAdj'!$E$4:$E$76,FALSE),0)</f>
        <v>-0.35000000000000003</v>
      </c>
      <c r="AE3" s="17">
        <f>+((LeagueRatings!$I$17-E3)*5)+9.5</f>
        <v>12.864387243706361</v>
      </c>
      <c r="AF3" s="17">
        <f t="shared" ref="AF3:AF15" si="2">IF(AE3&lt;4,4,AE3)</f>
        <v>12.864387243706361</v>
      </c>
      <c r="AG3" s="17">
        <f t="shared" ref="AG3:AG16" si="3">IF(M3&lt;L3,((1-(M3/L3))*7)-0.07,(1-(M3/L3))*5)</f>
        <v>1.3847446485757622</v>
      </c>
      <c r="AH3" s="4">
        <f t="shared" ref="AH3:AH15" si="4">+AA3+AD3+AF3+AG3</f>
        <v>14.439131892282122</v>
      </c>
      <c r="AI3" s="41" t="s">
        <v>1409</v>
      </c>
      <c r="AJ3" s="5" t="s">
        <v>21</v>
      </c>
      <c r="AK3" s="219">
        <f>INDEX('C-P-RollAdj'!$J$4:$J$76,MATCH(INT(Z3),'C-P-RollAdj'!$I$4:$I$76,FALSE),0)</f>
        <v>-16</v>
      </c>
      <c r="AL3" s="219">
        <f>INDEX('C-P-RollAdj'!$J$4:$J$76,MATCH(INT(AC3),'C-P-RollAdj'!$I$4:$I$76,FALSE),0)</f>
        <v>15</v>
      </c>
      <c r="AM3" s="14">
        <f>+AR3*LeagueRatings!$K$27</f>
        <v>33.333333333333336</v>
      </c>
      <c r="AN3" s="72">
        <f>F3*LeagueRatings!$K$27</f>
        <v>37.777777777777779</v>
      </c>
      <c r="AO3" s="72">
        <f>G3*LeagueRatings!$K$27</f>
        <v>0</v>
      </c>
      <c r="AP3" s="72">
        <f>T3*LeagueRatings!$K$27</f>
        <v>138.88888888888889</v>
      </c>
      <c r="AR3" s="14">
        <f t="shared" ref="AR3:AR16" si="5">ROUNDUP(L3,0)</f>
        <v>60</v>
      </c>
    </row>
    <row r="4" spans="1:44" s="11" customFormat="1" x14ac:dyDescent="0.2">
      <c r="A4" s="41" t="s">
        <v>1083</v>
      </c>
      <c r="B4" s="76" t="s">
        <v>159</v>
      </c>
      <c r="C4" s="76">
        <v>0</v>
      </c>
      <c r="D4" s="76">
        <v>2</v>
      </c>
      <c r="E4" s="97">
        <v>7.3</v>
      </c>
      <c r="F4" s="76">
        <v>26</v>
      </c>
      <c r="G4" s="76">
        <v>0</v>
      </c>
      <c r="H4" s="76">
        <v>0</v>
      </c>
      <c r="I4" s="76">
        <v>0</v>
      </c>
      <c r="J4" s="76">
        <v>0</v>
      </c>
      <c r="K4" s="76">
        <v>0</v>
      </c>
      <c r="L4" s="258">
        <f>INDEX('C-P-RollAdj'!$P$4:$P$900,MATCH((U4),'C-P-RollAdj'!$O$4:$O$900,FALSE),0)</f>
        <v>24.67</v>
      </c>
      <c r="M4" s="76">
        <v>31</v>
      </c>
      <c r="N4" s="76">
        <v>22</v>
      </c>
      <c r="O4" s="76">
        <v>20</v>
      </c>
      <c r="P4" s="76">
        <v>7</v>
      </c>
      <c r="Q4" s="76">
        <v>10</v>
      </c>
      <c r="R4" s="76">
        <v>1</v>
      </c>
      <c r="S4" s="76">
        <v>17</v>
      </c>
      <c r="T4" s="76">
        <v>119</v>
      </c>
      <c r="U4" s="76">
        <v>24.2</v>
      </c>
      <c r="V4" s="100">
        <v>0.29499999999999998</v>
      </c>
      <c r="W4" s="76">
        <v>1.66</v>
      </c>
      <c r="X4" s="202"/>
      <c r="Y4" s="50">
        <f t="shared" si="0"/>
        <v>7.6271186440677967</v>
      </c>
      <c r="Z4" s="6">
        <f>IF(Y4&lt;LeagueRatings!$K$21,((LeagueRatings!$K$21-Y4)/LeagueRatings!$K$21)*36,(LeagueRatings!$K$21-Y4)*6.48)</f>
        <v>5.3314203874781843</v>
      </c>
      <c r="AA4" s="16">
        <f>INDEX('C-P-RollAdj'!$B$4:$B$76,MATCH(INT(Z4),'C-P-RollAdj'!$A$4:$A$76,FALSE),0)</f>
        <v>-0.4</v>
      </c>
      <c r="AB4" s="16">
        <f t="shared" si="1"/>
        <v>5.9322033898305087</v>
      </c>
      <c r="AC4" s="6">
        <f>IF(AB4&lt;LeagueRatings!$K$19,((LeagueRatings!$K$19-AB4)/LeagueRatings!$K$19)*36,(LeagueRatings!$K$19-AB4)/LeagueRatings!$K$22)</f>
        <v>-24.435502273666806</v>
      </c>
      <c r="AD4" s="16">
        <f>INDEX('C-P-RollAdj'!$F$4:$F$76,MATCH(INT(AC4),'C-P-RollAdj'!$E$4:$E$76,FALSE),0)</f>
        <v>2.92</v>
      </c>
      <c r="AE4" s="17">
        <f>+((LeagueRatings!$I$17-E4)*5)+9.5</f>
        <v>-6.1856127562936365</v>
      </c>
      <c r="AF4" s="17">
        <f t="shared" si="2"/>
        <v>4</v>
      </c>
      <c r="AG4" s="17">
        <f t="shared" si="3"/>
        <v>-1.2829347385488443</v>
      </c>
      <c r="AH4" s="4">
        <f t="shared" si="4"/>
        <v>5.2370652614511553</v>
      </c>
      <c r="AI4" s="41" t="s">
        <v>1083</v>
      </c>
      <c r="AJ4" s="5" t="s">
        <v>24</v>
      </c>
      <c r="AK4" s="219">
        <f>INDEX('C-P-RollAdj'!$J$4:$J$76,MATCH(INT(Z4),'C-P-RollAdj'!$I$4:$I$76,FALSE),0)</f>
        <v>15</v>
      </c>
      <c r="AL4" s="219">
        <f>INDEX('C-P-RollAdj'!$J$4:$J$76,MATCH(INT(AC4),'C-P-RollAdj'!$I$4:$I$76,FALSE),0)</f>
        <v>-51</v>
      </c>
      <c r="AM4" s="14">
        <f>+AR4*LeagueRatings!$K$27</f>
        <v>13.888888888888889</v>
      </c>
      <c r="AN4" s="72">
        <f>F4*LeagueRatings!$K$27</f>
        <v>14.444444444444445</v>
      </c>
      <c r="AO4" s="72">
        <f>G4*LeagueRatings!$K$27</f>
        <v>0</v>
      </c>
      <c r="AP4" s="72">
        <f>T4*LeagueRatings!$K$27</f>
        <v>66.111111111111114</v>
      </c>
      <c r="AQ4" s="43"/>
      <c r="AR4" s="14">
        <f t="shared" si="5"/>
        <v>25</v>
      </c>
    </row>
    <row r="5" spans="1:44" s="8" customFormat="1" x14ac:dyDescent="0.2">
      <c r="A5" s="41" t="s">
        <v>1090</v>
      </c>
      <c r="B5" s="76" t="s">
        <v>159</v>
      </c>
      <c r="C5" s="76">
        <v>8</v>
      </c>
      <c r="D5" s="76">
        <v>9</v>
      </c>
      <c r="E5" s="97">
        <v>5.0199999999999996</v>
      </c>
      <c r="F5" s="76">
        <v>26</v>
      </c>
      <c r="G5" s="76">
        <v>26</v>
      </c>
      <c r="H5" s="76">
        <v>0</v>
      </c>
      <c r="I5" s="76">
        <v>0</v>
      </c>
      <c r="J5" s="76">
        <v>0</v>
      </c>
      <c r="K5" s="76">
        <v>0</v>
      </c>
      <c r="L5" s="258">
        <f>INDEX('C-P-RollAdj'!$P$4:$P$900,MATCH((U5),'C-P-RollAdj'!$O$4:$O$900,FALSE),0)</f>
        <v>141.67000000000002</v>
      </c>
      <c r="M5" s="76">
        <v>154</v>
      </c>
      <c r="N5" s="76">
        <v>84</v>
      </c>
      <c r="O5" s="76">
        <v>79</v>
      </c>
      <c r="P5" s="76">
        <v>16</v>
      </c>
      <c r="Q5" s="76">
        <v>67</v>
      </c>
      <c r="R5" s="76">
        <v>8</v>
      </c>
      <c r="S5" s="76">
        <v>143</v>
      </c>
      <c r="T5" s="76">
        <v>638</v>
      </c>
      <c r="U5" s="76">
        <v>141.19999999999999</v>
      </c>
      <c r="V5" s="100">
        <v>0.27600000000000002</v>
      </c>
      <c r="W5" s="76">
        <v>1.56</v>
      </c>
      <c r="X5" s="202"/>
      <c r="Y5" s="50">
        <f t="shared" si="0"/>
        <v>9.3650793650793656</v>
      </c>
      <c r="Z5" s="6">
        <f>IF(Y5&lt;LeagueRatings!$K$21,((LeagueRatings!$K$21-Y5)/LeagueRatings!$K$21)*36,(LeagueRatings!$K$21-Y5)*6.48)</f>
        <v>-2.6701733063832558</v>
      </c>
      <c r="AA5" s="16">
        <f>INDEX('C-P-RollAdj'!$B$4:$B$76,MATCH(INT(Z5),'C-P-RollAdj'!$A$4:$A$76,FALSE),0)</f>
        <v>0.27</v>
      </c>
      <c r="AB5" s="16">
        <f t="shared" si="1"/>
        <v>2.5396825396825395</v>
      </c>
      <c r="AC5" s="6">
        <f>IF(AB5&lt;LeagueRatings!$K$19,((LeagueRatings!$K$19-AB5)/LeagueRatings!$K$19)*36,(LeagueRatings!$K$19-AB5)/LeagueRatings!$K$22)</f>
        <v>4.5596412556053849</v>
      </c>
      <c r="AD5" s="16">
        <f>INDEX('C-P-RollAdj'!$F$4:$F$76,MATCH(INT(AC5),'C-P-RollAdj'!$E$4:$E$76,FALSE),0)</f>
        <v>-0.28000000000000003</v>
      </c>
      <c r="AE5" s="17">
        <f>+((LeagueRatings!$I$17-E5)*5)+9.5</f>
        <v>5.2143872437063647</v>
      </c>
      <c r="AF5" s="17">
        <f t="shared" si="2"/>
        <v>5.2143872437063647</v>
      </c>
      <c r="AG5" s="17">
        <f t="shared" si="3"/>
        <v>-0.43516623138279087</v>
      </c>
      <c r="AH5" s="4">
        <f t="shared" si="4"/>
        <v>4.7692210123235741</v>
      </c>
      <c r="AI5" s="41" t="s">
        <v>1090</v>
      </c>
      <c r="AJ5" s="5" t="s">
        <v>19</v>
      </c>
      <c r="AK5" s="219">
        <f>INDEX('C-P-RollAdj'!$J$4:$J$76,MATCH(INT(Z5),'C-P-RollAdj'!$I$4:$I$76,FALSE),0)</f>
        <v>-13</v>
      </c>
      <c r="AL5" s="219">
        <f>INDEX('C-P-RollAdj'!$J$4:$J$76,MATCH(INT(AC5),'C-P-RollAdj'!$I$4:$I$76,FALSE),0)</f>
        <v>14</v>
      </c>
      <c r="AM5" s="14">
        <f>+AR5*LeagueRatings!$K$27</f>
        <v>78.888888888888886</v>
      </c>
      <c r="AN5" s="72">
        <f>F5*LeagueRatings!$K$27</f>
        <v>14.444444444444445</v>
      </c>
      <c r="AO5" s="72">
        <f>G5*LeagueRatings!$K$27</f>
        <v>14.444444444444445</v>
      </c>
      <c r="AP5" s="72">
        <f>T5*LeagueRatings!$K$27</f>
        <v>354.44444444444446</v>
      </c>
      <c r="AR5" s="14">
        <f t="shared" si="5"/>
        <v>142</v>
      </c>
    </row>
    <row r="6" spans="1:44" customFormat="1" x14ac:dyDescent="0.2">
      <c r="A6" s="41" t="s">
        <v>1088</v>
      </c>
      <c r="B6" s="76" t="s">
        <v>159</v>
      </c>
      <c r="C6" s="76">
        <v>1</v>
      </c>
      <c r="D6" s="76">
        <v>2</v>
      </c>
      <c r="E6" s="97">
        <v>5.66</v>
      </c>
      <c r="F6" s="76">
        <v>43</v>
      </c>
      <c r="G6" s="76">
        <v>0</v>
      </c>
      <c r="H6" s="76">
        <v>0</v>
      </c>
      <c r="I6" s="76">
        <v>0</v>
      </c>
      <c r="J6" s="76">
        <v>1</v>
      </c>
      <c r="K6" s="76">
        <v>4</v>
      </c>
      <c r="L6" s="258">
        <f>INDEX('C-P-RollAdj'!$P$4:$P$900,MATCH((U6),'C-P-RollAdj'!$O$4:$O$900,FALSE),0)</f>
        <v>41.33</v>
      </c>
      <c r="M6" s="76">
        <v>38</v>
      </c>
      <c r="N6" s="76">
        <v>27</v>
      </c>
      <c r="O6" s="76">
        <v>26</v>
      </c>
      <c r="P6" s="76">
        <v>5</v>
      </c>
      <c r="Q6" s="76">
        <v>23</v>
      </c>
      <c r="R6" s="76">
        <v>5</v>
      </c>
      <c r="S6" s="76">
        <v>43</v>
      </c>
      <c r="T6" s="76">
        <v>178</v>
      </c>
      <c r="U6" s="76">
        <v>41.1</v>
      </c>
      <c r="V6" s="100">
        <v>0.253</v>
      </c>
      <c r="W6" s="76">
        <v>1.48</v>
      </c>
      <c r="X6" s="202"/>
      <c r="Y6" s="50">
        <f t="shared" si="0"/>
        <v>10.404624277456648</v>
      </c>
      <c r="Z6" s="6">
        <f>IF(Y6&lt;LeagueRatings!$K$21,((LeagueRatings!$K$21-Y6)/LeagueRatings!$K$21)*36,(LeagueRatings!$K$21-Y6)*6.48)</f>
        <v>-9.4064243385880459</v>
      </c>
      <c r="AA6" s="16">
        <f>INDEX('C-P-RollAdj'!$B$4:$B$76,MATCH(INT(Z6),'C-P-RollAdj'!$A$4:$A$76,FALSE),0)</f>
        <v>0.98</v>
      </c>
      <c r="AB6" s="16">
        <f t="shared" si="1"/>
        <v>2.8901734104046244</v>
      </c>
      <c r="AC6" s="6">
        <f>IF(AB6&lt;LeagueRatings!$K$19,((LeagueRatings!$K$19-AB6)/LeagueRatings!$K$19)*36,(LeagueRatings!$K$19-AB6)/LeagueRatings!$K$22)</f>
        <v>0.22069001270121091</v>
      </c>
      <c r="AD6" s="16">
        <f>INDEX('C-P-RollAdj'!$F$4:$F$76,MATCH(INT(AC6),'C-P-RollAdj'!$E$4:$E$76,FALSE),0)</f>
        <v>0</v>
      </c>
      <c r="AE6" s="17">
        <f>+((LeagueRatings!$I$17-E6)*5)+9.5</f>
        <v>2.0143872437063619</v>
      </c>
      <c r="AF6" s="17">
        <f t="shared" si="2"/>
        <v>4</v>
      </c>
      <c r="AG6" s="17">
        <f t="shared" si="3"/>
        <v>0.49399709654004303</v>
      </c>
      <c r="AH6" s="4">
        <f t="shared" si="4"/>
        <v>5.4739970965400433</v>
      </c>
      <c r="AI6" s="41" t="s">
        <v>1088</v>
      </c>
      <c r="AJ6" s="5" t="s">
        <v>24</v>
      </c>
      <c r="AK6" s="219">
        <f>INDEX('C-P-RollAdj'!$J$4:$J$76,MATCH(INT(Z6),'C-P-RollAdj'!$I$4:$I$76,FALSE),0)</f>
        <v>-24</v>
      </c>
      <c r="AL6" s="219">
        <f>INDEX('C-P-RollAdj'!$J$4:$J$76,MATCH(INT(AC6),'C-P-RollAdj'!$I$4:$I$76,FALSE),0)</f>
        <v>0</v>
      </c>
      <c r="AM6" s="14">
        <f>+AR6*LeagueRatings!$K$27</f>
        <v>23.333333333333336</v>
      </c>
      <c r="AN6" s="72">
        <f>F6*LeagueRatings!$K$27</f>
        <v>23.888888888888889</v>
      </c>
      <c r="AO6" s="72">
        <f>G6*LeagueRatings!$K$27</f>
        <v>0</v>
      </c>
      <c r="AP6" s="72">
        <f>T6*LeagueRatings!$K$27</f>
        <v>98.8888888888889</v>
      </c>
      <c r="AR6" s="14">
        <f t="shared" si="5"/>
        <v>42</v>
      </c>
    </row>
    <row r="7" spans="1:44" customFormat="1" x14ac:dyDescent="0.2">
      <c r="A7" s="41" t="s">
        <v>746</v>
      </c>
      <c r="B7" s="76" t="s">
        <v>159</v>
      </c>
      <c r="C7" s="76">
        <v>0</v>
      </c>
      <c r="D7" s="76">
        <v>1</v>
      </c>
      <c r="E7" s="97">
        <v>6.75</v>
      </c>
      <c r="F7" s="76">
        <v>32</v>
      </c>
      <c r="G7" s="76">
        <v>0</v>
      </c>
      <c r="H7" s="76">
        <v>0</v>
      </c>
      <c r="I7" s="76">
        <v>0</v>
      </c>
      <c r="J7" s="76">
        <v>0</v>
      </c>
      <c r="K7" s="76">
        <v>1</v>
      </c>
      <c r="L7" s="258">
        <f>INDEX('C-P-RollAdj'!$P$4:$P$900,MATCH((U7),'C-P-RollAdj'!$O$4:$O$900,FALSE),0)</f>
        <v>22.67</v>
      </c>
      <c r="M7" s="76">
        <v>22</v>
      </c>
      <c r="N7" s="76">
        <v>18</v>
      </c>
      <c r="O7" s="76">
        <v>17</v>
      </c>
      <c r="P7" s="76">
        <v>1</v>
      </c>
      <c r="Q7" s="76">
        <v>11</v>
      </c>
      <c r="R7" s="76">
        <v>1</v>
      </c>
      <c r="S7" s="76">
        <v>28</v>
      </c>
      <c r="T7" s="76">
        <v>98</v>
      </c>
      <c r="U7" s="76">
        <v>22.2</v>
      </c>
      <c r="V7" s="100">
        <v>0.25900000000000001</v>
      </c>
      <c r="W7" s="76">
        <v>1.46</v>
      </c>
      <c r="X7" s="202"/>
      <c r="Y7" s="50">
        <f t="shared" si="0"/>
        <v>10.309278350515463</v>
      </c>
      <c r="Z7" s="6">
        <f>IF(Y7&lt;LeagueRatings!$K$21,((LeagueRatings!$K$21-Y7)/LeagueRatings!$K$21)*36,(LeagueRatings!$K$21-Y7)*6.48)</f>
        <v>-8.7885827320091661</v>
      </c>
      <c r="AA7" s="16">
        <f>INDEX('C-P-RollAdj'!$B$4:$B$76,MATCH(INT(Z7),'C-P-RollAdj'!$A$4:$A$76,FALSE),0)</f>
        <v>0.87000000000000011</v>
      </c>
      <c r="AB7" s="16">
        <f t="shared" si="1"/>
        <v>1.0309278350515463</v>
      </c>
      <c r="AC7" s="6">
        <f>IF(AB7&lt;LeagueRatings!$K$19,((LeagueRatings!$K$19-AB7)/LeagueRatings!$K$19)*36,(LeagueRatings!$K$19-AB7)/LeagueRatings!$K$22)</f>
        <v>23.23748324164394</v>
      </c>
      <c r="AD7" s="16">
        <f>INDEX('C-P-RollAdj'!$F$4:$F$76,MATCH(INT(AC7),'C-P-RollAdj'!$E$4:$E$76,FALSE),0)</f>
        <v>-1.88</v>
      </c>
      <c r="AE7" s="17">
        <f>+((LeagueRatings!$I$17-E7)*5)+9.5</f>
        <v>-3.4356127562936365</v>
      </c>
      <c r="AF7" s="17">
        <f t="shared" si="2"/>
        <v>4</v>
      </c>
      <c r="AG7" s="17">
        <f t="shared" si="3"/>
        <v>0.13688134097926835</v>
      </c>
      <c r="AH7" s="4">
        <f t="shared" si="4"/>
        <v>3.1268813409792684</v>
      </c>
      <c r="AI7" s="41" t="s">
        <v>746</v>
      </c>
      <c r="AJ7" s="5" t="s">
        <v>60</v>
      </c>
      <c r="AK7" s="219">
        <f>INDEX('C-P-RollAdj'!$J$4:$J$76,MATCH(INT(Z7),'C-P-RollAdj'!$I$4:$I$76,FALSE),0)</f>
        <v>-23</v>
      </c>
      <c r="AL7" s="219">
        <f>INDEX('C-P-RollAdj'!$J$4:$J$76,MATCH(INT(AC7),'C-P-RollAdj'!$I$4:$I$76,FALSE),0)</f>
        <v>45</v>
      </c>
      <c r="AM7" s="14">
        <f>+AR7*LeagueRatings!$K$27</f>
        <v>12.777777777777779</v>
      </c>
      <c r="AN7" s="72">
        <f>F7*LeagueRatings!$K$27</f>
        <v>17.777777777777779</v>
      </c>
      <c r="AO7" s="72">
        <f>G7*LeagueRatings!$K$27</f>
        <v>0</v>
      </c>
      <c r="AP7" s="72">
        <f>T7*LeagueRatings!$K$27</f>
        <v>54.44444444444445</v>
      </c>
      <c r="AR7" s="14">
        <f t="shared" si="5"/>
        <v>23</v>
      </c>
    </row>
    <row r="8" spans="1:44" customFormat="1" x14ac:dyDescent="0.2">
      <c r="A8" s="41" t="s">
        <v>1085</v>
      </c>
      <c r="B8" s="76" t="s">
        <v>159</v>
      </c>
      <c r="C8" s="76">
        <v>5</v>
      </c>
      <c r="D8" s="76">
        <v>13</v>
      </c>
      <c r="E8" s="97">
        <v>5.15</v>
      </c>
      <c r="F8" s="76">
        <v>36</v>
      </c>
      <c r="G8" s="76">
        <v>24</v>
      </c>
      <c r="H8" s="76">
        <v>0</v>
      </c>
      <c r="I8" s="76">
        <v>0</v>
      </c>
      <c r="J8" s="76">
        <v>1</v>
      </c>
      <c r="K8" s="76">
        <v>1</v>
      </c>
      <c r="L8" s="258">
        <f>INDEX('C-P-RollAdj'!$P$4:$P$900,MATCH((U8),'C-P-RollAdj'!$O$4:$O$900,FALSE),0)</f>
        <v>155.67000000000002</v>
      </c>
      <c r="M8" s="76">
        <v>177</v>
      </c>
      <c r="N8" s="76">
        <v>109</v>
      </c>
      <c r="O8" s="76">
        <v>89</v>
      </c>
      <c r="P8" s="76">
        <v>24</v>
      </c>
      <c r="Q8" s="76">
        <v>66</v>
      </c>
      <c r="R8" s="76">
        <v>2</v>
      </c>
      <c r="S8" s="76">
        <v>131</v>
      </c>
      <c r="T8" s="76">
        <v>701</v>
      </c>
      <c r="U8" s="76">
        <v>155.19999999999999</v>
      </c>
      <c r="V8" s="100">
        <v>0.28599999999999998</v>
      </c>
      <c r="W8" s="76">
        <v>1.56</v>
      </c>
      <c r="X8" s="202"/>
      <c r="Y8" s="50">
        <f t="shared" si="0"/>
        <v>9.1559370529327602</v>
      </c>
      <c r="Z8" s="6">
        <f>IF(Y8&lt;LeagueRatings!$K$21,((LeagueRatings!$K$21-Y8)/LeagueRatings!$K$21)*36,(LeagueRatings!$K$21-Y8)*6.48)</f>
        <v>-1.3149311236732528</v>
      </c>
      <c r="AA8" s="16">
        <f>INDEX('C-P-RollAdj'!$B$4:$B$76,MATCH(INT(Z8),'C-P-RollAdj'!$A$4:$A$76,FALSE),0)</f>
        <v>0.18</v>
      </c>
      <c r="AB8" s="16">
        <f t="shared" si="1"/>
        <v>3.4334763948497855</v>
      </c>
      <c r="AC8" s="6">
        <f>IF(AB8&lt;LeagueRatings!$K$19,((LeagueRatings!$K$19-AB8)/LeagueRatings!$K$19)*36,(LeagueRatings!$K$19-AB8)/LeagueRatings!$K$22)</f>
        <v>-4.2458369098712447</v>
      </c>
      <c r="AD8" s="16">
        <f>INDEX('C-P-RollAdj'!$F$4:$F$76,MATCH(INT(AC8),'C-P-RollAdj'!$E$4:$E$76,FALSE),0)</f>
        <v>0.42</v>
      </c>
      <c r="AE8" s="17">
        <f>+((LeagueRatings!$I$17-E8)*5)+9.5</f>
        <v>4.5643872437063608</v>
      </c>
      <c r="AF8" s="17">
        <f t="shared" si="2"/>
        <v>4.5643872437063608</v>
      </c>
      <c r="AG8" s="17">
        <f t="shared" si="3"/>
        <v>-0.68510310271728603</v>
      </c>
      <c r="AH8" s="4">
        <f t="shared" si="4"/>
        <v>4.4792841409890745</v>
      </c>
      <c r="AI8" s="41" t="s">
        <v>1085</v>
      </c>
      <c r="AJ8" s="5" t="s">
        <v>19</v>
      </c>
      <c r="AK8" s="219">
        <f>INDEX('C-P-RollAdj'!$J$4:$J$76,MATCH(INT(Z8),'C-P-RollAdj'!$I$4:$I$76,FALSE),0)</f>
        <v>-12</v>
      </c>
      <c r="AL8" s="219">
        <f>INDEX('C-P-RollAdj'!$J$4:$J$76,MATCH(INT(AC8),'C-P-RollAdj'!$I$4:$I$76,FALSE),0)</f>
        <v>-15</v>
      </c>
      <c r="AM8" s="14">
        <f>+AR8*LeagueRatings!$K$27</f>
        <v>86.666666666666671</v>
      </c>
      <c r="AN8" s="72">
        <f>F8*LeagueRatings!$K$27</f>
        <v>20</v>
      </c>
      <c r="AO8" s="72">
        <f>G8*LeagueRatings!$K$27</f>
        <v>13.333333333333334</v>
      </c>
      <c r="AP8" s="72">
        <f>T8*LeagueRatings!$K$27</f>
        <v>389.44444444444446</v>
      </c>
      <c r="AR8" s="14">
        <f t="shared" si="5"/>
        <v>156</v>
      </c>
    </row>
    <row r="9" spans="1:44" customFormat="1" x14ac:dyDescent="0.2">
      <c r="A9" s="41" t="s">
        <v>509</v>
      </c>
      <c r="B9" s="76" t="s">
        <v>159</v>
      </c>
      <c r="C9" s="76">
        <v>4</v>
      </c>
      <c r="D9" s="76">
        <v>5</v>
      </c>
      <c r="E9" s="97">
        <v>4.26</v>
      </c>
      <c r="F9" s="76">
        <v>13</v>
      </c>
      <c r="G9" s="76">
        <v>10</v>
      </c>
      <c r="H9" s="76">
        <v>0</v>
      </c>
      <c r="I9" s="76">
        <v>0</v>
      </c>
      <c r="J9" s="76">
        <v>0</v>
      </c>
      <c r="K9" s="76">
        <v>0</v>
      </c>
      <c r="L9" s="258">
        <f>INDEX('C-P-RollAdj'!$P$4:$P$900,MATCH((U9),'C-P-RollAdj'!$O$4:$O$900,FALSE),0)</f>
        <v>50.67</v>
      </c>
      <c r="M9" s="76">
        <v>43</v>
      </c>
      <c r="N9" s="76">
        <v>26</v>
      </c>
      <c r="O9" s="76">
        <v>24</v>
      </c>
      <c r="P9" s="76">
        <v>8</v>
      </c>
      <c r="Q9" s="76">
        <v>20</v>
      </c>
      <c r="R9" s="76">
        <v>1</v>
      </c>
      <c r="S9" s="76">
        <v>54</v>
      </c>
      <c r="T9" s="76">
        <v>222</v>
      </c>
      <c r="U9" s="76">
        <v>50.2</v>
      </c>
      <c r="V9" s="100">
        <v>0.219</v>
      </c>
      <c r="W9" s="76">
        <v>1.24</v>
      </c>
      <c r="X9" s="202"/>
      <c r="Y9" s="50">
        <f t="shared" si="0"/>
        <v>8.5972850678733028</v>
      </c>
      <c r="Z9" s="6">
        <f>IF(Y9&lt;LeagueRatings!$K$21,((LeagueRatings!$K$21-Y9)/LeagueRatings!$K$21)*36,(LeagueRatings!$K$21-Y9)*6.48)</f>
        <v>1.4303893960412744</v>
      </c>
      <c r="AA9" s="16">
        <f>INDEX('C-P-RollAdj'!$B$4:$B$76,MATCH(INT(Z9),'C-P-RollAdj'!$A$4:$A$76,FALSE),0)</f>
        <v>-0.08</v>
      </c>
      <c r="AB9" s="16">
        <f t="shared" si="1"/>
        <v>3.6199095022624439</v>
      </c>
      <c r="AC9" s="6">
        <f>IF(AB9&lt;LeagueRatings!$K$19,((LeagueRatings!$K$19-AB9)/LeagueRatings!$K$19)*36,(LeagueRatings!$K$19-AB9)/LeagueRatings!$K$22)</f>
        <v>-5.7522127800463556</v>
      </c>
      <c r="AD9" s="16">
        <f>INDEX('C-P-RollAdj'!$F$4:$F$76,MATCH(INT(AC9),'C-P-RollAdj'!$E$4:$E$76,FALSE),0)</f>
        <v>0.51</v>
      </c>
      <c r="AE9" s="17">
        <f>+((LeagueRatings!$I$17-E9)*5)+9.5</f>
        <v>9.0143872437063628</v>
      </c>
      <c r="AF9" s="17">
        <f t="shared" si="2"/>
        <v>9.0143872437063628</v>
      </c>
      <c r="AG9" s="17">
        <f t="shared" si="3"/>
        <v>0.98960134201697292</v>
      </c>
      <c r="AH9" s="4">
        <f t="shared" si="4"/>
        <v>10.433988585723336</v>
      </c>
      <c r="AI9" s="41" t="s">
        <v>509</v>
      </c>
      <c r="AJ9" s="5" t="s">
        <v>68</v>
      </c>
      <c r="AK9" s="219">
        <f>INDEX('C-P-RollAdj'!$J$4:$J$76,MATCH(INT(Z9),'C-P-RollAdj'!$I$4:$I$76,FALSE),0)</f>
        <v>11</v>
      </c>
      <c r="AL9" s="219">
        <f>INDEX('C-P-RollAdj'!$J$4:$J$76,MATCH(INT(AC9),'C-P-RollAdj'!$I$4:$I$76,FALSE),0)</f>
        <v>-16</v>
      </c>
      <c r="AM9" s="14">
        <f>+AR9*LeagueRatings!$K$27</f>
        <v>28.333333333333336</v>
      </c>
      <c r="AN9" s="72">
        <f>F9*LeagueRatings!$K$27</f>
        <v>7.2222222222222223</v>
      </c>
      <c r="AO9" s="72">
        <f>G9*LeagueRatings!$K$27</f>
        <v>5.5555555555555554</v>
      </c>
      <c r="AP9" s="72">
        <f>T9*LeagueRatings!$K$27</f>
        <v>123.33333333333334</v>
      </c>
      <c r="AR9" s="14">
        <f t="shared" si="5"/>
        <v>51</v>
      </c>
    </row>
    <row r="10" spans="1:44" customFormat="1" x14ac:dyDescent="0.2">
      <c r="A10" s="41" t="s">
        <v>326</v>
      </c>
      <c r="B10" s="76" t="s">
        <v>159</v>
      </c>
      <c r="C10" s="76">
        <v>5</v>
      </c>
      <c r="D10" s="76">
        <v>2</v>
      </c>
      <c r="E10" s="97">
        <v>4.4400000000000004</v>
      </c>
      <c r="F10" s="76">
        <v>79</v>
      </c>
      <c r="G10" s="76">
        <v>0</v>
      </c>
      <c r="H10" s="76">
        <v>0</v>
      </c>
      <c r="I10" s="76">
        <v>0</v>
      </c>
      <c r="J10" s="76">
        <v>0</v>
      </c>
      <c r="K10" s="76">
        <v>3</v>
      </c>
      <c r="L10" s="258">
        <f>INDEX('C-P-RollAdj'!$P$4:$P$900,MATCH((U10),'C-P-RollAdj'!$O$4:$O$900,FALSE),0)</f>
        <v>75</v>
      </c>
      <c r="M10" s="76">
        <v>77</v>
      </c>
      <c r="N10" s="76">
        <v>39</v>
      </c>
      <c r="O10" s="76">
        <v>37</v>
      </c>
      <c r="P10" s="76">
        <v>8</v>
      </c>
      <c r="Q10" s="76">
        <v>36</v>
      </c>
      <c r="R10" s="76">
        <v>3</v>
      </c>
      <c r="S10" s="76">
        <v>68</v>
      </c>
      <c r="T10" s="76">
        <v>337</v>
      </c>
      <c r="U10" s="76">
        <v>75</v>
      </c>
      <c r="V10" s="100">
        <v>0.26500000000000001</v>
      </c>
      <c r="W10" s="76">
        <v>1.51</v>
      </c>
      <c r="X10" s="202"/>
      <c r="Y10" s="50">
        <f t="shared" si="0"/>
        <v>9.8802395209580833</v>
      </c>
      <c r="Z10" s="53">
        <f>IF(Y10&lt;LeagueRatings!$K$21,((LeagueRatings!$K$21-Y10)/LeagueRatings!$K$21)*36,(LeagueRatings!$K$21-Y10)*6.48)</f>
        <v>-6.0084111164773475</v>
      </c>
      <c r="AA10" s="16">
        <f>INDEX('C-P-RollAdj'!$B$4:$B$76,MATCH(INT(Z10),'C-P-RollAdj'!$A$4:$A$76,FALSE),0)</f>
        <v>0.65</v>
      </c>
      <c r="AB10" s="16">
        <f t="shared" si="1"/>
        <v>2.3952095808383236</v>
      </c>
      <c r="AC10" s="53">
        <f>IF(AB10&lt;LeagueRatings!$K$19,((LeagueRatings!$K$19-AB10)/LeagueRatings!$K$19)*36,(LeagueRatings!$K$19-AB10)/LeagueRatings!$K$22)</f>
        <v>6.3481646572326191</v>
      </c>
      <c r="AD10" s="16">
        <f>INDEX('C-P-RollAdj'!$F$4:$F$76,MATCH(INT(AC10),'C-P-RollAdj'!$E$4:$E$76,FALSE),0)</f>
        <v>-0.42000000000000004</v>
      </c>
      <c r="AE10" s="55">
        <f>+((LeagueRatings!$I$17-E10)*5)+9.5</f>
        <v>8.1143872437063607</v>
      </c>
      <c r="AF10" s="55">
        <f t="shared" si="2"/>
        <v>8.1143872437063607</v>
      </c>
      <c r="AG10" s="17">
        <f t="shared" si="3"/>
        <v>-0.13333333333333308</v>
      </c>
      <c r="AH10" s="56">
        <f t="shared" si="4"/>
        <v>8.2110539103730282</v>
      </c>
      <c r="AI10" s="41" t="s">
        <v>326</v>
      </c>
      <c r="AJ10" s="5" t="s">
        <v>34</v>
      </c>
      <c r="AK10" s="219">
        <f>INDEX('C-P-RollAdj'!$J$4:$J$76,MATCH(INT(Z10),'C-P-RollAdj'!$I$4:$I$76,FALSE),0)</f>
        <v>-21</v>
      </c>
      <c r="AL10" s="219">
        <f>INDEX('C-P-RollAdj'!$J$4:$J$76,MATCH(INT(AC10),'C-P-RollAdj'!$I$4:$I$76,FALSE),0)</f>
        <v>16</v>
      </c>
      <c r="AM10" s="14">
        <f>+AR10*LeagueRatings!$K$27</f>
        <v>41.666666666666671</v>
      </c>
      <c r="AN10" s="72">
        <f>F10*LeagueRatings!$K$27</f>
        <v>43.888888888888893</v>
      </c>
      <c r="AO10" s="72">
        <f>G10*LeagueRatings!$K$27</f>
        <v>0</v>
      </c>
      <c r="AP10" s="72">
        <f>T10*LeagueRatings!$K$27</f>
        <v>187.22222222222223</v>
      </c>
      <c r="AR10" s="14">
        <f t="shared" si="5"/>
        <v>75</v>
      </c>
    </row>
    <row r="11" spans="1:44" customFormat="1" x14ac:dyDescent="0.2">
      <c r="A11" s="41" t="s">
        <v>1084</v>
      </c>
      <c r="B11" s="76" t="s">
        <v>159</v>
      </c>
      <c r="C11" s="76">
        <v>5</v>
      </c>
      <c r="D11" s="76">
        <v>4</v>
      </c>
      <c r="E11" s="97">
        <v>6.39</v>
      </c>
      <c r="F11" s="76">
        <v>27</v>
      </c>
      <c r="G11" s="76">
        <v>9</v>
      </c>
      <c r="H11" s="76">
        <v>0</v>
      </c>
      <c r="I11" s="76">
        <v>0</v>
      </c>
      <c r="J11" s="76">
        <v>0</v>
      </c>
      <c r="K11" s="76">
        <v>1</v>
      </c>
      <c r="L11" s="258">
        <f>INDEX('C-P-RollAdj'!$P$4:$P$900,MATCH((U11),'C-P-RollAdj'!$O$4:$O$900,FALSE),0)</f>
        <v>74.67</v>
      </c>
      <c r="M11" s="76">
        <v>86</v>
      </c>
      <c r="N11" s="76">
        <v>54</v>
      </c>
      <c r="O11" s="76">
        <v>53</v>
      </c>
      <c r="P11" s="76">
        <v>13</v>
      </c>
      <c r="Q11" s="76">
        <v>25</v>
      </c>
      <c r="R11" s="76">
        <v>4</v>
      </c>
      <c r="S11" s="76">
        <v>60</v>
      </c>
      <c r="T11" s="76">
        <v>335</v>
      </c>
      <c r="U11" s="76">
        <v>74.2</v>
      </c>
      <c r="V11" s="100">
        <v>0.28899999999999998</v>
      </c>
      <c r="W11" s="76">
        <v>1.49</v>
      </c>
      <c r="X11" s="202"/>
      <c r="Y11" s="50">
        <f t="shared" si="0"/>
        <v>6.3444108761329305</v>
      </c>
      <c r="Z11" s="6">
        <f>IF(Y11&lt;LeagueRatings!$K$21,((LeagueRatings!$K$21-Y11)/LeagueRatings!$K$21)*36,(LeagueRatings!$K$21-Y11)*6.48)</f>
        <v>10.48917748243402</v>
      </c>
      <c r="AA11" s="16">
        <f>INDEX('C-P-RollAdj'!$B$4:$B$76,MATCH(INT(Z11),'C-P-RollAdj'!$A$4:$A$76,FALSE),0)</f>
        <v>-0.83000000000000007</v>
      </c>
      <c r="AB11" s="16">
        <f t="shared" si="1"/>
        <v>3.9274924471299091</v>
      </c>
      <c r="AC11" s="6">
        <f>IF(AB11&lt;LeagueRatings!$K$19,((LeagueRatings!$K$19-AB11)/LeagueRatings!$K$19)*36,(LeagueRatings!$K$19-AB11)/LeagueRatings!$K$22)</f>
        <v>-8.2374769729570367</v>
      </c>
      <c r="AD11" s="16">
        <f>INDEX('C-P-RollAdj'!$F$4:$F$76,MATCH(INT(AC11),'C-P-RollAdj'!$E$4:$E$76,FALSE),0)</f>
        <v>0.81</v>
      </c>
      <c r="AE11" s="17">
        <f>+((LeagueRatings!$I$17-E11)*5)+9.5</f>
        <v>-1.6356127562936358</v>
      </c>
      <c r="AF11" s="17">
        <f t="shared" si="2"/>
        <v>4</v>
      </c>
      <c r="AG11" s="17">
        <f t="shared" si="3"/>
        <v>-0.75867148788000494</v>
      </c>
      <c r="AH11" s="4">
        <f t="shared" si="4"/>
        <v>3.221328512119995</v>
      </c>
      <c r="AI11" s="41" t="s">
        <v>1084</v>
      </c>
      <c r="AJ11" s="5" t="s">
        <v>60</v>
      </c>
      <c r="AK11" s="219">
        <f>INDEX('C-P-RollAdj'!$J$4:$J$76,MATCH(INT(Z11),'C-P-RollAdj'!$I$4:$I$76,FALSE),0)</f>
        <v>24</v>
      </c>
      <c r="AL11" s="219">
        <f>INDEX('C-P-RollAdj'!$J$4:$J$76,MATCH(INT(AC11),'C-P-RollAdj'!$I$4:$I$76,FALSE),0)</f>
        <v>-23</v>
      </c>
      <c r="AM11" s="14">
        <f>+AR11*LeagueRatings!$K$27</f>
        <v>41.666666666666671</v>
      </c>
      <c r="AN11" s="72">
        <f>F11*LeagueRatings!$K$27</f>
        <v>15</v>
      </c>
      <c r="AO11" s="72">
        <f>G11*LeagueRatings!$K$27</f>
        <v>5</v>
      </c>
      <c r="AP11" s="72">
        <f>T11*LeagueRatings!$K$27</f>
        <v>186.11111111111111</v>
      </c>
      <c r="AR11" s="14">
        <f t="shared" si="5"/>
        <v>75</v>
      </c>
    </row>
    <row r="12" spans="1:44" customFormat="1" x14ac:dyDescent="0.2">
      <c r="A12" s="41" t="s">
        <v>379</v>
      </c>
      <c r="B12" s="76" t="s">
        <v>159</v>
      </c>
      <c r="C12" s="76">
        <v>13</v>
      </c>
      <c r="D12" s="76">
        <v>7</v>
      </c>
      <c r="E12" s="97">
        <v>4.37</v>
      </c>
      <c r="F12" s="76">
        <v>26</v>
      </c>
      <c r="G12" s="76">
        <v>26</v>
      </c>
      <c r="H12" s="76">
        <v>1</v>
      </c>
      <c r="I12" s="76">
        <v>1</v>
      </c>
      <c r="J12" s="76">
        <v>0</v>
      </c>
      <c r="K12" s="76">
        <v>0</v>
      </c>
      <c r="L12" s="258">
        <f>INDEX('C-P-RollAdj'!$P$4:$P$900,MATCH((U12),'C-P-RollAdj'!$O$4:$O$900,FALSE),0)</f>
        <v>158.67000000000002</v>
      </c>
      <c r="M12" s="76">
        <v>161</v>
      </c>
      <c r="N12" s="76">
        <v>80</v>
      </c>
      <c r="O12" s="76">
        <v>77</v>
      </c>
      <c r="P12" s="76">
        <v>23</v>
      </c>
      <c r="Q12" s="76">
        <v>41</v>
      </c>
      <c r="R12" s="76">
        <v>3</v>
      </c>
      <c r="S12" s="76">
        <v>134</v>
      </c>
      <c r="T12" s="76">
        <v>667</v>
      </c>
      <c r="U12" s="76">
        <v>158.19999999999999</v>
      </c>
      <c r="V12" s="100">
        <v>0.26200000000000001</v>
      </c>
      <c r="W12" s="76">
        <v>1.27</v>
      </c>
      <c r="X12" s="202"/>
      <c r="Y12" s="50">
        <f t="shared" si="0"/>
        <v>5.7228915662650603</v>
      </c>
      <c r="Z12" s="6">
        <f>IF(Y12&lt;LeagueRatings!$K$21,((LeagueRatings!$K$21-Y12)/LeagueRatings!$K$21)*36,(LeagueRatings!$K$21-Y12)*6.48)</f>
        <v>12.988301375075666</v>
      </c>
      <c r="AA12" s="16">
        <f>INDEX('C-P-RollAdj'!$B$4:$B$76,MATCH(INT(Z12),'C-P-RollAdj'!$A$4:$A$76,FALSE),0)</f>
        <v>-1.01</v>
      </c>
      <c r="AB12" s="16">
        <f t="shared" si="1"/>
        <v>3.463855421686747</v>
      </c>
      <c r="AC12" s="6">
        <f>IF(AB12&lt;LeagueRatings!$K$19,((LeagueRatings!$K$19-AB12)/LeagueRatings!$K$19)*36,(LeagueRatings!$K$19-AB12)/LeagueRatings!$K$22)</f>
        <v>-4.4912988539523937</v>
      </c>
      <c r="AD12" s="16">
        <f>INDEX('C-P-RollAdj'!$F$4:$F$76,MATCH(INT(AC12),'C-P-RollAdj'!$E$4:$E$76,FALSE),0)</f>
        <v>0.42</v>
      </c>
      <c r="AE12" s="17">
        <f>+((LeagueRatings!$I$17-E12)*5)+9.5</f>
        <v>8.4643872437063621</v>
      </c>
      <c r="AF12" s="17">
        <f t="shared" si="2"/>
        <v>8.4643872437063621</v>
      </c>
      <c r="AG12" s="17">
        <f t="shared" si="3"/>
        <v>-7.3422827251528044E-2</v>
      </c>
      <c r="AH12" s="4">
        <f t="shared" si="4"/>
        <v>7.8009644164548337</v>
      </c>
      <c r="AI12" s="41" t="s">
        <v>379</v>
      </c>
      <c r="AJ12" s="5" t="s">
        <v>55</v>
      </c>
      <c r="AK12" s="219">
        <f>INDEX('C-P-RollAdj'!$J$4:$J$76,MATCH(INT(Z12),'C-P-RollAdj'!$I$4:$I$76,FALSE),0)</f>
        <v>26</v>
      </c>
      <c r="AL12" s="219">
        <f>INDEX('C-P-RollAdj'!$J$4:$J$76,MATCH(INT(AC12),'C-P-RollAdj'!$I$4:$I$76,FALSE),0)</f>
        <v>-15</v>
      </c>
      <c r="AM12" s="14">
        <f>+AR12*LeagueRatings!$K$27</f>
        <v>88.333333333333343</v>
      </c>
      <c r="AN12" s="72">
        <f>F12*LeagueRatings!$K$27</f>
        <v>14.444444444444445</v>
      </c>
      <c r="AO12" s="72">
        <f>G12*LeagueRatings!$K$27</f>
        <v>14.444444444444445</v>
      </c>
      <c r="AP12" s="72">
        <f>T12*LeagueRatings!$K$27</f>
        <v>370.5555555555556</v>
      </c>
      <c r="AR12" s="14">
        <f t="shared" si="5"/>
        <v>159</v>
      </c>
    </row>
    <row r="13" spans="1:44" customFormat="1" x14ac:dyDescent="0.2">
      <c r="A13" s="41" t="s">
        <v>750</v>
      </c>
      <c r="B13" s="76" t="s">
        <v>159</v>
      </c>
      <c r="C13" s="76">
        <v>3</v>
      </c>
      <c r="D13" s="76">
        <v>2</v>
      </c>
      <c r="E13" s="97">
        <v>5.22</v>
      </c>
      <c r="F13" s="76">
        <v>70</v>
      </c>
      <c r="G13" s="76">
        <v>0</v>
      </c>
      <c r="H13" s="76">
        <v>0</v>
      </c>
      <c r="I13" s="76">
        <v>0</v>
      </c>
      <c r="J13" s="76">
        <v>5</v>
      </c>
      <c r="K13" s="76">
        <v>7</v>
      </c>
      <c r="L13" s="258">
        <f>INDEX('C-P-RollAdj'!$P$4:$P$900,MATCH((U13),'C-P-RollAdj'!$O$4:$O$900,FALSE),0)</f>
        <v>60.33</v>
      </c>
      <c r="M13" s="76">
        <v>65</v>
      </c>
      <c r="N13" s="76">
        <v>40</v>
      </c>
      <c r="O13" s="76">
        <v>35</v>
      </c>
      <c r="P13" s="76">
        <v>6</v>
      </c>
      <c r="Q13" s="76">
        <v>22</v>
      </c>
      <c r="R13" s="76">
        <v>3</v>
      </c>
      <c r="S13" s="76">
        <v>58</v>
      </c>
      <c r="T13" s="76">
        <v>268</v>
      </c>
      <c r="U13" s="76">
        <v>60.1</v>
      </c>
      <c r="V13" s="100">
        <v>0.26900000000000002</v>
      </c>
      <c r="W13" s="76">
        <v>1.44</v>
      </c>
      <c r="X13" s="202"/>
      <c r="Y13" s="50">
        <f t="shared" si="0"/>
        <v>7.1698113207547172</v>
      </c>
      <c r="Z13" s="6">
        <f>IF(Y13&lt;LeagueRatings!$K$21,((LeagueRatings!$K$21-Y13)/LeagueRatings!$K$21)*36,(LeagueRatings!$K$21-Y13)*6.48)</f>
        <v>7.1702492699061171</v>
      </c>
      <c r="AA13" s="16">
        <f>INDEX('C-P-RollAdj'!$B$4:$B$76,MATCH(INT(Z13),'C-P-RollAdj'!$A$4:$A$76,FALSE),0)</f>
        <v>-0.56000000000000005</v>
      </c>
      <c r="AB13" s="16">
        <f t="shared" si="1"/>
        <v>2.2641509433962264</v>
      </c>
      <c r="AC13" s="6">
        <f>IF(AB13&lt;LeagueRatings!$K$19,((LeagueRatings!$K$19-AB13)/LeagueRatings!$K$19)*36,(LeagueRatings!$K$19-AB13)/LeagueRatings!$K$22)</f>
        <v>7.9706235722142331</v>
      </c>
      <c r="AD13" s="16">
        <f>INDEX('C-P-RollAdj'!$F$4:$F$76,MATCH(INT(AC13),'C-P-RollAdj'!$E$4:$E$76,FALSE),0)</f>
        <v>-0.49000000000000005</v>
      </c>
      <c r="AE13" s="17">
        <f>+((LeagueRatings!$I$17-E13)*5)+9.5</f>
        <v>4.2143872437063639</v>
      </c>
      <c r="AF13" s="17">
        <f t="shared" si="2"/>
        <v>4.2143872437063639</v>
      </c>
      <c r="AG13" s="17">
        <f t="shared" si="3"/>
        <v>-0.38703795789822637</v>
      </c>
      <c r="AH13" s="4">
        <f t="shared" si="4"/>
        <v>2.7773492858081377</v>
      </c>
      <c r="AI13" s="41" t="s">
        <v>750</v>
      </c>
      <c r="AJ13" s="5" t="s">
        <v>78</v>
      </c>
      <c r="AK13" s="219">
        <f>INDEX('C-P-RollAdj'!$J$4:$J$76,MATCH(INT(Z13),'C-P-RollAdj'!$I$4:$I$76,FALSE),0)</f>
        <v>21</v>
      </c>
      <c r="AL13" s="219">
        <f>INDEX('C-P-RollAdj'!$J$4:$J$76,MATCH(INT(AC13),'C-P-RollAdj'!$I$4:$I$76,FALSE),0)</f>
        <v>21</v>
      </c>
      <c r="AM13" s="14">
        <f>+AR13*LeagueRatings!$K$27</f>
        <v>33.888888888888893</v>
      </c>
      <c r="AN13" s="72">
        <f>F13*LeagueRatings!$K$27</f>
        <v>38.888888888888893</v>
      </c>
      <c r="AO13" s="72">
        <f>G13*LeagueRatings!$K$27</f>
        <v>0</v>
      </c>
      <c r="AP13" s="72">
        <f>T13*LeagueRatings!$K$27</f>
        <v>148.88888888888889</v>
      </c>
      <c r="AR13" s="14">
        <f t="shared" si="5"/>
        <v>61</v>
      </c>
    </row>
    <row r="14" spans="1:44" customFormat="1" x14ac:dyDescent="0.2">
      <c r="A14" s="41" t="s">
        <v>467</v>
      </c>
      <c r="B14" s="76" t="s">
        <v>159</v>
      </c>
      <c r="C14" s="76">
        <v>3</v>
      </c>
      <c r="D14" s="76">
        <v>12</v>
      </c>
      <c r="E14" s="97">
        <v>6.15</v>
      </c>
      <c r="F14" s="76">
        <v>20</v>
      </c>
      <c r="G14" s="76">
        <v>20</v>
      </c>
      <c r="H14" s="76">
        <v>1</v>
      </c>
      <c r="I14" s="76">
        <v>1</v>
      </c>
      <c r="J14" s="76">
        <v>0</v>
      </c>
      <c r="K14" s="76">
        <v>0</v>
      </c>
      <c r="L14" s="258">
        <f>INDEX('C-P-RollAdj'!$P$4:$P$900,MATCH((U14),'C-P-RollAdj'!$O$4:$O$900,FALSE),0)</f>
        <v>101</v>
      </c>
      <c r="M14" s="76">
        <v>127</v>
      </c>
      <c r="N14" s="76">
        <v>72</v>
      </c>
      <c r="O14" s="76">
        <v>69</v>
      </c>
      <c r="P14" s="76">
        <v>14</v>
      </c>
      <c r="Q14" s="76">
        <v>42</v>
      </c>
      <c r="R14" s="76">
        <v>3</v>
      </c>
      <c r="S14" s="76">
        <v>70</v>
      </c>
      <c r="T14" s="76">
        <v>460</v>
      </c>
      <c r="U14" s="76">
        <v>101</v>
      </c>
      <c r="V14" s="100">
        <v>0.31</v>
      </c>
      <c r="W14" s="76">
        <v>1.67</v>
      </c>
      <c r="X14" s="202"/>
      <c r="Y14" s="50">
        <f t="shared" si="0"/>
        <v>8.5339168490153181</v>
      </c>
      <c r="Z14" s="6">
        <f>IF(Y14&lt;LeagueRatings!$K$21,((LeagueRatings!$K$21-Y14)/LeagueRatings!$K$21)*36,(LeagueRatings!$K$21-Y14)*6.48)</f>
        <v>1.685192468556916</v>
      </c>
      <c r="AA14" s="16">
        <f>INDEX('C-P-RollAdj'!$B$4:$B$76,MATCH(INT(Z14),'C-P-RollAdj'!$A$4:$A$76,FALSE),0)</f>
        <v>-0.08</v>
      </c>
      <c r="AB14" s="16">
        <f t="shared" si="1"/>
        <v>3.0634573304157549</v>
      </c>
      <c r="AC14" s="6">
        <f>IF(AB14&lt;LeagueRatings!$K$19,((LeagueRatings!$K$19-AB14)/LeagueRatings!$K$19)*36,(LeagueRatings!$K$19-AB14)/LeagueRatings!$K$22)</f>
        <v>-1.2560900891284608</v>
      </c>
      <c r="AD14" s="16">
        <f>INDEX('C-P-RollAdj'!$F$4:$F$76,MATCH(INT(AC14),'C-P-RollAdj'!$E$4:$E$76,FALSE),0)</f>
        <v>0.16</v>
      </c>
      <c r="AE14" s="17">
        <f>+((LeagueRatings!$I$17-E14)*5)+9.5</f>
        <v>-0.43561275629364005</v>
      </c>
      <c r="AF14" s="17">
        <f t="shared" si="2"/>
        <v>4</v>
      </c>
      <c r="AG14" s="17">
        <f t="shared" si="3"/>
        <v>-1.2871287128712872</v>
      </c>
      <c r="AH14" s="4">
        <f t="shared" si="4"/>
        <v>2.7928712871287127</v>
      </c>
      <c r="AI14" s="41" t="s">
        <v>467</v>
      </c>
      <c r="AJ14" s="5" t="s">
        <v>78</v>
      </c>
      <c r="AK14" s="219">
        <f>INDEX('C-P-RollAdj'!$J$4:$J$76,MATCH(INT(Z14),'C-P-RollAdj'!$I$4:$I$76,FALSE),0)</f>
        <v>11</v>
      </c>
      <c r="AL14" s="219">
        <f>INDEX('C-P-RollAdj'!$J$4:$J$76,MATCH(INT(AC14),'C-P-RollAdj'!$I$4:$I$76,FALSE),0)</f>
        <v>-12</v>
      </c>
      <c r="AM14" s="14">
        <f>+AR14*LeagueRatings!$K$27</f>
        <v>56.111111111111114</v>
      </c>
      <c r="AN14" s="72">
        <f>F14*LeagueRatings!$K$27</f>
        <v>11.111111111111111</v>
      </c>
      <c r="AO14" s="72">
        <f>G14*LeagueRatings!$K$27</f>
        <v>11.111111111111111</v>
      </c>
      <c r="AP14" s="72">
        <f>T14*LeagueRatings!$K$27</f>
        <v>255.55555555555557</v>
      </c>
      <c r="AR14" s="14">
        <f t="shared" si="5"/>
        <v>101</v>
      </c>
    </row>
    <row r="15" spans="1:44" s="12" customFormat="1" x14ac:dyDescent="0.2">
      <c r="A15" s="41" t="s">
        <v>801</v>
      </c>
      <c r="B15" s="76" t="s">
        <v>159</v>
      </c>
      <c r="C15" s="76">
        <v>8</v>
      </c>
      <c r="D15" s="76">
        <v>15</v>
      </c>
      <c r="E15" s="97">
        <v>4.9000000000000004</v>
      </c>
      <c r="F15" s="76">
        <v>32</v>
      </c>
      <c r="G15" s="76">
        <v>32</v>
      </c>
      <c r="H15" s="76">
        <v>0</v>
      </c>
      <c r="I15" s="76">
        <v>0</v>
      </c>
      <c r="J15" s="76">
        <v>0</v>
      </c>
      <c r="K15" s="76">
        <v>0</v>
      </c>
      <c r="L15" s="258">
        <f>INDEX('C-P-RollAdj'!$P$4:$P$900,MATCH((U15),'C-P-RollAdj'!$O$4:$O$900,FALSE),0)</f>
        <v>174.32999999999998</v>
      </c>
      <c r="M15" s="76">
        <v>185</v>
      </c>
      <c r="N15" s="76">
        <v>105</v>
      </c>
      <c r="O15" s="76">
        <v>95</v>
      </c>
      <c r="P15" s="76">
        <v>24</v>
      </c>
      <c r="Q15" s="76">
        <v>71</v>
      </c>
      <c r="R15" s="76">
        <v>4</v>
      </c>
      <c r="S15" s="76">
        <v>218</v>
      </c>
      <c r="T15" s="76">
        <v>776</v>
      </c>
      <c r="U15" s="76">
        <v>174.1</v>
      </c>
      <c r="V15" s="100">
        <v>0.26700000000000002</v>
      </c>
      <c r="W15" s="76">
        <v>1.47</v>
      </c>
      <c r="X15" s="202"/>
      <c r="Y15" s="50">
        <f t="shared" si="0"/>
        <v>8.6787564766839385</v>
      </c>
      <c r="Z15" s="6">
        <f>IF(Y15&lt;LeagueRatings!$K$21,((LeagueRatings!$K$21-Y15)/LeagueRatings!$K$21)*36,(LeagueRatings!$K$21-Y15)*6.48)</f>
        <v>1.1027935497125096</v>
      </c>
      <c r="AA15" s="16">
        <f>INDEX('C-P-RollAdj'!$B$4:$B$76,MATCH(INT(Z15),'C-P-RollAdj'!$A$4:$A$76,FALSE),0)</f>
        <v>-0.08</v>
      </c>
      <c r="AB15" s="16">
        <f t="shared" si="1"/>
        <v>3.1088082901554404</v>
      </c>
      <c r="AC15" s="6">
        <f>IF(AB15&lt;LeagueRatings!$K$19,((LeagueRatings!$K$19-AB15)/LeagueRatings!$K$19)*36,(LeagueRatings!$K$19-AB15)/LeagueRatings!$K$22)</f>
        <v>-1.6225249589283441</v>
      </c>
      <c r="AD15" s="16">
        <f>INDEX('C-P-RollAdj'!$F$4:$F$76,MATCH(INT(AC15),'C-P-RollAdj'!$E$4:$E$76,FALSE),0)</f>
        <v>0.16</v>
      </c>
      <c r="AE15" s="17">
        <f>+((LeagueRatings!$I$17-E15)*5)+9.5</f>
        <v>5.8143872437063608</v>
      </c>
      <c r="AF15" s="17">
        <f t="shared" si="2"/>
        <v>5.8143872437063608</v>
      </c>
      <c r="AG15" s="17">
        <f t="shared" si="3"/>
        <v>-0.30602879596168253</v>
      </c>
      <c r="AH15" s="4">
        <f t="shared" si="4"/>
        <v>5.5883584477446782</v>
      </c>
      <c r="AI15" s="41" t="s">
        <v>801</v>
      </c>
      <c r="AJ15" s="5" t="s">
        <v>24</v>
      </c>
      <c r="AK15" s="219">
        <f>INDEX('C-P-RollAdj'!$J$4:$J$76,MATCH(INT(Z15),'C-P-RollAdj'!$I$4:$I$76,FALSE),0)</f>
        <v>11</v>
      </c>
      <c r="AL15" s="219">
        <f>INDEX('C-P-RollAdj'!$J$4:$J$76,MATCH(INT(AC15),'C-P-RollAdj'!$I$4:$I$76,FALSE),0)</f>
        <v>-12</v>
      </c>
      <c r="AM15" s="14">
        <f>+AR15*LeagueRatings!$K$27</f>
        <v>97.222222222222229</v>
      </c>
      <c r="AN15" s="72">
        <f>F15*LeagueRatings!$K$27</f>
        <v>17.777777777777779</v>
      </c>
      <c r="AO15" s="72">
        <f>G15*LeagueRatings!$K$27</f>
        <v>17.777777777777779</v>
      </c>
      <c r="AP15" s="72">
        <f>T15*LeagueRatings!$K$27</f>
        <v>431.11111111111114</v>
      </c>
      <c r="AR15" s="14">
        <f t="shared" si="5"/>
        <v>175</v>
      </c>
    </row>
    <row r="16" spans="1:44" s="12" customFormat="1" x14ac:dyDescent="0.2">
      <c r="A16" s="41" t="s">
        <v>1411</v>
      </c>
      <c r="B16" s="76" t="s">
        <v>159</v>
      </c>
      <c r="C16" s="76">
        <v>4</v>
      </c>
      <c r="D16" s="76">
        <v>5</v>
      </c>
      <c r="E16" s="97">
        <v>5.27</v>
      </c>
      <c r="F16" s="76">
        <v>13</v>
      </c>
      <c r="G16" s="76">
        <v>11</v>
      </c>
      <c r="H16" s="76">
        <v>0</v>
      </c>
      <c r="I16" s="76">
        <v>0</v>
      </c>
      <c r="J16" s="76">
        <v>0</v>
      </c>
      <c r="K16" s="76">
        <v>0</v>
      </c>
      <c r="L16" s="258">
        <f>INDEX('C-P-RollAdj'!$P$4:$P$900,MATCH((U16),'C-P-RollAdj'!$O$4:$O$900,FALSE),0)</f>
        <v>70</v>
      </c>
      <c r="M16" s="76">
        <v>80</v>
      </c>
      <c r="N16" s="76">
        <v>43</v>
      </c>
      <c r="O16" s="76">
        <v>41</v>
      </c>
      <c r="P16" s="76">
        <v>14</v>
      </c>
      <c r="Q16" s="76">
        <v>28</v>
      </c>
      <c r="R16" s="76">
        <v>1</v>
      </c>
      <c r="S16" s="76">
        <v>43</v>
      </c>
      <c r="T16" s="76">
        <v>306</v>
      </c>
      <c r="U16" s="76">
        <v>70</v>
      </c>
      <c r="V16" s="100">
        <v>0.29299999999999998</v>
      </c>
      <c r="W16" s="76">
        <v>1.54</v>
      </c>
      <c r="X16" s="202"/>
      <c r="Y16" s="50">
        <f t="shared" si="0"/>
        <v>8.8524590163934427</v>
      </c>
      <c r="Z16" s="6">
        <f>IF(Y16&lt;LeagueRatings!$K$21,((LeagueRatings!$K$21-Y16)/LeagueRatings!$K$21)*36,(LeagueRatings!$K$21-Y16)*6.48)</f>
        <v>0.40433710546648383</v>
      </c>
      <c r="AA16" s="16">
        <f>INDEX('C-P-RollAdj'!$B$4:$B$76,MATCH(INT(Z16),'C-P-RollAdj'!$A$4:$A$76,FALSE),0)</f>
        <v>0</v>
      </c>
      <c r="AB16" s="16">
        <f t="shared" si="1"/>
        <v>4.5901639344262293</v>
      </c>
      <c r="AC16" s="6">
        <f>IF(AB16&lt;LeagueRatings!$K$19,((LeagueRatings!$K$19-AB16)/LeagueRatings!$K$19)*36,(LeagueRatings!$K$19-AB16)/LeagueRatings!$K$22)</f>
        <v>-13.591849660135942</v>
      </c>
      <c r="AD16" s="16">
        <f>INDEX('C-P-RollAdj'!$F$4:$F$76,MATCH(INT(AC16),'C-P-RollAdj'!$E$4:$E$76,FALSE),0)</f>
        <v>1.38</v>
      </c>
      <c r="AE16" s="17">
        <f>+((LeagueRatings!$I$17-E16)*5)+9.5</f>
        <v>3.9643872437063647</v>
      </c>
      <c r="AF16" s="17">
        <f>IF(AE16&lt;4,4,AE16)</f>
        <v>4</v>
      </c>
      <c r="AG16" s="17">
        <f t="shared" si="3"/>
        <v>-0.71428571428571397</v>
      </c>
      <c r="AH16" s="4">
        <f>+AA16+AD16+AF16+AG16</f>
        <v>4.6657142857142855</v>
      </c>
      <c r="AI16" s="41" t="s">
        <v>1411</v>
      </c>
      <c r="AJ16" s="5" t="s">
        <v>19</v>
      </c>
      <c r="AK16" s="219">
        <f>INDEX('C-P-RollAdj'!$J$4:$J$76,MATCH(INT(Z16),'C-P-RollAdj'!$I$4:$I$76,FALSE),0)</f>
        <v>0</v>
      </c>
      <c r="AL16" s="219">
        <f>INDEX('C-P-RollAdj'!$J$4:$J$76,MATCH(INT(AC16),'C-P-RollAdj'!$I$4:$I$76,FALSE),0)</f>
        <v>-32</v>
      </c>
      <c r="AM16" s="14">
        <f>+AR16*LeagueRatings!$K$27</f>
        <v>38.888888888888893</v>
      </c>
      <c r="AN16" s="72">
        <f>F16*LeagueRatings!$K$27</f>
        <v>7.2222222222222223</v>
      </c>
      <c r="AO16" s="72">
        <f>G16*LeagueRatings!$K$27</f>
        <v>6.1111111111111116</v>
      </c>
      <c r="AP16" s="72">
        <f>T16*LeagueRatings!$K$27</f>
        <v>170</v>
      </c>
      <c r="AR16" s="14">
        <f t="shared" si="5"/>
        <v>70</v>
      </c>
    </row>
    <row r="17" spans="1:44" s="12" customFormat="1" x14ac:dyDescent="0.2">
      <c r="A17" s="106"/>
      <c r="B17" s="76"/>
      <c r="C17" s="76"/>
      <c r="D17" s="76"/>
      <c r="E17" s="97"/>
      <c r="F17" s="76"/>
      <c r="G17" s="76"/>
      <c r="H17" s="76"/>
      <c r="I17" s="76"/>
      <c r="J17" s="76"/>
      <c r="K17" s="76"/>
      <c r="L17" s="97"/>
      <c r="M17" s="76"/>
      <c r="N17" s="76"/>
      <c r="O17" s="76"/>
      <c r="P17" s="76"/>
      <c r="Q17" s="76"/>
      <c r="R17" s="76"/>
      <c r="S17" s="76"/>
      <c r="T17" s="76"/>
      <c r="U17" s="76"/>
      <c r="V17" s="100"/>
      <c r="W17" s="76"/>
      <c r="X17" s="76"/>
      <c r="Y17" s="50"/>
      <c r="Z17" s="6"/>
      <c r="AA17" s="16"/>
      <c r="AB17" s="16"/>
      <c r="AC17" s="6"/>
      <c r="AD17" s="16"/>
      <c r="AE17" s="17"/>
      <c r="AF17" s="17"/>
      <c r="AG17" s="17"/>
      <c r="AH17" s="4"/>
      <c r="AI17" s="106"/>
      <c r="AJ17" s="5"/>
      <c r="AK17" s="5"/>
      <c r="AL17" s="5"/>
      <c r="AM17" s="14"/>
      <c r="AN17" s="72"/>
      <c r="AO17" s="72"/>
      <c r="AP17" s="72"/>
      <c r="AR17" s="14"/>
    </row>
    <row r="18" spans="1:44" s="122" customFormat="1" x14ac:dyDescent="0.2">
      <c r="A18" s="69" t="s">
        <v>106</v>
      </c>
      <c r="B18" s="70" t="s">
        <v>157</v>
      </c>
      <c r="C18" s="71" t="s">
        <v>85</v>
      </c>
      <c r="D18" s="70" t="s">
        <v>86</v>
      </c>
      <c r="E18" s="71" t="s">
        <v>87</v>
      </c>
      <c r="F18" s="70" t="s">
        <v>108</v>
      </c>
      <c r="G18" s="70" t="s">
        <v>88</v>
      </c>
      <c r="H18" s="70" t="s">
        <v>89</v>
      </c>
      <c r="I18" s="72" t="s">
        <v>317</v>
      </c>
      <c r="J18" s="72" t="s">
        <v>90</v>
      </c>
      <c r="K18" s="72" t="s">
        <v>158</v>
      </c>
      <c r="L18" s="71" t="s">
        <v>91</v>
      </c>
      <c r="M18" s="70" t="s">
        <v>92</v>
      </c>
      <c r="N18" s="70" t="s">
        <v>93</v>
      </c>
      <c r="O18" s="70" t="s">
        <v>94</v>
      </c>
      <c r="P18" s="70" t="s">
        <v>95</v>
      </c>
      <c r="Q18" s="70" t="s">
        <v>96</v>
      </c>
      <c r="R18" s="70" t="s">
        <v>98</v>
      </c>
      <c r="S18" s="70" t="s">
        <v>97</v>
      </c>
      <c r="T18" s="70" t="s">
        <v>109</v>
      </c>
      <c r="U18" s="196" t="s">
        <v>91</v>
      </c>
      <c r="V18" s="277" t="s">
        <v>1071</v>
      </c>
      <c r="W18" s="196" t="s">
        <v>1072</v>
      </c>
      <c r="X18" s="70"/>
      <c r="Y18" s="115" t="s">
        <v>2</v>
      </c>
      <c r="Z18" s="116" t="s">
        <v>3</v>
      </c>
      <c r="AA18" s="117" t="s">
        <v>4</v>
      </c>
      <c r="AB18" s="118" t="s">
        <v>5</v>
      </c>
      <c r="AC18" s="116" t="s">
        <v>6</v>
      </c>
      <c r="AD18" s="117" t="s">
        <v>7</v>
      </c>
      <c r="AE18" s="119" t="s">
        <v>8</v>
      </c>
      <c r="AF18" s="119" t="s">
        <v>81</v>
      </c>
      <c r="AG18" s="119" t="s">
        <v>9</v>
      </c>
      <c r="AH18" s="120" t="s">
        <v>10</v>
      </c>
      <c r="AI18" s="69" t="s">
        <v>106</v>
      </c>
      <c r="AJ18" s="7" t="s">
        <v>11</v>
      </c>
      <c r="AK18" s="7" t="s">
        <v>12</v>
      </c>
      <c r="AL18" s="7" t="s">
        <v>13</v>
      </c>
      <c r="AM18" s="14"/>
      <c r="AN18" s="72"/>
      <c r="AO18" s="72"/>
      <c r="AP18" s="72"/>
      <c r="AR18" s="14"/>
    </row>
    <row r="19" spans="1:44" s="122" customFormat="1" x14ac:dyDescent="0.2">
      <c r="A19" s="69"/>
      <c r="B19" s="70"/>
      <c r="C19" s="71"/>
      <c r="D19" s="70"/>
      <c r="E19" s="71"/>
      <c r="F19" s="70"/>
      <c r="G19" s="70"/>
      <c r="H19" s="70"/>
      <c r="I19" s="72"/>
      <c r="J19" s="72"/>
      <c r="K19" s="72"/>
      <c r="L19" s="71"/>
      <c r="M19" s="70"/>
      <c r="N19" s="70"/>
      <c r="O19" s="70"/>
      <c r="P19" s="70"/>
      <c r="Q19" s="70"/>
      <c r="R19" s="70"/>
      <c r="S19" s="70"/>
      <c r="T19" s="70"/>
      <c r="U19" s="70"/>
      <c r="V19" s="164"/>
      <c r="W19" s="70"/>
      <c r="X19" s="70"/>
      <c r="Y19" s="115"/>
      <c r="Z19" s="116"/>
      <c r="AA19" s="117"/>
      <c r="AB19" s="118"/>
      <c r="AC19" s="116"/>
      <c r="AD19" s="117"/>
      <c r="AE19" s="119"/>
      <c r="AF19" s="119"/>
      <c r="AG19" s="119"/>
      <c r="AH19" s="120"/>
      <c r="AI19" s="69"/>
      <c r="AJ19" s="7"/>
      <c r="AK19" s="7"/>
      <c r="AL19" s="7"/>
      <c r="AM19" s="14"/>
      <c r="AN19" s="72"/>
      <c r="AO19" s="72"/>
      <c r="AP19" s="72"/>
      <c r="AR19" s="14"/>
    </row>
    <row r="20" spans="1:44" s="12" customFormat="1" x14ac:dyDescent="0.2">
      <c r="A20" s="41" t="s">
        <v>1423</v>
      </c>
      <c r="B20" s="76" t="s">
        <v>160</v>
      </c>
      <c r="C20" s="76">
        <v>2</v>
      </c>
      <c r="D20" s="76">
        <v>7</v>
      </c>
      <c r="E20" s="97">
        <v>7.59</v>
      </c>
      <c r="F20" s="76">
        <v>15</v>
      </c>
      <c r="G20" s="76">
        <v>15</v>
      </c>
      <c r="H20" s="76">
        <v>0</v>
      </c>
      <c r="I20" s="76">
        <v>0</v>
      </c>
      <c r="J20" s="76">
        <v>0</v>
      </c>
      <c r="K20" s="76">
        <v>0</v>
      </c>
      <c r="L20" s="258">
        <f>INDEX('C-P-RollAdj'!$P$4:$P$900,MATCH((U20),'C-P-RollAdj'!$O$4:$O$900,FALSE),0)</f>
        <v>70</v>
      </c>
      <c r="M20" s="76">
        <v>82</v>
      </c>
      <c r="N20" s="76">
        <v>61</v>
      </c>
      <c r="O20" s="76">
        <v>59</v>
      </c>
      <c r="P20" s="76">
        <v>14</v>
      </c>
      <c r="Q20" s="76">
        <v>34</v>
      </c>
      <c r="R20" s="76">
        <v>4</v>
      </c>
      <c r="S20" s="76">
        <v>46</v>
      </c>
      <c r="T20" s="76">
        <v>324</v>
      </c>
      <c r="U20" s="76">
        <v>70</v>
      </c>
      <c r="V20" s="100">
        <v>0.29899999999999999</v>
      </c>
      <c r="W20" s="76">
        <v>1.66</v>
      </c>
      <c r="X20" s="76"/>
      <c r="Y20" s="52">
        <f t="shared" ref="Y20:Y27" si="6">+(Q20-R20)/(T20-R20)*100</f>
        <v>9.375</v>
      </c>
      <c r="Z20" s="53">
        <f>IF(Y20&lt;LeagueRatings!$K$21,((LeagueRatings!$K$21-Y20)/LeagueRatings!$K$21)*36,(LeagueRatings!$K$21-Y20)*6.48)</f>
        <v>-2.7344590206689672</v>
      </c>
      <c r="AA20" s="16">
        <f>INDEX('C-P-RollAdj'!$B$4:$B$76,MATCH(INT(Z20),'C-P-RollAdj'!$A$4:$A$76,FALSE),0)</f>
        <v>0.27</v>
      </c>
      <c r="AB20" s="54">
        <f t="shared" ref="AB20:AB27" si="7">(P20/(T20-R20))*100</f>
        <v>4.375</v>
      </c>
      <c r="AC20" s="53">
        <f>IF(AB20&lt;LeagueRatings!$K$19,((LeagueRatings!$K$19-AB20)/LeagueRatings!$K$19)*36,(LeagueRatings!$K$19-AB20)/LeagueRatings!$K$22)</f>
        <v>-11.853329268292683</v>
      </c>
      <c r="AD20" s="16">
        <f>INDEX('C-P-RollAdj'!$F$4:$F$76,MATCH(INT(AC20),'C-P-RollAdj'!$E$4:$E$76,FALSE),0)</f>
        <v>1.1400000000000001</v>
      </c>
      <c r="AE20" s="55">
        <f>+((LeagueRatings!$I$17-E20)*5)+9.5</f>
        <v>-7.6356127562936358</v>
      </c>
      <c r="AF20" s="55">
        <f t="shared" ref="AF20:AF35" si="8">IF(AE20&lt;4,4,AE20)</f>
        <v>4</v>
      </c>
      <c r="AG20" s="17">
        <f t="shared" ref="AG20:AG27" si="9">IF(M20&lt;L20,((1-(M20/L20))*7)-0.07,(1-(M20/L20))*5)</f>
        <v>-0.85714285714285743</v>
      </c>
      <c r="AH20" s="56">
        <f t="shared" ref="AH20:AH35" si="10">+AA20+AD20+AF20+AG20</f>
        <v>4.5528571428571425</v>
      </c>
      <c r="AI20" s="41" t="s">
        <v>1423</v>
      </c>
      <c r="AJ20" s="5" t="s">
        <v>19</v>
      </c>
      <c r="AK20" s="219">
        <f>INDEX('C-P-RollAdj'!$J$4:$J$76,MATCH(INT(Z20),'C-P-RollAdj'!$I$4:$I$76,FALSE),0)</f>
        <v>-13</v>
      </c>
      <c r="AL20" s="219">
        <f>INDEX('C-P-RollAdj'!$J$4:$J$76,MATCH(INT(AC20),'C-P-RollAdj'!$I$4:$I$76,FALSE),0)</f>
        <v>-26</v>
      </c>
      <c r="AM20" s="14">
        <f>+AR20*LeagueRatings!$K$27</f>
        <v>38.888888888888893</v>
      </c>
      <c r="AN20" s="72">
        <f>F20*LeagueRatings!$K$27</f>
        <v>8.3333333333333339</v>
      </c>
      <c r="AO20" s="72">
        <f>G20*LeagueRatings!$K$27</f>
        <v>8.3333333333333339</v>
      </c>
      <c r="AP20" s="72">
        <f>T20*LeagueRatings!$K$27</f>
        <v>180</v>
      </c>
      <c r="AR20" s="14">
        <f t="shared" ref="AR20:AR27" si="11">ROUNDUP(L20,0)</f>
        <v>70</v>
      </c>
    </row>
    <row r="21" spans="1:44" s="12" customFormat="1" x14ac:dyDescent="0.2">
      <c r="A21" s="41" t="s">
        <v>1414</v>
      </c>
      <c r="B21" s="76" t="s">
        <v>160</v>
      </c>
      <c r="C21" s="76">
        <v>5</v>
      </c>
      <c r="D21" s="76">
        <v>1</v>
      </c>
      <c r="E21" s="97">
        <v>2.82</v>
      </c>
      <c r="F21" s="76">
        <v>41</v>
      </c>
      <c r="G21" s="76">
        <v>0</v>
      </c>
      <c r="H21" s="76">
        <v>0</v>
      </c>
      <c r="I21" s="76">
        <v>0</v>
      </c>
      <c r="J21" s="76">
        <v>6</v>
      </c>
      <c r="K21" s="76">
        <v>7</v>
      </c>
      <c r="L21" s="258">
        <f>INDEX('C-P-RollAdj'!$P$4:$P$900,MATCH((U21),'C-P-RollAdj'!$O$4:$O$900,FALSE),0)</f>
        <v>38.33</v>
      </c>
      <c r="M21" s="76">
        <v>31</v>
      </c>
      <c r="N21" s="76">
        <v>14</v>
      </c>
      <c r="O21" s="76">
        <v>12</v>
      </c>
      <c r="P21" s="76">
        <v>0</v>
      </c>
      <c r="Q21" s="76">
        <v>19</v>
      </c>
      <c r="R21" s="76">
        <v>1</v>
      </c>
      <c r="S21" s="76">
        <v>32</v>
      </c>
      <c r="T21" s="76">
        <v>162</v>
      </c>
      <c r="U21" s="76">
        <v>38.1</v>
      </c>
      <c r="V21" s="100">
        <v>0.22500000000000001</v>
      </c>
      <c r="W21" s="76">
        <v>1.3</v>
      </c>
      <c r="X21" s="76"/>
      <c r="Y21" s="52">
        <f t="shared" si="6"/>
        <v>11.180124223602485</v>
      </c>
      <c r="Z21" s="53">
        <f>IF(Y21&lt;LeagueRatings!$K$21,((LeagueRatings!$K$21-Y21)/LeagueRatings!$K$21)*36,(LeagueRatings!$K$21-Y21)*6.48)</f>
        <v>-14.431663989613071</v>
      </c>
      <c r="AA21" s="16">
        <f>INDEX('C-P-RollAdj'!$B$4:$B$76,MATCH(INT(Z21),'C-P-RollAdj'!$A$4:$A$76,FALSE),0)</f>
        <v>1.63</v>
      </c>
      <c r="AB21" s="54">
        <f t="shared" si="7"/>
        <v>0</v>
      </c>
      <c r="AC21" s="53">
        <f>IF(AB21&lt;LeagueRatings!$K$19,((LeagueRatings!$K$19-AB21)/LeagueRatings!$K$19)*36,(LeagueRatings!$K$19-AB21)/LeagueRatings!$K$22)</f>
        <v>36</v>
      </c>
      <c r="AD21" s="16">
        <f>INDEX('C-P-RollAdj'!$F$4:$F$76,MATCH(INT(AC21),'C-P-RollAdj'!$E$4:$E$76,FALSE),0)</f>
        <v>-3.26</v>
      </c>
      <c r="AE21" s="55">
        <f>+((LeagueRatings!$I$17-E21)*5)+9.5</f>
        <v>16.214387243706362</v>
      </c>
      <c r="AF21" s="55">
        <f t="shared" si="8"/>
        <v>16.214387243706362</v>
      </c>
      <c r="AG21" s="17">
        <f t="shared" si="9"/>
        <v>1.2686381424471691</v>
      </c>
      <c r="AH21" s="56">
        <f t="shared" si="10"/>
        <v>15.853025386153533</v>
      </c>
      <c r="AI21" s="41" t="s">
        <v>1414</v>
      </c>
      <c r="AJ21" s="7" t="s">
        <v>31</v>
      </c>
      <c r="AK21" s="219">
        <f>INDEX('C-P-RollAdj'!$J$4:$J$76,MATCH(INT(Z21),'C-P-RollAdj'!$I$4:$I$76,FALSE),0)</f>
        <v>-33</v>
      </c>
      <c r="AL21" s="219">
        <f>INDEX('C-P-RollAdj'!$J$4:$J$76,MATCH(INT(AC21),'C-P-RollAdj'!$I$4:$I$76,FALSE),0)</f>
        <v>66</v>
      </c>
      <c r="AM21" s="14">
        <f>+AR21*LeagueRatings!$K$27</f>
        <v>21.666666666666668</v>
      </c>
      <c r="AN21" s="72">
        <f>F21*LeagueRatings!$K$27</f>
        <v>22.777777777777779</v>
      </c>
      <c r="AO21" s="72">
        <f>G21*LeagueRatings!$K$27</f>
        <v>0</v>
      </c>
      <c r="AP21" s="72">
        <f>T21*LeagueRatings!$K$27</f>
        <v>90</v>
      </c>
      <c r="AR21" s="14">
        <f t="shared" si="11"/>
        <v>39</v>
      </c>
    </row>
    <row r="22" spans="1:44" s="12" customFormat="1" x14ac:dyDescent="0.2">
      <c r="A22" s="41" t="s">
        <v>1418</v>
      </c>
      <c r="B22" s="76" t="s">
        <v>160</v>
      </c>
      <c r="C22" s="76">
        <v>0</v>
      </c>
      <c r="D22" s="76">
        <v>7</v>
      </c>
      <c r="E22" s="97">
        <v>4.88</v>
      </c>
      <c r="F22" s="76">
        <v>22</v>
      </c>
      <c r="G22" s="76">
        <v>9</v>
      </c>
      <c r="H22" s="76">
        <v>0</v>
      </c>
      <c r="I22" s="76">
        <v>0</v>
      </c>
      <c r="J22" s="76">
        <v>0</v>
      </c>
      <c r="K22" s="76">
        <v>0</v>
      </c>
      <c r="L22" s="258">
        <f>INDEX('C-P-RollAdj'!$P$4:$P$900,MATCH((U22),'C-P-RollAdj'!$O$4:$O$900,FALSE),0)</f>
        <v>62.67</v>
      </c>
      <c r="M22" s="76">
        <v>65</v>
      </c>
      <c r="N22" s="76">
        <v>40</v>
      </c>
      <c r="O22" s="76">
        <v>34</v>
      </c>
      <c r="P22" s="76">
        <v>10</v>
      </c>
      <c r="Q22" s="76">
        <v>22</v>
      </c>
      <c r="R22" s="76">
        <v>0</v>
      </c>
      <c r="S22" s="76">
        <v>37</v>
      </c>
      <c r="T22" s="76">
        <v>276</v>
      </c>
      <c r="U22" s="76">
        <v>62.2</v>
      </c>
      <c r="V22" s="100">
        <v>0.26300000000000001</v>
      </c>
      <c r="W22" s="76">
        <v>1.39</v>
      </c>
      <c r="X22" s="76"/>
      <c r="Y22" s="50">
        <f t="shared" si="6"/>
        <v>7.9710144927536222</v>
      </c>
      <c r="Z22" s="6">
        <f>IF(Y22&lt;LeagueRatings!$K$21,((LeagueRatings!$K$21-Y22)/LeagueRatings!$K$21)*36,(LeagueRatings!$K$21-Y22)*6.48)</f>
        <v>3.9486180861084454</v>
      </c>
      <c r="AA22" s="16">
        <f>INDEX('C-P-RollAdj'!$B$4:$B$76,MATCH(INT(Z22),'C-P-RollAdj'!$A$4:$A$76,FALSE),0)</f>
        <v>-0.24</v>
      </c>
      <c r="AB22" s="16">
        <f t="shared" si="7"/>
        <v>3.6231884057971016</v>
      </c>
      <c r="AC22" s="6">
        <f>IF(AB22&lt;LeagueRatings!$K$19,((LeagueRatings!$K$19-AB22)/LeagueRatings!$K$19)*36,(LeagueRatings!$K$19-AB22)/LeagueRatings!$K$22)</f>
        <v>-5.7787062566277836</v>
      </c>
      <c r="AD22" s="16">
        <f>INDEX('C-P-RollAdj'!$F$4:$F$76,MATCH(INT(AC22),'C-P-RollAdj'!$E$4:$E$76,FALSE),0)</f>
        <v>0.51</v>
      </c>
      <c r="AE22" s="17">
        <f>+((LeagueRatings!$I$17-E22)*5)+9.5</f>
        <v>5.9143872437063632</v>
      </c>
      <c r="AF22" s="17">
        <f t="shared" si="8"/>
        <v>5.9143872437063632</v>
      </c>
      <c r="AG22" s="17">
        <f t="shared" si="9"/>
        <v>-0.18589436732088682</v>
      </c>
      <c r="AH22" s="4">
        <f t="shared" si="10"/>
        <v>5.9984928763854759</v>
      </c>
      <c r="AI22" s="41" t="s">
        <v>1418</v>
      </c>
      <c r="AJ22" s="5" t="s">
        <v>24</v>
      </c>
      <c r="AK22" s="219">
        <f>INDEX('C-P-RollAdj'!$J$4:$J$76,MATCH(INT(Z22),'C-P-RollAdj'!$I$4:$I$76,FALSE),0)</f>
        <v>13</v>
      </c>
      <c r="AL22" s="219">
        <f>INDEX('C-P-RollAdj'!$J$4:$J$76,MATCH(INT(AC22),'C-P-RollAdj'!$I$4:$I$76,FALSE),0)</f>
        <v>-16</v>
      </c>
      <c r="AM22" s="14">
        <f>+AR22*LeagueRatings!$K$27</f>
        <v>35</v>
      </c>
      <c r="AN22" s="72">
        <f>F22*LeagueRatings!$K$27</f>
        <v>12.222222222222223</v>
      </c>
      <c r="AO22" s="72">
        <f>G22*LeagueRatings!$K$27</f>
        <v>5</v>
      </c>
      <c r="AP22" s="72">
        <f>T22*LeagueRatings!$K$27</f>
        <v>153.33333333333334</v>
      </c>
      <c r="AR22" s="14">
        <f t="shared" si="11"/>
        <v>63</v>
      </c>
    </row>
    <row r="23" spans="1:44" customFormat="1" x14ac:dyDescent="0.2">
      <c r="A23" s="41" t="s">
        <v>805</v>
      </c>
      <c r="B23" s="76" t="s">
        <v>160</v>
      </c>
      <c r="C23" s="76">
        <v>9</v>
      </c>
      <c r="D23" s="76">
        <v>5</v>
      </c>
      <c r="E23" s="97">
        <v>4.3099999999999996</v>
      </c>
      <c r="F23" s="76">
        <v>22</v>
      </c>
      <c r="G23" s="76">
        <v>22</v>
      </c>
      <c r="H23" s="76">
        <v>0</v>
      </c>
      <c r="I23" s="76">
        <v>0</v>
      </c>
      <c r="J23" s="76">
        <v>0</v>
      </c>
      <c r="K23" s="76">
        <v>0</v>
      </c>
      <c r="L23" s="258">
        <f>INDEX('C-P-RollAdj'!$P$4:$P$900,MATCH((U23),'C-P-RollAdj'!$O$4:$O$900,FALSE),0)</f>
        <v>123.33</v>
      </c>
      <c r="M23" s="76">
        <v>125</v>
      </c>
      <c r="N23" s="76">
        <v>61</v>
      </c>
      <c r="O23" s="76">
        <v>59</v>
      </c>
      <c r="P23" s="76">
        <v>18</v>
      </c>
      <c r="Q23" s="76">
        <v>35</v>
      </c>
      <c r="R23" s="76">
        <v>2</v>
      </c>
      <c r="S23" s="76">
        <v>111</v>
      </c>
      <c r="T23" s="76">
        <v>525</v>
      </c>
      <c r="U23" s="76">
        <v>123.1</v>
      </c>
      <c r="V23" s="100">
        <v>0.26300000000000001</v>
      </c>
      <c r="W23" s="76">
        <v>1.3</v>
      </c>
      <c r="X23" s="76"/>
      <c r="Y23" s="50">
        <f t="shared" si="6"/>
        <v>6.3097514340344159</v>
      </c>
      <c r="Z23" s="6">
        <f>IF(Y23&lt;LeagueRatings!$K$21,((LeagueRatings!$K$21-Y23)/LeagueRatings!$K$21)*36,(LeagueRatings!$K$21-Y23)*6.48)</f>
        <v>10.628542806212041</v>
      </c>
      <c r="AA23" s="16">
        <f>INDEX('C-P-RollAdj'!$B$4:$B$76,MATCH(INT(Z23),'C-P-RollAdj'!$A$4:$A$76,FALSE),0)</f>
        <v>-0.83000000000000007</v>
      </c>
      <c r="AB23" s="16">
        <f t="shared" si="7"/>
        <v>3.4416826003824093</v>
      </c>
      <c r="AC23" s="6">
        <f>IF(AB23&lt;LeagueRatings!$K$19,((LeagueRatings!$K$19-AB23)/LeagueRatings!$K$19)*36,(LeagueRatings!$K$19-AB23)/LeagueRatings!$K$22)</f>
        <v>-4.3121428904537611</v>
      </c>
      <c r="AD23" s="16">
        <f>INDEX('C-P-RollAdj'!$F$4:$F$76,MATCH(INT(AC23),'C-P-RollAdj'!$E$4:$E$76,FALSE),0)</f>
        <v>0.42</v>
      </c>
      <c r="AE23" s="17">
        <f>+((LeagueRatings!$I$17-E23)*5)+9.5</f>
        <v>8.7643872437063646</v>
      </c>
      <c r="AF23" s="17">
        <f t="shared" si="8"/>
        <v>8.7643872437063646</v>
      </c>
      <c r="AG23" s="17">
        <f t="shared" si="9"/>
        <v>-6.7704532554934138E-2</v>
      </c>
      <c r="AH23" s="4">
        <f t="shared" si="10"/>
        <v>8.2866827111514301</v>
      </c>
      <c r="AI23" s="41" t="s">
        <v>805</v>
      </c>
      <c r="AJ23" s="5" t="s">
        <v>34</v>
      </c>
      <c r="AK23" s="219">
        <f>INDEX('C-P-RollAdj'!$J$4:$J$76,MATCH(INT(Z23),'C-P-RollAdj'!$I$4:$I$76,FALSE),0)</f>
        <v>24</v>
      </c>
      <c r="AL23" s="219">
        <f>INDEX('C-P-RollAdj'!$J$4:$J$76,MATCH(INT(AC23),'C-P-RollAdj'!$I$4:$I$76,FALSE),0)</f>
        <v>-15</v>
      </c>
      <c r="AM23" s="14">
        <f>+AR23*LeagueRatings!$K$27</f>
        <v>68.888888888888886</v>
      </c>
      <c r="AN23" s="72">
        <f>F23*LeagueRatings!$K$27</f>
        <v>12.222222222222223</v>
      </c>
      <c r="AO23" s="72">
        <f>G23*LeagueRatings!$K$27</f>
        <v>12.222222222222223</v>
      </c>
      <c r="AP23" s="72">
        <f>T23*LeagueRatings!$K$27</f>
        <v>291.66666666666669</v>
      </c>
      <c r="AR23" s="14">
        <f t="shared" si="11"/>
        <v>124</v>
      </c>
    </row>
    <row r="24" spans="1:44" s="12" customFormat="1" x14ac:dyDescent="0.2">
      <c r="A24" s="41" t="s">
        <v>1420</v>
      </c>
      <c r="B24" s="76" t="s">
        <v>160</v>
      </c>
      <c r="C24" s="76">
        <v>2</v>
      </c>
      <c r="D24" s="76">
        <v>4</v>
      </c>
      <c r="E24" s="97">
        <v>5.88</v>
      </c>
      <c r="F24" s="76">
        <v>14</v>
      </c>
      <c r="G24" s="76">
        <v>8</v>
      </c>
      <c r="H24" s="76">
        <v>0</v>
      </c>
      <c r="I24" s="76">
        <v>0</v>
      </c>
      <c r="J24" s="76">
        <v>0</v>
      </c>
      <c r="K24" s="76">
        <v>0</v>
      </c>
      <c r="L24" s="258">
        <f>INDEX('C-P-RollAdj'!$P$4:$P$900,MATCH((U24),'C-P-RollAdj'!$O$4:$O$900,FALSE),0)</f>
        <v>52</v>
      </c>
      <c r="M24" s="76">
        <v>55</v>
      </c>
      <c r="N24" s="76">
        <v>35</v>
      </c>
      <c r="O24" s="76">
        <v>34</v>
      </c>
      <c r="P24" s="76">
        <v>11</v>
      </c>
      <c r="Q24" s="76">
        <v>33</v>
      </c>
      <c r="R24" s="76">
        <v>1</v>
      </c>
      <c r="S24" s="76">
        <v>26</v>
      </c>
      <c r="T24" s="76">
        <v>237</v>
      </c>
      <c r="U24" s="76">
        <v>52</v>
      </c>
      <c r="V24" s="100">
        <v>0.27900000000000003</v>
      </c>
      <c r="W24" s="76">
        <v>1.69</v>
      </c>
      <c r="X24" s="76"/>
      <c r="Y24" s="50">
        <f t="shared" si="6"/>
        <v>13.559322033898304</v>
      </c>
      <c r="Z24" s="6">
        <f>IF(Y24&lt;LeagueRatings!$K$21,((LeagueRatings!$K$21-Y24)/LeagueRatings!$K$21)*36,(LeagueRatings!$K$21-Y24)*6.48)</f>
        <v>-29.848865800329982</v>
      </c>
      <c r="AA24" s="16">
        <f>INDEX('C-P-RollAdj'!$B$4:$B$76,MATCH(INT(Z24),'C-P-RollAdj'!$A$4:$A$76,FALSE),0)</f>
        <v>4.18</v>
      </c>
      <c r="AB24" s="16">
        <f t="shared" si="7"/>
        <v>4.6610169491525424</v>
      </c>
      <c r="AC24" s="6">
        <f>IF(AB24&lt;LeagueRatings!$K$19,((LeagueRatings!$K$19-AB24)/LeagueRatings!$K$19)*36,(LeagueRatings!$K$19-AB24)/LeagueRatings!$K$22)</f>
        <v>-14.164340636626704</v>
      </c>
      <c r="AD24" s="16">
        <f>INDEX('C-P-RollAdj'!$F$4:$F$76,MATCH(INT(AC24),'C-P-RollAdj'!$E$4:$E$76,FALSE),0)</f>
        <v>1.5</v>
      </c>
      <c r="AE24" s="17">
        <f>+((LeagueRatings!$I$17-E24)*5)+9.5</f>
        <v>0.91438724370636315</v>
      </c>
      <c r="AF24" s="17">
        <f t="shared" si="8"/>
        <v>4</v>
      </c>
      <c r="AG24" s="17">
        <f t="shared" si="9"/>
        <v>-0.28846153846153855</v>
      </c>
      <c r="AH24" s="4">
        <f t="shared" si="10"/>
        <v>9.3915384615384614</v>
      </c>
      <c r="AI24" s="41" t="s">
        <v>1420</v>
      </c>
      <c r="AJ24" s="5" t="s">
        <v>39</v>
      </c>
      <c r="AK24" s="219">
        <f>INDEX('C-P-RollAdj'!$J$4:$J$76,MATCH(INT(Z24),'C-P-RollAdj'!$I$4:$I$76,FALSE),0)</f>
        <v>-56</v>
      </c>
      <c r="AL24" s="219">
        <f>INDEX('C-P-RollAdj'!$J$4:$J$76,MATCH(INT(AC24),'C-P-RollAdj'!$I$4:$I$76,FALSE),0)</f>
        <v>-33</v>
      </c>
      <c r="AM24" s="14">
        <f>+AR24*LeagueRatings!$K$27</f>
        <v>28.888888888888889</v>
      </c>
      <c r="AN24" s="72">
        <f>F24*LeagueRatings!$K$27</f>
        <v>7.7777777777777786</v>
      </c>
      <c r="AO24" s="72">
        <f>G24*LeagueRatings!$K$27</f>
        <v>4.4444444444444446</v>
      </c>
      <c r="AP24" s="72">
        <f>T24*LeagueRatings!$K$27</f>
        <v>131.66666666666669</v>
      </c>
      <c r="AR24" s="14">
        <f t="shared" si="11"/>
        <v>52</v>
      </c>
    </row>
    <row r="25" spans="1:44" x14ac:dyDescent="0.2">
      <c r="A25" s="41" t="s">
        <v>487</v>
      </c>
      <c r="B25" s="76" t="s">
        <v>160</v>
      </c>
      <c r="C25" s="76">
        <v>2</v>
      </c>
      <c r="D25" s="76">
        <v>6</v>
      </c>
      <c r="E25" s="97">
        <v>3.06</v>
      </c>
      <c r="F25" s="76">
        <v>65</v>
      </c>
      <c r="G25" s="76">
        <v>0</v>
      </c>
      <c r="H25" s="76">
        <v>0</v>
      </c>
      <c r="I25" s="76">
        <v>0</v>
      </c>
      <c r="J25" s="76">
        <v>20</v>
      </c>
      <c r="K25" s="76">
        <v>23</v>
      </c>
      <c r="L25" s="258">
        <f>INDEX('C-P-RollAdj'!$P$4:$P$900,MATCH((U25),'C-P-RollAdj'!$O$4:$O$900,FALSE),0)</f>
        <v>64.67</v>
      </c>
      <c r="M25" s="76">
        <v>57</v>
      </c>
      <c r="N25" s="76">
        <v>23</v>
      </c>
      <c r="O25" s="76">
        <v>22</v>
      </c>
      <c r="P25" s="76">
        <v>3</v>
      </c>
      <c r="Q25" s="76">
        <v>20</v>
      </c>
      <c r="R25" s="76">
        <v>0</v>
      </c>
      <c r="S25" s="76">
        <v>68</v>
      </c>
      <c r="T25" s="76">
        <v>266</v>
      </c>
      <c r="U25" s="76">
        <v>64.2</v>
      </c>
      <c r="V25" s="100">
        <v>0.23599999999999999</v>
      </c>
      <c r="W25" s="76">
        <v>1.19</v>
      </c>
      <c r="X25" s="76"/>
      <c r="Y25" s="50">
        <f t="shared" si="6"/>
        <v>7.518796992481203</v>
      </c>
      <c r="Z25" s="6">
        <f>IF(Y25&lt;LeagueRatings!$K$21,((LeagueRatings!$K$21-Y25)/LeagueRatings!$K$21)*36,(LeagueRatings!$K$21-Y25)*6.48)</f>
        <v>5.7669808331029735</v>
      </c>
      <c r="AA25" s="16">
        <f>INDEX('C-P-RollAdj'!$B$4:$B$76,MATCH(INT(Z25),'C-P-RollAdj'!$A$4:$A$76,FALSE),0)</f>
        <v>-0.4</v>
      </c>
      <c r="AB25" s="16">
        <f t="shared" si="7"/>
        <v>1.1278195488721803</v>
      </c>
      <c r="AC25" s="6">
        <f>IF(AB25&lt;LeagueRatings!$K$19,((LeagueRatings!$K$19-AB25)/LeagueRatings!$K$19)*36,(LeagueRatings!$K$19-AB25)/LeagueRatings!$K$22)</f>
        <v>22.037998583903708</v>
      </c>
      <c r="AD25" s="16">
        <f>INDEX('C-P-RollAdj'!$F$4:$F$76,MATCH(INT(AC25),'C-P-RollAdj'!$E$4:$E$76,FALSE),0)</f>
        <v>-1.78</v>
      </c>
      <c r="AE25" s="17">
        <f>+((LeagueRatings!$I$17-E25)*5)+9.5</f>
        <v>15.014387243706363</v>
      </c>
      <c r="AF25" s="17">
        <f t="shared" si="8"/>
        <v>15.014387243706363</v>
      </c>
      <c r="AG25" s="17">
        <f t="shared" si="9"/>
        <v>0.76021493737436274</v>
      </c>
      <c r="AH25" s="4">
        <f t="shared" si="10"/>
        <v>13.594602181080726</v>
      </c>
      <c r="AI25" s="41" t="s">
        <v>487</v>
      </c>
      <c r="AJ25" s="5" t="s">
        <v>21</v>
      </c>
      <c r="AK25" s="219">
        <f>INDEX('C-P-RollAdj'!$J$4:$J$76,MATCH(INT(Z25),'C-P-RollAdj'!$I$4:$I$76,FALSE),0)</f>
        <v>15</v>
      </c>
      <c r="AL25" s="219">
        <f>INDEX('C-P-RollAdj'!$J$4:$J$76,MATCH(INT(AC25),'C-P-RollAdj'!$I$4:$I$76,FALSE),0)</f>
        <v>44</v>
      </c>
      <c r="AM25" s="14">
        <f>+AR25*LeagueRatings!$K$27</f>
        <v>36.111111111111114</v>
      </c>
      <c r="AN25" s="72">
        <f>F25*LeagueRatings!$K$27</f>
        <v>36.111111111111114</v>
      </c>
      <c r="AO25" s="72">
        <f>G25*LeagueRatings!$K$27</f>
        <v>0</v>
      </c>
      <c r="AP25" s="72">
        <f>T25*LeagueRatings!$K$27</f>
        <v>147.77777777777777</v>
      </c>
      <c r="AR25" s="14">
        <f t="shared" si="11"/>
        <v>65</v>
      </c>
    </row>
    <row r="26" spans="1:44" s="12" customFormat="1" x14ac:dyDescent="0.2">
      <c r="A26" s="41" t="s">
        <v>479</v>
      </c>
      <c r="B26" s="76" t="s">
        <v>160</v>
      </c>
      <c r="C26" s="76">
        <v>2</v>
      </c>
      <c r="D26" s="76">
        <v>0</v>
      </c>
      <c r="E26" s="97">
        <v>3.18</v>
      </c>
      <c r="F26" s="76">
        <v>63</v>
      </c>
      <c r="G26" s="76">
        <v>0</v>
      </c>
      <c r="H26" s="76">
        <v>0</v>
      </c>
      <c r="I26" s="76">
        <v>0</v>
      </c>
      <c r="J26" s="76">
        <v>0</v>
      </c>
      <c r="K26" s="76">
        <v>2</v>
      </c>
      <c r="L26" s="258">
        <f>INDEX('C-P-RollAdj'!$P$4:$P$900,MATCH((U26),'C-P-RollAdj'!$O$4:$O$900,FALSE),0)</f>
        <v>51</v>
      </c>
      <c r="M26" s="76">
        <v>54</v>
      </c>
      <c r="N26" s="76">
        <v>19</v>
      </c>
      <c r="O26" s="76">
        <v>18</v>
      </c>
      <c r="P26" s="76">
        <v>4</v>
      </c>
      <c r="Q26" s="76">
        <v>13</v>
      </c>
      <c r="R26" s="76">
        <v>3</v>
      </c>
      <c r="S26" s="76">
        <v>56</v>
      </c>
      <c r="T26" s="76">
        <v>217</v>
      </c>
      <c r="U26" s="76">
        <v>51</v>
      </c>
      <c r="V26" s="100">
        <v>0.27100000000000002</v>
      </c>
      <c r="W26" s="76">
        <v>1.31</v>
      </c>
      <c r="X26" s="76"/>
      <c r="Y26" s="50">
        <f t="shared" si="6"/>
        <v>4.6728971962616823</v>
      </c>
      <c r="Z26" s="6">
        <f>IF(Y26&lt;LeagueRatings!$K$21,((LeagueRatings!$K$21-Y26)/LeagueRatings!$K$21)*36,(LeagueRatings!$K$21-Y26)*6.48)</f>
        <v>17.210319863563996</v>
      </c>
      <c r="AA26" s="16">
        <f>INDEX('C-P-RollAdj'!$B$4:$B$76,MATCH(INT(Z26),'C-P-RollAdj'!$A$4:$A$76,FALSE),0)</f>
        <v>-1.49</v>
      </c>
      <c r="AB26" s="16">
        <f t="shared" si="7"/>
        <v>1.8691588785046727</v>
      </c>
      <c r="AC26" s="6">
        <f>IF(AB26&lt;LeagueRatings!$K$19,((LeagueRatings!$K$19-AB26)/LeagueRatings!$K$19)*36,(LeagueRatings!$K$19-AB26)/LeagueRatings!$K$22)</f>
        <v>12.86048363438247</v>
      </c>
      <c r="AD26" s="16">
        <f>INDEX('C-P-RollAdj'!$F$4:$F$76,MATCH(INT(AC26),'C-P-RollAdj'!$E$4:$E$76,FALSE),0)</f>
        <v>-0.89</v>
      </c>
      <c r="AE26" s="17">
        <f>+((LeagueRatings!$I$17-E26)*5)+9.5</f>
        <v>14.414387243706361</v>
      </c>
      <c r="AF26" s="17">
        <f t="shared" si="8"/>
        <v>14.414387243706361</v>
      </c>
      <c r="AG26" s="17">
        <f t="shared" si="9"/>
        <v>-0.29411764705882359</v>
      </c>
      <c r="AH26" s="4">
        <f t="shared" si="10"/>
        <v>11.740269596647538</v>
      </c>
      <c r="AI26" s="41" t="s">
        <v>479</v>
      </c>
      <c r="AJ26" s="5" t="s">
        <v>59</v>
      </c>
      <c r="AK26" s="219">
        <f>INDEX('C-P-RollAdj'!$J$4:$J$76,MATCH(INT(Z26),'C-P-RollAdj'!$I$4:$I$76,FALSE),0)</f>
        <v>35</v>
      </c>
      <c r="AL26" s="219">
        <f>INDEX('C-P-RollAdj'!$J$4:$J$76,MATCH(INT(AC26),'C-P-RollAdj'!$I$4:$I$76,FALSE),0)</f>
        <v>26</v>
      </c>
      <c r="AM26" s="14">
        <f>+AR26*LeagueRatings!$K$27</f>
        <v>28.333333333333336</v>
      </c>
      <c r="AN26" s="72">
        <f>F26*LeagueRatings!$K$27</f>
        <v>35</v>
      </c>
      <c r="AO26" s="72">
        <f>G26*LeagueRatings!$K$27</f>
        <v>0</v>
      </c>
      <c r="AP26" s="72">
        <f>T26*LeagueRatings!$K$27</f>
        <v>120.55555555555556</v>
      </c>
      <c r="AR26" s="14">
        <f t="shared" si="11"/>
        <v>51</v>
      </c>
    </row>
    <row r="27" spans="1:44" customFormat="1" x14ac:dyDescent="0.2">
      <c r="A27" s="41" t="s">
        <v>335</v>
      </c>
      <c r="B27" s="76" t="s">
        <v>160</v>
      </c>
      <c r="C27" s="76">
        <v>1</v>
      </c>
      <c r="D27" s="76">
        <v>4</v>
      </c>
      <c r="E27" s="97">
        <v>6.91</v>
      </c>
      <c r="F27" s="76">
        <v>39</v>
      </c>
      <c r="G27" s="76">
        <v>0</v>
      </c>
      <c r="H27" s="76">
        <v>0</v>
      </c>
      <c r="I27" s="76">
        <v>0</v>
      </c>
      <c r="J27" s="76">
        <v>0</v>
      </c>
      <c r="K27" s="76">
        <v>1</v>
      </c>
      <c r="L27" s="258">
        <f>INDEX('C-P-RollAdj'!$P$4:$P$900,MATCH((U27),'C-P-RollAdj'!$O$4:$O$900,FALSE),0)</f>
        <v>28.67</v>
      </c>
      <c r="M27" s="76">
        <v>39</v>
      </c>
      <c r="N27" s="76">
        <v>25</v>
      </c>
      <c r="O27" s="76">
        <v>22</v>
      </c>
      <c r="P27" s="76">
        <v>3</v>
      </c>
      <c r="Q27" s="76">
        <v>11</v>
      </c>
      <c r="R27" s="76">
        <v>2</v>
      </c>
      <c r="S27" s="76">
        <v>22</v>
      </c>
      <c r="T27" s="76">
        <v>136</v>
      </c>
      <c r="U27" s="76">
        <v>28.2</v>
      </c>
      <c r="V27" s="100">
        <v>0.32</v>
      </c>
      <c r="W27" s="76">
        <v>1.74</v>
      </c>
      <c r="X27" s="76"/>
      <c r="Y27" s="50">
        <f t="shared" si="6"/>
        <v>6.7164179104477615</v>
      </c>
      <c r="Z27" s="6">
        <f>IF(Y27&lt;LeagueRatings!$K$21,((LeagueRatings!$K$21-Y27)/LeagueRatings!$K$21)*36,(LeagueRatings!$K$21-Y27)*6.48)</f>
        <v>8.9933403412121322</v>
      </c>
      <c r="AA27" s="16">
        <f>INDEX('C-P-RollAdj'!$B$4:$B$76,MATCH(INT(Z27),'C-P-RollAdj'!$A$4:$A$76,FALSE),0)</f>
        <v>-0.65</v>
      </c>
      <c r="AB27" s="16">
        <f t="shared" si="7"/>
        <v>2.2388059701492535</v>
      </c>
      <c r="AC27" s="6">
        <f>IF(AB27&lt;LeagueRatings!$K$19,((LeagueRatings!$K$19-AB27)/LeagueRatings!$K$19)*36,(LeagueRatings!$K$19-AB27)/LeagueRatings!$K$22)</f>
        <v>8.2843852486446732</v>
      </c>
      <c r="AD27" s="16">
        <f>INDEX('C-P-RollAdj'!$F$4:$F$76,MATCH(INT(AC27),'C-P-RollAdj'!$E$4:$E$76,FALSE),0)</f>
        <v>-0.56999999999999995</v>
      </c>
      <c r="AE27" s="17">
        <f>+((LeagueRatings!$I$17-E27)*5)+9.5</f>
        <v>-4.2356127562936372</v>
      </c>
      <c r="AF27" s="17">
        <f t="shared" si="8"/>
        <v>4</v>
      </c>
      <c r="AG27" s="17">
        <f t="shared" si="9"/>
        <v>-1.8015347052668296</v>
      </c>
      <c r="AH27" s="4">
        <f t="shared" si="10"/>
        <v>0.97846529473317068</v>
      </c>
      <c r="AI27" s="41" t="s">
        <v>335</v>
      </c>
      <c r="AJ27" s="5" t="s">
        <v>26</v>
      </c>
      <c r="AK27" s="219">
        <f>INDEX('C-P-RollAdj'!$J$4:$J$76,MATCH(INT(Z27),'C-P-RollAdj'!$I$4:$I$76,FALSE),0)</f>
        <v>22</v>
      </c>
      <c r="AL27" s="219">
        <f>INDEX('C-P-RollAdj'!$J$4:$J$76,MATCH(INT(AC27),'C-P-RollAdj'!$I$4:$I$76,FALSE),0)</f>
        <v>22</v>
      </c>
      <c r="AM27" s="14">
        <f>+AR27*LeagueRatings!$K$27</f>
        <v>16.111111111111111</v>
      </c>
      <c r="AN27" s="72">
        <f>F27*LeagueRatings!$K$27</f>
        <v>21.666666666666668</v>
      </c>
      <c r="AO27" s="72">
        <f>G27*LeagueRatings!$K$27</f>
        <v>0</v>
      </c>
      <c r="AP27" s="72">
        <f>T27*LeagueRatings!$K$27</f>
        <v>75.555555555555557</v>
      </c>
      <c r="AR27" s="14">
        <f t="shared" si="11"/>
        <v>29</v>
      </c>
    </row>
    <row r="28" spans="1:44" customFormat="1" x14ac:dyDescent="0.2">
      <c r="A28" s="41" t="s">
        <v>641</v>
      </c>
      <c r="B28" s="76" t="s">
        <v>160</v>
      </c>
      <c r="C28" s="76">
        <v>2</v>
      </c>
      <c r="D28" s="76">
        <v>1</v>
      </c>
      <c r="E28" s="97">
        <v>3.94</v>
      </c>
      <c r="F28" s="76">
        <v>36</v>
      </c>
      <c r="G28" s="76">
        <v>0</v>
      </c>
      <c r="H28" s="76">
        <v>0</v>
      </c>
      <c r="I28" s="76">
        <v>0</v>
      </c>
      <c r="J28" s="76">
        <v>0</v>
      </c>
      <c r="K28" s="76">
        <v>0</v>
      </c>
      <c r="L28" s="76">
        <v>32</v>
      </c>
      <c r="M28" s="76">
        <v>32</v>
      </c>
      <c r="N28" s="76">
        <v>18</v>
      </c>
      <c r="O28" s="76">
        <v>14</v>
      </c>
      <c r="P28" s="76">
        <v>2</v>
      </c>
      <c r="Q28" s="76">
        <v>23</v>
      </c>
      <c r="R28" s="76">
        <v>5</v>
      </c>
      <c r="S28" s="76">
        <v>29</v>
      </c>
      <c r="T28" s="76">
        <v>148</v>
      </c>
      <c r="U28" s="76">
        <v>32</v>
      </c>
      <c r="V28" s="100">
        <v>0.27400000000000002</v>
      </c>
      <c r="W28" s="76">
        <v>1.72</v>
      </c>
      <c r="X28" s="76"/>
      <c r="Y28" s="50">
        <f t="shared" ref="Y28:Y35" si="12">+(Q28-R28)/(T28-R28)*100</f>
        <v>12.587412587412588</v>
      </c>
      <c r="Z28" s="6">
        <f>IF(Y28&lt;LeagueRatings!$K$21,((LeagueRatings!$K$21-Y28)/LeagueRatings!$K$21)*36,(LeagueRatings!$K$21-Y28)*6.48)</f>
        <v>-23.550892587102542</v>
      </c>
      <c r="AA28" s="16">
        <f>INDEX('C-P-RollAdj'!$B$4:$B$76,MATCH(INT(Z28),'C-P-RollAdj'!$A$4:$A$76,FALSE),0)</f>
        <v>3.06</v>
      </c>
      <c r="AB28" s="16">
        <f t="shared" ref="AB28:AB35" si="13">(P28/(T28-R28))*100</f>
        <v>1.3986013986013985</v>
      </c>
      <c r="AC28" s="6">
        <f>IF(AB28&lt;LeagueRatings!$K$19,((LeagueRatings!$K$19-AB28)/LeagueRatings!$K$19)*36,(LeagueRatings!$K$19-AB28)/LeagueRatings!$K$22)</f>
        <v>18.685816425726742</v>
      </c>
      <c r="AD28" s="16">
        <f>INDEX('C-P-RollAdj'!$F$4:$F$76,MATCH(INT(AC28),'C-P-RollAdj'!$E$4:$E$76,FALSE),0)</f>
        <v>-1.4100000000000001</v>
      </c>
      <c r="AE28" s="17">
        <f>+((LeagueRatings!$I$17-E28)*5)+9.5</f>
        <v>10.614387243706362</v>
      </c>
      <c r="AF28" s="17">
        <f t="shared" si="8"/>
        <v>10.614387243706362</v>
      </c>
      <c r="AG28" s="17">
        <f t="shared" ref="AG28:AG35" si="14">IF(M28&lt;L28,((1-(M28/L28))*7)-0.07,(1-(M28/L28))*5)</f>
        <v>0</v>
      </c>
      <c r="AH28" s="4">
        <f t="shared" si="10"/>
        <v>12.264387243706363</v>
      </c>
      <c r="AI28" s="41" t="s">
        <v>641</v>
      </c>
      <c r="AJ28" s="5" t="s">
        <v>16</v>
      </c>
      <c r="AK28" s="219">
        <f>INDEX('C-P-RollAdj'!$J$4:$J$76,MATCH(INT(Z28),'C-P-RollAdj'!$I$4:$I$76,FALSE),0)</f>
        <v>-46</v>
      </c>
      <c r="AL28" s="219">
        <f>INDEX('C-P-RollAdj'!$J$4:$J$76,MATCH(INT(AC28),'C-P-RollAdj'!$I$4:$I$76,FALSE),0)</f>
        <v>36</v>
      </c>
      <c r="AM28" s="14">
        <f>+AR28*LeagueRatings!$K$27</f>
        <v>17.777777777777779</v>
      </c>
      <c r="AN28" s="72">
        <f>F28*LeagueRatings!$K$27</f>
        <v>20</v>
      </c>
      <c r="AO28" s="72">
        <f>G28*LeagueRatings!$K$27</f>
        <v>0</v>
      </c>
      <c r="AP28" s="72">
        <f>T28*LeagueRatings!$K$27</f>
        <v>82.222222222222229</v>
      </c>
      <c r="AR28" s="14">
        <f t="shared" ref="AR28:AR35" si="15">ROUNDUP(L28,0)</f>
        <v>32</v>
      </c>
    </row>
    <row r="29" spans="1:44" customFormat="1" x14ac:dyDescent="0.2">
      <c r="A29" s="41" t="s">
        <v>1101</v>
      </c>
      <c r="B29" s="76" t="s">
        <v>160</v>
      </c>
      <c r="C29" s="76">
        <v>2</v>
      </c>
      <c r="D29" s="76">
        <v>3</v>
      </c>
      <c r="E29" s="97">
        <v>6.04</v>
      </c>
      <c r="F29" s="76">
        <v>11</v>
      </c>
      <c r="G29" s="76">
        <v>11</v>
      </c>
      <c r="H29" s="76">
        <v>0</v>
      </c>
      <c r="I29" s="76">
        <v>0</v>
      </c>
      <c r="J29" s="76">
        <v>0</v>
      </c>
      <c r="K29" s="76">
        <v>0</v>
      </c>
      <c r="L29" s="258">
        <f>INDEX('C-P-RollAdj'!$P$4:$P$900,MATCH((U29),'C-P-RollAdj'!$O$4:$O$900,FALSE),0)</f>
        <v>53.67</v>
      </c>
      <c r="M29" s="76">
        <v>57</v>
      </c>
      <c r="N29" s="76">
        <v>37</v>
      </c>
      <c r="O29" s="76">
        <v>36</v>
      </c>
      <c r="P29" s="76">
        <v>7</v>
      </c>
      <c r="Q29" s="76">
        <v>15</v>
      </c>
      <c r="R29" s="76">
        <v>3</v>
      </c>
      <c r="S29" s="76">
        <v>27</v>
      </c>
      <c r="T29" s="76">
        <v>233</v>
      </c>
      <c r="U29" s="76">
        <v>53.2</v>
      </c>
      <c r="V29" s="100">
        <v>0.27100000000000002</v>
      </c>
      <c r="W29" s="76">
        <v>1.34</v>
      </c>
      <c r="X29" s="76"/>
      <c r="Y29" s="50">
        <f t="shared" si="12"/>
        <v>5.2173913043478262</v>
      </c>
      <c r="Z29" s="6">
        <f>IF(Y29&lt;LeagueRatings!$K$21,((LeagueRatings!$K$21-Y29)/LeagueRatings!$K$21)*36,(LeagueRatings!$K$21-Y29)*6.48)</f>
        <v>15.020913656361889</v>
      </c>
      <c r="AA29" s="16">
        <f>INDEX('C-P-RollAdj'!$B$4:$B$76,MATCH(INT(Z29),'C-P-RollAdj'!$A$4:$A$76,FALSE),0)</f>
        <v>-1.29</v>
      </c>
      <c r="AB29" s="16">
        <f t="shared" si="13"/>
        <v>3.0434782608695654</v>
      </c>
      <c r="AC29" s="6">
        <f>IF(AB29&lt;LeagueRatings!$K$19,((LeagueRatings!$K$19-AB29)/LeagueRatings!$K$19)*36,(LeagueRatings!$K$19-AB29)/LeagueRatings!$K$22)</f>
        <v>-1.0946595970307533</v>
      </c>
      <c r="AD29" s="16">
        <f>INDEX('C-P-RollAdj'!$F$4:$F$76,MATCH(INT(AC29),'C-P-RollAdj'!$E$4:$E$76,FALSE),0)</f>
        <v>0.16</v>
      </c>
      <c r="AE29" s="17">
        <f>+((LeagueRatings!$I$17-E29)*5)+9.5</f>
        <v>0.11438724370636244</v>
      </c>
      <c r="AF29" s="17">
        <f t="shared" ref="AF29" si="16">IF(AE29&lt;4,4,AE29)</f>
        <v>4</v>
      </c>
      <c r="AG29" s="17">
        <f t="shared" si="14"/>
        <v>-0.310229178311906</v>
      </c>
      <c r="AH29" s="4">
        <f t="shared" ref="AH29" si="17">+AA29+AD29+AF29+AG29</f>
        <v>2.5597708216880939</v>
      </c>
      <c r="AI29" s="41" t="s">
        <v>1101</v>
      </c>
      <c r="AJ29" s="5" t="s">
        <v>78</v>
      </c>
      <c r="AK29" s="219">
        <f>INDEX('C-P-RollAdj'!$J$4:$J$76,MATCH(INT(Z29),'C-P-RollAdj'!$I$4:$I$76,FALSE),0)</f>
        <v>33</v>
      </c>
      <c r="AL29" s="219">
        <f>INDEX('C-P-RollAdj'!$J$4:$J$76,MATCH(INT(AC29),'C-P-RollAdj'!$I$4:$I$76,FALSE),0)</f>
        <v>-12</v>
      </c>
      <c r="AM29" s="14">
        <f>+AR29*LeagueRatings!$K$27</f>
        <v>30</v>
      </c>
      <c r="AN29" s="72">
        <f>F29*LeagueRatings!$K$27</f>
        <v>6.1111111111111116</v>
      </c>
      <c r="AO29" s="72">
        <f>G29*LeagueRatings!$K$27</f>
        <v>6.1111111111111116</v>
      </c>
      <c r="AP29" s="72">
        <f>T29*LeagueRatings!$K$27</f>
        <v>129.44444444444446</v>
      </c>
      <c r="AR29" s="14">
        <f t="shared" si="15"/>
        <v>54</v>
      </c>
    </row>
    <row r="30" spans="1:44" customFormat="1" x14ac:dyDescent="0.2">
      <c r="A30" s="41" t="s">
        <v>424</v>
      </c>
      <c r="B30" s="76" t="s">
        <v>160</v>
      </c>
      <c r="C30" s="76">
        <v>2</v>
      </c>
      <c r="D30" s="76">
        <v>2</v>
      </c>
      <c r="E30" s="97">
        <v>3.58</v>
      </c>
      <c r="F30" s="76">
        <v>33</v>
      </c>
      <c r="G30" s="76">
        <v>0</v>
      </c>
      <c r="H30" s="76">
        <v>0</v>
      </c>
      <c r="I30" s="76">
        <v>0</v>
      </c>
      <c r="J30" s="76">
        <v>0</v>
      </c>
      <c r="K30" s="76">
        <v>0</v>
      </c>
      <c r="L30" s="258">
        <f>INDEX('C-P-RollAdj'!$P$4:$P$900,MATCH((U30),'C-P-RollAdj'!$O$4:$O$900,FALSE),0)</f>
        <v>32.67</v>
      </c>
      <c r="M30" s="76">
        <v>26</v>
      </c>
      <c r="N30" s="76">
        <v>16</v>
      </c>
      <c r="O30" s="76">
        <v>13</v>
      </c>
      <c r="P30" s="76">
        <v>2</v>
      </c>
      <c r="Q30" s="76">
        <v>18</v>
      </c>
      <c r="R30" s="76">
        <v>4</v>
      </c>
      <c r="S30" s="76">
        <v>33</v>
      </c>
      <c r="T30" s="76">
        <v>143</v>
      </c>
      <c r="U30" s="76">
        <v>32.200000000000003</v>
      </c>
      <c r="V30" s="100">
        <v>0.22</v>
      </c>
      <c r="W30" s="76">
        <v>1.35</v>
      </c>
      <c r="X30" s="76"/>
      <c r="Y30" s="50">
        <f t="shared" si="12"/>
        <v>10.071942446043165</v>
      </c>
      <c r="Z30" s="6">
        <f>IF(Y30&lt;LeagueRatings!$K$21,((LeagueRatings!$K$21-Y30)/LeagueRatings!$K$21)*36,(LeagueRatings!$K$21-Y30)*6.48)</f>
        <v>-7.2506460710286769</v>
      </c>
      <c r="AA30" s="16">
        <f>INDEX('C-P-RollAdj'!$B$4:$B$76,MATCH(INT(Z30),'C-P-RollAdj'!$A$4:$A$76,FALSE),0)</f>
        <v>0.76</v>
      </c>
      <c r="AB30" s="16">
        <f t="shared" si="13"/>
        <v>1.4388489208633095</v>
      </c>
      <c r="AC30" s="6">
        <f>IF(AB30&lt;LeagueRatings!$K$19,((LeagueRatings!$K$19-AB30)/LeagueRatings!$K$19)*36,(LeagueRatings!$K$19-AB30)/LeagueRatings!$K$22)</f>
        <v>18.187566538697293</v>
      </c>
      <c r="AD30" s="16">
        <f>INDEX('C-P-RollAdj'!$F$4:$F$76,MATCH(INT(AC30),'C-P-RollAdj'!$E$4:$E$76,FALSE),0)</f>
        <v>-1.4100000000000001</v>
      </c>
      <c r="AE30" s="17">
        <f>+((LeagueRatings!$I$17-E30)*5)+9.5</f>
        <v>12.414387243706361</v>
      </c>
      <c r="AF30" s="17">
        <f t="shared" si="8"/>
        <v>12.414387243706361</v>
      </c>
      <c r="AG30" s="17">
        <f t="shared" si="14"/>
        <v>1.3591398836853383</v>
      </c>
      <c r="AH30" s="4">
        <f t="shared" si="10"/>
        <v>13.1235271273917</v>
      </c>
      <c r="AI30" s="41" t="s">
        <v>424</v>
      </c>
      <c r="AJ30" s="5" t="s">
        <v>16</v>
      </c>
      <c r="AK30" s="219">
        <f>INDEX('C-P-RollAdj'!$J$4:$J$76,MATCH(INT(Z30),'C-P-RollAdj'!$I$4:$I$76,FALSE),0)</f>
        <v>-22</v>
      </c>
      <c r="AL30" s="219">
        <f>INDEX('C-P-RollAdj'!$J$4:$J$76,MATCH(INT(AC30),'C-P-RollAdj'!$I$4:$I$76,FALSE),0)</f>
        <v>36</v>
      </c>
      <c r="AM30" s="14">
        <f>+AR30*LeagueRatings!$K$27</f>
        <v>18.333333333333336</v>
      </c>
      <c r="AN30" s="72">
        <f>F30*LeagueRatings!$K$27</f>
        <v>18.333333333333336</v>
      </c>
      <c r="AO30" s="72">
        <f>G30*LeagueRatings!$K$27</f>
        <v>0</v>
      </c>
      <c r="AP30" s="72">
        <f>T30*LeagueRatings!$K$27</f>
        <v>79.444444444444443</v>
      </c>
      <c r="AR30" s="14">
        <f t="shared" si="15"/>
        <v>33</v>
      </c>
    </row>
    <row r="31" spans="1:44" customFormat="1" x14ac:dyDescent="0.2">
      <c r="A31" s="41" t="s">
        <v>325</v>
      </c>
      <c r="B31" s="76" t="s">
        <v>160</v>
      </c>
      <c r="C31" s="76">
        <v>1</v>
      </c>
      <c r="D31" s="76">
        <v>0</v>
      </c>
      <c r="E31" s="97">
        <v>3.6</v>
      </c>
      <c r="F31" s="76">
        <v>21</v>
      </c>
      <c r="G31" s="76">
        <v>0</v>
      </c>
      <c r="H31" s="76">
        <v>0</v>
      </c>
      <c r="I31" s="76">
        <v>0</v>
      </c>
      <c r="J31" s="76">
        <v>0</v>
      </c>
      <c r="K31" s="76">
        <v>1</v>
      </c>
      <c r="L31" s="258">
        <f>INDEX('C-P-RollAdj'!$P$4:$P$900,MATCH((U31),'C-P-RollAdj'!$O$4:$O$900,FALSE),0)</f>
        <v>20</v>
      </c>
      <c r="M31" s="76">
        <v>14</v>
      </c>
      <c r="N31" s="76">
        <v>8</v>
      </c>
      <c r="O31" s="76">
        <v>8</v>
      </c>
      <c r="P31" s="76">
        <v>0</v>
      </c>
      <c r="Q31" s="76">
        <v>7</v>
      </c>
      <c r="R31" s="76">
        <v>1</v>
      </c>
      <c r="S31" s="76">
        <v>26</v>
      </c>
      <c r="T31" s="76">
        <v>80</v>
      </c>
      <c r="U31" s="76">
        <v>20</v>
      </c>
      <c r="V31" s="100">
        <v>0.2</v>
      </c>
      <c r="W31" s="76">
        <v>1.05</v>
      </c>
      <c r="X31" s="76"/>
      <c r="Y31" s="50">
        <f t="shared" si="12"/>
        <v>7.59493670886076</v>
      </c>
      <c r="Z31" s="6">
        <f>IF(Y31&lt;LeagueRatings!$K$21,((LeagueRatings!$K$21-Y31)/LeagueRatings!$K$21)*36,(LeagueRatings!$K$21-Y31)*6.48)</f>
        <v>5.4608236769824954</v>
      </c>
      <c r="AA31" s="16">
        <f>INDEX('C-P-RollAdj'!$B$4:$B$76,MATCH(INT(Z31),'C-P-RollAdj'!$A$4:$A$76,FALSE),0)</f>
        <v>-0.4</v>
      </c>
      <c r="AB31" s="16">
        <f t="shared" si="13"/>
        <v>0</v>
      </c>
      <c r="AC31" s="6">
        <f>IF(AB31&lt;LeagueRatings!$K$19,((LeagueRatings!$K$19-AB31)/LeagueRatings!$K$19)*36,(LeagueRatings!$K$19-AB31)/LeagueRatings!$K$22)</f>
        <v>36</v>
      </c>
      <c r="AD31" s="16">
        <f>INDEX('C-P-RollAdj'!$F$4:$F$76,MATCH(INT(AC31),'C-P-RollAdj'!$E$4:$E$76,FALSE),0)</f>
        <v>-3.26</v>
      </c>
      <c r="AE31" s="17">
        <f>+((LeagueRatings!$I$17-E31)*5)+9.5</f>
        <v>12.314387243706362</v>
      </c>
      <c r="AF31" s="17">
        <f t="shared" si="8"/>
        <v>12.314387243706362</v>
      </c>
      <c r="AG31" s="17">
        <f t="shared" si="14"/>
        <v>2.0300000000000007</v>
      </c>
      <c r="AH31" s="4">
        <f t="shared" si="10"/>
        <v>10.684387243706363</v>
      </c>
      <c r="AI31" s="41" t="s">
        <v>325</v>
      </c>
      <c r="AJ31" s="5" t="s">
        <v>68</v>
      </c>
      <c r="AK31" s="219">
        <f>INDEX('C-P-RollAdj'!$J$4:$J$76,MATCH(INT(Z31),'C-P-RollAdj'!$I$4:$I$76,FALSE),0)</f>
        <v>15</v>
      </c>
      <c r="AL31" s="219">
        <f>INDEX('C-P-RollAdj'!$J$4:$J$76,MATCH(INT(AC31),'C-P-RollAdj'!$I$4:$I$76,FALSE),0)</f>
        <v>66</v>
      </c>
      <c r="AM31" s="14">
        <f>+AR31*LeagueRatings!$K$27</f>
        <v>11.111111111111111</v>
      </c>
      <c r="AN31" s="72">
        <f>F31*LeagueRatings!$K$27</f>
        <v>11.666666666666668</v>
      </c>
      <c r="AO31" s="72">
        <f>G31*LeagueRatings!$K$27</f>
        <v>0</v>
      </c>
      <c r="AP31" s="72">
        <f>T31*LeagueRatings!$K$27</f>
        <v>44.444444444444443</v>
      </c>
      <c r="AR31" s="14">
        <f t="shared" si="15"/>
        <v>20</v>
      </c>
    </row>
    <row r="32" spans="1:44" s="1" customFormat="1" x14ac:dyDescent="0.2">
      <c r="A32" s="41" t="s">
        <v>337</v>
      </c>
      <c r="B32" s="76" t="s">
        <v>160</v>
      </c>
      <c r="C32" s="76">
        <v>7</v>
      </c>
      <c r="D32" s="76">
        <v>10</v>
      </c>
      <c r="E32" s="97">
        <v>3.21</v>
      </c>
      <c r="F32" s="76">
        <v>30</v>
      </c>
      <c r="G32" s="76">
        <v>30</v>
      </c>
      <c r="H32" s="76">
        <v>1</v>
      </c>
      <c r="I32" s="76">
        <v>1</v>
      </c>
      <c r="J32" s="76">
        <v>0</v>
      </c>
      <c r="K32" s="76">
        <v>0</v>
      </c>
      <c r="L32" s="258">
        <f>INDEX('C-P-RollAdj'!$P$4:$P$900,MATCH((U32),'C-P-RollAdj'!$O$4:$O$900,FALSE),0)</f>
        <v>188</v>
      </c>
      <c r="M32" s="76">
        <v>157</v>
      </c>
      <c r="N32" s="76">
        <v>70</v>
      </c>
      <c r="O32" s="76">
        <v>67</v>
      </c>
      <c r="P32" s="76">
        <v>22</v>
      </c>
      <c r="Q32" s="76">
        <v>41</v>
      </c>
      <c r="R32" s="76">
        <v>2</v>
      </c>
      <c r="S32" s="76">
        <v>167</v>
      </c>
      <c r="T32" s="76">
        <v>758</v>
      </c>
      <c r="U32" s="76">
        <v>188</v>
      </c>
      <c r="V32" s="100">
        <v>0.223</v>
      </c>
      <c r="W32" s="76">
        <v>1.05</v>
      </c>
      <c r="X32" s="76"/>
      <c r="Y32" s="50">
        <f t="shared" si="12"/>
        <v>5.1587301587301582</v>
      </c>
      <c r="Z32" s="6">
        <f>IF(Y32&lt;LeagueRatings!$K$21,((LeagueRatings!$K$21-Y32)/LeagueRatings!$K$21)*36,(LeagueRatings!$K$21-Y32)*6.48)</f>
        <v>15.256789627156763</v>
      </c>
      <c r="AA32" s="16">
        <f>INDEX('C-P-RollAdj'!$B$4:$B$76,MATCH(INT(Z32),'C-P-RollAdj'!$A$4:$A$76,FALSE),0)</f>
        <v>-1.29</v>
      </c>
      <c r="AB32" s="16">
        <f t="shared" si="13"/>
        <v>2.9100529100529098</v>
      </c>
      <c r="AC32" s="6">
        <f>IF(AB32&lt;LeagueRatings!$K$19,((LeagueRatings!$K$19-AB32)/LeagueRatings!$K$19)*36,(LeagueRatings!$K$19-AB32)/LeagueRatings!$K$22)</f>
        <v>-1.6585365853655172E-2</v>
      </c>
      <c r="AD32" s="16">
        <f>INDEX('C-P-RollAdj'!$F$4:$F$76,MATCH(INT(AC32),'C-P-RollAdj'!$E$4:$E$76,FALSE),0)</f>
        <v>0.08</v>
      </c>
      <c r="AE32" s="17">
        <f>+((LeagueRatings!$I$17-E32)*5)+9.5</f>
        <v>14.264387243706363</v>
      </c>
      <c r="AF32" s="17">
        <f t="shared" si="8"/>
        <v>14.264387243706363</v>
      </c>
      <c r="AG32" s="17">
        <f t="shared" si="14"/>
        <v>1.0842553191489361</v>
      </c>
      <c r="AH32" s="4">
        <f t="shared" si="10"/>
        <v>14.138642562855297</v>
      </c>
      <c r="AI32" s="41" t="s">
        <v>337</v>
      </c>
      <c r="AJ32" s="5" t="s">
        <v>21</v>
      </c>
      <c r="AK32" s="219">
        <f>INDEX('C-P-RollAdj'!$J$4:$J$76,MATCH(INT(Z32),'C-P-RollAdj'!$I$4:$I$76,FALSE),0)</f>
        <v>33</v>
      </c>
      <c r="AL32" s="219">
        <f>INDEX('C-P-RollAdj'!$J$4:$J$76,MATCH(INT(AC32),'C-P-RollAdj'!$I$4:$I$76,FALSE),0)</f>
        <v>-11</v>
      </c>
      <c r="AM32" s="14">
        <f>+AR32*LeagueRatings!$K$27</f>
        <v>104.44444444444444</v>
      </c>
      <c r="AN32" s="72">
        <f>F32*LeagueRatings!$K$27</f>
        <v>16.666666666666668</v>
      </c>
      <c r="AO32" s="72">
        <f>G32*LeagueRatings!$K$27</f>
        <v>16.666666666666668</v>
      </c>
      <c r="AP32" s="72">
        <f>T32*LeagueRatings!$K$27</f>
        <v>421.11111111111114</v>
      </c>
      <c r="AQ32"/>
      <c r="AR32" s="14">
        <f t="shared" si="15"/>
        <v>188</v>
      </c>
    </row>
    <row r="33" spans="1:44" s="1" customFormat="1" x14ac:dyDescent="0.2">
      <c r="A33" s="41" t="s">
        <v>754</v>
      </c>
      <c r="B33" s="76" t="s">
        <v>160</v>
      </c>
      <c r="C33" s="76">
        <v>1</v>
      </c>
      <c r="D33" s="76">
        <v>4</v>
      </c>
      <c r="E33" s="97">
        <v>4.42</v>
      </c>
      <c r="F33" s="76">
        <v>43</v>
      </c>
      <c r="G33" s="76">
        <v>0</v>
      </c>
      <c r="H33" s="76">
        <v>0</v>
      </c>
      <c r="I33" s="76">
        <v>0</v>
      </c>
      <c r="J33" s="76">
        <v>10</v>
      </c>
      <c r="K33" s="76">
        <v>14</v>
      </c>
      <c r="L33" s="258">
        <f>INDEX('C-P-RollAdj'!$P$4:$P$900,MATCH((U33),'C-P-RollAdj'!$O$4:$O$900,FALSE),0)</f>
        <v>38.67</v>
      </c>
      <c r="M33" s="76">
        <v>37</v>
      </c>
      <c r="N33" s="76">
        <v>25</v>
      </c>
      <c r="O33" s="76">
        <v>19</v>
      </c>
      <c r="P33" s="76">
        <v>3</v>
      </c>
      <c r="Q33" s="76">
        <v>26</v>
      </c>
      <c r="R33" s="76">
        <v>3</v>
      </c>
      <c r="S33" s="76">
        <v>50</v>
      </c>
      <c r="T33" s="76">
        <v>182</v>
      </c>
      <c r="U33" s="76">
        <v>38.200000000000003</v>
      </c>
      <c r="V33" s="100">
        <v>0.24</v>
      </c>
      <c r="W33" s="76">
        <v>1.63</v>
      </c>
      <c r="X33" s="76"/>
      <c r="Y33" s="50">
        <f t="shared" si="12"/>
        <v>12.849162011173185</v>
      </c>
      <c r="Z33" s="6">
        <f>IF(Y33&lt;LeagueRatings!$K$21,((LeagueRatings!$K$21-Y33)/LeagueRatings!$K$21)*36,(LeagueRatings!$K$21-Y33)*6.48)</f>
        <v>-25.247028853071207</v>
      </c>
      <c r="AA33" s="16">
        <f>INDEX('C-P-RollAdj'!$B$4:$B$76,MATCH(INT(Z33),'C-P-RollAdj'!$A$4:$A$76,FALSE),0)</f>
        <v>3.42</v>
      </c>
      <c r="AB33" s="16">
        <f t="shared" si="13"/>
        <v>1.6759776536312849</v>
      </c>
      <c r="AC33" s="6">
        <f>IF(AB33&lt;LeagueRatings!$K$19,((LeagueRatings!$K$19-AB33)/LeagueRatings!$K$19)*36,(LeagueRatings!$K$19-AB33)/LeagueRatings!$K$22)</f>
        <v>15.251997895633441</v>
      </c>
      <c r="AD33" s="16">
        <f>INDEX('C-P-RollAdj'!$F$4:$F$76,MATCH(INT(AC33),'C-P-RollAdj'!$E$4:$E$76,FALSE),0)</f>
        <v>-1.1400000000000001</v>
      </c>
      <c r="AE33" s="17">
        <f>+((LeagueRatings!$I$17-E33)*5)+9.5</f>
        <v>8.2143872437063621</v>
      </c>
      <c r="AF33" s="17">
        <f t="shared" si="8"/>
        <v>8.2143872437063621</v>
      </c>
      <c r="AG33" s="17">
        <f t="shared" si="14"/>
        <v>0.2323015257305408</v>
      </c>
      <c r="AH33" s="4">
        <f t="shared" si="10"/>
        <v>10.726688769436903</v>
      </c>
      <c r="AI33" s="41" t="s">
        <v>754</v>
      </c>
      <c r="AJ33" s="58">
        <v>11</v>
      </c>
      <c r="AK33" s="219">
        <f>INDEX('C-P-RollAdj'!$J$4:$J$76,MATCH(INT(Z33),'C-P-RollAdj'!$I$4:$I$76,FALSE),0)</f>
        <v>-52</v>
      </c>
      <c r="AL33" s="219">
        <f>INDEX('C-P-RollAdj'!$J$4:$J$76,MATCH(INT(AC33),'C-P-RollAdj'!$I$4:$I$76,FALSE),0)</f>
        <v>33</v>
      </c>
      <c r="AM33" s="14">
        <f>+AR33*LeagueRatings!$K$27</f>
        <v>21.666666666666668</v>
      </c>
      <c r="AN33" s="72">
        <f>F33*LeagueRatings!$K$27</f>
        <v>23.888888888888889</v>
      </c>
      <c r="AO33" s="72">
        <f>G33*LeagueRatings!$K$27</f>
        <v>0</v>
      </c>
      <c r="AP33" s="72">
        <f>T33*LeagueRatings!$K$27</f>
        <v>101.11111111111111</v>
      </c>
      <c r="AR33" s="14">
        <f t="shared" si="15"/>
        <v>39</v>
      </c>
    </row>
    <row r="34" spans="1:44" s="1" customFormat="1" x14ac:dyDescent="0.2">
      <c r="A34" s="41" t="s">
        <v>1099</v>
      </c>
      <c r="B34" s="76" t="s">
        <v>160</v>
      </c>
      <c r="C34" s="76">
        <v>7</v>
      </c>
      <c r="D34" s="76">
        <v>13</v>
      </c>
      <c r="E34" s="97">
        <v>5</v>
      </c>
      <c r="F34" s="76">
        <v>27</v>
      </c>
      <c r="G34" s="76">
        <v>26</v>
      </c>
      <c r="H34" s="76">
        <v>0</v>
      </c>
      <c r="I34" s="76">
        <v>0</v>
      </c>
      <c r="J34" s="76">
        <v>1</v>
      </c>
      <c r="K34" s="76">
        <v>1</v>
      </c>
      <c r="L34" s="258">
        <f>INDEX('C-P-RollAdj'!$P$4:$P$900,MATCH((U34),'C-P-RollAdj'!$O$4:$O$900,FALSE),0)</f>
        <v>156.67000000000002</v>
      </c>
      <c r="M34" s="76">
        <v>159</v>
      </c>
      <c r="N34" s="76">
        <v>90</v>
      </c>
      <c r="O34" s="76">
        <v>87</v>
      </c>
      <c r="P34" s="76">
        <v>26</v>
      </c>
      <c r="Q34" s="76">
        <v>49</v>
      </c>
      <c r="R34" s="76">
        <v>3</v>
      </c>
      <c r="S34" s="76">
        <v>115</v>
      </c>
      <c r="T34" s="76">
        <v>671</v>
      </c>
      <c r="U34" s="76">
        <v>156.19999999999999</v>
      </c>
      <c r="V34" s="100">
        <v>0.25900000000000001</v>
      </c>
      <c r="W34" s="76">
        <v>1.33</v>
      </c>
      <c r="X34" s="76"/>
      <c r="Y34" s="50">
        <f t="shared" si="12"/>
        <v>6.88622754491018</v>
      </c>
      <c r="Z34" s="6">
        <f>IF(Y34&lt;LeagueRatings!$K$21,((LeagueRatings!$K$21-Y34)/LeagueRatings!$K$21)*36,(LeagueRatings!$K$21-Y34)*6.48)</f>
        <v>8.3105372360664642</v>
      </c>
      <c r="AA34" s="16">
        <f>INDEX('C-P-RollAdj'!$B$4:$B$76,MATCH(INT(Z34),'C-P-RollAdj'!$A$4:$A$76,FALSE),0)</f>
        <v>-0.65</v>
      </c>
      <c r="AB34" s="16">
        <f t="shared" si="13"/>
        <v>3.8922155688622757</v>
      </c>
      <c r="AC34" s="6">
        <f>IF(AB34&lt;LeagueRatings!$K$19,((LeagueRatings!$K$19-AB34)/LeagueRatings!$K$19)*36,(LeagueRatings!$K$19-AB34)/LeagueRatings!$K$22)</f>
        <v>-7.9524404848838923</v>
      </c>
      <c r="AD34" s="16">
        <f>INDEX('C-P-RollAdj'!$F$4:$F$76,MATCH(INT(AC34),'C-P-RollAdj'!$E$4:$E$76,FALSE),0)</f>
        <v>0.71</v>
      </c>
      <c r="AE34" s="17">
        <f>+((LeagueRatings!$I$17-E34)*5)+9.5</f>
        <v>5.3143872437063626</v>
      </c>
      <c r="AF34" s="17">
        <f t="shared" si="8"/>
        <v>5.3143872437063626</v>
      </c>
      <c r="AG34" s="17">
        <f t="shared" si="14"/>
        <v>-7.4360119997446406E-2</v>
      </c>
      <c r="AH34" s="4">
        <f t="shared" si="10"/>
        <v>5.300027123708916</v>
      </c>
      <c r="AI34" s="41" t="s">
        <v>1099</v>
      </c>
      <c r="AJ34" s="58">
        <v>6</v>
      </c>
      <c r="AK34" s="219">
        <f>INDEX('C-P-RollAdj'!$J$4:$J$76,MATCH(INT(Z34),'C-P-RollAdj'!$I$4:$I$76,FALSE),0)</f>
        <v>22</v>
      </c>
      <c r="AL34" s="219">
        <f>INDEX('C-P-RollAdj'!$J$4:$J$76,MATCH(INT(AC34),'C-P-RollAdj'!$I$4:$I$76,FALSE),0)</f>
        <v>-22</v>
      </c>
      <c r="AM34" s="14">
        <f>+AR34*LeagueRatings!$K$27</f>
        <v>87.222222222222229</v>
      </c>
      <c r="AN34" s="72">
        <f>F34*LeagueRatings!$K$27</f>
        <v>15</v>
      </c>
      <c r="AO34" s="72">
        <f>G34*LeagueRatings!$K$27</f>
        <v>14.444444444444445</v>
      </c>
      <c r="AP34" s="72">
        <f>T34*LeagueRatings!$K$27</f>
        <v>372.77777777777777</v>
      </c>
      <c r="AR34" s="14">
        <f t="shared" si="15"/>
        <v>157</v>
      </c>
    </row>
    <row r="35" spans="1:44" s="1" customFormat="1" x14ac:dyDescent="0.2">
      <c r="A35" s="41" t="s">
        <v>1416</v>
      </c>
      <c r="B35" s="76" t="s">
        <v>160</v>
      </c>
      <c r="C35" s="76">
        <v>3</v>
      </c>
      <c r="D35" s="76">
        <v>0</v>
      </c>
      <c r="E35" s="97">
        <v>3.58</v>
      </c>
      <c r="F35" s="76">
        <v>46</v>
      </c>
      <c r="G35" s="76">
        <v>0</v>
      </c>
      <c r="H35" s="76">
        <v>0</v>
      </c>
      <c r="I35" s="76">
        <v>0</v>
      </c>
      <c r="J35" s="76">
        <v>0</v>
      </c>
      <c r="K35" s="76">
        <v>3</v>
      </c>
      <c r="L35" s="258">
        <f>INDEX('C-P-RollAdj'!$P$4:$P$900,MATCH((U35),'C-P-RollAdj'!$O$4:$O$900,FALSE),0)</f>
        <v>37.67</v>
      </c>
      <c r="M35" s="76">
        <v>29</v>
      </c>
      <c r="N35" s="76">
        <v>16</v>
      </c>
      <c r="O35" s="76">
        <v>15</v>
      </c>
      <c r="P35" s="76">
        <v>5</v>
      </c>
      <c r="Q35" s="76">
        <v>17</v>
      </c>
      <c r="R35" s="76">
        <v>1</v>
      </c>
      <c r="S35" s="76">
        <v>28</v>
      </c>
      <c r="T35" s="76">
        <v>158</v>
      </c>
      <c r="U35" s="76">
        <v>37.200000000000003</v>
      </c>
      <c r="V35" s="100">
        <v>0.21299999999999999</v>
      </c>
      <c r="W35" s="76">
        <v>1.22</v>
      </c>
      <c r="X35" s="76"/>
      <c r="Y35" s="50">
        <f t="shared" si="12"/>
        <v>10.191082802547772</v>
      </c>
      <c r="Z35" s="6">
        <f>IF(Y35&lt;LeagueRatings!$K$21,((LeagueRatings!$K$21-Y35)/LeagueRatings!$K$21)*36,(LeagueRatings!$K$21-Y35)*6.48)</f>
        <v>-8.0226755811785306</v>
      </c>
      <c r="AA35" s="16">
        <f>INDEX('C-P-RollAdj'!$B$4:$B$76,MATCH(INT(Z35),'C-P-RollAdj'!$A$4:$A$76,FALSE),0)</f>
        <v>0.87000000000000011</v>
      </c>
      <c r="AB35" s="16">
        <f t="shared" si="13"/>
        <v>3.1847133757961785</v>
      </c>
      <c r="AC35" s="6">
        <f>IF(AB35&lt;LeagueRatings!$K$19,((LeagueRatings!$K$19-AB35)/LeagueRatings!$K$19)*36,(LeagueRatings!$K$19-AB35)/LeagueRatings!$K$22)</f>
        <v>-2.235836569830667</v>
      </c>
      <c r="AD35" s="16">
        <f>INDEX('C-P-RollAdj'!$F$4:$F$76,MATCH(INT(AC35),'C-P-RollAdj'!$E$4:$E$76,FALSE),0)</f>
        <v>0.24</v>
      </c>
      <c r="AE35" s="17">
        <f>+((LeagueRatings!$I$17-E35)*5)+9.5</f>
        <v>12.414387243706361</v>
      </c>
      <c r="AF35" s="17">
        <f t="shared" si="8"/>
        <v>12.414387243706361</v>
      </c>
      <c r="AG35" s="17">
        <f t="shared" si="14"/>
        <v>1.5410963631537036</v>
      </c>
      <c r="AH35" s="4">
        <f t="shared" si="10"/>
        <v>15.065483606860065</v>
      </c>
      <c r="AI35" s="41" t="s">
        <v>1416</v>
      </c>
      <c r="AJ35" s="58">
        <v>15</v>
      </c>
      <c r="AK35" s="219">
        <f>INDEX('C-P-RollAdj'!$J$4:$J$76,MATCH(INT(Z35),'C-P-RollAdj'!$I$4:$I$76,FALSE),0)</f>
        <v>-23</v>
      </c>
      <c r="AL35" s="219">
        <f>INDEX('C-P-RollAdj'!$J$4:$J$76,MATCH(INT(AC35),'C-P-RollAdj'!$I$4:$I$76,FALSE),0)</f>
        <v>-13</v>
      </c>
      <c r="AM35" s="14">
        <f>+AR35*LeagueRatings!$K$27</f>
        <v>21.111111111111111</v>
      </c>
      <c r="AN35" s="72">
        <f>F35*LeagueRatings!$K$27</f>
        <v>25.555555555555557</v>
      </c>
      <c r="AO35" s="72">
        <f>G35*LeagueRatings!$K$27</f>
        <v>0</v>
      </c>
      <c r="AP35" s="72">
        <f>T35*LeagueRatings!$K$27</f>
        <v>87.777777777777786</v>
      </c>
      <c r="AR35" s="14">
        <f t="shared" si="15"/>
        <v>38</v>
      </c>
    </row>
    <row r="36" spans="1:44" s="122" customFormat="1" x14ac:dyDescent="0.2">
      <c r="A36"/>
      <c r="B36" s="76"/>
      <c r="C36" s="76"/>
      <c r="D36" s="76"/>
      <c r="E36" s="97"/>
      <c r="F36" s="76"/>
      <c r="G36" s="76"/>
      <c r="H36" s="76"/>
      <c r="I36" s="76"/>
      <c r="J36" s="76"/>
      <c r="K36" s="76"/>
      <c r="L36" s="97"/>
      <c r="M36" s="76"/>
      <c r="N36" s="76"/>
      <c r="O36" s="76"/>
      <c r="P36" s="76"/>
      <c r="Q36" s="76"/>
      <c r="R36" s="76"/>
      <c r="S36" s="76"/>
      <c r="T36" s="76"/>
      <c r="U36" s="76"/>
      <c r="V36" s="100"/>
      <c r="W36" s="76"/>
      <c r="X36" s="76"/>
      <c r="Y36" s="50"/>
      <c r="Z36" s="6"/>
      <c r="AA36" s="16"/>
      <c r="AB36" s="16"/>
      <c r="AC36" s="6"/>
      <c r="AD36" s="16"/>
      <c r="AE36" s="17"/>
      <c r="AF36" s="17"/>
      <c r="AG36" s="17"/>
      <c r="AH36" s="4"/>
      <c r="AI36"/>
      <c r="AJ36" s="58"/>
      <c r="AK36" s="5"/>
      <c r="AL36" s="5"/>
      <c r="AM36" s="14"/>
      <c r="AN36" s="72"/>
      <c r="AO36" s="72"/>
      <c r="AP36" s="72"/>
      <c r="AQ36" s="1"/>
      <c r="AR36" s="14"/>
    </row>
    <row r="37" spans="1:44" s="122" customFormat="1" x14ac:dyDescent="0.2">
      <c r="A37" s="69" t="s">
        <v>106</v>
      </c>
      <c r="B37" s="70" t="s">
        <v>157</v>
      </c>
      <c r="C37" s="71" t="s">
        <v>85</v>
      </c>
      <c r="D37" s="70" t="s">
        <v>86</v>
      </c>
      <c r="E37" s="71" t="s">
        <v>87</v>
      </c>
      <c r="F37" s="70" t="s">
        <v>108</v>
      </c>
      <c r="G37" s="70" t="s">
        <v>88</v>
      </c>
      <c r="H37" s="70" t="s">
        <v>89</v>
      </c>
      <c r="I37" s="72" t="s">
        <v>317</v>
      </c>
      <c r="J37" s="72" t="s">
        <v>90</v>
      </c>
      <c r="K37" s="72" t="s">
        <v>158</v>
      </c>
      <c r="L37" s="71" t="s">
        <v>91</v>
      </c>
      <c r="M37" s="70" t="s">
        <v>92</v>
      </c>
      <c r="N37" s="70" t="s">
        <v>93</v>
      </c>
      <c r="O37" s="70" t="s">
        <v>94</v>
      </c>
      <c r="P37" s="70" t="s">
        <v>95</v>
      </c>
      <c r="Q37" s="70" t="s">
        <v>96</v>
      </c>
      <c r="R37" s="70" t="s">
        <v>98</v>
      </c>
      <c r="S37" s="70" t="s">
        <v>97</v>
      </c>
      <c r="T37" s="70" t="s">
        <v>109</v>
      </c>
      <c r="U37" s="196" t="s">
        <v>91</v>
      </c>
      <c r="V37" s="277" t="s">
        <v>1071</v>
      </c>
      <c r="W37" s="196" t="s">
        <v>1072</v>
      </c>
      <c r="X37" s="70"/>
      <c r="Y37" s="115" t="s">
        <v>2</v>
      </c>
      <c r="Z37" s="116" t="s">
        <v>3</v>
      </c>
      <c r="AA37" s="117" t="s">
        <v>4</v>
      </c>
      <c r="AB37" s="118" t="s">
        <v>5</v>
      </c>
      <c r="AC37" s="116" t="s">
        <v>6</v>
      </c>
      <c r="AD37" s="117" t="s">
        <v>7</v>
      </c>
      <c r="AE37" s="119" t="s">
        <v>8</v>
      </c>
      <c r="AF37" s="119" t="s">
        <v>81</v>
      </c>
      <c r="AG37" s="119" t="s">
        <v>9</v>
      </c>
      <c r="AH37" s="120" t="s">
        <v>10</v>
      </c>
      <c r="AI37" s="69" t="s">
        <v>106</v>
      </c>
      <c r="AJ37" s="7" t="s">
        <v>11</v>
      </c>
      <c r="AK37" s="7" t="s">
        <v>12</v>
      </c>
      <c r="AL37" s="7" t="s">
        <v>13</v>
      </c>
      <c r="AM37" s="14"/>
      <c r="AN37" s="72"/>
      <c r="AO37" s="72"/>
      <c r="AP37" s="72"/>
      <c r="AR37" s="14"/>
    </row>
    <row r="38" spans="1:44" customFormat="1" x14ac:dyDescent="0.2">
      <c r="A38" s="69"/>
      <c r="B38" s="70"/>
      <c r="C38" s="71"/>
      <c r="D38" s="70"/>
      <c r="E38" s="71"/>
      <c r="F38" s="70"/>
      <c r="G38" s="70"/>
      <c r="H38" s="70"/>
      <c r="I38" s="72"/>
      <c r="J38" s="72"/>
      <c r="K38" s="72"/>
      <c r="L38" s="71"/>
      <c r="M38" s="70"/>
      <c r="N38" s="70"/>
      <c r="O38" s="70"/>
      <c r="P38" s="70"/>
      <c r="Q38" s="70"/>
      <c r="R38" s="70"/>
      <c r="S38" s="70"/>
      <c r="T38" s="70"/>
      <c r="U38" s="70"/>
      <c r="V38" s="164"/>
      <c r="W38" s="70"/>
      <c r="X38" s="70"/>
      <c r="Y38" s="115"/>
      <c r="Z38" s="116"/>
      <c r="AA38" s="117"/>
      <c r="AB38" s="118"/>
      <c r="AC38" s="116"/>
      <c r="AD38" s="117"/>
      <c r="AE38" s="119"/>
      <c r="AF38" s="119"/>
      <c r="AG38" s="119"/>
      <c r="AH38" s="120"/>
      <c r="AI38" s="69"/>
      <c r="AJ38" s="7"/>
      <c r="AK38" s="7"/>
      <c r="AL38" s="7"/>
      <c r="AM38" s="14"/>
      <c r="AN38" s="72"/>
      <c r="AO38" s="72"/>
      <c r="AP38" s="72"/>
      <c r="AQ38" s="122"/>
      <c r="AR38" s="14"/>
    </row>
    <row r="39" spans="1:44" s="12" customFormat="1" x14ac:dyDescent="0.2">
      <c r="A39" s="41" t="s">
        <v>347</v>
      </c>
      <c r="B39" s="76" t="s">
        <v>161</v>
      </c>
      <c r="C39" s="76">
        <v>18</v>
      </c>
      <c r="D39" s="76">
        <v>8</v>
      </c>
      <c r="E39" s="97">
        <v>3.1</v>
      </c>
      <c r="F39" s="76">
        <v>31</v>
      </c>
      <c r="G39" s="76">
        <v>31</v>
      </c>
      <c r="H39" s="76">
        <v>1</v>
      </c>
      <c r="I39" s="76">
        <v>1</v>
      </c>
      <c r="J39" s="76">
        <v>0</v>
      </c>
      <c r="K39" s="76">
        <v>0</v>
      </c>
      <c r="L39" s="258">
        <f>INDEX('C-P-RollAdj'!$P$4:$P$900,MATCH((U39),'C-P-RollAdj'!$O$4:$O$900,FALSE),0)</f>
        <v>197.32999999999998</v>
      </c>
      <c r="M39" s="76">
        <v>138</v>
      </c>
      <c r="N39" s="76">
        <v>72</v>
      </c>
      <c r="O39" s="76">
        <v>68</v>
      </c>
      <c r="P39" s="76">
        <v>16</v>
      </c>
      <c r="Q39" s="76">
        <v>76</v>
      </c>
      <c r="R39" s="76">
        <v>1</v>
      </c>
      <c r="S39" s="76">
        <v>190</v>
      </c>
      <c r="T39" s="76">
        <v>795</v>
      </c>
      <c r="U39" s="76">
        <v>197.1</v>
      </c>
      <c r="V39" s="100">
        <v>0.19400000000000001</v>
      </c>
      <c r="W39" s="76">
        <v>1.08</v>
      </c>
      <c r="X39" s="76"/>
      <c r="Y39" s="50">
        <f t="shared" ref="Y39:Y53" si="18">+(Q39-R39)/(T39-R39)*100</f>
        <v>9.4458438287153648</v>
      </c>
      <c r="Z39" s="6">
        <f>IF(Y39&lt;LeagueRatings!$K$21,((LeagueRatings!$K$21-Y39)/LeagueRatings!$K$21)*36,(LeagueRatings!$K$21-Y39)*6.48)</f>
        <v>-3.1935270307445305</v>
      </c>
      <c r="AA39" s="16">
        <f>INDEX('C-P-RollAdj'!$B$4:$B$76,MATCH(INT(Z39),'C-P-RollAdj'!$A$4:$A$76,FALSE),0)</f>
        <v>0.36</v>
      </c>
      <c r="AB39" s="16">
        <f t="shared" ref="AB39:AB53" si="19">(P39/(T39-R39))*100</f>
        <v>2.0151133501259446</v>
      </c>
      <c r="AC39" s="6">
        <f>IF(AB39&lt;LeagueRatings!$K$19,((LeagueRatings!$K$19-AB39)/LeagueRatings!$K$19)*36,(LeagueRatings!$K$19-AB39)/LeagueRatings!$K$22)</f>
        <v>11.053619636059686</v>
      </c>
      <c r="AD39" s="16">
        <f>INDEX('C-P-RollAdj'!$F$4:$F$76,MATCH(INT(AC39),'C-P-RollAdj'!$E$4:$E$76,FALSE),0)</f>
        <v>-0.81</v>
      </c>
      <c r="AE39" s="17">
        <f>+((LeagueRatings!$I$17-E39)*5)+9.5</f>
        <v>14.814387243706362</v>
      </c>
      <c r="AF39" s="17">
        <f t="shared" ref="AF39:AF53" si="20">IF(AE39&lt;4,4,AE39)</f>
        <v>14.814387243706362</v>
      </c>
      <c r="AG39" s="17">
        <f t="shared" ref="AG39:AG53" si="21">IF(M39&lt;L39,((1-(M39/L39))*7)-0.07,(1-(M39/L39))*5)</f>
        <v>2.0346470379567223</v>
      </c>
      <c r="AH39" s="4">
        <f t="shared" ref="AH39:AH53" si="22">+AA39+AD39+AF39+AG39</f>
        <v>16.399034281663084</v>
      </c>
      <c r="AI39" s="41" t="s">
        <v>347</v>
      </c>
      <c r="AJ39" s="5" t="s">
        <v>31</v>
      </c>
      <c r="AK39" s="219">
        <f>INDEX('C-P-RollAdj'!$J$4:$J$76,MATCH(INT(Z39),'C-P-RollAdj'!$I$4:$I$76,FALSE),0)</f>
        <v>-14</v>
      </c>
      <c r="AL39" s="219">
        <f>INDEX('C-P-RollAdj'!$J$4:$J$76,MATCH(INT(AC39),'C-P-RollAdj'!$I$4:$I$76,FALSE),0)</f>
        <v>25</v>
      </c>
      <c r="AM39" s="14">
        <f>+AR39*LeagueRatings!$K$27</f>
        <v>110</v>
      </c>
      <c r="AN39" s="72">
        <f>F39*LeagueRatings!$K$27</f>
        <v>17.222222222222221</v>
      </c>
      <c r="AO39" s="72">
        <f>G39*LeagueRatings!$K$27</f>
        <v>17.222222222222221</v>
      </c>
      <c r="AP39" s="72">
        <f>T39*LeagueRatings!$K$27</f>
        <v>441.66666666666669</v>
      </c>
      <c r="AQ39"/>
      <c r="AR39" s="14">
        <f t="shared" ref="AR39:AR53" si="23">ROUNDUP(L39,0)</f>
        <v>198</v>
      </c>
    </row>
    <row r="40" spans="1:44" customFormat="1" x14ac:dyDescent="0.2">
      <c r="A40" s="41" t="s">
        <v>324</v>
      </c>
      <c r="B40" s="76" t="s">
        <v>161</v>
      </c>
      <c r="C40" s="76">
        <v>4</v>
      </c>
      <c r="D40" s="76">
        <v>4</v>
      </c>
      <c r="E40" s="97">
        <v>2.74</v>
      </c>
      <c r="F40" s="76">
        <v>50</v>
      </c>
      <c r="G40" s="76">
        <v>1</v>
      </c>
      <c r="H40" s="76">
        <v>0</v>
      </c>
      <c r="I40" s="76">
        <v>0</v>
      </c>
      <c r="J40" s="76">
        <v>0</v>
      </c>
      <c r="K40" s="76">
        <v>1</v>
      </c>
      <c r="L40" s="258">
        <f>INDEX('C-P-RollAdj'!$P$4:$P$900,MATCH((U40),'C-P-RollAdj'!$O$4:$O$900,FALSE),0)</f>
        <v>65.67</v>
      </c>
      <c r="M40" s="76">
        <v>49</v>
      </c>
      <c r="N40" s="76">
        <v>22</v>
      </c>
      <c r="O40" s="76">
        <v>20</v>
      </c>
      <c r="P40" s="76">
        <v>7</v>
      </c>
      <c r="Q40" s="76">
        <v>35</v>
      </c>
      <c r="R40" s="76">
        <v>3</v>
      </c>
      <c r="S40" s="76">
        <v>66</v>
      </c>
      <c r="T40" s="76">
        <v>284</v>
      </c>
      <c r="U40" s="76">
        <v>65.2</v>
      </c>
      <c r="V40" s="100">
        <v>0.20100000000000001</v>
      </c>
      <c r="W40" s="76">
        <v>1.28</v>
      </c>
      <c r="X40" s="76"/>
      <c r="Y40" s="50">
        <f t="shared" si="18"/>
        <v>11.387900355871885</v>
      </c>
      <c r="Z40" s="6">
        <f>IF(Y40&lt;LeagueRatings!$K$21,((LeagueRatings!$K$21-Y40)/LeagueRatings!$K$21)*36,(LeagueRatings!$K$21-Y40)*6.48)</f>
        <v>-15.778053326718782</v>
      </c>
      <c r="AA40" s="16">
        <f>INDEX('C-P-RollAdj'!$B$4:$B$76,MATCH(INT(Z40),'C-P-RollAdj'!$A$4:$A$76,FALSE),0)</f>
        <v>1.7799999999999998</v>
      </c>
      <c r="AB40" s="16">
        <f t="shared" si="19"/>
        <v>2.4911032028469751</v>
      </c>
      <c r="AC40" s="6">
        <f>IF(AB40&lt;LeagueRatings!$K$19,((LeagueRatings!$K$19-AB40)/LeagueRatings!$K$19)*36,(LeagueRatings!$K$19-AB40)/LeagueRatings!$K$22)</f>
        <v>5.1610360180648884</v>
      </c>
      <c r="AD40" s="16">
        <f>INDEX('C-P-RollAdj'!$F$4:$F$76,MATCH(INT(AC40),'C-P-RollAdj'!$E$4:$E$76,FALSE),0)</f>
        <v>-0.35000000000000003</v>
      </c>
      <c r="AE40" s="17">
        <f>+((LeagueRatings!$I$17-E40)*5)+9.5</f>
        <v>16.614387243706361</v>
      </c>
      <c r="AF40" s="17">
        <f t="shared" si="20"/>
        <v>16.614387243706361</v>
      </c>
      <c r="AG40" s="17">
        <f t="shared" si="21"/>
        <v>1.7069148774173897</v>
      </c>
      <c r="AH40" s="4">
        <f t="shared" si="22"/>
        <v>19.75130212112375</v>
      </c>
      <c r="AI40" s="41" t="s">
        <v>324</v>
      </c>
      <c r="AJ40" s="7" t="s">
        <v>72</v>
      </c>
      <c r="AK40" s="219">
        <f>INDEX('C-P-RollAdj'!$J$4:$J$76,MATCH(INT(Z40),'C-P-RollAdj'!$I$4:$I$76,FALSE),0)</f>
        <v>-34</v>
      </c>
      <c r="AL40" s="219">
        <f>INDEX('C-P-RollAdj'!$J$4:$J$76,MATCH(INT(AC40),'C-P-RollAdj'!$I$4:$I$76,FALSE),0)</f>
        <v>15</v>
      </c>
      <c r="AM40" s="14">
        <f>+AR40*LeagueRatings!$K$27</f>
        <v>36.666666666666671</v>
      </c>
      <c r="AN40" s="72">
        <f>F40*LeagueRatings!$K$27</f>
        <v>27.777777777777779</v>
      </c>
      <c r="AO40" s="72">
        <f>G40*LeagueRatings!$K$27</f>
        <v>0.55555555555555558</v>
      </c>
      <c r="AP40" s="72">
        <f>T40*LeagueRatings!$K$27</f>
        <v>157.77777777777777</v>
      </c>
      <c r="AQ40" s="12"/>
      <c r="AR40" s="14">
        <f t="shared" si="23"/>
        <v>66</v>
      </c>
    </row>
    <row r="41" spans="1:44" x14ac:dyDescent="0.2">
      <c r="A41" s="41" t="s">
        <v>355</v>
      </c>
      <c r="B41" s="76" t="s">
        <v>161</v>
      </c>
      <c r="C41" s="76">
        <v>1</v>
      </c>
      <c r="D41" s="76">
        <v>1</v>
      </c>
      <c r="E41" s="97">
        <v>1.01</v>
      </c>
      <c r="F41" s="76">
        <v>28</v>
      </c>
      <c r="G41" s="76">
        <v>0</v>
      </c>
      <c r="H41" s="76">
        <v>0</v>
      </c>
      <c r="I41" s="76">
        <v>0</v>
      </c>
      <c r="J41" s="76">
        <v>16</v>
      </c>
      <c r="K41" s="76">
        <v>18</v>
      </c>
      <c r="L41" s="258">
        <f>INDEX('C-P-RollAdj'!$P$4:$P$900,MATCH((U41),'C-P-RollAdj'!$O$4:$O$900,FALSE),0)</f>
        <v>26.67</v>
      </c>
      <c r="M41" s="76">
        <v>12</v>
      </c>
      <c r="N41" s="76">
        <v>4</v>
      </c>
      <c r="O41" s="76">
        <v>3</v>
      </c>
      <c r="P41" s="76">
        <v>0</v>
      </c>
      <c r="Q41" s="76">
        <v>10</v>
      </c>
      <c r="R41" s="76">
        <v>0</v>
      </c>
      <c r="S41" s="76">
        <v>46</v>
      </c>
      <c r="T41" s="76">
        <v>102</v>
      </c>
      <c r="U41" s="76">
        <v>26.2</v>
      </c>
      <c r="V41" s="100">
        <v>0.13200000000000001</v>
      </c>
      <c r="W41" s="76">
        <v>0.82</v>
      </c>
      <c r="X41" s="76"/>
      <c r="Y41" s="50">
        <f t="shared" si="18"/>
        <v>9.8039215686274517</v>
      </c>
      <c r="Z41" s="6">
        <f>IF(Y41&lt;LeagueRatings!$K$21,((LeagueRatings!$K$21-Y41)/LeagueRatings!$K$21)*36,(LeagueRatings!$K$21-Y41)*6.48)</f>
        <v>-5.5138707853748539</v>
      </c>
      <c r="AA41" s="16">
        <f>INDEX('C-P-RollAdj'!$B$4:$B$76,MATCH(INT(Z41),'C-P-RollAdj'!$A$4:$A$76,FALSE),0)</f>
        <v>0.54</v>
      </c>
      <c r="AB41" s="16">
        <f t="shared" si="19"/>
        <v>0</v>
      </c>
      <c r="AC41" s="6">
        <f>IF(AB41&lt;LeagueRatings!$K$19,((LeagueRatings!$K$19-AB41)/LeagueRatings!$K$19)*36,(LeagueRatings!$K$19-AB41)/LeagueRatings!$K$22)</f>
        <v>36</v>
      </c>
      <c r="AD41" s="16">
        <f>INDEX('C-P-RollAdj'!$F$4:$F$76,MATCH(INT(AC41),'C-P-RollAdj'!$E$4:$E$76,FALSE),0)</f>
        <v>-3.26</v>
      </c>
      <c r="AE41" s="17">
        <f>+((LeagueRatings!$I$17-E41)*5)+9.5</f>
        <v>25.264387243706363</v>
      </c>
      <c r="AF41" s="17">
        <f t="shared" si="20"/>
        <v>25.264387243706363</v>
      </c>
      <c r="AG41" s="17">
        <f t="shared" si="21"/>
        <v>3.780393700787402</v>
      </c>
      <c r="AH41" s="4">
        <f t="shared" si="22"/>
        <v>26.324780944493767</v>
      </c>
      <c r="AI41" s="41" t="s">
        <v>355</v>
      </c>
      <c r="AJ41" s="7" t="s">
        <v>1283</v>
      </c>
      <c r="AK41" s="219">
        <f>INDEX('C-P-RollAdj'!$J$4:$J$76,MATCH(INT(Z41),'C-P-RollAdj'!$I$4:$I$76,FALSE),0)</f>
        <v>-16</v>
      </c>
      <c r="AL41" s="219">
        <f>INDEX('C-P-RollAdj'!$J$4:$J$76,MATCH(INT(AC41),'C-P-RollAdj'!$I$4:$I$76,FALSE),0)</f>
        <v>66</v>
      </c>
      <c r="AM41" s="14">
        <f>+AR41*LeagueRatings!$K$27</f>
        <v>15</v>
      </c>
      <c r="AN41" s="72">
        <f>F41*LeagueRatings!$K$27</f>
        <v>15.555555555555557</v>
      </c>
      <c r="AO41" s="72">
        <f>G41*LeagueRatings!$K$27</f>
        <v>0</v>
      </c>
      <c r="AP41" s="72">
        <f>T41*LeagueRatings!$K$27</f>
        <v>56.666666666666671</v>
      </c>
      <c r="AQ41"/>
      <c r="AR41" s="14">
        <f t="shared" si="23"/>
        <v>27</v>
      </c>
    </row>
    <row r="42" spans="1:44" customFormat="1" x14ac:dyDescent="0.2">
      <c r="A42" s="41" t="s">
        <v>1105</v>
      </c>
      <c r="B42" s="76" t="s">
        <v>161</v>
      </c>
      <c r="C42" s="76">
        <v>0</v>
      </c>
      <c r="D42" s="76">
        <v>1</v>
      </c>
      <c r="E42" s="97">
        <v>3.75</v>
      </c>
      <c r="F42" s="76">
        <v>36</v>
      </c>
      <c r="G42" s="76">
        <v>0</v>
      </c>
      <c r="H42" s="76">
        <v>0</v>
      </c>
      <c r="I42" s="76">
        <v>0</v>
      </c>
      <c r="J42" s="76">
        <v>2</v>
      </c>
      <c r="K42" s="76">
        <v>3</v>
      </c>
      <c r="L42" s="258">
        <f>INDEX('C-P-RollAdj'!$P$4:$P$900,MATCH((U42),'C-P-RollAdj'!$O$4:$O$900,FALSE),0)</f>
        <v>36</v>
      </c>
      <c r="M42" s="76">
        <v>15</v>
      </c>
      <c r="N42" s="76">
        <v>15</v>
      </c>
      <c r="O42" s="76">
        <v>15</v>
      </c>
      <c r="P42" s="76">
        <v>4</v>
      </c>
      <c r="Q42" s="76">
        <v>14</v>
      </c>
      <c r="R42" s="76">
        <v>1</v>
      </c>
      <c r="S42" s="76">
        <v>52</v>
      </c>
      <c r="T42" s="76">
        <v>138</v>
      </c>
      <c r="U42" s="76">
        <v>36</v>
      </c>
      <c r="V42" s="100">
        <v>0.123</v>
      </c>
      <c r="W42" s="76">
        <v>0.81</v>
      </c>
      <c r="X42" s="76"/>
      <c r="Y42" s="50">
        <f t="shared" si="18"/>
        <v>9.4890510948905096</v>
      </c>
      <c r="Z42" s="6">
        <f>IF(Y42&lt;LeagueRatings!$K$21,((LeagueRatings!$K$21-Y42)/LeagueRatings!$K$21)*36,(LeagueRatings!$K$21-Y42)*6.48)</f>
        <v>-3.4735101155594692</v>
      </c>
      <c r="AA42" s="16">
        <f>INDEX('C-P-RollAdj'!$B$4:$B$76,MATCH(INT(Z42),'C-P-RollAdj'!$A$4:$A$76,FALSE),0)</f>
        <v>0.36</v>
      </c>
      <c r="AB42" s="16">
        <f t="shared" si="19"/>
        <v>2.9197080291970803</v>
      </c>
      <c r="AC42" s="6">
        <f>IF(AB42&lt;LeagueRatings!$K$19,((LeagueRatings!$K$19-AB42)/LeagueRatings!$K$19)*36,(LeagueRatings!$K$19-AB42)/LeagueRatings!$K$22)</f>
        <v>-9.4598540145984136E-2</v>
      </c>
      <c r="AD42" s="16">
        <f>INDEX('C-P-RollAdj'!$F$4:$F$76,MATCH(INT(AC42),'C-P-RollAdj'!$E$4:$E$76,FALSE),0)</f>
        <v>0.08</v>
      </c>
      <c r="AE42" s="17">
        <f>+((LeagueRatings!$I$17-E42)*5)+9.5</f>
        <v>11.564387243706364</v>
      </c>
      <c r="AF42" s="17">
        <f t="shared" si="20"/>
        <v>11.564387243706364</v>
      </c>
      <c r="AG42" s="17">
        <f t="shared" si="21"/>
        <v>4.0133333333333328</v>
      </c>
      <c r="AH42" s="4">
        <f t="shared" si="22"/>
        <v>16.017720577039697</v>
      </c>
      <c r="AI42" s="41" t="s">
        <v>1105</v>
      </c>
      <c r="AJ42" s="7" t="s">
        <v>31</v>
      </c>
      <c r="AK42" s="219">
        <f>INDEX('C-P-RollAdj'!$J$4:$J$76,MATCH(INT(Z42),'C-P-RollAdj'!$I$4:$I$76,FALSE),0)</f>
        <v>-14</v>
      </c>
      <c r="AL42" s="219">
        <f>INDEX('C-P-RollAdj'!$J$4:$J$76,MATCH(INT(AC42),'C-P-RollAdj'!$I$4:$I$76,FALSE),0)</f>
        <v>-11</v>
      </c>
      <c r="AM42" s="14">
        <f>+AR42*LeagueRatings!$K$27</f>
        <v>20</v>
      </c>
      <c r="AN42" s="72">
        <f>F42*LeagueRatings!$K$27</f>
        <v>20</v>
      </c>
      <c r="AO42" s="72">
        <f>G42*LeagueRatings!$K$27</f>
        <v>0</v>
      </c>
      <c r="AP42" s="72">
        <f>T42*LeagueRatings!$K$27</f>
        <v>76.666666666666671</v>
      </c>
      <c r="AQ42" s="24"/>
      <c r="AR42" s="14">
        <f t="shared" si="23"/>
        <v>36</v>
      </c>
    </row>
    <row r="43" spans="1:44" customFormat="1" x14ac:dyDescent="0.2">
      <c r="A43" s="41" t="s">
        <v>341</v>
      </c>
      <c r="B43" s="76" t="s">
        <v>161</v>
      </c>
      <c r="C43" s="76">
        <v>2</v>
      </c>
      <c r="D43" s="76">
        <v>1</v>
      </c>
      <c r="E43" s="97">
        <v>4.0999999999999996</v>
      </c>
      <c r="F43" s="76">
        <v>68</v>
      </c>
      <c r="G43" s="76">
        <v>0</v>
      </c>
      <c r="H43" s="76">
        <v>0</v>
      </c>
      <c r="I43" s="76">
        <v>0</v>
      </c>
      <c r="J43" s="76">
        <v>0</v>
      </c>
      <c r="K43" s="76">
        <v>0</v>
      </c>
      <c r="L43" s="258">
        <f>INDEX('C-P-RollAdj'!$P$4:$P$900,MATCH((U43),'C-P-RollAdj'!$O$4:$O$900,FALSE),0)</f>
        <v>52.67</v>
      </c>
      <c r="M43" s="76">
        <v>47</v>
      </c>
      <c r="N43" s="76">
        <v>24</v>
      </c>
      <c r="O43" s="76">
        <v>24</v>
      </c>
      <c r="P43" s="76">
        <v>5</v>
      </c>
      <c r="Q43" s="76">
        <v>23</v>
      </c>
      <c r="R43" s="76">
        <v>2</v>
      </c>
      <c r="S43" s="76">
        <v>65</v>
      </c>
      <c r="T43" s="76">
        <v>225</v>
      </c>
      <c r="U43" s="76">
        <v>52.2</v>
      </c>
      <c r="V43" s="100">
        <v>0.23400000000000001</v>
      </c>
      <c r="W43" s="76">
        <v>1.33</v>
      </c>
      <c r="X43" s="76"/>
      <c r="Y43" s="52">
        <f t="shared" si="18"/>
        <v>9.4170403587443943</v>
      </c>
      <c r="Z43" s="53">
        <f>IF(Y43&lt;LeagueRatings!$K$21,((LeagueRatings!$K$21-Y43)/LeagueRatings!$K$21)*36,(LeagueRatings!$K$21-Y43)*6.48)</f>
        <v>-3.0068805453326419</v>
      </c>
      <c r="AA43" s="16">
        <f>INDEX('C-P-RollAdj'!$B$4:$B$76,MATCH(INT(Z43),'C-P-RollAdj'!$A$4:$A$76,FALSE),0)</f>
        <v>0.36</v>
      </c>
      <c r="AB43" s="54">
        <f t="shared" si="19"/>
        <v>2.2421524663677128</v>
      </c>
      <c r="AC43" s="53">
        <f>IF(AB43&lt;LeagueRatings!$K$19,((LeagueRatings!$K$19-AB43)/LeagueRatings!$K$19)*36,(LeagueRatings!$K$19-AB43)/LeagueRatings!$K$22)</f>
        <v>8.2429568259969077</v>
      </c>
      <c r="AD43" s="16">
        <f>INDEX('C-P-RollAdj'!$F$4:$F$76,MATCH(INT(AC43),'C-P-RollAdj'!$E$4:$E$76,FALSE),0)</f>
        <v>-0.56999999999999995</v>
      </c>
      <c r="AE43" s="55">
        <f>+((LeagueRatings!$I$17-E43)*5)+9.5</f>
        <v>9.8143872437063635</v>
      </c>
      <c r="AF43" s="55">
        <f t="shared" si="20"/>
        <v>9.8143872437063635</v>
      </c>
      <c r="AG43" s="17">
        <f t="shared" si="21"/>
        <v>0.68355990127207122</v>
      </c>
      <c r="AH43" s="56">
        <f t="shared" si="22"/>
        <v>10.287947144978434</v>
      </c>
      <c r="AI43" s="41" t="s">
        <v>341</v>
      </c>
      <c r="AJ43" s="7" t="s">
        <v>68</v>
      </c>
      <c r="AK43" s="219">
        <f>INDEX('C-P-RollAdj'!$J$4:$J$76,MATCH(INT(Z43),'C-P-RollAdj'!$I$4:$I$76,FALSE),0)</f>
        <v>-14</v>
      </c>
      <c r="AL43" s="219">
        <f>INDEX('C-P-RollAdj'!$J$4:$J$76,MATCH(INT(AC43),'C-P-RollAdj'!$I$4:$I$76,FALSE),0)</f>
        <v>22</v>
      </c>
      <c r="AM43" s="14">
        <f>+AR43*LeagueRatings!$K$27</f>
        <v>29.444444444444446</v>
      </c>
      <c r="AN43" s="72">
        <f>F43*LeagueRatings!$K$27</f>
        <v>37.777777777777779</v>
      </c>
      <c r="AO43" s="72">
        <f>G43*LeagueRatings!$K$27</f>
        <v>0</v>
      </c>
      <c r="AP43" s="72">
        <f>T43*LeagueRatings!$K$27</f>
        <v>125</v>
      </c>
      <c r="AR43" s="14">
        <f t="shared" si="23"/>
        <v>53</v>
      </c>
    </row>
    <row r="44" spans="1:44" customFormat="1" x14ac:dyDescent="0.2">
      <c r="A44" s="41" t="s">
        <v>494</v>
      </c>
      <c r="B44" s="76" t="s">
        <v>161</v>
      </c>
      <c r="C44" s="76">
        <v>15</v>
      </c>
      <c r="D44" s="76">
        <v>10</v>
      </c>
      <c r="E44" s="97">
        <v>3.83</v>
      </c>
      <c r="F44" s="76">
        <v>30</v>
      </c>
      <c r="G44" s="76">
        <v>30</v>
      </c>
      <c r="H44" s="76">
        <v>0</v>
      </c>
      <c r="I44" s="76">
        <v>0</v>
      </c>
      <c r="J44" s="76">
        <v>0</v>
      </c>
      <c r="K44" s="76">
        <v>0</v>
      </c>
      <c r="L44" s="258">
        <f>INDEX('C-P-RollAdj'!$P$4:$P$900,MATCH((U44),'C-P-RollAdj'!$O$4:$O$900,FALSE),0)</f>
        <v>166.67000000000002</v>
      </c>
      <c r="M44" s="76">
        <v>148</v>
      </c>
      <c r="N44" s="76">
        <v>77</v>
      </c>
      <c r="O44" s="76">
        <v>71</v>
      </c>
      <c r="P44" s="76">
        <v>25</v>
      </c>
      <c r="Q44" s="76">
        <v>53</v>
      </c>
      <c r="R44" s="76">
        <v>0</v>
      </c>
      <c r="S44" s="76">
        <v>144</v>
      </c>
      <c r="T44" s="76">
        <v>692</v>
      </c>
      <c r="U44" s="76">
        <v>166.2</v>
      </c>
      <c r="V44" s="100">
        <v>0.23899999999999999</v>
      </c>
      <c r="W44" s="76">
        <v>1.21</v>
      </c>
      <c r="X44" s="76"/>
      <c r="Y44" s="50">
        <f t="shared" si="18"/>
        <v>7.6589595375722546</v>
      </c>
      <c r="Z44" s="6">
        <f>IF(Y44&lt;LeagueRatings!$K$21,((LeagueRatings!$K$21-Y44)/LeagueRatings!$K$21)*36,(LeagueRatings!$K$21-Y44)*6.48)</f>
        <v>5.2033884237778691</v>
      </c>
      <c r="AA44" s="16">
        <f>INDEX('C-P-RollAdj'!$B$4:$B$76,MATCH(INT(Z44),'C-P-RollAdj'!$A$4:$A$76,FALSE),0)</f>
        <v>-0.4</v>
      </c>
      <c r="AB44" s="16">
        <f t="shared" si="19"/>
        <v>3.6127167630057806</v>
      </c>
      <c r="AC44" s="6">
        <f>IF(AB44&lt;LeagueRatings!$K$19,((LeagueRatings!$K$19-AB44)/LeagueRatings!$K$19)*36,(LeagueRatings!$K$19-AB44)/LeagueRatings!$K$22)</f>
        <v>-5.6940955871986478</v>
      </c>
      <c r="AD44" s="16">
        <f>INDEX('C-P-RollAdj'!$F$4:$F$76,MATCH(INT(AC44),'C-P-RollAdj'!$E$4:$E$76,FALSE),0)</f>
        <v>0.51</v>
      </c>
      <c r="AE44" s="17">
        <f>+((LeagueRatings!$I$17-E44)*5)+9.5</f>
        <v>11.164387243706361</v>
      </c>
      <c r="AF44" s="17">
        <f t="shared" si="20"/>
        <v>11.164387243706361</v>
      </c>
      <c r="AG44" s="17">
        <f t="shared" si="21"/>
        <v>0.71412431751365046</v>
      </c>
      <c r="AH44" s="4">
        <f t="shared" si="22"/>
        <v>11.988511561220012</v>
      </c>
      <c r="AI44" s="41" t="s">
        <v>494</v>
      </c>
      <c r="AJ44" s="5" t="s">
        <v>59</v>
      </c>
      <c r="AK44" s="219">
        <f>INDEX('C-P-RollAdj'!$J$4:$J$76,MATCH(INT(Z44),'C-P-RollAdj'!$I$4:$I$76,FALSE),0)</f>
        <v>15</v>
      </c>
      <c r="AL44" s="219">
        <f>INDEX('C-P-RollAdj'!$J$4:$J$76,MATCH(INT(AC44),'C-P-RollAdj'!$I$4:$I$76,FALSE),0)</f>
        <v>-16</v>
      </c>
      <c r="AM44" s="14">
        <f>+AR44*LeagueRatings!$K$27</f>
        <v>92.777777777777786</v>
      </c>
      <c r="AN44" s="72">
        <f>F44*LeagueRatings!$K$27</f>
        <v>16.666666666666668</v>
      </c>
      <c r="AO44" s="72">
        <f>G44*LeagueRatings!$K$27</f>
        <v>16.666666666666668</v>
      </c>
      <c r="AP44" s="72">
        <f>T44*LeagueRatings!$K$27</f>
        <v>384.44444444444446</v>
      </c>
      <c r="AR44" s="14">
        <f t="shared" si="23"/>
        <v>167</v>
      </c>
    </row>
    <row r="45" spans="1:44" customFormat="1" x14ac:dyDescent="0.2">
      <c r="A45" s="41" t="s">
        <v>753</v>
      </c>
      <c r="B45" s="76" t="s">
        <v>161</v>
      </c>
      <c r="C45" s="76">
        <v>16</v>
      </c>
      <c r="D45" s="76">
        <v>8</v>
      </c>
      <c r="E45" s="97">
        <v>2.13</v>
      </c>
      <c r="F45" s="76">
        <v>31</v>
      </c>
      <c r="G45" s="76">
        <v>30</v>
      </c>
      <c r="H45" s="76">
        <v>2</v>
      </c>
      <c r="I45" s="76">
        <v>1</v>
      </c>
      <c r="J45" s="76">
        <v>0</v>
      </c>
      <c r="K45" s="76">
        <v>0</v>
      </c>
      <c r="L45" s="258">
        <f>INDEX('C-P-RollAdj'!$P$4:$P$900,MATCH((U45),'C-P-RollAdj'!$O$4:$O$900,FALSE),0)</f>
        <v>190</v>
      </c>
      <c r="M45" s="76">
        <v>142</v>
      </c>
      <c r="N45" s="76">
        <v>53</v>
      </c>
      <c r="O45" s="76">
        <v>45</v>
      </c>
      <c r="P45" s="76">
        <v>15</v>
      </c>
      <c r="Q45" s="76">
        <v>44</v>
      </c>
      <c r="R45" s="76">
        <v>3</v>
      </c>
      <c r="S45" s="76">
        <v>170</v>
      </c>
      <c r="T45" s="76">
        <v>745</v>
      </c>
      <c r="U45" s="76">
        <v>190</v>
      </c>
      <c r="V45" s="100">
        <v>0.20699999999999999</v>
      </c>
      <c r="W45" s="76">
        <v>0.98</v>
      </c>
      <c r="X45" s="76"/>
      <c r="Y45" s="50">
        <f t="shared" si="18"/>
        <v>5.5256064690026951</v>
      </c>
      <c r="Z45" s="6">
        <f>IF(Y45&lt;LeagueRatings!$K$21,((LeagueRatings!$K$21-Y45)/LeagueRatings!$K$21)*36,(LeagueRatings!$K$21-Y45)*6.48)</f>
        <v>13.781583083950206</v>
      </c>
      <c r="AA45" s="16">
        <f>INDEX('C-P-RollAdj'!$B$4:$B$76,MATCH(INT(Z45),'C-P-RollAdj'!$A$4:$A$76,FALSE),0)</f>
        <v>-1.1000000000000001</v>
      </c>
      <c r="AB45" s="16">
        <f t="shared" si="19"/>
        <v>2.0215633423180592</v>
      </c>
      <c r="AC45" s="6">
        <f>IF(AB45&lt;LeagueRatings!$K$19,((LeagueRatings!$K$19-AB45)/LeagueRatings!$K$19)*36,(LeagueRatings!$K$19-AB45)/LeagueRatings!$K$22)</f>
        <v>10.973771046619852</v>
      </c>
      <c r="AD45" s="16">
        <f>INDEX('C-P-RollAdj'!$F$4:$F$76,MATCH(INT(AC45),'C-P-RollAdj'!$E$4:$E$76,FALSE),0)</f>
        <v>-0.73</v>
      </c>
      <c r="AE45" s="17">
        <f>+((LeagueRatings!$I$17-E45)*5)+9.5</f>
        <v>19.664387243706365</v>
      </c>
      <c r="AF45" s="17">
        <f t="shared" si="20"/>
        <v>19.664387243706365</v>
      </c>
      <c r="AG45" s="17">
        <f t="shared" si="21"/>
        <v>1.6984210526315791</v>
      </c>
      <c r="AH45" s="4">
        <f t="shared" si="22"/>
        <v>19.532808296337947</v>
      </c>
      <c r="AI45" s="41" t="s">
        <v>753</v>
      </c>
      <c r="AJ45" s="5" t="s">
        <v>72</v>
      </c>
      <c r="AK45" s="219">
        <f>INDEX('C-P-RollAdj'!$J$4:$J$76,MATCH(INT(Z45),'C-P-RollAdj'!$I$4:$I$76,FALSE),0)</f>
        <v>31</v>
      </c>
      <c r="AL45" s="219">
        <f>INDEX('C-P-RollAdj'!$J$4:$J$76,MATCH(INT(AC45),'C-P-RollAdj'!$I$4:$I$76,FALSE),0)</f>
        <v>24</v>
      </c>
      <c r="AM45" s="14">
        <f>+AR45*LeagueRatings!$K$27</f>
        <v>105.55555555555556</v>
      </c>
      <c r="AN45" s="72">
        <f>F45*LeagueRatings!$K$27</f>
        <v>17.222222222222221</v>
      </c>
      <c r="AO45" s="72">
        <f>G45*LeagueRatings!$K$27</f>
        <v>16.666666666666668</v>
      </c>
      <c r="AP45" s="72">
        <f>T45*LeagueRatings!$K$27</f>
        <v>413.88888888888891</v>
      </c>
      <c r="AR45" s="14">
        <f t="shared" si="23"/>
        <v>190</v>
      </c>
    </row>
    <row r="46" spans="1:44" customFormat="1" x14ac:dyDescent="0.2">
      <c r="A46" s="41" t="s">
        <v>501</v>
      </c>
      <c r="B46" s="76" t="s">
        <v>161</v>
      </c>
      <c r="C46" s="76">
        <v>11</v>
      </c>
      <c r="D46" s="76">
        <v>8</v>
      </c>
      <c r="E46" s="97">
        <v>3.35</v>
      </c>
      <c r="F46" s="76">
        <v>29</v>
      </c>
      <c r="G46" s="76">
        <v>29</v>
      </c>
      <c r="H46" s="76">
        <v>0</v>
      </c>
      <c r="I46" s="76">
        <v>0</v>
      </c>
      <c r="J46" s="76">
        <v>0</v>
      </c>
      <c r="K46" s="76">
        <v>0</v>
      </c>
      <c r="L46" s="258">
        <f>INDEX('C-P-RollAdj'!$P$4:$P$900,MATCH((U46),'C-P-RollAdj'!$O$4:$O$900,FALSE),0)</f>
        <v>188.32999999999998</v>
      </c>
      <c r="M46" s="76">
        <v>146</v>
      </c>
      <c r="N46" s="76">
        <v>74</v>
      </c>
      <c r="O46" s="76">
        <v>70</v>
      </c>
      <c r="P46" s="76">
        <v>23</v>
      </c>
      <c r="Q46" s="76">
        <v>53</v>
      </c>
      <c r="R46" s="76">
        <v>1</v>
      </c>
      <c r="S46" s="76">
        <v>180</v>
      </c>
      <c r="T46" s="76">
        <v>748</v>
      </c>
      <c r="U46" s="76">
        <v>188.1</v>
      </c>
      <c r="V46" s="100">
        <v>0.218</v>
      </c>
      <c r="W46" s="76">
        <v>1.06</v>
      </c>
      <c r="X46" s="76"/>
      <c r="Y46" s="50">
        <f t="shared" si="18"/>
        <v>6.9611780455153953</v>
      </c>
      <c r="Z46" s="6">
        <f>IF(Y46&lt;LeagueRatings!$K$21,((LeagueRatings!$K$21-Y46)/LeagueRatings!$K$21)*36,(LeagueRatings!$K$21-Y46)*6.48)</f>
        <v>8.0091619065247848</v>
      </c>
      <c r="AA46" s="16">
        <f>INDEX('C-P-RollAdj'!$B$4:$B$76,MATCH(INT(Z46),'C-P-RollAdj'!$A$4:$A$76,FALSE),0)</f>
        <v>-0.65</v>
      </c>
      <c r="AB46" s="16">
        <f t="shared" si="19"/>
        <v>3.0789825970548863</v>
      </c>
      <c r="AC46" s="6">
        <f>IF(AB46&lt;LeagueRatings!$K$19,((LeagueRatings!$K$19-AB46)/LeagueRatings!$K$19)*36,(LeagueRatings!$K$19-AB46)/LeagueRatings!$K$22)</f>
        <v>-1.3815339406406109</v>
      </c>
      <c r="AD46" s="16">
        <f>INDEX('C-P-RollAdj'!$F$4:$F$76,MATCH(INT(AC46),'C-P-RollAdj'!$E$4:$E$76,FALSE),0)</f>
        <v>0.16</v>
      </c>
      <c r="AE46" s="17">
        <f>+((LeagueRatings!$I$17-E46)*5)+9.5</f>
        <v>13.564387243706362</v>
      </c>
      <c r="AF46" s="17">
        <f t="shared" si="20"/>
        <v>13.564387243706362</v>
      </c>
      <c r="AG46" s="17">
        <f t="shared" si="21"/>
        <v>1.5033552806244355</v>
      </c>
      <c r="AH46" s="4">
        <f t="shared" si="22"/>
        <v>14.577742524330796</v>
      </c>
      <c r="AI46" s="41" t="s">
        <v>501</v>
      </c>
      <c r="AJ46" s="5" t="s">
        <v>14</v>
      </c>
      <c r="AK46" s="219">
        <f>INDEX('C-P-RollAdj'!$J$4:$J$76,MATCH(INT(Z46),'C-P-RollAdj'!$I$4:$I$76,FALSE),0)</f>
        <v>22</v>
      </c>
      <c r="AL46" s="219">
        <f>INDEX('C-P-RollAdj'!$J$4:$J$76,MATCH(INT(AC46),'C-P-RollAdj'!$I$4:$I$76,FALSE),0)</f>
        <v>-12</v>
      </c>
      <c r="AM46" s="14">
        <f>+AR46*LeagueRatings!$K$27</f>
        <v>105</v>
      </c>
      <c r="AN46" s="72">
        <f>F46*LeagueRatings!$K$27</f>
        <v>16.111111111111111</v>
      </c>
      <c r="AO46" s="72">
        <f>G46*LeagueRatings!$K$27</f>
        <v>16.111111111111111</v>
      </c>
      <c r="AP46" s="72">
        <f>T46*LeagueRatings!$K$27</f>
        <v>415.5555555555556</v>
      </c>
      <c r="AR46" s="14">
        <f t="shared" si="23"/>
        <v>189</v>
      </c>
    </row>
    <row r="47" spans="1:44" customFormat="1" x14ac:dyDescent="0.2">
      <c r="A47" s="41" t="s">
        <v>503</v>
      </c>
      <c r="B47" s="76" t="s">
        <v>161</v>
      </c>
      <c r="C47" s="76">
        <v>19</v>
      </c>
      <c r="D47" s="76">
        <v>5</v>
      </c>
      <c r="E47" s="97">
        <v>2.44</v>
      </c>
      <c r="F47" s="76">
        <v>32</v>
      </c>
      <c r="G47" s="76">
        <v>32</v>
      </c>
      <c r="H47" s="76">
        <v>2</v>
      </c>
      <c r="I47" s="76">
        <v>0</v>
      </c>
      <c r="J47" s="76">
        <v>0</v>
      </c>
      <c r="K47" s="76">
        <v>0</v>
      </c>
      <c r="L47" s="258">
        <f>INDEX('C-P-RollAdj'!$P$4:$P$900,MATCH((U47),'C-P-RollAdj'!$O$4:$O$900,FALSE),0)</f>
        <v>202.67000000000002</v>
      </c>
      <c r="M47" s="76">
        <v>154</v>
      </c>
      <c r="N47" s="76">
        <v>57</v>
      </c>
      <c r="O47" s="76">
        <v>55</v>
      </c>
      <c r="P47" s="76">
        <v>21</v>
      </c>
      <c r="Q47" s="76">
        <v>52</v>
      </c>
      <c r="R47" s="76">
        <v>0</v>
      </c>
      <c r="S47" s="76">
        <v>197</v>
      </c>
      <c r="T47" s="76">
        <v>796</v>
      </c>
      <c r="U47" s="76">
        <v>202.2</v>
      </c>
      <c r="V47" s="100">
        <v>0.21099999999999999</v>
      </c>
      <c r="W47" s="76">
        <v>1.02</v>
      </c>
      <c r="X47" s="76"/>
      <c r="Y47" s="50">
        <f t="shared" si="18"/>
        <v>6.5326633165829149</v>
      </c>
      <c r="Z47" s="6">
        <f>IF(Y47&lt;LeagueRatings!$K$21,((LeagueRatings!$K$21-Y47)/LeagueRatings!$K$21)*36,(LeagueRatings!$K$21-Y47)*6.48)</f>
        <v>9.7322160102688642</v>
      </c>
      <c r="AA47" s="16">
        <f>INDEX('C-P-RollAdj'!$B$4:$B$76,MATCH(INT(Z47),'C-P-RollAdj'!$A$4:$A$76,FALSE),0)</f>
        <v>-0.74</v>
      </c>
      <c r="AB47" s="16">
        <f t="shared" si="19"/>
        <v>2.6381909547738691</v>
      </c>
      <c r="AC47" s="6">
        <f>IF(AB47&lt;LeagueRatings!$K$19,((LeagueRatings!$K$19-AB47)/LeagueRatings!$K$19)*36,(LeagueRatings!$K$19-AB47)/LeagueRatings!$K$22)</f>
        <v>3.3401424161164615</v>
      </c>
      <c r="AD47" s="16">
        <f>INDEX('C-P-RollAdj'!$F$4:$F$76,MATCH(INT(AC47),'C-P-RollAdj'!$E$4:$E$76,FALSE),0)</f>
        <v>-0.21000000000000002</v>
      </c>
      <c r="AE47" s="17">
        <f>+((LeagueRatings!$I$17-E47)*5)+9.5</f>
        <v>18.114387243706361</v>
      </c>
      <c r="AF47" s="17">
        <f t="shared" si="20"/>
        <v>18.114387243706361</v>
      </c>
      <c r="AG47" s="17">
        <f t="shared" si="21"/>
        <v>1.6110085360438151</v>
      </c>
      <c r="AH47" s="4">
        <f t="shared" si="22"/>
        <v>18.775395779750177</v>
      </c>
      <c r="AI47" s="41" t="s">
        <v>503</v>
      </c>
      <c r="AJ47" s="5" t="s">
        <v>67</v>
      </c>
      <c r="AK47" s="219">
        <f>INDEX('C-P-RollAdj'!$J$4:$J$76,MATCH(INT(Z47),'C-P-RollAdj'!$I$4:$I$76,FALSE),0)</f>
        <v>23</v>
      </c>
      <c r="AL47" s="219">
        <f>INDEX('C-P-RollAdj'!$J$4:$J$76,MATCH(INT(AC47),'C-P-RollAdj'!$I$4:$I$76,FALSE),0)</f>
        <v>13</v>
      </c>
      <c r="AM47" s="14">
        <f>+AR47*LeagueRatings!$K$27</f>
        <v>112.77777777777779</v>
      </c>
      <c r="AN47" s="72">
        <f>F47*LeagueRatings!$K$27</f>
        <v>17.777777777777779</v>
      </c>
      <c r="AO47" s="72">
        <f>G47*LeagueRatings!$K$27</f>
        <v>17.777777777777779</v>
      </c>
      <c r="AP47" s="72">
        <f>T47*LeagueRatings!$K$27</f>
        <v>442.22222222222223</v>
      </c>
      <c r="AR47" s="14">
        <f t="shared" si="23"/>
        <v>203</v>
      </c>
    </row>
    <row r="48" spans="1:44" customFormat="1" x14ac:dyDescent="0.2">
      <c r="A48" s="41" t="s">
        <v>1206</v>
      </c>
      <c r="B48" s="76" t="s">
        <v>161</v>
      </c>
      <c r="C48" s="76">
        <v>1</v>
      </c>
      <c r="D48" s="76">
        <v>1</v>
      </c>
      <c r="E48" s="97">
        <v>2.82</v>
      </c>
      <c r="F48" s="76">
        <v>17</v>
      </c>
      <c r="G48" s="76">
        <v>5</v>
      </c>
      <c r="H48" s="76">
        <v>0</v>
      </c>
      <c r="I48" s="76">
        <v>0</v>
      </c>
      <c r="J48" s="76">
        <v>0</v>
      </c>
      <c r="K48" s="76">
        <v>0</v>
      </c>
      <c r="L48" s="258">
        <f>INDEX('C-P-RollAdj'!$P$4:$P$900,MATCH((U48),'C-P-RollAdj'!$O$4:$O$900,FALSE),0)</f>
        <v>38.33</v>
      </c>
      <c r="M48" s="76">
        <v>30</v>
      </c>
      <c r="N48" s="76">
        <v>15</v>
      </c>
      <c r="O48" s="76">
        <v>12</v>
      </c>
      <c r="P48" s="76">
        <v>5</v>
      </c>
      <c r="Q48" s="76">
        <v>20</v>
      </c>
      <c r="R48" s="76">
        <v>0</v>
      </c>
      <c r="S48" s="76">
        <v>38</v>
      </c>
      <c r="T48" s="76">
        <v>164</v>
      </c>
      <c r="U48" s="76">
        <v>38.1</v>
      </c>
      <c r="V48" s="100">
        <v>0.217</v>
      </c>
      <c r="W48" s="76">
        <v>1.3</v>
      </c>
      <c r="X48" s="76"/>
      <c r="Y48" s="50">
        <f t="shared" si="18"/>
        <v>12.195121951219512</v>
      </c>
      <c r="Z48" s="6">
        <f>IF(Y48&lt;LeagueRatings!$K$21,((LeagueRatings!$K$21-Y48)/LeagueRatings!$K$21)*36,(LeagueRatings!$K$21-Y48)*6.48)</f>
        <v>-21.00884926457141</v>
      </c>
      <c r="AA48" s="16">
        <f>INDEX('C-P-RollAdj'!$B$4:$B$76,MATCH(INT(Z48),'C-P-RollAdj'!$A$4:$A$76,FALSE),0)</f>
        <v>2.7199999999999998</v>
      </c>
      <c r="AB48" s="16">
        <f t="shared" si="19"/>
        <v>3.0487804878048781</v>
      </c>
      <c r="AC48" s="6">
        <f>IF(AB48&lt;LeagueRatings!$K$19,((LeagueRatings!$K$19-AB48)/LeagueRatings!$K$19)*36,(LeagueRatings!$K$19-AB48)/LeagueRatings!$K$22)</f>
        <v>-1.1375014872099933</v>
      </c>
      <c r="AD48" s="16">
        <f>INDEX('C-P-RollAdj'!$F$4:$F$76,MATCH(INT(AC48),'C-P-RollAdj'!$E$4:$E$76,FALSE),0)</f>
        <v>0.16</v>
      </c>
      <c r="AE48" s="17">
        <f>+((LeagueRatings!$I$17-E48)*5)+9.5</f>
        <v>16.214387243706362</v>
      </c>
      <c r="AF48" s="17">
        <f t="shared" si="20"/>
        <v>16.214387243706362</v>
      </c>
      <c r="AG48" s="17">
        <f t="shared" si="21"/>
        <v>1.45126271849726</v>
      </c>
      <c r="AH48" s="4">
        <f t="shared" si="22"/>
        <v>20.545649962203623</v>
      </c>
      <c r="AI48" s="41" t="s">
        <v>1206</v>
      </c>
      <c r="AJ48" s="5" t="s">
        <v>28</v>
      </c>
      <c r="AK48" s="219">
        <f>INDEX('C-P-RollAdj'!$J$4:$J$76,MATCH(INT(Z48),'C-P-RollAdj'!$I$4:$I$76,FALSE),0)</f>
        <v>-44</v>
      </c>
      <c r="AL48" s="219">
        <f>INDEX('C-P-RollAdj'!$J$4:$J$76,MATCH(INT(AC48),'C-P-RollAdj'!$I$4:$I$76,FALSE),0)</f>
        <v>-12</v>
      </c>
      <c r="AM48" s="14">
        <f>+AR48*LeagueRatings!$K$27</f>
        <v>21.666666666666668</v>
      </c>
      <c r="AN48" s="72">
        <f>F48*LeagueRatings!$K$27</f>
        <v>9.4444444444444446</v>
      </c>
      <c r="AO48" s="72">
        <f>G48*LeagueRatings!$K$27</f>
        <v>2.7777777777777777</v>
      </c>
      <c r="AP48" s="72">
        <f>T48*LeagueRatings!$K$27</f>
        <v>91.111111111111114</v>
      </c>
      <c r="AR48" s="14">
        <f t="shared" si="23"/>
        <v>39</v>
      </c>
    </row>
    <row r="49" spans="1:44" customFormat="1" x14ac:dyDescent="0.2">
      <c r="A49" s="41" t="s">
        <v>823</v>
      </c>
      <c r="B49" s="76" t="s">
        <v>161</v>
      </c>
      <c r="C49" s="76">
        <v>1</v>
      </c>
      <c r="D49" s="76">
        <v>1</v>
      </c>
      <c r="E49" s="97">
        <v>5.48</v>
      </c>
      <c r="F49" s="76">
        <v>16</v>
      </c>
      <c r="G49" s="76">
        <v>0</v>
      </c>
      <c r="H49" s="76">
        <v>0</v>
      </c>
      <c r="I49" s="76">
        <v>0</v>
      </c>
      <c r="J49" s="76">
        <v>0</v>
      </c>
      <c r="K49" s="76">
        <v>0</v>
      </c>
      <c r="L49" s="258">
        <f>INDEX('C-P-RollAdj'!$P$4:$P$900,MATCH((U49),'C-P-RollAdj'!$O$4:$O$900,FALSE),0)</f>
        <v>21.33</v>
      </c>
      <c r="M49" s="76">
        <v>20</v>
      </c>
      <c r="N49" s="76">
        <v>16</v>
      </c>
      <c r="O49" s="76">
        <v>13</v>
      </c>
      <c r="P49" s="76">
        <v>3</v>
      </c>
      <c r="Q49" s="76">
        <v>14</v>
      </c>
      <c r="R49" s="76">
        <v>0</v>
      </c>
      <c r="S49" s="76">
        <v>22</v>
      </c>
      <c r="T49" s="76">
        <v>101</v>
      </c>
      <c r="U49" s="76">
        <v>21.1</v>
      </c>
      <c r="V49" s="100">
        <v>0.23300000000000001</v>
      </c>
      <c r="W49" s="76">
        <v>1.59</v>
      </c>
      <c r="X49" s="76"/>
      <c r="Y49" s="50">
        <f t="shared" si="18"/>
        <v>13.861386138613863</v>
      </c>
      <c r="Z49" s="6">
        <f>IF(Y49&lt;LeagueRatings!$K$21,((LeagueRatings!$K$21-Y49)/LeagueRatings!$K$21)*36,(LeagueRatings!$K$21-Y49)*6.48)</f>
        <v>-31.806241198886802</v>
      </c>
      <c r="AA49" s="16">
        <f>INDEX('C-P-RollAdj'!$B$4:$B$76,MATCH(INT(Z49),'C-P-RollAdj'!$A$4:$A$76,FALSE),0)</f>
        <v>4.5999999999999996</v>
      </c>
      <c r="AB49" s="16">
        <f t="shared" si="19"/>
        <v>2.9702970297029703</v>
      </c>
      <c r="AC49" s="6">
        <f>IF(AB49&lt;LeagueRatings!$K$19,((LeagueRatings!$K$19-AB49)/LeagueRatings!$K$19)*36,(LeagueRatings!$K$19-AB49)/LeagueRatings!$K$22)</f>
        <v>-0.50335667713112642</v>
      </c>
      <c r="AD49" s="16">
        <f>INDEX('C-P-RollAdj'!$F$4:$F$76,MATCH(INT(AC49),'C-P-RollAdj'!$E$4:$E$76,FALSE),0)</f>
        <v>0.08</v>
      </c>
      <c r="AE49" s="17">
        <f>+((LeagueRatings!$I$17-E49)*5)+9.5</f>
        <v>2.9143872437063605</v>
      </c>
      <c r="AF49" s="17">
        <f t="shared" si="20"/>
        <v>4</v>
      </c>
      <c r="AG49" s="17">
        <f t="shared" si="21"/>
        <v>0.36647444913267674</v>
      </c>
      <c r="AH49" s="4">
        <f t="shared" si="22"/>
        <v>9.0464744491326758</v>
      </c>
      <c r="AI49" s="41" t="s">
        <v>823</v>
      </c>
      <c r="AJ49" s="5" t="s">
        <v>34</v>
      </c>
      <c r="AK49" s="219">
        <f>INDEX('C-P-RollAdj'!$J$4:$J$76,MATCH(INT(Z49),'C-P-RollAdj'!$I$4:$I$76,FALSE),0)</f>
        <v>-62</v>
      </c>
      <c r="AL49" s="219">
        <f>INDEX('C-P-RollAdj'!$J$4:$J$76,MATCH(INT(AC49),'C-P-RollAdj'!$I$4:$I$76,FALSE),0)</f>
        <v>-11</v>
      </c>
      <c r="AM49" s="14">
        <f>+AR49*LeagueRatings!$K$27</f>
        <v>12.222222222222223</v>
      </c>
      <c r="AN49" s="72">
        <f>F49*LeagueRatings!$K$27</f>
        <v>8.8888888888888893</v>
      </c>
      <c r="AO49" s="72">
        <f>G49*LeagueRatings!$K$27</f>
        <v>0</v>
      </c>
      <c r="AP49" s="72">
        <f>T49*LeagueRatings!$K$27</f>
        <v>56.111111111111114</v>
      </c>
      <c r="AR49" s="14">
        <f t="shared" si="23"/>
        <v>22</v>
      </c>
    </row>
    <row r="50" spans="1:44" s="12" customFormat="1" x14ac:dyDescent="0.2">
      <c r="A50" s="41" t="s">
        <v>351</v>
      </c>
      <c r="B50" s="76" t="s">
        <v>161</v>
      </c>
      <c r="C50" s="76">
        <v>2</v>
      </c>
      <c r="D50" s="76">
        <v>3</v>
      </c>
      <c r="E50" s="97">
        <v>3.53</v>
      </c>
      <c r="F50" s="76">
        <v>54</v>
      </c>
      <c r="G50" s="76">
        <v>0</v>
      </c>
      <c r="H50" s="76">
        <v>0</v>
      </c>
      <c r="I50" s="76">
        <v>0</v>
      </c>
      <c r="J50" s="76">
        <v>18</v>
      </c>
      <c r="K50" s="76">
        <v>23</v>
      </c>
      <c r="L50" s="258">
        <f>INDEX('C-P-RollAdj'!$P$4:$P$900,MATCH((U50),'C-P-RollAdj'!$O$4:$O$900,FALSE),0)</f>
        <v>51</v>
      </c>
      <c r="M50" s="76">
        <v>42</v>
      </c>
      <c r="N50" s="76">
        <v>20</v>
      </c>
      <c r="O50" s="76">
        <v>20</v>
      </c>
      <c r="P50" s="76">
        <v>8</v>
      </c>
      <c r="Q50" s="76">
        <v>8</v>
      </c>
      <c r="R50" s="76">
        <v>0</v>
      </c>
      <c r="S50" s="76">
        <v>58</v>
      </c>
      <c r="T50" s="76">
        <v>200</v>
      </c>
      <c r="U50" s="76">
        <v>51</v>
      </c>
      <c r="V50" s="100">
        <v>0.22500000000000001</v>
      </c>
      <c r="W50" s="76">
        <v>0.98</v>
      </c>
      <c r="X50" s="76"/>
      <c r="Y50" s="52">
        <f t="shared" si="18"/>
        <v>4</v>
      </c>
      <c r="Z50" s="53">
        <f>IF(Y50&lt;LeagueRatings!$K$21,((LeagueRatings!$K$21-Y50)/LeagueRatings!$K$21)*36,(LeagueRatings!$K$21-Y50)*6.48)</f>
        <v>19.91603380321078</v>
      </c>
      <c r="AA50" s="16">
        <f>INDEX('C-P-RollAdj'!$B$4:$B$76,MATCH(INT(Z50),'C-P-RollAdj'!$A$4:$A$76,FALSE),0)</f>
        <v>-1.69</v>
      </c>
      <c r="AB50" s="54">
        <f t="shared" si="19"/>
        <v>4</v>
      </c>
      <c r="AC50" s="53">
        <f>IF(AB50&lt;LeagueRatings!$K$19,((LeagueRatings!$K$19-AB50)/LeagueRatings!$K$19)*36,(LeagueRatings!$K$19-AB50)/LeagueRatings!$K$22)</f>
        <v>-8.823336585365853</v>
      </c>
      <c r="AD50" s="16">
        <f>INDEX('C-P-RollAdj'!$F$4:$F$76,MATCH(INT(AC50),'C-P-RollAdj'!$E$4:$E$76,FALSE),0)</f>
        <v>0.81</v>
      </c>
      <c r="AE50" s="55">
        <f>+((LeagueRatings!$I$17-E50)*5)+9.5</f>
        <v>12.664387243706363</v>
      </c>
      <c r="AF50" s="55">
        <f t="shared" si="20"/>
        <v>12.664387243706363</v>
      </c>
      <c r="AG50" s="17">
        <f t="shared" si="21"/>
        <v>1.165294117647059</v>
      </c>
      <c r="AH50" s="56">
        <f t="shared" si="22"/>
        <v>12.949681361353422</v>
      </c>
      <c r="AI50" s="41" t="s">
        <v>351</v>
      </c>
      <c r="AJ50" s="5" t="s">
        <v>16</v>
      </c>
      <c r="AK50" s="219">
        <f>INDEX('C-P-RollAdj'!$J$4:$J$76,MATCH(INT(Z50),'C-P-RollAdj'!$I$4:$I$76,FALSE),0)</f>
        <v>41</v>
      </c>
      <c r="AL50" s="219">
        <f>INDEX('C-P-RollAdj'!$J$4:$J$76,MATCH(INT(AC50),'C-P-RollAdj'!$I$4:$I$76,FALSE),0)</f>
        <v>-23</v>
      </c>
      <c r="AM50" s="14">
        <f>+AR50*LeagueRatings!$K$27</f>
        <v>28.333333333333336</v>
      </c>
      <c r="AN50" s="72">
        <f>F50*LeagueRatings!$K$27</f>
        <v>30</v>
      </c>
      <c r="AO50" s="72">
        <f>G50*LeagueRatings!$K$27</f>
        <v>0</v>
      </c>
      <c r="AP50" s="72">
        <f>T50*LeagueRatings!$K$27</f>
        <v>111.11111111111111</v>
      </c>
      <c r="AQ50"/>
      <c r="AR50" s="14">
        <f t="shared" si="23"/>
        <v>51</v>
      </c>
    </row>
    <row r="51" spans="1:44" customFormat="1" x14ac:dyDescent="0.2">
      <c r="A51" s="41" t="s">
        <v>521</v>
      </c>
      <c r="B51" s="76" t="s">
        <v>161</v>
      </c>
      <c r="C51" s="76">
        <v>1</v>
      </c>
      <c r="D51" s="76">
        <v>1</v>
      </c>
      <c r="E51" s="97">
        <v>2.5099999999999998</v>
      </c>
      <c r="F51" s="76">
        <v>16</v>
      </c>
      <c r="G51" s="76">
        <v>0</v>
      </c>
      <c r="H51" s="76">
        <v>0</v>
      </c>
      <c r="I51" s="76">
        <v>0</v>
      </c>
      <c r="J51" s="76">
        <v>0</v>
      </c>
      <c r="K51" s="76">
        <v>0</v>
      </c>
      <c r="L51" s="258">
        <f>INDEX('C-P-RollAdj'!$P$4:$P$900,MATCH((U51),'C-P-RollAdj'!$O$4:$O$900,FALSE),0)</f>
        <v>14.33</v>
      </c>
      <c r="M51" s="76">
        <v>11</v>
      </c>
      <c r="N51" s="76">
        <v>4</v>
      </c>
      <c r="O51" s="76">
        <v>4</v>
      </c>
      <c r="P51" s="76">
        <v>4</v>
      </c>
      <c r="Q51" s="76">
        <v>5</v>
      </c>
      <c r="R51" s="76">
        <v>0</v>
      </c>
      <c r="S51" s="76">
        <v>15</v>
      </c>
      <c r="T51" s="76">
        <v>57</v>
      </c>
      <c r="U51" s="76">
        <v>14.1</v>
      </c>
      <c r="V51" s="100">
        <v>0.216</v>
      </c>
      <c r="W51" s="76">
        <v>1.1200000000000001</v>
      </c>
      <c r="X51" s="76"/>
      <c r="Y51" s="52">
        <f t="shared" si="18"/>
        <v>8.7719298245614024</v>
      </c>
      <c r="Z51" s="53">
        <f>IF(Y51&lt;LeagueRatings!$K$21,((LeagueRatings!$K$21-Y51)/LeagueRatings!$K$21)*36,(LeagueRatings!$K$21-Y51)*6.48)</f>
        <v>0.72814430528680663</v>
      </c>
      <c r="AA51" s="16">
        <f>INDEX('C-P-RollAdj'!$B$4:$B$76,MATCH(INT(Z51),'C-P-RollAdj'!$A$4:$A$76,FALSE),0)</f>
        <v>0</v>
      </c>
      <c r="AB51" s="54">
        <f t="shared" si="19"/>
        <v>7.0175438596491224</v>
      </c>
      <c r="AC51" s="53">
        <f>IF(AB51&lt;LeagueRatings!$K$19,((LeagueRatings!$K$19-AB51)/LeagueRatings!$K$19)*36,(LeagueRatings!$K$19-AB51)/LeagueRatings!$K$22)</f>
        <v>-33.205032092426187</v>
      </c>
      <c r="AD51" s="16">
        <f>INDEX('C-P-RollAdj'!$F$4:$F$76,MATCH(INT(AC51),'C-P-RollAdj'!$E$4:$E$76,FALSE),0)</f>
        <v>4.4800000000000004</v>
      </c>
      <c r="AE51" s="55">
        <f>+((LeagueRatings!$I$17-E51)*5)+9.5</f>
        <v>17.764387243706363</v>
      </c>
      <c r="AF51" s="55">
        <f t="shared" si="20"/>
        <v>17.764387243706363</v>
      </c>
      <c r="AG51" s="17">
        <f t="shared" si="21"/>
        <v>1.5566573621772501</v>
      </c>
      <c r="AH51" s="56">
        <f t="shared" si="22"/>
        <v>23.801044605883614</v>
      </c>
      <c r="AI51" s="41" t="s">
        <v>521</v>
      </c>
      <c r="AJ51" s="7" t="s">
        <v>318</v>
      </c>
      <c r="AK51" s="219">
        <f>INDEX('C-P-RollAdj'!$J$4:$J$76,MATCH(INT(Z51),'C-P-RollAdj'!$I$4:$I$76,FALSE),0)</f>
        <v>0</v>
      </c>
      <c r="AL51" s="219">
        <f>INDEX('C-P-RollAdj'!$J$4:$J$76,MATCH(INT(AC51),'C-P-RollAdj'!$I$4:$I$76,FALSE),0)</f>
        <v>-64</v>
      </c>
      <c r="AM51" s="14">
        <f>+AR51*LeagueRatings!$K$27</f>
        <v>8.3333333333333339</v>
      </c>
      <c r="AN51" s="72">
        <f>F51*LeagueRatings!$K$27</f>
        <v>8.8888888888888893</v>
      </c>
      <c r="AO51" s="72">
        <f>G51*LeagueRatings!$K$27</f>
        <v>0</v>
      </c>
      <c r="AP51" s="72">
        <f>T51*LeagueRatings!$K$27</f>
        <v>31.666666666666668</v>
      </c>
      <c r="AQ51" s="12"/>
      <c r="AR51" s="14">
        <f t="shared" si="23"/>
        <v>15</v>
      </c>
    </row>
    <row r="52" spans="1:44" customFormat="1" x14ac:dyDescent="0.2">
      <c r="A52" s="41" t="s">
        <v>342</v>
      </c>
      <c r="B52" s="76" t="s">
        <v>161</v>
      </c>
      <c r="C52" s="76">
        <v>2</v>
      </c>
      <c r="D52" s="76">
        <v>2</v>
      </c>
      <c r="E52" s="97">
        <v>2.85</v>
      </c>
      <c r="F52" s="76">
        <v>54</v>
      </c>
      <c r="G52" s="76">
        <v>0</v>
      </c>
      <c r="H52" s="76">
        <v>0</v>
      </c>
      <c r="I52" s="76">
        <v>0</v>
      </c>
      <c r="J52" s="76">
        <v>0</v>
      </c>
      <c r="K52" s="76">
        <v>4</v>
      </c>
      <c r="L52" s="258">
        <f>INDEX('C-P-RollAdj'!$P$4:$P$900,MATCH((U52),'C-P-RollAdj'!$O$4:$O$900,FALSE),0)</f>
        <v>47.33</v>
      </c>
      <c r="M52" s="76">
        <v>27</v>
      </c>
      <c r="N52" s="76">
        <v>16</v>
      </c>
      <c r="O52" s="76">
        <v>15</v>
      </c>
      <c r="P52" s="76">
        <v>4</v>
      </c>
      <c r="Q52" s="76">
        <v>15</v>
      </c>
      <c r="R52" s="76">
        <v>1</v>
      </c>
      <c r="S52" s="76">
        <v>60</v>
      </c>
      <c r="T52" s="76">
        <v>187</v>
      </c>
      <c r="U52" s="76">
        <v>47.1</v>
      </c>
      <c r="V52" s="100">
        <v>0.16300000000000001</v>
      </c>
      <c r="W52" s="76">
        <v>0.89</v>
      </c>
      <c r="X52" s="76"/>
      <c r="Y52" s="50">
        <f t="shared" si="18"/>
        <v>7.5268817204301079</v>
      </c>
      <c r="Z52" s="6">
        <f>IF(Y52&lt;LeagueRatings!$K$21,((LeagueRatings!$K$21-Y52)/LeagueRatings!$K$21)*36,(LeagueRatings!$K$21-Y52)*6.48)</f>
        <v>5.7344722103428678</v>
      </c>
      <c r="AA52" s="16">
        <f>INDEX('C-P-RollAdj'!$B$4:$B$76,MATCH(INT(Z52),'C-P-RollAdj'!$A$4:$A$76,FALSE),0)</f>
        <v>-0.4</v>
      </c>
      <c r="AB52" s="16">
        <f t="shared" si="19"/>
        <v>2.1505376344086025</v>
      </c>
      <c r="AC52" s="6">
        <f>IF(AB52&lt;LeagueRatings!$K$19,((LeagueRatings!$K$19-AB52)/LeagueRatings!$K$19)*36,(LeagueRatings!$K$19-AB52)/LeagueRatings!$K$22)</f>
        <v>9.3771155793432648</v>
      </c>
      <c r="AD52" s="16">
        <f>INDEX('C-P-RollAdj'!$F$4:$F$76,MATCH(INT(AC52),'C-P-RollAdj'!$E$4:$E$76,FALSE),0)</f>
        <v>-0.65</v>
      </c>
      <c r="AE52" s="17">
        <f>+((LeagueRatings!$I$17-E52)*5)+9.5</f>
        <v>16.064387243706364</v>
      </c>
      <c r="AF52" s="17">
        <f>IF(AE52&lt;4,4,AE52)</f>
        <v>16.064387243706364</v>
      </c>
      <c r="AG52" s="17">
        <f t="shared" si="21"/>
        <v>2.9367610395098245</v>
      </c>
      <c r="AH52" s="4">
        <f>+AA52+AD52+AF52+AG52</f>
        <v>17.951148283216188</v>
      </c>
      <c r="AI52" s="41" t="s">
        <v>342</v>
      </c>
      <c r="AJ52" s="5" t="s">
        <v>63</v>
      </c>
      <c r="AK52" s="219">
        <f>INDEX('C-P-RollAdj'!$J$4:$J$76,MATCH(INT(Z52),'C-P-RollAdj'!$I$4:$I$76,FALSE),0)</f>
        <v>15</v>
      </c>
      <c r="AL52" s="219">
        <f>INDEX('C-P-RollAdj'!$J$4:$J$76,MATCH(INT(AC52),'C-P-RollAdj'!$I$4:$I$76,FALSE),0)</f>
        <v>23</v>
      </c>
      <c r="AM52" s="14">
        <f>+AR52*LeagueRatings!$K$27</f>
        <v>26.666666666666668</v>
      </c>
      <c r="AN52" s="72">
        <f>F52*LeagueRatings!$K$27</f>
        <v>30</v>
      </c>
      <c r="AO52" s="72">
        <f>G52*LeagueRatings!$K$27</f>
        <v>0</v>
      </c>
      <c r="AP52" s="72">
        <f>T52*LeagueRatings!$K$27</f>
        <v>103.8888888888889</v>
      </c>
      <c r="AR52" s="14">
        <f t="shared" si="23"/>
        <v>48</v>
      </c>
    </row>
    <row r="53" spans="1:44" s="13" customFormat="1" x14ac:dyDescent="0.2">
      <c r="A53" s="41" t="s">
        <v>343</v>
      </c>
      <c r="B53" s="76" t="s">
        <v>161</v>
      </c>
      <c r="C53" s="76">
        <v>4</v>
      </c>
      <c r="D53" s="76">
        <v>0</v>
      </c>
      <c r="E53" s="97">
        <v>2.95</v>
      </c>
      <c r="F53" s="76">
        <v>77</v>
      </c>
      <c r="G53" s="76">
        <v>0</v>
      </c>
      <c r="H53" s="76">
        <v>0</v>
      </c>
      <c r="I53" s="76">
        <v>0</v>
      </c>
      <c r="J53" s="76">
        <v>0</v>
      </c>
      <c r="K53" s="76">
        <v>1</v>
      </c>
      <c r="L53" s="258">
        <f>INDEX('C-P-RollAdj'!$P$4:$P$900,MATCH((U53),'C-P-RollAdj'!$O$4:$O$900,FALSE),0)</f>
        <v>61</v>
      </c>
      <c r="M53" s="76">
        <v>45</v>
      </c>
      <c r="N53" s="76">
        <v>24</v>
      </c>
      <c r="O53" s="76">
        <v>20</v>
      </c>
      <c r="P53" s="76">
        <v>8</v>
      </c>
      <c r="Q53" s="76">
        <v>24</v>
      </c>
      <c r="R53" s="76">
        <v>2</v>
      </c>
      <c r="S53" s="76">
        <v>47</v>
      </c>
      <c r="T53" s="76">
        <v>252</v>
      </c>
      <c r="U53" s="76">
        <v>61</v>
      </c>
      <c r="V53" s="100">
        <v>0.19900000000000001</v>
      </c>
      <c r="W53" s="76">
        <v>1.1299999999999999</v>
      </c>
      <c r="X53" s="76"/>
      <c r="Y53" s="50">
        <f t="shared" si="18"/>
        <v>8.7999999999999989</v>
      </c>
      <c r="Z53" s="6">
        <f>IF(Y53&lt;LeagueRatings!$K$21,((LeagueRatings!$K$21-Y53)/LeagueRatings!$K$21)*36,(LeagueRatings!$K$21-Y53)*6.48)</f>
        <v>0.61527436706372396</v>
      </c>
      <c r="AA53" s="16">
        <f>INDEX('C-P-RollAdj'!$B$4:$B$76,MATCH(INT(Z53),'C-P-RollAdj'!$A$4:$A$76,FALSE),0)</f>
        <v>0</v>
      </c>
      <c r="AB53" s="16">
        <f t="shared" si="19"/>
        <v>3.2</v>
      </c>
      <c r="AC53" s="6">
        <f>IF(AB53&lt;LeagueRatings!$K$19,((LeagueRatings!$K$19-AB53)/LeagueRatings!$K$19)*36,(LeagueRatings!$K$19-AB53)/LeagueRatings!$K$22)</f>
        <v>-2.3593521951219514</v>
      </c>
      <c r="AD53" s="16">
        <f>INDEX('C-P-RollAdj'!$F$4:$F$76,MATCH(INT(AC53),'C-P-RollAdj'!$E$4:$E$76,FALSE),0)</f>
        <v>0.24</v>
      </c>
      <c r="AE53" s="17">
        <f>+((LeagueRatings!$I$17-E53)*5)+9.5</f>
        <v>15.564387243706362</v>
      </c>
      <c r="AF53" s="17">
        <f t="shared" si="20"/>
        <v>15.564387243706362</v>
      </c>
      <c r="AG53" s="17">
        <f t="shared" si="21"/>
        <v>1.7660655737704916</v>
      </c>
      <c r="AH53" s="4">
        <f t="shared" si="22"/>
        <v>17.570452817476852</v>
      </c>
      <c r="AI53" s="41" t="s">
        <v>343</v>
      </c>
      <c r="AJ53" s="5" t="s">
        <v>63</v>
      </c>
      <c r="AK53" s="219">
        <f>INDEX('C-P-RollAdj'!$J$4:$J$76,MATCH(INT(Z53),'C-P-RollAdj'!$I$4:$I$76,FALSE),0)</f>
        <v>0</v>
      </c>
      <c r="AL53" s="219">
        <f>INDEX('C-P-RollAdj'!$J$4:$J$76,MATCH(INT(AC53),'C-P-RollAdj'!$I$4:$I$76,FALSE),0)</f>
        <v>-13</v>
      </c>
      <c r="AM53" s="14">
        <f>+AR53*LeagueRatings!$K$27</f>
        <v>33.888888888888893</v>
      </c>
      <c r="AN53" s="72">
        <f>F53*LeagueRatings!$K$27</f>
        <v>42.777777777777779</v>
      </c>
      <c r="AO53" s="72">
        <f>G53*LeagueRatings!$K$27</f>
        <v>0</v>
      </c>
      <c r="AP53" s="72">
        <f>T53*LeagueRatings!$K$27</f>
        <v>140</v>
      </c>
      <c r="AQ53"/>
      <c r="AR53" s="14">
        <f t="shared" si="23"/>
        <v>61</v>
      </c>
    </row>
    <row r="54" spans="1:44" s="122" customFormat="1" x14ac:dyDescent="0.2">
      <c r="A54" s="124"/>
      <c r="B54" s="125"/>
      <c r="C54" s="125"/>
      <c r="D54" s="125"/>
      <c r="E54" s="126"/>
      <c r="F54" s="125"/>
      <c r="G54" s="125"/>
      <c r="H54" s="125"/>
      <c r="I54" s="125"/>
      <c r="J54" s="125"/>
      <c r="K54" s="125"/>
      <c r="L54" s="126"/>
      <c r="M54" s="125"/>
      <c r="N54" s="125"/>
      <c r="O54" s="125"/>
      <c r="P54" s="125"/>
      <c r="Q54" s="125"/>
      <c r="R54" s="125"/>
      <c r="S54" s="125"/>
      <c r="T54" s="125"/>
      <c r="U54" s="125"/>
      <c r="V54" s="278"/>
      <c r="W54" s="125"/>
      <c r="X54" s="125"/>
      <c r="Y54" s="52"/>
      <c r="Z54" s="53"/>
      <c r="AA54" s="54"/>
      <c r="AB54" s="54"/>
      <c r="AC54" s="53"/>
      <c r="AD54" s="54"/>
      <c r="AE54" s="55"/>
      <c r="AF54" s="55"/>
      <c r="AG54" s="55"/>
      <c r="AH54" s="56"/>
      <c r="AI54" s="124"/>
      <c r="AJ54" s="9"/>
      <c r="AK54" s="9"/>
      <c r="AL54" s="9"/>
      <c r="AM54" s="14"/>
      <c r="AN54" s="72"/>
      <c r="AO54" s="72"/>
      <c r="AP54" s="72"/>
      <c r="AQ54" s="13"/>
      <c r="AR54" s="14"/>
    </row>
    <row r="55" spans="1:44" s="13" customFormat="1" x14ac:dyDescent="0.2">
      <c r="A55" s="69" t="s">
        <v>106</v>
      </c>
      <c r="B55" s="70" t="s">
        <v>157</v>
      </c>
      <c r="C55" s="71" t="s">
        <v>85</v>
      </c>
      <c r="D55" s="70" t="s">
        <v>86</v>
      </c>
      <c r="E55" s="71" t="s">
        <v>87</v>
      </c>
      <c r="F55" s="70" t="s">
        <v>108</v>
      </c>
      <c r="G55" s="70" t="s">
        <v>88</v>
      </c>
      <c r="H55" s="70" t="s">
        <v>89</v>
      </c>
      <c r="I55" s="72" t="s">
        <v>317</v>
      </c>
      <c r="J55" s="72" t="s">
        <v>90</v>
      </c>
      <c r="K55" s="72" t="s">
        <v>158</v>
      </c>
      <c r="L55" s="71" t="s">
        <v>91</v>
      </c>
      <c r="M55" s="70" t="s">
        <v>92</v>
      </c>
      <c r="N55" s="70" t="s">
        <v>93</v>
      </c>
      <c r="O55" s="70" t="s">
        <v>94</v>
      </c>
      <c r="P55" s="70" t="s">
        <v>95</v>
      </c>
      <c r="Q55" s="70" t="s">
        <v>96</v>
      </c>
      <c r="R55" s="70" t="s">
        <v>98</v>
      </c>
      <c r="S55" s="70" t="s">
        <v>97</v>
      </c>
      <c r="T55" s="70" t="s">
        <v>109</v>
      </c>
      <c r="U55" s="196" t="s">
        <v>91</v>
      </c>
      <c r="V55" s="277" t="s">
        <v>1071</v>
      </c>
      <c r="W55" s="196" t="s">
        <v>1072</v>
      </c>
      <c r="X55" s="70"/>
      <c r="Y55" s="115" t="s">
        <v>2</v>
      </c>
      <c r="Z55" s="116" t="s">
        <v>3</v>
      </c>
      <c r="AA55" s="117" t="s">
        <v>4</v>
      </c>
      <c r="AB55" s="118" t="s">
        <v>5</v>
      </c>
      <c r="AC55" s="116" t="s">
        <v>6</v>
      </c>
      <c r="AD55" s="117" t="s">
        <v>7</v>
      </c>
      <c r="AE55" s="119" t="s">
        <v>8</v>
      </c>
      <c r="AF55" s="119" t="s">
        <v>81</v>
      </c>
      <c r="AG55" s="119" t="s">
        <v>9</v>
      </c>
      <c r="AH55" s="120" t="s">
        <v>10</v>
      </c>
      <c r="AI55" s="69" t="s">
        <v>106</v>
      </c>
      <c r="AJ55" s="7" t="s">
        <v>11</v>
      </c>
      <c r="AK55" s="7" t="s">
        <v>12</v>
      </c>
      <c r="AL55" s="7" t="s">
        <v>13</v>
      </c>
      <c r="AM55" s="14"/>
      <c r="AN55" s="72"/>
      <c r="AO55" s="72"/>
      <c r="AP55" s="72"/>
      <c r="AQ55" s="122"/>
      <c r="AR55" s="14"/>
    </row>
    <row r="56" spans="1:44" s="12" customFormat="1" x14ac:dyDescent="0.2">
      <c r="A56" s="69"/>
      <c r="B56" s="70"/>
      <c r="C56" s="71"/>
      <c r="D56" s="70"/>
      <c r="E56" s="71"/>
      <c r="F56" s="70"/>
      <c r="G56" s="70"/>
      <c r="H56" s="70"/>
      <c r="I56" s="72"/>
      <c r="J56" s="72"/>
      <c r="K56" s="72"/>
      <c r="L56" s="71"/>
      <c r="M56" s="70"/>
      <c r="N56" s="70"/>
      <c r="O56" s="70"/>
      <c r="P56" s="70"/>
      <c r="Q56" s="70"/>
      <c r="R56" s="70"/>
      <c r="S56" s="70"/>
      <c r="T56" s="70"/>
      <c r="U56" s="70"/>
      <c r="V56" s="164"/>
      <c r="W56" s="70"/>
      <c r="X56" s="70"/>
      <c r="Y56" s="52"/>
      <c r="Z56" s="53"/>
      <c r="AA56" s="54"/>
      <c r="AB56" s="54"/>
      <c r="AC56" s="53"/>
      <c r="AD56" s="54"/>
      <c r="AE56" s="55"/>
      <c r="AF56" s="55"/>
      <c r="AG56" s="55"/>
      <c r="AH56" s="56"/>
      <c r="AI56" s="69"/>
      <c r="AJ56" s="9"/>
      <c r="AK56" s="9"/>
      <c r="AL56" s="9"/>
      <c r="AM56" s="14"/>
      <c r="AN56" s="72"/>
      <c r="AO56" s="72"/>
      <c r="AP56" s="72"/>
      <c r="AQ56" s="13"/>
      <c r="AR56" s="14"/>
    </row>
    <row r="57" spans="1:44" customFormat="1" x14ac:dyDescent="0.2">
      <c r="A57" s="41" t="s">
        <v>1431</v>
      </c>
      <c r="B57" s="76" t="s">
        <v>162</v>
      </c>
      <c r="C57" s="76">
        <v>4</v>
      </c>
      <c r="D57" s="76">
        <v>4</v>
      </c>
      <c r="E57" s="97">
        <v>4</v>
      </c>
      <c r="F57" s="76">
        <v>13</v>
      </c>
      <c r="G57" s="76">
        <v>13</v>
      </c>
      <c r="H57" s="76">
        <v>0</v>
      </c>
      <c r="I57" s="76">
        <v>0</v>
      </c>
      <c r="J57" s="76">
        <v>0</v>
      </c>
      <c r="K57" s="76">
        <v>0</v>
      </c>
      <c r="L57" s="258">
        <f>INDEX('C-P-RollAdj'!$P$4:$P$900,MATCH((U57),'C-P-RollAdj'!$O$4:$O$900,FALSE),0)</f>
        <v>69.67</v>
      </c>
      <c r="M57" s="76">
        <v>64</v>
      </c>
      <c r="N57" s="76">
        <v>32</v>
      </c>
      <c r="O57" s="76">
        <v>31</v>
      </c>
      <c r="P57" s="76">
        <v>13</v>
      </c>
      <c r="Q57" s="76">
        <v>20</v>
      </c>
      <c r="R57" s="76">
        <v>1</v>
      </c>
      <c r="S57" s="76">
        <v>47</v>
      </c>
      <c r="T57" s="76">
        <v>287</v>
      </c>
      <c r="U57" s="76">
        <v>69.2</v>
      </c>
      <c r="V57" s="100">
        <v>0.251</v>
      </c>
      <c r="W57" s="76">
        <v>1.21</v>
      </c>
      <c r="X57" s="76"/>
      <c r="Y57" s="50">
        <f t="shared" ref="Y57:Y71" si="24">+(Q57-R57)/(T57-R57)*100</f>
        <v>6.6433566433566433</v>
      </c>
      <c r="Z57" s="6">
        <f>IF(Y57&lt;LeagueRatings!$K$21,((LeagueRatings!$K$21-Y57)/LeagueRatings!$K$21)*36,(LeagueRatings!$K$21-Y57)*6.48)</f>
        <v>9.2871190787591651</v>
      </c>
      <c r="AA57" s="16">
        <f>INDEX('C-P-RollAdj'!$B$4:$B$76,MATCH(INT(Z57),'C-P-RollAdj'!$A$4:$A$76,FALSE),0)</f>
        <v>-0.74</v>
      </c>
      <c r="AB57" s="16">
        <f t="shared" ref="AB57:AB71" si="25">(P57/(T57-R57))*100</f>
        <v>4.5454545454545459</v>
      </c>
      <c r="AC57" s="6">
        <f>IF(AB57&lt;LeagueRatings!$K$19,((LeagueRatings!$K$19-AB57)/LeagueRatings!$K$19)*36,(LeagueRatings!$K$19-AB57)/LeagueRatings!$K$22)</f>
        <v>-13.230598669623063</v>
      </c>
      <c r="AD57" s="16">
        <f>INDEX('C-P-RollAdj'!$F$4:$F$76,MATCH(INT(AC57),'C-P-RollAdj'!$E$4:$E$76,FALSE),0)</f>
        <v>1.38</v>
      </c>
      <c r="AE57" s="17">
        <f>+((LeagueRatings!$I$17-E57)*5)+9.5</f>
        <v>10.314387243706364</v>
      </c>
      <c r="AF57" s="17">
        <f t="shared" ref="AF57:AF70" si="26">IF(AE57&lt;4,4,AE57)</f>
        <v>10.314387243706364</v>
      </c>
      <c r="AG57" s="17">
        <f t="shared" ref="AG57:AG71" si="27">IF(M57&lt;L57,((1-(M57/L57))*7)-0.07,(1-(M57/L57))*5)</f>
        <v>0.49968566097315931</v>
      </c>
      <c r="AH57" s="4">
        <f t="shared" ref="AH57:AH70" si="28">+AA57+AD57+AF57+AG57</f>
        <v>11.454072904679524</v>
      </c>
      <c r="AI57" s="41" t="s">
        <v>1431</v>
      </c>
      <c r="AJ57" s="5" t="s">
        <v>59</v>
      </c>
      <c r="AK57" s="219">
        <f>INDEX('C-P-RollAdj'!$J$4:$J$76,MATCH(INT(Z57),'C-P-RollAdj'!$I$4:$I$76,FALSE),0)</f>
        <v>23</v>
      </c>
      <c r="AL57" s="219">
        <f>INDEX('C-P-RollAdj'!$J$4:$J$76,MATCH(INT(AC57),'C-P-RollAdj'!$I$4:$I$76,FALSE),0)</f>
        <v>-32</v>
      </c>
      <c r="AM57" s="14">
        <f>+AR57*LeagueRatings!$K$27</f>
        <v>38.888888888888893</v>
      </c>
      <c r="AN57" s="72">
        <f>F57*LeagueRatings!$K$27</f>
        <v>7.2222222222222223</v>
      </c>
      <c r="AO57" s="72">
        <f>G57*LeagueRatings!$K$27</f>
        <v>7.2222222222222223</v>
      </c>
      <c r="AP57" s="72">
        <f>T57*LeagueRatings!$K$27</f>
        <v>159.44444444444446</v>
      </c>
      <c r="AQ57" s="12"/>
      <c r="AR57" s="14">
        <f t="shared" ref="AR57:AR71" si="29">ROUNDUP(L57,0)</f>
        <v>70</v>
      </c>
    </row>
    <row r="58" spans="1:44" customFormat="1" x14ac:dyDescent="0.2">
      <c r="A58" s="41" t="s">
        <v>359</v>
      </c>
      <c r="B58" s="76" t="s">
        <v>162</v>
      </c>
      <c r="C58" s="76">
        <v>2</v>
      </c>
      <c r="D58" s="76">
        <v>5</v>
      </c>
      <c r="E58" s="97">
        <v>4.1399999999999997</v>
      </c>
      <c r="F58" s="76">
        <v>65</v>
      </c>
      <c r="G58" s="76">
        <v>0</v>
      </c>
      <c r="H58" s="76">
        <v>0</v>
      </c>
      <c r="I58" s="76">
        <v>0</v>
      </c>
      <c r="J58" s="76">
        <v>17</v>
      </c>
      <c r="K58" s="76">
        <v>23</v>
      </c>
      <c r="L58" s="258">
        <f>INDEX('C-P-RollAdj'!$P$4:$P$900,MATCH((U58),'C-P-RollAdj'!$O$4:$O$900,FALSE),0)</f>
        <v>63</v>
      </c>
      <c r="M58" s="76">
        <v>54</v>
      </c>
      <c r="N58" s="76">
        <v>30</v>
      </c>
      <c r="O58" s="76">
        <v>29</v>
      </c>
      <c r="P58" s="76">
        <v>5</v>
      </c>
      <c r="Q58" s="76">
        <v>37</v>
      </c>
      <c r="R58" s="76">
        <v>1</v>
      </c>
      <c r="S58" s="76">
        <v>49</v>
      </c>
      <c r="T58" s="76">
        <v>271</v>
      </c>
      <c r="U58" s="76">
        <v>63</v>
      </c>
      <c r="V58" s="100">
        <v>0.23599999999999999</v>
      </c>
      <c r="W58" s="76">
        <v>1.44</v>
      </c>
      <c r="X58" s="76"/>
      <c r="Y58" s="50">
        <f t="shared" si="24"/>
        <v>13.333333333333334</v>
      </c>
      <c r="Z58" s="6">
        <f>IF(Y58&lt;LeagueRatings!$K$21,((LeagueRatings!$K$21-Y58)/LeagueRatings!$K$21)*36,(LeagueRatings!$K$21-Y58)*6.48)</f>
        <v>-28.384459020668974</v>
      </c>
      <c r="AA58" s="16">
        <f>INDEX('C-P-RollAdj'!$B$4:$B$76,MATCH(INT(Z58),'C-P-RollAdj'!$A$4:$A$76,FALSE),0)</f>
        <v>3.99</v>
      </c>
      <c r="AB58" s="16">
        <f t="shared" si="25"/>
        <v>1.8518518518518516</v>
      </c>
      <c r="AC58" s="6">
        <f>IF(AB58&lt;LeagueRatings!$K$19,((LeagueRatings!$K$19-AB58)/LeagueRatings!$K$19)*36,(LeagueRatings!$K$19-AB58)/LeagueRatings!$K$22)</f>
        <v>13.074738415545594</v>
      </c>
      <c r="AD58" s="16">
        <f>INDEX('C-P-RollAdj'!$F$4:$F$76,MATCH(INT(AC58),'C-P-RollAdj'!$E$4:$E$76,FALSE),0)</f>
        <v>-0.97</v>
      </c>
      <c r="AE58" s="17">
        <f>+((LeagueRatings!$I$17-E58)*5)+9.5</f>
        <v>9.6143872437063642</v>
      </c>
      <c r="AF58" s="17">
        <f t="shared" si="26"/>
        <v>9.6143872437063642</v>
      </c>
      <c r="AG58" s="17">
        <f t="shared" si="27"/>
        <v>0.93000000000000038</v>
      </c>
      <c r="AH58" s="4">
        <f t="shared" si="28"/>
        <v>13.564387243706364</v>
      </c>
      <c r="AI58" s="41" t="s">
        <v>359</v>
      </c>
      <c r="AJ58" s="5" t="s">
        <v>21</v>
      </c>
      <c r="AK58" s="219">
        <f>INDEX('C-P-RollAdj'!$J$4:$J$76,MATCH(INT(Z58),'C-P-RollAdj'!$I$4:$I$76,FALSE),0)</f>
        <v>-55</v>
      </c>
      <c r="AL58" s="219">
        <f>INDEX('C-P-RollAdj'!$J$4:$J$76,MATCH(INT(AC58),'C-P-RollAdj'!$I$4:$I$76,FALSE),0)</f>
        <v>31</v>
      </c>
      <c r="AM58" s="14">
        <f>+AR58*LeagueRatings!$K$27</f>
        <v>35</v>
      </c>
      <c r="AN58" s="72">
        <f>F58*LeagueRatings!$K$27</f>
        <v>36.111111111111114</v>
      </c>
      <c r="AO58" s="72">
        <f>G58*LeagueRatings!$K$27</f>
        <v>0</v>
      </c>
      <c r="AP58" s="72">
        <f>T58*LeagueRatings!$K$27</f>
        <v>150.55555555555557</v>
      </c>
      <c r="AR58" s="14">
        <f t="shared" si="29"/>
        <v>63</v>
      </c>
    </row>
    <row r="59" spans="1:44" customFormat="1" x14ac:dyDescent="0.2">
      <c r="A59" s="41" t="s">
        <v>1200</v>
      </c>
      <c r="B59" s="76" t="s">
        <v>162</v>
      </c>
      <c r="C59" s="76">
        <v>0</v>
      </c>
      <c r="D59" s="76">
        <v>3</v>
      </c>
      <c r="E59" s="97">
        <v>7.4</v>
      </c>
      <c r="F59" s="76">
        <v>23</v>
      </c>
      <c r="G59" s="76">
        <v>0</v>
      </c>
      <c r="H59" s="76">
        <v>0</v>
      </c>
      <c r="I59" s="76">
        <v>0</v>
      </c>
      <c r="J59" s="76">
        <v>0</v>
      </c>
      <c r="K59" s="76">
        <v>1</v>
      </c>
      <c r="L59" s="258">
        <f>INDEX('C-P-RollAdj'!$P$4:$P$900,MATCH((U59),'C-P-RollAdj'!$O$4:$O$900,FALSE),0)</f>
        <v>24.33</v>
      </c>
      <c r="M59" s="76">
        <v>32</v>
      </c>
      <c r="N59" s="76">
        <v>21</v>
      </c>
      <c r="O59" s="76">
        <v>20</v>
      </c>
      <c r="P59" s="76">
        <v>3</v>
      </c>
      <c r="Q59" s="76">
        <v>12</v>
      </c>
      <c r="R59" s="76">
        <v>2</v>
      </c>
      <c r="S59" s="76">
        <v>21</v>
      </c>
      <c r="T59" s="76">
        <v>117</v>
      </c>
      <c r="U59" s="76">
        <v>24.1</v>
      </c>
      <c r="V59" s="100">
        <v>0.32300000000000001</v>
      </c>
      <c r="W59" s="76">
        <v>1.81</v>
      </c>
      <c r="X59" s="76"/>
      <c r="Y59" s="50">
        <f t="shared" si="24"/>
        <v>8.695652173913043</v>
      </c>
      <c r="Z59" s="6">
        <f>IF(Y59&lt;LeagueRatings!$K$21,((LeagueRatings!$K$21-Y59)/LeagueRatings!$K$21)*36,(LeagueRatings!$K$21-Y59)*6.48)</f>
        <v>1.0348560939364837</v>
      </c>
      <c r="AA59" s="16">
        <f>INDEX('C-P-RollAdj'!$B$4:$B$76,MATCH(INT(Z59),'C-P-RollAdj'!$A$4:$A$76,FALSE),0)</f>
        <v>-0.08</v>
      </c>
      <c r="AB59" s="16">
        <f t="shared" si="25"/>
        <v>2.6086956521739131</v>
      </c>
      <c r="AC59" s="6">
        <f>IF(AB59&lt;LeagueRatings!$K$19,((LeagueRatings!$K$19-AB59)/LeagueRatings!$K$19)*36,(LeagueRatings!$K$19-AB59)/LeagueRatings!$K$22)</f>
        <v>3.7052836810294418</v>
      </c>
      <c r="AD59" s="16">
        <f>INDEX('C-P-RollAdj'!$F$4:$F$76,MATCH(INT(AC59),'C-P-RollAdj'!$E$4:$E$76,FALSE),0)</f>
        <v>-0.21000000000000002</v>
      </c>
      <c r="AE59" s="17">
        <f>+((LeagueRatings!$I$17-E59)*5)+9.5</f>
        <v>-6.68561275629364</v>
      </c>
      <c r="AF59" s="17">
        <f t="shared" si="26"/>
        <v>4</v>
      </c>
      <c r="AG59" s="17">
        <f t="shared" si="27"/>
        <v>-1.5762433210028781</v>
      </c>
      <c r="AH59" s="4">
        <f t="shared" si="28"/>
        <v>2.1337566789971216</v>
      </c>
      <c r="AI59" s="41" t="s">
        <v>1200</v>
      </c>
      <c r="AJ59" s="5" t="s">
        <v>55</v>
      </c>
      <c r="AK59" s="219">
        <f>INDEX('C-P-RollAdj'!$J$4:$J$76,MATCH(INT(Z59),'C-P-RollAdj'!$I$4:$I$76,FALSE),0)</f>
        <v>11</v>
      </c>
      <c r="AL59" s="219">
        <f>INDEX('C-P-RollAdj'!$J$4:$J$76,MATCH(INT(AC59),'C-P-RollAdj'!$I$4:$I$76,FALSE),0)</f>
        <v>13</v>
      </c>
      <c r="AM59" s="14">
        <f>+AR59*LeagueRatings!$K$27</f>
        <v>13.888888888888889</v>
      </c>
      <c r="AN59" s="72">
        <f>F59*LeagueRatings!$K$27</f>
        <v>12.777777777777779</v>
      </c>
      <c r="AO59" s="72">
        <f>G59*LeagueRatings!$K$27</f>
        <v>0</v>
      </c>
      <c r="AP59" s="72">
        <f>T59*LeagueRatings!$K$27</f>
        <v>65</v>
      </c>
      <c r="AR59" s="14">
        <f t="shared" si="29"/>
        <v>25</v>
      </c>
    </row>
    <row r="60" spans="1:44" s="12" customFormat="1" x14ac:dyDescent="0.2">
      <c r="A60" s="41" t="s">
        <v>767</v>
      </c>
      <c r="B60" s="76" t="s">
        <v>162</v>
      </c>
      <c r="C60" s="76">
        <v>9</v>
      </c>
      <c r="D60" s="76">
        <v>5</v>
      </c>
      <c r="E60" s="97">
        <v>3.28</v>
      </c>
      <c r="F60" s="76">
        <v>20</v>
      </c>
      <c r="G60" s="76">
        <v>20</v>
      </c>
      <c r="H60" s="76">
        <v>1</v>
      </c>
      <c r="I60" s="76">
        <v>1</v>
      </c>
      <c r="J60" s="76">
        <v>0</v>
      </c>
      <c r="K60" s="76">
        <v>0</v>
      </c>
      <c r="L60" s="258">
        <f>INDEX('C-P-RollAdj'!$P$4:$P$900,MATCH((U60),'C-P-RollAdj'!$O$4:$O$900,FALSE),0)</f>
        <v>123.33</v>
      </c>
      <c r="M60" s="76">
        <v>120</v>
      </c>
      <c r="N60" s="76">
        <v>51</v>
      </c>
      <c r="O60" s="76">
        <v>45</v>
      </c>
      <c r="P60" s="76">
        <v>16</v>
      </c>
      <c r="Q60" s="76">
        <v>30</v>
      </c>
      <c r="R60" s="76">
        <v>2</v>
      </c>
      <c r="S60" s="76">
        <v>105</v>
      </c>
      <c r="T60" s="76">
        <v>507</v>
      </c>
      <c r="U60" s="76">
        <v>123.1</v>
      </c>
      <c r="V60" s="100">
        <v>0.25900000000000001</v>
      </c>
      <c r="W60" s="76">
        <v>1.22</v>
      </c>
      <c r="X60" s="76"/>
      <c r="Y60" s="50">
        <f t="shared" si="24"/>
        <v>5.544554455445545</v>
      </c>
      <c r="Z60" s="6">
        <f>IF(Y60&lt;LeagueRatings!$K$21,((LeagueRatings!$K$21-Y60)/LeagueRatings!$K$21)*36,(LeagueRatings!$K$21-Y60)*6.48)</f>
        <v>13.705393390589201</v>
      </c>
      <c r="AA60" s="16">
        <f>INDEX('C-P-RollAdj'!$B$4:$B$76,MATCH(INT(Z60),'C-P-RollAdj'!$A$4:$A$76,FALSE),0)</f>
        <v>-1.1000000000000001</v>
      </c>
      <c r="AB60" s="16">
        <f t="shared" si="25"/>
        <v>3.1683168316831685</v>
      </c>
      <c r="AC60" s="6">
        <f>IF(AB60&lt;LeagueRatings!$K$19,((LeagueRatings!$K$19-AB60)/LeagueRatings!$K$19)*36,(LeagueRatings!$K$19-AB60)/LeagueRatings!$K$22)</f>
        <v>-2.1033528133301136</v>
      </c>
      <c r="AD60" s="16">
        <f>INDEX('C-P-RollAdj'!$F$4:$F$76,MATCH(INT(AC60),'C-P-RollAdj'!$E$4:$E$76,FALSE),0)</f>
        <v>0.24</v>
      </c>
      <c r="AE60" s="17">
        <f>+((LeagueRatings!$I$17-E60)*5)+9.5</f>
        <v>13.914387243706363</v>
      </c>
      <c r="AF60" s="17">
        <f t="shared" si="26"/>
        <v>13.914387243706363</v>
      </c>
      <c r="AG60" s="17">
        <f t="shared" si="27"/>
        <v>0.11900510824616867</v>
      </c>
      <c r="AH60" s="4">
        <f t="shared" si="28"/>
        <v>13.173392351952533</v>
      </c>
      <c r="AI60" s="41" t="s">
        <v>767</v>
      </c>
      <c r="AJ60" s="5" t="s">
        <v>16</v>
      </c>
      <c r="AK60" s="219">
        <f>INDEX('C-P-RollAdj'!$J$4:$J$76,MATCH(INT(Z60),'C-P-RollAdj'!$I$4:$I$76,FALSE),0)</f>
        <v>31</v>
      </c>
      <c r="AL60" s="219">
        <f>INDEX('C-P-RollAdj'!$J$4:$J$76,MATCH(INT(AC60),'C-P-RollAdj'!$I$4:$I$76,FALSE),0)</f>
        <v>-13</v>
      </c>
      <c r="AM60" s="14">
        <f>+AR60*LeagueRatings!$K$27</f>
        <v>68.888888888888886</v>
      </c>
      <c r="AN60" s="72">
        <f>F60*LeagueRatings!$K$27</f>
        <v>11.111111111111111</v>
      </c>
      <c r="AO60" s="72">
        <f>G60*LeagueRatings!$K$27</f>
        <v>11.111111111111111</v>
      </c>
      <c r="AP60" s="72">
        <f>T60*LeagueRatings!$K$27</f>
        <v>281.66666666666669</v>
      </c>
      <c r="AQ60"/>
      <c r="AR60" s="14">
        <f t="shared" si="29"/>
        <v>124</v>
      </c>
    </row>
    <row r="61" spans="1:44" customFormat="1" x14ac:dyDescent="0.2">
      <c r="A61" s="41" t="s">
        <v>755</v>
      </c>
      <c r="B61" s="76" t="s">
        <v>162</v>
      </c>
      <c r="C61" s="76">
        <v>1</v>
      </c>
      <c r="D61" s="76">
        <v>1</v>
      </c>
      <c r="E61" s="97">
        <v>3.14</v>
      </c>
      <c r="F61" s="76">
        <v>45</v>
      </c>
      <c r="G61" s="76">
        <v>0</v>
      </c>
      <c r="H61" s="76">
        <v>0</v>
      </c>
      <c r="I61" s="76">
        <v>0</v>
      </c>
      <c r="J61" s="76">
        <v>0</v>
      </c>
      <c r="K61" s="76">
        <v>1</v>
      </c>
      <c r="L61" s="258">
        <f>INDEX('C-P-RollAdj'!$P$4:$P$900,MATCH((U61),'C-P-RollAdj'!$O$4:$O$900,FALSE),0)</f>
        <v>43</v>
      </c>
      <c r="M61" s="76">
        <v>36</v>
      </c>
      <c r="N61" s="76">
        <v>20</v>
      </c>
      <c r="O61" s="76">
        <v>15</v>
      </c>
      <c r="P61" s="76">
        <v>8</v>
      </c>
      <c r="Q61" s="76">
        <v>19</v>
      </c>
      <c r="R61" s="76">
        <v>1</v>
      </c>
      <c r="S61" s="76">
        <v>37</v>
      </c>
      <c r="T61" s="76">
        <v>182</v>
      </c>
      <c r="U61" s="76">
        <v>43</v>
      </c>
      <c r="V61" s="100">
        <v>0.224</v>
      </c>
      <c r="W61" s="76">
        <v>1.28</v>
      </c>
      <c r="X61" s="76"/>
      <c r="Y61" s="50">
        <f t="shared" si="24"/>
        <v>9.94475138121547</v>
      </c>
      <c r="Z61" s="6">
        <f>IF(Y61&lt;LeagueRatings!$K$21,((LeagueRatings!$K$21-Y61)/LeagueRatings!$K$21)*36,(LeagueRatings!$K$21-Y61)*6.48)</f>
        <v>-6.4264479709452127</v>
      </c>
      <c r="AA61" s="16">
        <f>INDEX('C-P-RollAdj'!$B$4:$B$76,MATCH(INT(Z61),'C-P-RollAdj'!$A$4:$A$76,FALSE),0)</f>
        <v>0.65</v>
      </c>
      <c r="AB61" s="16">
        <f t="shared" si="25"/>
        <v>4.4198895027624303</v>
      </c>
      <c r="AC61" s="6">
        <f>IF(AB61&lt;LeagueRatings!$K$19,((LeagueRatings!$K$19-AB61)/LeagueRatings!$K$19)*36,(LeagueRatings!$K$19-AB61)/LeagueRatings!$K$22)</f>
        <v>-12.216035574720383</v>
      </c>
      <c r="AD61" s="16">
        <f>INDEX('C-P-RollAdj'!$F$4:$F$76,MATCH(INT(AC61),'C-P-RollAdj'!$E$4:$E$76,FALSE),0)</f>
        <v>1.2599999999999998</v>
      </c>
      <c r="AE61" s="17">
        <f>+((LeagueRatings!$I$17-E61)*5)+9.5</f>
        <v>14.614387243706362</v>
      </c>
      <c r="AF61" s="17">
        <f t="shared" si="26"/>
        <v>14.614387243706362</v>
      </c>
      <c r="AG61" s="17">
        <f t="shared" si="27"/>
        <v>1.06953488372093</v>
      </c>
      <c r="AH61" s="4">
        <f t="shared" si="28"/>
        <v>17.593922127427291</v>
      </c>
      <c r="AI61" s="41" t="s">
        <v>755</v>
      </c>
      <c r="AJ61" s="5" t="s">
        <v>63</v>
      </c>
      <c r="AK61" s="219">
        <f>INDEX('C-P-RollAdj'!$J$4:$J$76,MATCH(INT(Z61),'C-P-RollAdj'!$I$4:$I$76,FALSE),0)</f>
        <v>-21</v>
      </c>
      <c r="AL61" s="219">
        <f>INDEX('C-P-RollAdj'!$J$4:$J$76,MATCH(INT(AC61),'C-P-RollAdj'!$I$4:$I$76,FALSE),0)</f>
        <v>-31</v>
      </c>
      <c r="AM61" s="14">
        <f>+AR61*LeagueRatings!$K$27</f>
        <v>23.888888888888889</v>
      </c>
      <c r="AN61" s="72">
        <f>F61*LeagueRatings!$K$27</f>
        <v>25</v>
      </c>
      <c r="AO61" s="72">
        <f>G61*LeagueRatings!$K$27</f>
        <v>0</v>
      </c>
      <c r="AP61" s="72">
        <f>T61*LeagueRatings!$K$27</f>
        <v>101.11111111111111</v>
      </c>
      <c r="AQ61" s="12"/>
      <c r="AR61" s="14">
        <f t="shared" si="29"/>
        <v>43</v>
      </c>
    </row>
    <row r="62" spans="1:44" customFormat="1" x14ac:dyDescent="0.2">
      <c r="A62" s="41" t="s">
        <v>806</v>
      </c>
      <c r="B62" s="76" t="s">
        <v>162</v>
      </c>
      <c r="C62" s="76">
        <v>10</v>
      </c>
      <c r="D62" s="76">
        <v>11</v>
      </c>
      <c r="E62" s="97">
        <v>3.98</v>
      </c>
      <c r="F62" s="76">
        <v>31</v>
      </c>
      <c r="G62" s="76">
        <v>31</v>
      </c>
      <c r="H62" s="76">
        <v>1</v>
      </c>
      <c r="I62" s="76">
        <v>0</v>
      </c>
      <c r="J62" s="76">
        <v>0</v>
      </c>
      <c r="K62" s="76">
        <v>0</v>
      </c>
      <c r="L62" s="258">
        <f>INDEX('C-P-RollAdj'!$P$4:$P$900,MATCH((U62),'C-P-RollAdj'!$O$4:$O$900,FALSE),0)</f>
        <v>172</v>
      </c>
      <c r="M62" s="76">
        <v>150</v>
      </c>
      <c r="N62" s="76">
        <v>86</v>
      </c>
      <c r="O62" s="76">
        <v>76</v>
      </c>
      <c r="P62" s="76">
        <v>29</v>
      </c>
      <c r="Q62" s="76">
        <v>84</v>
      </c>
      <c r="R62" s="76">
        <v>2</v>
      </c>
      <c r="S62" s="76">
        <v>145</v>
      </c>
      <c r="T62" s="76">
        <v>734</v>
      </c>
      <c r="U62" s="76">
        <v>172</v>
      </c>
      <c r="V62" s="100">
        <v>0.23599999999999999</v>
      </c>
      <c r="W62" s="76">
        <v>1.36</v>
      </c>
      <c r="X62" s="76"/>
      <c r="Y62" s="50">
        <f t="shared" si="24"/>
        <v>11.202185792349727</v>
      </c>
      <c r="Z62" s="6">
        <f>IF(Y62&lt;LeagueRatings!$K$21,((LeagueRatings!$K$21-Y62)/LeagueRatings!$K$21)*36,(LeagueRatings!$K$21-Y62)*6.48)</f>
        <v>-14.574622955095201</v>
      </c>
      <c r="AA62" s="16">
        <f>INDEX('C-P-RollAdj'!$B$4:$B$76,MATCH(INT(Z62),'C-P-RollAdj'!$A$4:$A$76,FALSE),0)</f>
        <v>1.63</v>
      </c>
      <c r="AB62" s="16">
        <f t="shared" si="25"/>
        <v>3.9617486338797816</v>
      </c>
      <c r="AC62" s="6">
        <f>IF(AB62&lt;LeagueRatings!$K$19,((LeagueRatings!$K$19-AB62)/LeagueRatings!$K$19)*36,(LeagueRatings!$K$19-AB62)/LeagueRatings!$K$22)</f>
        <v>-8.5142662934826081</v>
      </c>
      <c r="AD62" s="16">
        <f>INDEX('C-P-RollAdj'!$F$4:$F$76,MATCH(INT(AC62),'C-P-RollAdj'!$E$4:$E$76,FALSE),0)</f>
        <v>0.81</v>
      </c>
      <c r="AE62" s="17">
        <f>+((LeagueRatings!$I$17-E62)*5)+9.5</f>
        <v>10.414387243706363</v>
      </c>
      <c r="AF62" s="17">
        <f t="shared" si="26"/>
        <v>10.414387243706363</v>
      </c>
      <c r="AG62" s="17">
        <f t="shared" si="27"/>
        <v>0.8253488372093023</v>
      </c>
      <c r="AH62" s="4">
        <f t="shared" si="28"/>
        <v>13.679736080915665</v>
      </c>
      <c r="AI62" s="41" t="s">
        <v>806</v>
      </c>
      <c r="AJ62" s="5" t="s">
        <v>21</v>
      </c>
      <c r="AK62" s="219">
        <f>INDEX('C-P-RollAdj'!$J$4:$J$76,MATCH(INT(Z62),'C-P-RollAdj'!$I$4:$I$76,FALSE),0)</f>
        <v>-33</v>
      </c>
      <c r="AL62" s="219">
        <f>INDEX('C-P-RollAdj'!$J$4:$J$76,MATCH(INT(AC62),'C-P-RollAdj'!$I$4:$I$76,FALSE),0)</f>
        <v>-23</v>
      </c>
      <c r="AM62" s="14">
        <f>+AR62*LeagueRatings!$K$27</f>
        <v>95.555555555555557</v>
      </c>
      <c r="AN62" s="72">
        <f>F62*LeagueRatings!$K$27</f>
        <v>17.222222222222221</v>
      </c>
      <c r="AO62" s="72">
        <f>G62*LeagueRatings!$K$27</f>
        <v>17.222222222222221</v>
      </c>
      <c r="AP62" s="72">
        <f>T62*LeagueRatings!$K$27</f>
        <v>407.77777777777777</v>
      </c>
      <c r="AR62" s="14">
        <f t="shared" si="29"/>
        <v>172</v>
      </c>
    </row>
    <row r="63" spans="1:44" customFormat="1" x14ac:dyDescent="0.2">
      <c r="A63" s="41" t="s">
        <v>1106</v>
      </c>
      <c r="B63" s="76" t="s">
        <v>162</v>
      </c>
      <c r="C63" s="76">
        <v>3</v>
      </c>
      <c r="D63" s="76">
        <v>2</v>
      </c>
      <c r="E63" s="97">
        <v>2.5299999999999998</v>
      </c>
      <c r="F63" s="76">
        <v>37</v>
      </c>
      <c r="G63" s="76">
        <v>5</v>
      </c>
      <c r="H63" s="76">
        <v>0</v>
      </c>
      <c r="I63" s="76">
        <v>0</v>
      </c>
      <c r="J63" s="76">
        <v>6</v>
      </c>
      <c r="K63" s="76">
        <v>8</v>
      </c>
      <c r="L63" s="258">
        <f>INDEX('C-P-RollAdj'!$P$4:$P$900,MATCH((U63),'C-P-RollAdj'!$O$4:$O$900,FALSE),0)</f>
        <v>78.33</v>
      </c>
      <c r="M63" s="76">
        <v>63</v>
      </c>
      <c r="N63" s="76">
        <v>22</v>
      </c>
      <c r="O63" s="76">
        <v>22</v>
      </c>
      <c r="P63" s="76">
        <v>7</v>
      </c>
      <c r="Q63" s="76">
        <v>26</v>
      </c>
      <c r="R63" s="76">
        <v>1</v>
      </c>
      <c r="S63" s="76">
        <v>83</v>
      </c>
      <c r="T63" s="76">
        <v>325</v>
      </c>
      <c r="U63" s="76">
        <v>78.099999999999994</v>
      </c>
      <c r="V63" s="100">
        <v>0.216</v>
      </c>
      <c r="W63" s="76">
        <v>1.1399999999999999</v>
      </c>
      <c r="X63" s="76"/>
      <c r="Y63" s="52">
        <f t="shared" si="24"/>
        <v>7.716049382716049</v>
      </c>
      <c r="Z63" s="53">
        <f>IF(Y63&lt;LeagueRatings!$K$21,((LeagueRatings!$K$21-Y63)/LeagueRatings!$K$21)*36,(LeagueRatings!$K$21-Y63)*6.48)</f>
        <v>4.9738306389096891</v>
      </c>
      <c r="AA63" s="16">
        <f>INDEX('C-P-RollAdj'!$B$4:$B$76,MATCH(INT(Z63),'C-P-RollAdj'!$A$4:$A$76,FALSE),0)</f>
        <v>-0.32</v>
      </c>
      <c r="AB63" s="54">
        <f t="shared" si="25"/>
        <v>2.1604938271604937</v>
      </c>
      <c r="AC63" s="53">
        <f>IF(AB63&lt;LeagueRatings!$K$19,((LeagueRatings!$K$19-AB63)/LeagueRatings!$K$19)*36,(LeagueRatings!$K$19-AB63)/LeagueRatings!$K$22)</f>
        <v>9.2538614848031919</v>
      </c>
      <c r="AD63" s="16">
        <f>INDEX('C-P-RollAdj'!$F$4:$F$76,MATCH(INT(AC63),'C-P-RollAdj'!$E$4:$E$76,FALSE),0)</f>
        <v>-0.65</v>
      </c>
      <c r="AE63" s="55">
        <f>+((LeagueRatings!$I$17-E63)*5)+9.5</f>
        <v>17.664387243706365</v>
      </c>
      <c r="AF63" s="55">
        <f t="shared" si="26"/>
        <v>17.664387243706365</v>
      </c>
      <c r="AG63" s="17">
        <f t="shared" si="27"/>
        <v>1.2999731903485257</v>
      </c>
      <c r="AH63" s="56">
        <f t="shared" si="28"/>
        <v>17.99436043405489</v>
      </c>
      <c r="AI63" s="41" t="s">
        <v>1106</v>
      </c>
      <c r="AJ63" s="7" t="s">
        <v>63</v>
      </c>
      <c r="AK63" s="219">
        <f>INDEX('C-P-RollAdj'!$J$4:$J$76,MATCH(INT(Z63),'C-P-RollAdj'!$I$4:$I$76,FALSE),0)</f>
        <v>14</v>
      </c>
      <c r="AL63" s="219">
        <f>INDEX('C-P-RollAdj'!$J$4:$J$76,MATCH(INT(AC63),'C-P-RollAdj'!$I$4:$I$76,FALSE),0)</f>
        <v>23</v>
      </c>
      <c r="AM63" s="14">
        <f>+AR63*LeagueRatings!$K$27</f>
        <v>43.888888888888893</v>
      </c>
      <c r="AN63" s="72">
        <f>F63*LeagueRatings!$K$27</f>
        <v>20.555555555555557</v>
      </c>
      <c r="AO63" s="72">
        <f>G63*LeagueRatings!$K$27</f>
        <v>2.7777777777777777</v>
      </c>
      <c r="AP63" s="72">
        <f>T63*LeagueRatings!$K$27</f>
        <v>180.55555555555557</v>
      </c>
      <c r="AR63" s="14">
        <f t="shared" si="29"/>
        <v>79</v>
      </c>
    </row>
    <row r="64" spans="1:44" s="12" customFormat="1" x14ac:dyDescent="0.2">
      <c r="A64" s="41" t="s">
        <v>1109</v>
      </c>
      <c r="B64" s="76" t="s">
        <v>162</v>
      </c>
      <c r="C64" s="76">
        <v>1</v>
      </c>
      <c r="D64" s="76">
        <v>7</v>
      </c>
      <c r="E64" s="97">
        <v>6.43</v>
      </c>
      <c r="F64" s="76">
        <v>14</v>
      </c>
      <c r="G64" s="76">
        <v>14</v>
      </c>
      <c r="H64" s="76">
        <v>0</v>
      </c>
      <c r="I64" s="76">
        <v>0</v>
      </c>
      <c r="J64" s="76">
        <v>0</v>
      </c>
      <c r="K64" s="76">
        <v>0</v>
      </c>
      <c r="L64" s="258">
        <f>INDEX('C-P-RollAdj'!$P$4:$P$900,MATCH((U64),'C-P-RollAdj'!$O$4:$O$900,FALSE),0)</f>
        <v>70</v>
      </c>
      <c r="M64" s="76">
        <v>84</v>
      </c>
      <c r="N64" s="76">
        <v>54</v>
      </c>
      <c r="O64" s="76">
        <v>50</v>
      </c>
      <c r="P64" s="76">
        <v>14</v>
      </c>
      <c r="Q64" s="76">
        <v>31</v>
      </c>
      <c r="R64" s="76">
        <v>0</v>
      </c>
      <c r="S64" s="76">
        <v>58</v>
      </c>
      <c r="T64" s="76">
        <v>318</v>
      </c>
      <c r="U64" s="76">
        <v>70</v>
      </c>
      <c r="V64" s="100">
        <v>0.30299999999999999</v>
      </c>
      <c r="W64" s="76">
        <v>1.64</v>
      </c>
      <c r="X64" s="76"/>
      <c r="Y64" s="50">
        <f t="shared" si="24"/>
        <v>9.7484276729559749</v>
      </c>
      <c r="Z64" s="6">
        <f>IF(Y64&lt;LeagueRatings!$K$21,((LeagueRatings!$K$21-Y64)/LeagueRatings!$K$21)*36,(LeagueRatings!$K$21-Y64)*6.48)</f>
        <v>-5.1542703414236843</v>
      </c>
      <c r="AA64" s="16">
        <f>INDEX('C-P-RollAdj'!$B$4:$B$76,MATCH(INT(Z64),'C-P-RollAdj'!$A$4:$A$76,FALSE),0)</f>
        <v>0.54</v>
      </c>
      <c r="AB64" s="16">
        <f t="shared" si="25"/>
        <v>4.4025157232704402</v>
      </c>
      <c r="AC64" s="6">
        <f>IF(AB64&lt;LeagueRatings!$K$19,((LeagueRatings!$K$19-AB64)/LeagueRatings!$K$19)*36,(LeagueRatings!$K$19-AB64)/LeagueRatings!$K$22)</f>
        <v>-12.075655775425677</v>
      </c>
      <c r="AD64" s="16">
        <f>INDEX('C-P-RollAdj'!$F$4:$F$76,MATCH(INT(AC64),'C-P-RollAdj'!$E$4:$E$76,FALSE),0)</f>
        <v>1.2599999999999998</v>
      </c>
      <c r="AE64" s="17">
        <f>+((LeagueRatings!$I$17-E64)*5)+9.5</f>
        <v>-1.8356127562936351</v>
      </c>
      <c r="AF64" s="17">
        <f t="shared" si="26"/>
        <v>4</v>
      </c>
      <c r="AG64" s="17">
        <f t="shared" si="27"/>
        <v>-0.99999999999999978</v>
      </c>
      <c r="AH64" s="4">
        <f t="shared" si="28"/>
        <v>4.8</v>
      </c>
      <c r="AI64" s="41" t="s">
        <v>1109</v>
      </c>
      <c r="AJ64" s="5" t="s">
        <v>19</v>
      </c>
      <c r="AK64" s="219">
        <f>INDEX('C-P-RollAdj'!$J$4:$J$76,MATCH(INT(Z64),'C-P-RollAdj'!$I$4:$I$76,FALSE),0)</f>
        <v>-16</v>
      </c>
      <c r="AL64" s="219">
        <f>INDEX('C-P-RollAdj'!$J$4:$J$76,MATCH(INT(AC64),'C-P-RollAdj'!$I$4:$I$76,FALSE),0)</f>
        <v>-31</v>
      </c>
      <c r="AM64" s="14">
        <f>+AR64*LeagueRatings!$K$27</f>
        <v>38.888888888888893</v>
      </c>
      <c r="AN64" s="72">
        <f>F64*LeagueRatings!$K$27</f>
        <v>7.7777777777777786</v>
      </c>
      <c r="AO64" s="72">
        <f>G64*LeagueRatings!$K$27</f>
        <v>7.7777777777777786</v>
      </c>
      <c r="AP64" s="72">
        <f>T64*LeagueRatings!$K$27</f>
        <v>176.66666666666669</v>
      </c>
      <c r="AQ64"/>
      <c r="AR64" s="14">
        <f t="shared" si="29"/>
        <v>70</v>
      </c>
    </row>
    <row r="65" spans="1:44" customFormat="1" x14ac:dyDescent="0.2">
      <c r="A65" s="41" t="s">
        <v>1108</v>
      </c>
      <c r="B65" s="76" t="s">
        <v>162</v>
      </c>
      <c r="C65" s="76">
        <v>2</v>
      </c>
      <c r="D65" s="76">
        <v>1</v>
      </c>
      <c r="E65" s="97">
        <v>2.88</v>
      </c>
      <c r="F65" s="76">
        <v>35</v>
      </c>
      <c r="G65" s="76">
        <v>0</v>
      </c>
      <c r="H65" s="76">
        <v>0</v>
      </c>
      <c r="I65" s="76">
        <v>0</v>
      </c>
      <c r="J65" s="76">
        <v>0</v>
      </c>
      <c r="K65" s="76">
        <v>2</v>
      </c>
      <c r="L65" s="258">
        <f>INDEX('C-P-RollAdj'!$P$4:$P$900,MATCH((U65),'C-P-RollAdj'!$O$4:$O$900,FALSE),0)</f>
        <v>50</v>
      </c>
      <c r="M65" s="76">
        <v>41</v>
      </c>
      <c r="N65" s="76">
        <v>16</v>
      </c>
      <c r="O65" s="76">
        <v>16</v>
      </c>
      <c r="P65" s="76">
        <v>5</v>
      </c>
      <c r="Q65" s="76">
        <v>13</v>
      </c>
      <c r="R65" s="76">
        <v>0</v>
      </c>
      <c r="S65" s="76">
        <v>48</v>
      </c>
      <c r="T65" s="76">
        <v>202</v>
      </c>
      <c r="U65" s="76">
        <v>50</v>
      </c>
      <c r="V65" s="100">
        <v>0.224</v>
      </c>
      <c r="W65" s="76">
        <v>1.08</v>
      </c>
      <c r="X65" s="76"/>
      <c r="Y65" s="50">
        <f t="shared" si="24"/>
        <v>6.435643564356436</v>
      </c>
      <c r="Z65" s="6">
        <f>IF(Y65&lt;LeagueRatings!$K$21,((LeagueRatings!$K$21-Y65)/LeagueRatings!$K$21)*36,(LeagueRatings!$K$21-Y65)*6.48)</f>
        <v>10.122331614076751</v>
      </c>
      <c r="AA65" s="16">
        <f>INDEX('C-P-RollAdj'!$B$4:$B$76,MATCH(INT(Z65),'C-P-RollAdj'!$A$4:$A$76,FALSE),0)</f>
        <v>-0.83000000000000007</v>
      </c>
      <c r="AB65" s="16">
        <f t="shared" si="25"/>
        <v>2.4752475247524752</v>
      </c>
      <c r="AC65" s="6">
        <f>IF(AB65&lt;LeagueRatings!$K$19,((LeagueRatings!$K$19-AB65)/LeagueRatings!$K$19)*36,(LeagueRatings!$K$19-AB65)/LeagueRatings!$K$22)</f>
        <v>5.3573236247391574</v>
      </c>
      <c r="AD65" s="16">
        <f>INDEX('C-P-RollAdj'!$F$4:$F$76,MATCH(INT(AC65),'C-P-RollAdj'!$E$4:$E$76,FALSE),0)</f>
        <v>-0.35000000000000003</v>
      </c>
      <c r="AE65" s="17">
        <f>+((LeagueRatings!$I$17-E65)*5)+9.5</f>
        <v>15.914387243706363</v>
      </c>
      <c r="AF65" s="17">
        <f t="shared" si="26"/>
        <v>15.914387243706363</v>
      </c>
      <c r="AG65" s="17">
        <f t="shared" si="27"/>
        <v>1.1900000000000002</v>
      </c>
      <c r="AH65" s="4">
        <f t="shared" si="28"/>
        <v>15.924387243706363</v>
      </c>
      <c r="AI65" s="41" t="s">
        <v>1108</v>
      </c>
      <c r="AJ65" s="5" t="s">
        <v>31</v>
      </c>
      <c r="AK65" s="219">
        <f>INDEX('C-P-RollAdj'!$J$4:$J$76,MATCH(INT(Z65),'C-P-RollAdj'!$I$4:$I$76,FALSE),0)</f>
        <v>24</v>
      </c>
      <c r="AL65" s="219">
        <f>INDEX('C-P-RollAdj'!$J$4:$J$76,MATCH(INT(AC65),'C-P-RollAdj'!$I$4:$I$76,FALSE),0)</f>
        <v>15</v>
      </c>
      <c r="AM65" s="14">
        <f>+AR65*LeagueRatings!$K$27</f>
        <v>27.777777777777779</v>
      </c>
      <c r="AN65" s="72">
        <f>F65*LeagueRatings!$K$27</f>
        <v>19.444444444444446</v>
      </c>
      <c r="AO65" s="72">
        <f>G65*LeagueRatings!$K$27</f>
        <v>0</v>
      </c>
      <c r="AP65" s="72">
        <f>T65*LeagueRatings!$K$27</f>
        <v>112.22222222222223</v>
      </c>
      <c r="AQ65" s="12"/>
      <c r="AR65" s="14">
        <f t="shared" si="29"/>
        <v>50</v>
      </c>
    </row>
    <row r="66" spans="1:44" customFormat="1" x14ac:dyDescent="0.2">
      <c r="A66" s="41" t="s">
        <v>1215</v>
      </c>
      <c r="B66" s="76" t="s">
        <v>162</v>
      </c>
      <c r="C66" s="76">
        <v>5</v>
      </c>
      <c r="D66" s="76">
        <v>7</v>
      </c>
      <c r="E66" s="97">
        <v>4.66</v>
      </c>
      <c r="F66" s="76">
        <v>64</v>
      </c>
      <c r="G66" s="76">
        <v>0</v>
      </c>
      <c r="H66" s="76">
        <v>0</v>
      </c>
      <c r="I66" s="76">
        <v>0</v>
      </c>
      <c r="J66" s="76">
        <v>2</v>
      </c>
      <c r="K66" s="76">
        <v>5</v>
      </c>
      <c r="L66" s="258">
        <f>INDEX('C-P-RollAdj'!$P$4:$P$900,MATCH((U66),'C-P-RollAdj'!$O$4:$O$900,FALSE),0)</f>
        <v>65.67</v>
      </c>
      <c r="M66" s="76">
        <v>59</v>
      </c>
      <c r="N66" s="76">
        <v>35</v>
      </c>
      <c r="O66" s="76">
        <v>34</v>
      </c>
      <c r="P66" s="76">
        <v>14</v>
      </c>
      <c r="Q66" s="76">
        <v>32</v>
      </c>
      <c r="R66" s="76">
        <v>1</v>
      </c>
      <c r="S66" s="76">
        <v>68</v>
      </c>
      <c r="T66" s="76">
        <v>290</v>
      </c>
      <c r="U66" s="76">
        <v>65.2</v>
      </c>
      <c r="V66" s="100">
        <v>0.23699999999999999</v>
      </c>
      <c r="W66" s="76">
        <v>1.39</v>
      </c>
      <c r="X66" s="76"/>
      <c r="Y66" s="50">
        <f t="shared" si="24"/>
        <v>10.726643598615917</v>
      </c>
      <c r="Z66" s="6">
        <f>IF(Y66&lt;LeagueRatings!$K$21,((LeagueRatings!$K$21-Y66)/LeagueRatings!$K$21)*36,(LeagueRatings!$K$21-Y66)*6.48)</f>
        <v>-11.493109539700109</v>
      </c>
      <c r="AA66" s="16">
        <f>INDEX('C-P-RollAdj'!$B$4:$B$76,MATCH(INT(Z66),'C-P-RollAdj'!$A$4:$A$76,FALSE),0)</f>
        <v>1.24</v>
      </c>
      <c r="AB66" s="16">
        <f t="shared" si="25"/>
        <v>4.844290657439446</v>
      </c>
      <c r="AC66" s="6">
        <f>IF(AB66&lt;LeagueRatings!$K$19,((LeagueRatings!$K$19-AB66)/LeagueRatings!$K$19)*36,(LeagueRatings!$K$19-AB66)/LeagueRatings!$K$22)</f>
        <v>-15.64518862351253</v>
      </c>
      <c r="AD66" s="16">
        <f>INDEX('C-P-RollAdj'!$F$4:$F$76,MATCH(INT(AC66),'C-P-RollAdj'!$E$4:$E$76,FALSE),0)</f>
        <v>1.63</v>
      </c>
      <c r="AE66" s="17">
        <f>+((LeagueRatings!$I$17-E66)*5)+9.5</f>
        <v>7.0143872437063619</v>
      </c>
      <c r="AF66" s="17">
        <f t="shared" si="26"/>
        <v>7.0143872437063619</v>
      </c>
      <c r="AG66" s="17">
        <f t="shared" si="27"/>
        <v>0.64097913811481644</v>
      </c>
      <c r="AH66" s="4">
        <f t="shared" si="28"/>
        <v>10.525366381821179</v>
      </c>
      <c r="AI66" s="41" t="s">
        <v>1215</v>
      </c>
      <c r="AJ66" s="5" t="s">
        <v>68</v>
      </c>
      <c r="AK66" s="219">
        <f>INDEX('C-P-RollAdj'!$J$4:$J$76,MATCH(INT(Z66),'C-P-RollAdj'!$I$4:$I$76,FALSE),0)</f>
        <v>-26</v>
      </c>
      <c r="AL66" s="219">
        <f>INDEX('C-P-RollAdj'!$J$4:$J$76,MATCH(INT(AC66),'C-P-RollAdj'!$I$4:$I$76,FALSE),0)</f>
        <v>-34</v>
      </c>
      <c r="AM66" s="14">
        <f>+AR66*LeagueRatings!$K$27</f>
        <v>36.666666666666671</v>
      </c>
      <c r="AN66" s="72">
        <f>F66*LeagueRatings!$K$27</f>
        <v>35.555555555555557</v>
      </c>
      <c r="AO66" s="72">
        <f>G66*LeagueRatings!$K$27</f>
        <v>0</v>
      </c>
      <c r="AP66" s="72">
        <f>T66*LeagueRatings!$K$27</f>
        <v>161.11111111111111</v>
      </c>
      <c r="AR66" s="14">
        <f t="shared" si="29"/>
        <v>66</v>
      </c>
    </row>
    <row r="67" spans="1:44" customFormat="1" x14ac:dyDescent="0.2">
      <c r="A67" s="41" t="s">
        <v>1124</v>
      </c>
      <c r="B67" s="76" t="s">
        <v>162</v>
      </c>
      <c r="C67" s="76">
        <v>0</v>
      </c>
      <c r="D67" s="76">
        <v>7</v>
      </c>
      <c r="E67" s="97">
        <v>7.36</v>
      </c>
      <c r="F67" s="76">
        <v>10</v>
      </c>
      <c r="G67" s="76">
        <v>10</v>
      </c>
      <c r="H67" s="76">
        <v>0</v>
      </c>
      <c r="I67" s="76">
        <v>0</v>
      </c>
      <c r="J67" s="76">
        <v>0</v>
      </c>
      <c r="K67" s="76">
        <v>0</v>
      </c>
      <c r="L67" s="258">
        <f>INDEX('C-P-RollAdj'!$P$4:$P$900,MATCH((U67),'C-P-RollAdj'!$O$4:$O$900,FALSE),0)</f>
        <v>47.67</v>
      </c>
      <c r="M67" s="76">
        <v>67</v>
      </c>
      <c r="N67" s="76">
        <v>47</v>
      </c>
      <c r="O67" s="76">
        <v>39</v>
      </c>
      <c r="P67" s="76">
        <v>12</v>
      </c>
      <c r="Q67" s="76">
        <v>19</v>
      </c>
      <c r="R67" s="76">
        <v>2</v>
      </c>
      <c r="S67" s="76">
        <v>43</v>
      </c>
      <c r="T67" s="76">
        <v>230</v>
      </c>
      <c r="U67" s="76">
        <v>47.2</v>
      </c>
      <c r="V67" s="100">
        <v>0.32800000000000001</v>
      </c>
      <c r="W67" s="76">
        <v>1.8</v>
      </c>
      <c r="X67" s="76"/>
      <c r="Y67" s="50">
        <f t="shared" si="24"/>
        <v>7.4561403508771926</v>
      </c>
      <c r="Z67" s="6">
        <f>IF(Y67&lt;LeagueRatings!$K$21,((LeagueRatings!$K$21-Y67)/LeagueRatings!$K$21)*36,(LeagueRatings!$K$21-Y67)*6.48)</f>
        <v>6.018922659493783</v>
      </c>
      <c r="AA67" s="16">
        <f>INDEX('C-P-RollAdj'!$B$4:$B$76,MATCH(INT(Z67),'C-P-RollAdj'!$A$4:$A$76,FALSE),0)</f>
        <v>-0.48</v>
      </c>
      <c r="AB67" s="16">
        <f t="shared" si="25"/>
        <v>5.2631578947368416</v>
      </c>
      <c r="AC67" s="6">
        <f>IF(AB67&lt;LeagueRatings!$K$19,((LeagueRatings!$K$19-AB67)/LeagueRatings!$K$19)*36,(LeagueRatings!$K$19-AB67)/LeagueRatings!$K$22)</f>
        <v>-19.029627727856223</v>
      </c>
      <c r="AD67" s="16">
        <f>INDEX('C-P-RollAdj'!$F$4:$F$76,MATCH(INT(AC67),'C-P-RollAdj'!$E$4:$E$76,FALSE),0)</f>
        <v>2.17</v>
      </c>
      <c r="AE67" s="17">
        <f>+((LeagueRatings!$I$17-E67)*5)+9.5</f>
        <v>-6.485612756293639</v>
      </c>
      <c r="AF67" s="17">
        <f t="shared" si="26"/>
        <v>4</v>
      </c>
      <c r="AG67" s="17">
        <f t="shared" si="27"/>
        <v>-2.0274805957625341</v>
      </c>
      <c r="AH67" s="4">
        <f t="shared" si="28"/>
        <v>3.6625194042374654</v>
      </c>
      <c r="AI67" s="41" t="s">
        <v>1124</v>
      </c>
      <c r="AJ67" s="5" t="s">
        <v>60</v>
      </c>
      <c r="AK67" s="219">
        <f>INDEX('C-P-RollAdj'!$J$4:$J$76,MATCH(INT(Z67),'C-P-RollAdj'!$I$4:$I$76,FALSE),0)</f>
        <v>16</v>
      </c>
      <c r="AL67" s="219">
        <f>INDEX('C-P-RollAdj'!$J$4:$J$76,MATCH(INT(AC67),'C-P-RollAdj'!$I$4:$I$76,FALSE),0)</f>
        <v>-42</v>
      </c>
      <c r="AM67" s="14">
        <f>+AR67*LeagueRatings!$K$27</f>
        <v>26.666666666666668</v>
      </c>
      <c r="AN67" s="72">
        <f>F67*LeagueRatings!$K$27</f>
        <v>5.5555555555555554</v>
      </c>
      <c r="AO67" s="72">
        <f>G67*LeagueRatings!$K$27</f>
        <v>5.5555555555555554</v>
      </c>
      <c r="AP67" s="72">
        <f>T67*LeagueRatings!$K$27</f>
        <v>127.77777777777779</v>
      </c>
      <c r="AR67" s="14">
        <f t="shared" si="29"/>
        <v>48</v>
      </c>
    </row>
    <row r="68" spans="1:44" customFormat="1" x14ac:dyDescent="0.2">
      <c r="A68" s="41" t="s">
        <v>358</v>
      </c>
      <c r="B68" s="76" t="s">
        <v>162</v>
      </c>
      <c r="C68" s="76">
        <v>2</v>
      </c>
      <c r="D68" s="76">
        <v>7</v>
      </c>
      <c r="E68" s="97">
        <v>9.36</v>
      </c>
      <c r="F68" s="76">
        <v>15</v>
      </c>
      <c r="G68" s="76">
        <v>11</v>
      </c>
      <c r="H68" s="76">
        <v>0</v>
      </c>
      <c r="I68" s="76">
        <v>0</v>
      </c>
      <c r="J68" s="76">
        <v>0</v>
      </c>
      <c r="K68" s="76">
        <v>0</v>
      </c>
      <c r="L68" s="258">
        <f>INDEX('C-P-RollAdj'!$P$4:$P$900,MATCH((U68),'C-P-RollAdj'!$O$4:$O$900,FALSE),0)</f>
        <v>58.67</v>
      </c>
      <c r="M68" s="76">
        <v>89</v>
      </c>
      <c r="N68" s="76">
        <v>64</v>
      </c>
      <c r="O68" s="76">
        <v>61</v>
      </c>
      <c r="P68" s="76">
        <v>15</v>
      </c>
      <c r="Q68" s="76">
        <v>31</v>
      </c>
      <c r="R68" s="76">
        <v>2</v>
      </c>
      <c r="S68" s="76">
        <v>39</v>
      </c>
      <c r="T68" s="76">
        <v>298</v>
      </c>
      <c r="U68" s="76">
        <v>58.2</v>
      </c>
      <c r="V68" s="100">
        <v>0.34899999999999998</v>
      </c>
      <c r="W68" s="76">
        <v>2.0499999999999998</v>
      </c>
      <c r="X68" s="76"/>
      <c r="Y68" s="50">
        <f t="shared" si="24"/>
        <v>9.7972972972972965</v>
      </c>
      <c r="Z68" s="6">
        <f>IF(Y68&lt;LeagueRatings!$K$21,((LeagueRatings!$K$21-Y68)/LeagueRatings!$K$21)*36,(LeagueRatings!$K$21-Y68)*6.48)</f>
        <v>-5.4709455071554487</v>
      </c>
      <c r="AA68" s="16">
        <f>INDEX('C-P-RollAdj'!$B$4:$B$76,MATCH(INT(Z68),'C-P-RollAdj'!$A$4:$A$76,FALSE),0)</f>
        <v>0.54</v>
      </c>
      <c r="AB68" s="16">
        <f t="shared" si="25"/>
        <v>5.0675675675675675</v>
      </c>
      <c r="AC68" s="6">
        <f>IF(AB68&lt;LeagueRatings!$K$19,((LeagueRatings!$K$19-AB68)/LeagueRatings!$K$19)*36,(LeagueRatings!$K$19-AB68)/LeagueRatings!$K$22)</f>
        <v>-17.449261700725113</v>
      </c>
      <c r="AD68" s="16">
        <f>INDEX('C-P-RollAdj'!$F$4:$F$76,MATCH(INT(AC68),'C-P-RollAdj'!$E$4:$E$76,FALSE),0)</f>
        <v>1.8900000000000001</v>
      </c>
      <c r="AE68" s="17">
        <f>+((LeagueRatings!$I$17-E68)*5)+9.5</f>
        <v>-16.485612756293634</v>
      </c>
      <c r="AF68" s="17">
        <f t="shared" si="26"/>
        <v>4</v>
      </c>
      <c r="AG68" s="17">
        <f t="shared" si="27"/>
        <v>-2.5847963183910005</v>
      </c>
      <c r="AH68" s="4">
        <f t="shared" si="28"/>
        <v>3.8452036816089992</v>
      </c>
      <c r="AI68" s="41" t="s">
        <v>358</v>
      </c>
      <c r="AJ68" s="5" t="s">
        <v>60</v>
      </c>
      <c r="AK68" s="219">
        <f>INDEX('C-P-RollAdj'!$J$4:$J$76,MATCH(INT(Z68),'C-P-RollAdj'!$I$4:$I$76,FALSE),0)</f>
        <v>-16</v>
      </c>
      <c r="AL68" s="219">
        <f>INDEX('C-P-RollAdj'!$J$4:$J$76,MATCH(INT(AC68),'C-P-RollAdj'!$I$4:$I$76,FALSE),0)</f>
        <v>-36</v>
      </c>
      <c r="AM68" s="14">
        <f>+AR68*LeagueRatings!$K$27</f>
        <v>32.777777777777779</v>
      </c>
      <c r="AN68" s="72">
        <f>F68*LeagueRatings!$K$27</f>
        <v>8.3333333333333339</v>
      </c>
      <c r="AO68" s="72">
        <f>G68*LeagueRatings!$K$27</f>
        <v>6.1111111111111116</v>
      </c>
      <c r="AP68" s="72">
        <f>T68*LeagueRatings!$K$27</f>
        <v>165.55555555555557</v>
      </c>
      <c r="AR68" s="14">
        <f t="shared" si="29"/>
        <v>59</v>
      </c>
    </row>
    <row r="69" spans="1:44" s="12" customFormat="1" x14ac:dyDescent="0.2">
      <c r="A69" s="41" t="s">
        <v>521</v>
      </c>
      <c r="B69" s="76" t="s">
        <v>162</v>
      </c>
      <c r="C69" s="76">
        <v>3</v>
      </c>
      <c r="D69" s="76">
        <v>3</v>
      </c>
      <c r="E69" s="97">
        <v>4.68</v>
      </c>
      <c r="F69" s="76">
        <v>32</v>
      </c>
      <c r="G69" s="76">
        <v>2</v>
      </c>
      <c r="H69" s="76">
        <v>0</v>
      </c>
      <c r="I69" s="76">
        <v>0</v>
      </c>
      <c r="J69" s="76">
        <v>0</v>
      </c>
      <c r="K69" s="76">
        <v>0</v>
      </c>
      <c r="L69" s="258">
        <f>INDEX('C-P-RollAdj'!$P$4:$P$900,MATCH((U69),'C-P-RollAdj'!$O$4:$O$900,FALSE),0)</f>
        <v>59.67</v>
      </c>
      <c r="M69" s="76">
        <v>57</v>
      </c>
      <c r="N69" s="76">
        <v>32</v>
      </c>
      <c r="O69" s="76">
        <v>31</v>
      </c>
      <c r="P69" s="76">
        <v>11</v>
      </c>
      <c r="Q69" s="76">
        <v>26</v>
      </c>
      <c r="R69" s="76">
        <v>1</v>
      </c>
      <c r="S69" s="76">
        <v>48</v>
      </c>
      <c r="T69" s="76">
        <v>260</v>
      </c>
      <c r="U69" s="76">
        <v>59.2</v>
      </c>
      <c r="V69" s="100">
        <v>0.247</v>
      </c>
      <c r="W69" s="76">
        <v>1.39</v>
      </c>
      <c r="X69" s="76"/>
      <c r="Y69" s="50">
        <f t="shared" si="24"/>
        <v>9.6525096525096519</v>
      </c>
      <c r="Z69" s="6">
        <f>IF(Y69&lt;LeagueRatings!$K$21,((LeagueRatings!$K$21-Y69)/LeagueRatings!$K$21)*36,(LeagueRatings!$K$21-Y69)*6.48)</f>
        <v>-4.5327215689315112</v>
      </c>
      <c r="AA69" s="16">
        <f>INDEX('C-P-RollAdj'!$B$4:$B$76,MATCH(INT(Z69),'C-P-RollAdj'!$A$4:$A$76,FALSE),0)</f>
        <v>0.44999999999999996</v>
      </c>
      <c r="AB69" s="16">
        <f t="shared" si="25"/>
        <v>4.2471042471042466</v>
      </c>
      <c r="AC69" s="6">
        <f>IF(AB69&lt;LeagueRatings!$K$19,((LeagueRatings!$K$19-AB69)/LeagueRatings!$K$19)*36,(LeagueRatings!$K$19-AB69)/LeagueRatings!$K$22)</f>
        <v>-10.819934080421881</v>
      </c>
      <c r="AD69" s="16">
        <f>INDEX('C-P-RollAdj'!$F$4:$F$76,MATCH(INT(AC69),'C-P-RollAdj'!$E$4:$E$76,FALSE),0)</f>
        <v>1.03</v>
      </c>
      <c r="AE69" s="17">
        <f>+((LeagueRatings!$I$17-E69)*5)+9.5</f>
        <v>6.914387243706364</v>
      </c>
      <c r="AF69" s="17">
        <f t="shared" si="26"/>
        <v>6.914387243706364</v>
      </c>
      <c r="AG69" s="17">
        <f t="shared" si="27"/>
        <v>0.2432227249874313</v>
      </c>
      <c r="AH69" s="4">
        <f t="shared" si="28"/>
        <v>8.6376099686937948</v>
      </c>
      <c r="AI69" s="41" t="s">
        <v>521</v>
      </c>
      <c r="AJ69" s="5" t="s">
        <v>34</v>
      </c>
      <c r="AK69" s="219">
        <f>INDEX('C-P-RollAdj'!$J$4:$J$76,MATCH(INT(Z69),'C-P-RollAdj'!$I$4:$I$76,FALSE),0)</f>
        <v>-15</v>
      </c>
      <c r="AL69" s="219">
        <f>INDEX('C-P-RollAdj'!$J$4:$J$76,MATCH(INT(AC69),'C-P-RollAdj'!$I$4:$I$76,FALSE),0)</f>
        <v>-25</v>
      </c>
      <c r="AM69" s="14">
        <f>+AR69*LeagueRatings!$K$27</f>
        <v>33.333333333333336</v>
      </c>
      <c r="AN69" s="72">
        <f>F69*LeagueRatings!$K$27</f>
        <v>17.777777777777779</v>
      </c>
      <c r="AO69" s="72">
        <f>G69*LeagueRatings!$K$27</f>
        <v>1.1111111111111112</v>
      </c>
      <c r="AP69" s="72">
        <f>T69*LeagueRatings!$K$27</f>
        <v>144.44444444444446</v>
      </c>
      <c r="AQ69"/>
      <c r="AR69" s="14">
        <f t="shared" si="29"/>
        <v>60</v>
      </c>
    </row>
    <row r="70" spans="1:44" s="12" customFormat="1" x14ac:dyDescent="0.2">
      <c r="A70" s="41" t="s">
        <v>601</v>
      </c>
      <c r="B70" s="76" t="s">
        <v>162</v>
      </c>
      <c r="C70" s="76">
        <v>14</v>
      </c>
      <c r="D70" s="76">
        <v>8</v>
      </c>
      <c r="E70" s="97">
        <v>3.76</v>
      </c>
      <c r="F70" s="76">
        <v>34</v>
      </c>
      <c r="G70" s="76">
        <v>31</v>
      </c>
      <c r="H70" s="76">
        <v>0</v>
      </c>
      <c r="I70" s="76">
        <v>0</v>
      </c>
      <c r="J70" s="76">
        <v>0</v>
      </c>
      <c r="K70" s="76">
        <v>0</v>
      </c>
      <c r="L70" s="258">
        <f>INDEX('C-P-RollAdj'!$P$4:$P$900,MATCH((U70),'C-P-RollAdj'!$O$4:$O$900,FALSE),0)</f>
        <v>191.32999999999998</v>
      </c>
      <c r="M70" s="76">
        <v>154</v>
      </c>
      <c r="N70" s="76">
        <v>80</v>
      </c>
      <c r="O70" s="76">
        <v>80</v>
      </c>
      <c r="P70" s="76">
        <v>31</v>
      </c>
      <c r="Q70" s="76">
        <v>73</v>
      </c>
      <c r="R70" s="76">
        <v>4</v>
      </c>
      <c r="S70" s="76">
        <v>162</v>
      </c>
      <c r="T70" s="76">
        <v>792</v>
      </c>
      <c r="U70" s="76">
        <v>191.1</v>
      </c>
      <c r="V70" s="100">
        <v>0.22</v>
      </c>
      <c r="W70" s="76">
        <v>1.19</v>
      </c>
      <c r="X70" s="76"/>
      <c r="Y70" s="50">
        <f t="shared" si="24"/>
        <v>8.7563451776649739</v>
      </c>
      <c r="Z70" s="6">
        <f>IF(Y70&lt;LeagueRatings!$K$21,((LeagueRatings!$K$21-Y70)/LeagueRatings!$K$21)*36,(LeagueRatings!$K$21-Y70)*6.48)</f>
        <v>0.79081003875456946</v>
      </c>
      <c r="AA70" s="16">
        <f>INDEX('C-P-RollAdj'!$B$4:$B$76,MATCH(INT(Z70),'C-P-RollAdj'!$A$4:$A$76,FALSE),0)</f>
        <v>0</v>
      </c>
      <c r="AB70" s="16">
        <f t="shared" si="25"/>
        <v>3.9340101522842641</v>
      </c>
      <c r="AC70" s="6">
        <f>IF(AB70&lt;LeagueRatings!$K$19,((LeagueRatings!$K$19-AB70)/LeagueRatings!$K$19)*36,(LeagueRatings!$K$19-AB70)/LeagueRatings!$K$22)</f>
        <v>-8.2901399034294911</v>
      </c>
      <c r="AD70" s="16">
        <f>INDEX('C-P-RollAdj'!$F$4:$F$76,MATCH(INT(AC70),'C-P-RollAdj'!$E$4:$E$76,FALSE),0)</f>
        <v>0.81</v>
      </c>
      <c r="AE70" s="17">
        <f>+((LeagueRatings!$I$17-E70)*5)+9.5</f>
        <v>11.514387243706363</v>
      </c>
      <c r="AF70" s="17">
        <f t="shared" si="26"/>
        <v>11.514387243706363</v>
      </c>
      <c r="AG70" s="17">
        <f t="shared" si="27"/>
        <v>1.2957555009669151</v>
      </c>
      <c r="AH70" s="4">
        <f t="shared" si="28"/>
        <v>13.620142744673279</v>
      </c>
      <c r="AI70" s="41" t="s">
        <v>601</v>
      </c>
      <c r="AJ70" s="5" t="s">
        <v>21</v>
      </c>
      <c r="AK70" s="219">
        <f>INDEX('C-P-RollAdj'!$J$4:$J$76,MATCH(INT(Z70),'C-P-RollAdj'!$I$4:$I$76,FALSE),0)</f>
        <v>0</v>
      </c>
      <c r="AL70" s="219">
        <f>INDEX('C-P-RollAdj'!$J$4:$J$76,MATCH(INT(AC70),'C-P-RollAdj'!$I$4:$I$76,FALSE),0)</f>
        <v>-23</v>
      </c>
      <c r="AM70" s="14">
        <f>+AR70*LeagueRatings!$K$27</f>
        <v>106.66666666666667</v>
      </c>
      <c r="AN70" s="72">
        <f>F70*LeagueRatings!$K$27</f>
        <v>18.888888888888889</v>
      </c>
      <c r="AO70" s="72">
        <f>G70*LeagueRatings!$K$27</f>
        <v>17.222222222222221</v>
      </c>
      <c r="AP70" s="72">
        <f>T70*LeagueRatings!$K$27</f>
        <v>440</v>
      </c>
      <c r="AR70" s="14">
        <f t="shared" si="29"/>
        <v>192</v>
      </c>
    </row>
    <row r="71" spans="1:44" s="13" customFormat="1" x14ac:dyDescent="0.2">
      <c r="A71" s="41" t="s">
        <v>1430</v>
      </c>
      <c r="B71" s="76" t="s">
        <v>162</v>
      </c>
      <c r="C71" s="76">
        <v>6</v>
      </c>
      <c r="D71" s="76">
        <v>5</v>
      </c>
      <c r="E71" s="97">
        <v>3.99</v>
      </c>
      <c r="F71" s="76">
        <v>70</v>
      </c>
      <c r="G71" s="76">
        <v>0</v>
      </c>
      <c r="H71" s="76">
        <v>0</v>
      </c>
      <c r="I71" s="76">
        <v>0</v>
      </c>
      <c r="J71" s="76">
        <v>1</v>
      </c>
      <c r="K71" s="76">
        <v>6</v>
      </c>
      <c r="L71" s="258">
        <f>INDEX('C-P-RollAdj'!$P$4:$P$900,MATCH((U71),'C-P-RollAdj'!$O$4:$O$900,FALSE),0)</f>
        <v>76.67</v>
      </c>
      <c r="M71" s="76">
        <v>72</v>
      </c>
      <c r="N71" s="76">
        <v>38</v>
      </c>
      <c r="O71" s="76">
        <v>34</v>
      </c>
      <c r="P71" s="76">
        <v>9</v>
      </c>
      <c r="Q71" s="76">
        <v>38</v>
      </c>
      <c r="R71" s="76">
        <v>3</v>
      </c>
      <c r="S71" s="76">
        <v>81</v>
      </c>
      <c r="T71" s="76">
        <v>330</v>
      </c>
      <c r="U71" s="76">
        <v>76.2</v>
      </c>
      <c r="V71" s="100">
        <v>0.251</v>
      </c>
      <c r="W71" s="76">
        <v>1.43</v>
      </c>
      <c r="X71" s="76"/>
      <c r="Y71" s="50">
        <f t="shared" si="24"/>
        <v>10.703363914373089</v>
      </c>
      <c r="Z71" s="6">
        <f>IF(Y71&lt;LeagueRatings!$K$21,((LeagueRatings!$K$21-Y71)/LeagueRatings!$K$21)*36,(LeagueRatings!$K$21-Y71)*6.48)</f>
        <v>-11.342257185806583</v>
      </c>
      <c r="AA71" s="16">
        <f>INDEX('C-P-RollAdj'!$B$4:$B$76,MATCH(INT(Z71),'C-P-RollAdj'!$A$4:$A$76,FALSE),0)</f>
        <v>1.24</v>
      </c>
      <c r="AB71" s="16">
        <f t="shared" si="25"/>
        <v>2.7522935779816518</v>
      </c>
      <c r="AC71" s="6">
        <f>IF(AB71&lt;LeagueRatings!$K$19,((LeagueRatings!$K$19-AB71)/LeagueRatings!$K$19)*36,(LeagueRatings!$K$19-AB71)/LeagueRatings!$K$22)</f>
        <v>1.9275928744805995</v>
      </c>
      <c r="AD71" s="16">
        <f>INDEX('C-P-RollAdj'!$F$4:$F$76,MATCH(INT(AC71),'C-P-RollAdj'!$E$4:$E$76,FALSE),0)</f>
        <v>-7.0000000000000007E-2</v>
      </c>
      <c r="AE71" s="17">
        <f>+((LeagueRatings!$I$17-E71)*5)+9.5</f>
        <v>10.364387243706361</v>
      </c>
      <c r="AF71" s="17">
        <f>IF(AE71&lt;4,4,AE71)</f>
        <v>10.364387243706361</v>
      </c>
      <c r="AG71" s="17">
        <f t="shared" si="27"/>
        <v>0.35637276640146082</v>
      </c>
      <c r="AH71" s="4">
        <f>+AA71+AD71+AF71+AG71</f>
        <v>11.890760010107821</v>
      </c>
      <c r="AI71" s="41" t="s">
        <v>1430</v>
      </c>
      <c r="AJ71" s="5" t="s">
        <v>59</v>
      </c>
      <c r="AK71" s="219">
        <f>INDEX('C-P-RollAdj'!$J$4:$J$76,MATCH(INT(Z71),'C-P-RollAdj'!$I$4:$I$76,FALSE),0)</f>
        <v>-26</v>
      </c>
      <c r="AL71" s="219">
        <f>INDEX('C-P-RollAdj'!$J$4:$J$76,MATCH(INT(AC71),'C-P-RollAdj'!$I$4:$I$76,FALSE),0)</f>
        <v>11</v>
      </c>
      <c r="AM71" s="14">
        <f>+AR71*LeagueRatings!$K$27</f>
        <v>42.777777777777779</v>
      </c>
      <c r="AN71" s="72">
        <f>F71*LeagueRatings!$K$27</f>
        <v>38.888888888888893</v>
      </c>
      <c r="AO71" s="72">
        <f>G71*LeagueRatings!$K$27</f>
        <v>0</v>
      </c>
      <c r="AP71" s="72">
        <f>T71*LeagueRatings!$K$27</f>
        <v>183.33333333333334</v>
      </c>
      <c r="AQ71" s="12"/>
      <c r="AR71" s="14">
        <f t="shared" si="29"/>
        <v>77</v>
      </c>
    </row>
    <row r="72" spans="1:44" s="122" customFormat="1" x14ac:dyDescent="0.2">
      <c r="A72" s="124"/>
      <c r="B72" s="125"/>
      <c r="C72" s="125"/>
      <c r="D72" s="125"/>
      <c r="E72" s="126"/>
      <c r="F72" s="125"/>
      <c r="G72" s="125"/>
      <c r="H72" s="8"/>
      <c r="I72" s="8"/>
      <c r="J72" s="125"/>
      <c r="K72" s="125"/>
      <c r="L72" s="126"/>
      <c r="M72" s="125"/>
      <c r="N72" s="125"/>
      <c r="O72" s="125"/>
      <c r="P72" s="125"/>
      <c r="Q72" s="125"/>
      <c r="R72" s="8"/>
      <c r="S72" s="125"/>
      <c r="T72" s="8"/>
      <c r="U72" s="8"/>
      <c r="V72" s="274"/>
      <c r="W72" s="8"/>
      <c r="X72" s="8"/>
      <c r="Y72" s="52"/>
      <c r="Z72" s="53"/>
      <c r="AA72" s="54"/>
      <c r="AB72" s="54"/>
      <c r="AC72" s="53"/>
      <c r="AD72" s="54"/>
      <c r="AE72" s="55"/>
      <c r="AF72" s="55"/>
      <c r="AG72" s="55"/>
      <c r="AH72" s="56"/>
      <c r="AI72" s="124"/>
      <c r="AJ72" s="9"/>
      <c r="AK72" s="9"/>
      <c r="AL72" s="9"/>
      <c r="AM72" s="14"/>
      <c r="AN72" s="72"/>
      <c r="AO72" s="72"/>
      <c r="AP72" s="72"/>
      <c r="AQ72" s="13"/>
      <c r="AR72" s="14"/>
    </row>
    <row r="73" spans="1:44" s="8" customFormat="1" x14ac:dyDescent="0.2">
      <c r="A73" s="69" t="s">
        <v>106</v>
      </c>
      <c r="B73" s="70" t="s">
        <v>157</v>
      </c>
      <c r="C73" s="71" t="s">
        <v>85</v>
      </c>
      <c r="D73" s="70" t="s">
        <v>86</v>
      </c>
      <c r="E73" s="71" t="s">
        <v>87</v>
      </c>
      <c r="F73" s="70" t="s">
        <v>108</v>
      </c>
      <c r="G73" s="70" t="s">
        <v>88</v>
      </c>
      <c r="H73" s="70" t="s">
        <v>89</v>
      </c>
      <c r="I73" s="72" t="s">
        <v>317</v>
      </c>
      <c r="J73" s="72" t="s">
        <v>90</v>
      </c>
      <c r="K73" s="72" t="s">
        <v>158</v>
      </c>
      <c r="L73" s="71" t="s">
        <v>91</v>
      </c>
      <c r="M73" s="70" t="s">
        <v>92</v>
      </c>
      <c r="N73" s="70" t="s">
        <v>93</v>
      </c>
      <c r="O73" s="70" t="s">
        <v>94</v>
      </c>
      <c r="P73" s="70" t="s">
        <v>95</v>
      </c>
      <c r="Q73" s="70" t="s">
        <v>96</v>
      </c>
      <c r="R73" s="70" t="s">
        <v>98</v>
      </c>
      <c r="S73" s="70" t="s">
        <v>97</v>
      </c>
      <c r="T73" s="70" t="s">
        <v>109</v>
      </c>
      <c r="U73" s="196" t="s">
        <v>91</v>
      </c>
      <c r="V73" s="277" t="s">
        <v>1071</v>
      </c>
      <c r="W73" s="196" t="s">
        <v>1072</v>
      </c>
      <c r="X73" s="70"/>
      <c r="Y73" s="115" t="s">
        <v>2</v>
      </c>
      <c r="Z73" s="116" t="s">
        <v>3</v>
      </c>
      <c r="AA73" s="117" t="s">
        <v>4</v>
      </c>
      <c r="AB73" s="118" t="s">
        <v>5</v>
      </c>
      <c r="AC73" s="116" t="s">
        <v>6</v>
      </c>
      <c r="AD73" s="117" t="s">
        <v>7</v>
      </c>
      <c r="AE73" s="119" t="s">
        <v>8</v>
      </c>
      <c r="AF73" s="119" t="s">
        <v>81</v>
      </c>
      <c r="AG73" s="119" t="s">
        <v>9</v>
      </c>
      <c r="AH73" s="120" t="s">
        <v>10</v>
      </c>
      <c r="AI73" s="69" t="s">
        <v>106</v>
      </c>
      <c r="AJ73" s="7" t="s">
        <v>11</v>
      </c>
      <c r="AK73" s="7" t="s">
        <v>12</v>
      </c>
      <c r="AL73" s="7" t="s">
        <v>13</v>
      </c>
      <c r="AM73" s="14"/>
      <c r="AN73" s="72"/>
      <c r="AO73" s="72"/>
      <c r="AP73" s="72"/>
      <c r="AQ73" s="122"/>
      <c r="AR73" s="14"/>
    </row>
    <row r="74" spans="1:44" customFormat="1" x14ac:dyDescent="0.2">
      <c r="A74" s="69"/>
      <c r="B74" s="70"/>
      <c r="C74" s="71"/>
      <c r="D74" s="70"/>
      <c r="E74" s="71"/>
      <c r="F74" s="70"/>
      <c r="G74" s="70"/>
      <c r="H74" s="70"/>
      <c r="I74" s="72"/>
      <c r="J74" s="72"/>
      <c r="K74" s="72"/>
      <c r="L74" s="71"/>
      <c r="M74" s="70"/>
      <c r="N74" s="70"/>
      <c r="O74" s="70"/>
      <c r="P74" s="70"/>
      <c r="Q74" s="70"/>
      <c r="R74" s="70"/>
      <c r="S74" s="70"/>
      <c r="T74" s="70"/>
      <c r="U74" s="70"/>
      <c r="V74" s="164"/>
      <c r="W74" s="70"/>
      <c r="X74" s="70"/>
      <c r="Y74" s="52"/>
      <c r="Z74" s="53"/>
      <c r="AA74" s="54"/>
      <c r="AB74" s="54"/>
      <c r="AC74" s="53"/>
      <c r="AD74" s="54"/>
      <c r="AE74" s="55"/>
      <c r="AF74" s="55"/>
      <c r="AG74" s="55"/>
      <c r="AH74" s="56"/>
      <c r="AI74" s="69"/>
      <c r="AJ74" s="9"/>
      <c r="AK74" s="9"/>
      <c r="AL74" s="9"/>
      <c r="AM74" s="14"/>
      <c r="AN74" s="72"/>
      <c r="AO74" s="72"/>
      <c r="AP74" s="72"/>
      <c r="AQ74" s="8"/>
      <c r="AR74" s="14"/>
    </row>
    <row r="75" spans="1:44" s="1" customFormat="1" x14ac:dyDescent="0.2">
      <c r="A75" s="41" t="s">
        <v>1438</v>
      </c>
      <c r="B75" s="76" t="s">
        <v>163</v>
      </c>
      <c r="C75" s="76">
        <v>5</v>
      </c>
      <c r="D75" s="76">
        <v>6</v>
      </c>
      <c r="E75" s="97">
        <v>3.54</v>
      </c>
      <c r="F75" s="76">
        <v>19</v>
      </c>
      <c r="G75" s="76">
        <v>19</v>
      </c>
      <c r="H75" s="76">
        <v>0</v>
      </c>
      <c r="I75" s="76">
        <v>0</v>
      </c>
      <c r="J75" s="76">
        <v>0</v>
      </c>
      <c r="K75" s="76">
        <v>0</v>
      </c>
      <c r="L75" s="258">
        <f>INDEX('C-P-RollAdj'!$P$4:$P$900,MATCH((U75),'C-P-RollAdj'!$O$4:$O$900,FALSE),0)</f>
        <v>114.33</v>
      </c>
      <c r="M75" s="76">
        <v>119</v>
      </c>
      <c r="N75" s="76">
        <v>50</v>
      </c>
      <c r="O75" s="76">
        <v>45</v>
      </c>
      <c r="P75" s="76">
        <v>12</v>
      </c>
      <c r="Q75" s="76">
        <v>28</v>
      </c>
      <c r="R75" s="76">
        <v>2</v>
      </c>
      <c r="S75" s="76">
        <v>99</v>
      </c>
      <c r="T75" s="76">
        <v>478</v>
      </c>
      <c r="U75" s="76">
        <v>114.1</v>
      </c>
      <c r="V75" s="100">
        <v>0.27200000000000002</v>
      </c>
      <c r="W75" s="76">
        <v>1.29</v>
      </c>
      <c r="X75" s="76"/>
      <c r="Y75" s="50">
        <f t="shared" ref="Y75:Y90" si="30">+(Q75-R75)/(T75-R75)*100</f>
        <v>5.46218487394958</v>
      </c>
      <c r="Z75" s="6">
        <f>IF(Y75&lt;LeagueRatings!$K$21,((LeagueRatings!$K$21-Y75)/LeagueRatings!$K$21)*36,(LeagueRatings!$K$21-Y75)*6.48)</f>
        <v>14.036600781695395</v>
      </c>
      <c r="AA75" s="16">
        <f>INDEX('C-P-RollAdj'!$B$4:$B$76,MATCH(INT(Z75),'C-P-RollAdj'!$A$4:$A$76,FALSE),0)</f>
        <v>-1.19</v>
      </c>
      <c r="AB75" s="16">
        <f t="shared" ref="AB75:AB90" si="31">(P75/(T75-R75))*100</f>
        <v>2.5210084033613445</v>
      </c>
      <c r="AC75" s="6">
        <f>IF(AB75&lt;LeagueRatings!$K$19,((LeagueRatings!$K$19-AB75)/LeagueRatings!$K$19)*36,(LeagueRatings!$K$19-AB75)/LeagueRatings!$K$22)</f>
        <v>4.7908203640200497</v>
      </c>
      <c r="AD75" s="16">
        <f>INDEX('C-P-RollAdj'!$F$4:$F$76,MATCH(INT(AC75),'C-P-RollAdj'!$E$4:$E$76,FALSE),0)</f>
        <v>-0.28000000000000003</v>
      </c>
      <c r="AE75" s="17">
        <f>+((LeagueRatings!$I$17-E75)*5)+9.5</f>
        <v>12.614387243706362</v>
      </c>
      <c r="AF75" s="17">
        <f t="shared" ref="AF75:AF87" si="32">IF(AE75&lt;4,4,AE75)</f>
        <v>12.614387243706362</v>
      </c>
      <c r="AG75" s="17">
        <f t="shared" ref="AG75:AG90" si="33">IF(M75&lt;L75,((1-(M75/L75))*7)-0.07,(1-(M75/L75))*5)</f>
        <v>-0.20423335957316602</v>
      </c>
      <c r="AH75" s="4">
        <f t="shared" ref="AH75:AH87" si="34">+AA75+AD75+AF75+AG75</f>
        <v>10.940153884133196</v>
      </c>
      <c r="AI75" s="41" t="s">
        <v>1438</v>
      </c>
      <c r="AJ75" s="5" t="s">
        <v>68</v>
      </c>
      <c r="AK75" s="219">
        <f>INDEX('C-P-RollAdj'!$J$4:$J$76,MATCH(INT(Z75),'C-P-RollAdj'!$I$4:$I$76,FALSE),0)</f>
        <v>32</v>
      </c>
      <c r="AL75" s="219">
        <f>INDEX('C-P-RollAdj'!$J$4:$J$76,MATCH(INT(AC75),'C-P-RollAdj'!$I$4:$I$76,FALSE),0)</f>
        <v>14</v>
      </c>
      <c r="AM75" s="14">
        <f>+AR75*LeagueRatings!$K$27</f>
        <v>63.888888888888893</v>
      </c>
      <c r="AN75" s="72">
        <f>F75*LeagueRatings!$K$27</f>
        <v>10.555555555555555</v>
      </c>
      <c r="AO75" s="72">
        <f>G75*LeagueRatings!$K$27</f>
        <v>10.555555555555555</v>
      </c>
      <c r="AP75" s="72">
        <f>T75*LeagueRatings!$K$27</f>
        <v>265.55555555555554</v>
      </c>
      <c r="AQ75"/>
      <c r="AR75" s="14">
        <f t="shared" ref="AR75:AR90" si="35">ROUNDUP(L75,0)</f>
        <v>115</v>
      </c>
    </row>
    <row r="76" spans="1:44" s="12" customFormat="1" x14ac:dyDescent="0.2">
      <c r="A76" s="41" t="s">
        <v>371</v>
      </c>
      <c r="B76" s="76" t="s">
        <v>163</v>
      </c>
      <c r="C76" s="76">
        <v>14</v>
      </c>
      <c r="D76" s="76">
        <v>8</v>
      </c>
      <c r="E76" s="97">
        <v>4.79</v>
      </c>
      <c r="F76" s="76">
        <v>32</v>
      </c>
      <c r="G76" s="76">
        <v>32</v>
      </c>
      <c r="H76" s="76">
        <v>1</v>
      </c>
      <c r="I76" s="76">
        <v>1</v>
      </c>
      <c r="J76" s="76">
        <v>0</v>
      </c>
      <c r="K76" s="76">
        <v>0</v>
      </c>
      <c r="L76" s="258">
        <f>INDEX('C-P-RollAdj'!$P$4:$P$900,MATCH((U76),'C-P-RollAdj'!$O$4:$O$900,FALSE),0)</f>
        <v>186</v>
      </c>
      <c r="M76" s="76">
        <v>204</v>
      </c>
      <c r="N76" s="76">
        <v>107</v>
      </c>
      <c r="O76" s="76">
        <v>99</v>
      </c>
      <c r="P76" s="76">
        <v>22</v>
      </c>
      <c r="Q76" s="76">
        <v>59</v>
      </c>
      <c r="R76" s="76">
        <v>5</v>
      </c>
      <c r="S76" s="76">
        <v>138</v>
      </c>
      <c r="T76" s="76">
        <v>814</v>
      </c>
      <c r="U76" s="76">
        <v>186</v>
      </c>
      <c r="V76" s="100">
        <v>0.27800000000000002</v>
      </c>
      <c r="W76" s="76">
        <v>1.41</v>
      </c>
      <c r="X76" s="76"/>
      <c r="Y76" s="50">
        <f t="shared" si="30"/>
        <v>6.6749072929542645</v>
      </c>
      <c r="Z76" s="6">
        <f>IF(Y76&lt;LeagueRatings!$K$21,((LeagueRatings!$K$21-Y76)/LeagueRatings!$K$21)*36,(LeagueRatings!$K$21-Y76)*6.48)</f>
        <v>9.1602541833554447</v>
      </c>
      <c r="AA76" s="16">
        <f>INDEX('C-P-RollAdj'!$B$4:$B$76,MATCH(INT(Z76),'C-P-RollAdj'!$A$4:$A$76,FALSE),0)</f>
        <v>-0.74</v>
      </c>
      <c r="AB76" s="16">
        <f t="shared" si="31"/>
        <v>2.7194066749072929</v>
      </c>
      <c r="AC76" s="6">
        <f>IF(AB76&lt;LeagueRatings!$K$19,((LeagueRatings!$K$19-AB76)/LeagueRatings!$K$19)*36,(LeagueRatings!$K$19-AB76)/LeagueRatings!$K$22)</f>
        <v>2.3347209365490271</v>
      </c>
      <c r="AD76" s="16">
        <f>INDEX('C-P-RollAdj'!$F$4:$F$76,MATCH(INT(AC76),'C-P-RollAdj'!$E$4:$E$76,FALSE),0)</f>
        <v>-0.14000000000000001</v>
      </c>
      <c r="AE76" s="17">
        <f>+((LeagueRatings!$I$17-E76)*5)+9.5</f>
        <v>6.3643872437063624</v>
      </c>
      <c r="AF76" s="17">
        <f t="shared" si="32"/>
        <v>6.3643872437063624</v>
      </c>
      <c r="AG76" s="17">
        <f t="shared" si="33"/>
        <v>-0.48387096774193505</v>
      </c>
      <c r="AH76" s="4">
        <f t="shared" si="34"/>
        <v>5.0005162759644275</v>
      </c>
      <c r="AI76" s="41" t="s">
        <v>371</v>
      </c>
      <c r="AJ76" s="5" t="s">
        <v>24</v>
      </c>
      <c r="AK76" s="219">
        <f>INDEX('C-P-RollAdj'!$J$4:$J$76,MATCH(INT(Z76),'C-P-RollAdj'!$I$4:$I$76,FALSE),0)</f>
        <v>23</v>
      </c>
      <c r="AL76" s="219">
        <f>INDEX('C-P-RollAdj'!$J$4:$J$76,MATCH(INT(AC76),'C-P-RollAdj'!$I$4:$I$76,FALSE),0)</f>
        <v>12</v>
      </c>
      <c r="AM76" s="14">
        <f>+AR76*LeagueRatings!$K$27</f>
        <v>103.33333333333334</v>
      </c>
      <c r="AN76" s="72">
        <f>F76*LeagueRatings!$K$27</f>
        <v>17.777777777777779</v>
      </c>
      <c r="AO76" s="72">
        <f>G76*LeagueRatings!$K$27</f>
        <v>17.777777777777779</v>
      </c>
      <c r="AP76" s="72">
        <f>T76*LeagueRatings!$K$27</f>
        <v>452.22222222222223</v>
      </c>
      <c r="AQ76" s="1"/>
      <c r="AR76" s="14">
        <f t="shared" si="35"/>
        <v>186</v>
      </c>
    </row>
    <row r="77" spans="1:44" customFormat="1" x14ac:dyDescent="0.2">
      <c r="A77" s="41" t="s">
        <v>760</v>
      </c>
      <c r="B77" s="76" t="s">
        <v>163</v>
      </c>
      <c r="C77" s="76">
        <v>2</v>
      </c>
      <c r="D77" s="76">
        <v>5</v>
      </c>
      <c r="E77" s="97">
        <v>7.17</v>
      </c>
      <c r="F77" s="76">
        <v>17</v>
      </c>
      <c r="G77" s="76">
        <v>9</v>
      </c>
      <c r="H77" s="76">
        <v>0</v>
      </c>
      <c r="I77" s="76">
        <v>0</v>
      </c>
      <c r="J77" s="76">
        <v>0</v>
      </c>
      <c r="K77" s="76">
        <v>0</v>
      </c>
      <c r="L77" s="258">
        <f>INDEX('C-P-RollAdj'!$P$4:$P$900,MATCH((U77),'C-P-RollAdj'!$O$4:$O$900,FALSE),0)</f>
        <v>64</v>
      </c>
      <c r="M77" s="76">
        <v>87</v>
      </c>
      <c r="N77" s="76">
        <v>57</v>
      </c>
      <c r="O77" s="76">
        <v>51</v>
      </c>
      <c r="P77" s="76">
        <v>13</v>
      </c>
      <c r="Q77" s="76">
        <v>21</v>
      </c>
      <c r="R77" s="76">
        <v>1</v>
      </c>
      <c r="S77" s="76">
        <v>47</v>
      </c>
      <c r="T77" s="76">
        <v>293</v>
      </c>
      <c r="U77" s="76">
        <v>64</v>
      </c>
      <c r="V77" s="100">
        <v>0.32800000000000001</v>
      </c>
      <c r="W77" s="76">
        <v>1.69</v>
      </c>
      <c r="X77" s="76"/>
      <c r="Y77" s="52">
        <f t="shared" si="30"/>
        <v>6.8493150684931505</v>
      </c>
      <c r="Z77" s="53">
        <f>IF(Y77&lt;LeagueRatings!$K$21,((LeagueRatings!$K$21-Y77)/LeagueRatings!$K$21)*36,(LeagueRatings!$K$21-Y77)*6.48)</f>
        <v>8.4589619917992849</v>
      </c>
      <c r="AA77" s="16">
        <f>INDEX('C-P-RollAdj'!$B$4:$B$76,MATCH(INT(Z77),'C-P-RollAdj'!$A$4:$A$76,FALSE),0)</f>
        <v>-0.65</v>
      </c>
      <c r="AB77" s="54">
        <f t="shared" si="31"/>
        <v>4.4520547945205475</v>
      </c>
      <c r="AC77" s="53">
        <f>IF(AB77&lt;LeagueRatings!$K$19,((LeagueRatings!$K$19-AB77)/LeagueRatings!$K$19)*36,(LeagueRatings!$K$19-AB77)/LeagueRatings!$K$22)</f>
        <v>-12.47593050451052</v>
      </c>
      <c r="AD77" s="16">
        <f>INDEX('C-P-RollAdj'!$F$4:$F$76,MATCH(INT(AC77),'C-P-RollAdj'!$E$4:$E$76,FALSE),0)</f>
        <v>1.2599999999999998</v>
      </c>
      <c r="AE77" s="55">
        <f>+((LeagueRatings!$I$17-E77)*5)+9.5</f>
        <v>-5.5356127562936379</v>
      </c>
      <c r="AF77" s="55">
        <f t="shared" si="32"/>
        <v>4</v>
      </c>
      <c r="AG77" s="17">
        <f t="shared" si="33"/>
        <v>-1.796875</v>
      </c>
      <c r="AH77" s="56">
        <f t="shared" si="34"/>
        <v>2.8131249999999994</v>
      </c>
      <c r="AI77" s="41" t="s">
        <v>760</v>
      </c>
      <c r="AJ77" s="5" t="s">
        <v>78</v>
      </c>
      <c r="AK77" s="219">
        <f>INDEX('C-P-RollAdj'!$J$4:$J$76,MATCH(INT(Z77),'C-P-RollAdj'!$I$4:$I$76,FALSE),0)</f>
        <v>22</v>
      </c>
      <c r="AL77" s="219">
        <f>INDEX('C-P-RollAdj'!$J$4:$J$76,MATCH(INT(AC77),'C-P-RollAdj'!$I$4:$I$76,FALSE),0)</f>
        <v>-31</v>
      </c>
      <c r="AM77" s="14">
        <f>+AR77*LeagueRatings!$K$27</f>
        <v>35.555555555555557</v>
      </c>
      <c r="AN77" s="72">
        <f>F77*LeagueRatings!$K$27</f>
        <v>9.4444444444444446</v>
      </c>
      <c r="AO77" s="72">
        <f>G77*LeagueRatings!$K$27</f>
        <v>5</v>
      </c>
      <c r="AP77" s="72">
        <f>T77*LeagueRatings!$K$27</f>
        <v>162.77777777777777</v>
      </c>
      <c r="AQ77" s="12"/>
      <c r="AR77" s="14">
        <f t="shared" si="35"/>
        <v>64</v>
      </c>
    </row>
    <row r="78" spans="1:44" customFormat="1" x14ac:dyDescent="0.2">
      <c r="A78" s="41" t="s">
        <v>1439</v>
      </c>
      <c r="B78" s="76" t="s">
        <v>163</v>
      </c>
      <c r="C78" s="76">
        <v>12</v>
      </c>
      <c r="D78" s="76">
        <v>9</v>
      </c>
      <c r="E78" s="97">
        <v>3.87</v>
      </c>
      <c r="F78" s="76">
        <v>27</v>
      </c>
      <c r="G78" s="76">
        <v>27</v>
      </c>
      <c r="H78" s="76">
        <v>0</v>
      </c>
      <c r="I78" s="76">
        <v>0</v>
      </c>
      <c r="J78" s="76">
        <v>0</v>
      </c>
      <c r="K78" s="76">
        <v>0</v>
      </c>
      <c r="L78" s="258">
        <f>INDEX('C-P-RollAdj'!$P$4:$P$900,MATCH((U78),'C-P-RollAdj'!$O$4:$O$900,FALSE),0)</f>
        <v>158</v>
      </c>
      <c r="M78" s="76">
        <v>147</v>
      </c>
      <c r="N78" s="76">
        <v>75</v>
      </c>
      <c r="O78" s="76">
        <v>68</v>
      </c>
      <c r="P78" s="76">
        <v>15</v>
      </c>
      <c r="Q78" s="76">
        <v>70</v>
      </c>
      <c r="R78" s="76">
        <v>2</v>
      </c>
      <c r="S78" s="76">
        <v>117</v>
      </c>
      <c r="T78" s="76">
        <v>669</v>
      </c>
      <c r="U78" s="76">
        <v>158</v>
      </c>
      <c r="V78" s="100">
        <v>0.25</v>
      </c>
      <c r="W78" s="76">
        <v>1.37</v>
      </c>
      <c r="X78" s="76"/>
      <c r="Y78" s="50">
        <f t="shared" si="30"/>
        <v>10.194902548725636</v>
      </c>
      <c r="Z78" s="6">
        <f>IF(Y78&lt;LeagueRatings!$K$21,((LeagueRatings!$K$21-Y78)/LeagueRatings!$K$21)*36,(LeagueRatings!$K$21-Y78)*6.48)</f>
        <v>-8.0474275364110905</v>
      </c>
      <c r="AA78" s="16">
        <f>INDEX('C-P-RollAdj'!$B$4:$B$76,MATCH(INT(Z78),'C-P-RollAdj'!$A$4:$A$76,FALSE),0)</f>
        <v>0.87000000000000011</v>
      </c>
      <c r="AB78" s="16">
        <f t="shared" si="31"/>
        <v>2.2488755622188905</v>
      </c>
      <c r="AC78" s="6">
        <f>IF(AB78&lt;LeagueRatings!$K$19,((LeagueRatings!$K$19-AB78)/LeagueRatings!$K$19)*36,(LeagueRatings!$K$19-AB78)/LeagueRatings!$K$22)</f>
        <v>8.1597273112322775</v>
      </c>
      <c r="AD78" s="16">
        <f>INDEX('C-P-RollAdj'!$F$4:$F$76,MATCH(INT(AC78),'C-P-RollAdj'!$E$4:$E$76,FALSE),0)</f>
        <v>-0.56999999999999995</v>
      </c>
      <c r="AE78" s="17">
        <f>+((LeagueRatings!$I$17-E78)*5)+9.5</f>
        <v>10.964387243706362</v>
      </c>
      <c r="AF78" s="17">
        <f t="shared" si="32"/>
        <v>10.964387243706362</v>
      </c>
      <c r="AG78" s="17">
        <f t="shared" si="33"/>
        <v>0.41734177215189899</v>
      </c>
      <c r="AH78" s="4">
        <f t="shared" si="34"/>
        <v>11.681729015858261</v>
      </c>
      <c r="AI78" s="41" t="s">
        <v>1439</v>
      </c>
      <c r="AJ78" s="5" t="s">
        <v>59</v>
      </c>
      <c r="AK78" s="219">
        <f>INDEX('C-P-RollAdj'!$J$4:$J$76,MATCH(INT(Z78),'C-P-RollAdj'!$I$4:$I$76,FALSE),0)</f>
        <v>-23</v>
      </c>
      <c r="AL78" s="219">
        <f>INDEX('C-P-RollAdj'!$J$4:$J$76,MATCH(INT(AC78),'C-P-RollAdj'!$I$4:$I$76,FALSE),0)</f>
        <v>22</v>
      </c>
      <c r="AM78" s="14">
        <f>+AR78*LeagueRatings!$K$27</f>
        <v>87.777777777777786</v>
      </c>
      <c r="AN78" s="72">
        <f>F78*LeagueRatings!$K$27</f>
        <v>15</v>
      </c>
      <c r="AO78" s="72">
        <f>G78*LeagueRatings!$K$27</f>
        <v>15</v>
      </c>
      <c r="AP78" s="72">
        <f>T78*LeagueRatings!$K$27</f>
        <v>371.66666666666669</v>
      </c>
      <c r="AR78" s="14">
        <f t="shared" si="35"/>
        <v>158</v>
      </c>
    </row>
    <row r="79" spans="1:44" customFormat="1" x14ac:dyDescent="0.2">
      <c r="A79" s="41" t="s">
        <v>366</v>
      </c>
      <c r="B79" s="76" t="s">
        <v>163</v>
      </c>
      <c r="C79" s="76">
        <v>8</v>
      </c>
      <c r="D79" s="76">
        <v>9</v>
      </c>
      <c r="E79" s="97">
        <v>5.51</v>
      </c>
      <c r="F79" s="76">
        <v>27</v>
      </c>
      <c r="G79" s="76">
        <v>24</v>
      </c>
      <c r="H79" s="76">
        <v>0</v>
      </c>
      <c r="I79" s="76">
        <v>0</v>
      </c>
      <c r="J79" s="76">
        <v>0</v>
      </c>
      <c r="K79" s="76">
        <v>0</v>
      </c>
      <c r="L79" s="258">
        <f>INDEX('C-P-RollAdj'!$P$4:$P$900,MATCH((U79),'C-P-RollAdj'!$O$4:$O$900,FALSE),0)</f>
        <v>134</v>
      </c>
      <c r="M79" s="76">
        <v>157</v>
      </c>
      <c r="N79" s="76">
        <v>93</v>
      </c>
      <c r="O79" s="76">
        <v>82</v>
      </c>
      <c r="P79" s="76">
        <v>23</v>
      </c>
      <c r="Q79" s="76">
        <v>63</v>
      </c>
      <c r="R79" s="76">
        <v>3</v>
      </c>
      <c r="S79" s="76">
        <v>108</v>
      </c>
      <c r="T79" s="76">
        <v>614</v>
      </c>
      <c r="U79" s="76">
        <v>134</v>
      </c>
      <c r="V79" s="100">
        <v>0.29299999999999998</v>
      </c>
      <c r="W79" s="76">
        <v>1.64</v>
      </c>
      <c r="X79" s="76"/>
      <c r="Y79" s="50">
        <f t="shared" si="30"/>
        <v>9.8199672667757767</v>
      </c>
      <c r="Z79" s="6">
        <f>IF(Y79&lt;LeagueRatings!$K$21,((LeagueRatings!$K$21-Y79)/LeagueRatings!$K$21)*36,(LeagueRatings!$K$21-Y79)*6.48)</f>
        <v>-5.6178469093760004</v>
      </c>
      <c r="AA79" s="16">
        <f>INDEX('C-P-RollAdj'!$B$4:$B$76,MATCH(INT(Z79),'C-P-RollAdj'!$A$4:$A$76,FALSE),0)</f>
        <v>0.54</v>
      </c>
      <c r="AB79" s="16">
        <f t="shared" si="31"/>
        <v>3.764320785597381</v>
      </c>
      <c r="AC79" s="6">
        <f>IF(AB79&lt;LeagueRatings!$K$19,((LeagueRatings!$K$19-AB79)/LeagueRatings!$K$19)*36,(LeagueRatings!$K$19-AB79)/LeagueRatings!$K$22)</f>
        <v>-6.9190531316115091</v>
      </c>
      <c r="AD79" s="16">
        <f>INDEX('C-P-RollAdj'!$F$4:$F$76,MATCH(INT(AC79),'C-P-RollAdj'!$E$4:$E$76,FALSE),0)</f>
        <v>0.61</v>
      </c>
      <c r="AE79" s="17">
        <f>+((LeagueRatings!$I$17-E79)*5)+9.5</f>
        <v>2.7643872437063637</v>
      </c>
      <c r="AF79" s="17">
        <f t="shared" si="32"/>
        <v>4</v>
      </c>
      <c r="AG79" s="17">
        <f t="shared" si="33"/>
        <v>-0.8582089552238803</v>
      </c>
      <c r="AH79" s="4">
        <f t="shared" si="34"/>
        <v>4.2917910447761205</v>
      </c>
      <c r="AI79" s="41" t="s">
        <v>366</v>
      </c>
      <c r="AJ79" s="5" t="s">
        <v>19</v>
      </c>
      <c r="AK79" s="219">
        <f>INDEX('C-P-RollAdj'!$J$4:$J$76,MATCH(INT(Z79),'C-P-RollAdj'!$I$4:$I$76,FALSE),0)</f>
        <v>-16</v>
      </c>
      <c r="AL79" s="219">
        <f>INDEX('C-P-RollAdj'!$J$4:$J$76,MATCH(INT(AC79),'C-P-RollAdj'!$I$4:$I$76,FALSE),0)</f>
        <v>-21</v>
      </c>
      <c r="AM79" s="14">
        <f>+AR79*LeagueRatings!$K$27</f>
        <v>74.444444444444443</v>
      </c>
      <c r="AN79" s="72">
        <f>F79*LeagueRatings!$K$27</f>
        <v>15</v>
      </c>
      <c r="AO79" s="72">
        <f>G79*LeagueRatings!$K$27</f>
        <v>13.333333333333334</v>
      </c>
      <c r="AP79" s="72">
        <f>T79*LeagueRatings!$K$27</f>
        <v>341.11111111111114</v>
      </c>
      <c r="AR79" s="14">
        <f t="shared" si="35"/>
        <v>134</v>
      </c>
    </row>
    <row r="80" spans="1:44" customFormat="1" x14ac:dyDescent="0.2">
      <c r="A80" s="41" t="s">
        <v>1442</v>
      </c>
      <c r="B80" s="76" t="s">
        <v>163</v>
      </c>
      <c r="C80" s="76">
        <v>3</v>
      </c>
      <c r="D80" s="76">
        <v>7</v>
      </c>
      <c r="E80" s="97">
        <v>5.24</v>
      </c>
      <c r="F80" s="76">
        <v>63</v>
      </c>
      <c r="G80" s="76">
        <v>0</v>
      </c>
      <c r="H80" s="76">
        <v>0</v>
      </c>
      <c r="I80" s="76">
        <v>0</v>
      </c>
      <c r="J80" s="76">
        <v>11</v>
      </c>
      <c r="K80" s="76">
        <v>18</v>
      </c>
      <c r="L80" s="258">
        <f>INDEX('C-P-RollAdj'!$P$4:$P$900,MATCH((U80),'C-P-RollAdj'!$O$4:$O$900,FALSE),0)</f>
        <v>55</v>
      </c>
      <c r="M80" s="76">
        <v>50</v>
      </c>
      <c r="N80" s="76">
        <v>32</v>
      </c>
      <c r="O80" s="76">
        <v>32</v>
      </c>
      <c r="P80" s="76">
        <v>6</v>
      </c>
      <c r="Q80" s="76">
        <v>28</v>
      </c>
      <c r="R80" s="76">
        <v>4</v>
      </c>
      <c r="S80" s="76">
        <v>59</v>
      </c>
      <c r="T80" s="76">
        <v>246</v>
      </c>
      <c r="U80" s="76">
        <v>55</v>
      </c>
      <c r="V80" s="100">
        <v>0.24</v>
      </c>
      <c r="W80" s="76">
        <v>1.42</v>
      </c>
      <c r="X80" s="76"/>
      <c r="Y80" s="50">
        <f t="shared" si="30"/>
        <v>9.9173553719008272</v>
      </c>
      <c r="Z80" s="6">
        <f>IF(Y80&lt;LeagueRatings!$K$21,((LeagueRatings!$K$21-Y80)/LeagueRatings!$K$21)*36,(LeagueRatings!$K$21-Y80)*6.48)</f>
        <v>-6.248921830586327</v>
      </c>
      <c r="AA80" s="16">
        <f>INDEX('C-P-RollAdj'!$B$4:$B$76,MATCH(INT(Z80),'C-P-RollAdj'!$A$4:$A$76,FALSE),0)</f>
        <v>0.65</v>
      </c>
      <c r="AB80" s="16">
        <f t="shared" si="31"/>
        <v>2.4793388429752068</v>
      </c>
      <c r="AC80" s="6">
        <f>IF(AB80&lt;LeagueRatings!$K$19,((LeagueRatings!$K$19-AB80)/LeagueRatings!$K$19)*36,(LeagueRatings!$K$19-AB80)/LeagueRatings!$K$22)</f>
        <v>5.3066745728792188</v>
      </c>
      <c r="AD80" s="16">
        <f>INDEX('C-P-RollAdj'!$F$4:$F$76,MATCH(INT(AC80),'C-P-RollAdj'!$E$4:$E$76,FALSE),0)</f>
        <v>-0.35000000000000003</v>
      </c>
      <c r="AE80" s="17">
        <f>+((LeagueRatings!$I$17-E80)*5)+9.5</f>
        <v>4.1143872437063616</v>
      </c>
      <c r="AF80" s="17">
        <f t="shared" si="32"/>
        <v>4.1143872437063616</v>
      </c>
      <c r="AG80" s="17">
        <f t="shared" si="33"/>
        <v>0.56636363636363662</v>
      </c>
      <c r="AH80" s="4">
        <f t="shared" si="34"/>
        <v>4.9807508800699978</v>
      </c>
      <c r="AI80" s="41" t="s">
        <v>1442</v>
      </c>
      <c r="AJ80" s="5" t="s">
        <v>19</v>
      </c>
      <c r="AK80" s="219">
        <f>INDEX('C-P-RollAdj'!$J$4:$J$76,MATCH(INT(Z80),'C-P-RollAdj'!$I$4:$I$76,FALSE),0)</f>
        <v>-21</v>
      </c>
      <c r="AL80" s="219">
        <f>INDEX('C-P-RollAdj'!$J$4:$J$76,MATCH(INT(AC80),'C-P-RollAdj'!$I$4:$I$76,FALSE),0)</f>
        <v>15</v>
      </c>
      <c r="AM80" s="14">
        <f>+AR80*LeagueRatings!$K$27</f>
        <v>30.555555555555557</v>
      </c>
      <c r="AN80" s="72">
        <f>F80*LeagueRatings!$K$27</f>
        <v>35</v>
      </c>
      <c r="AO80" s="72">
        <f>G80*LeagueRatings!$K$27</f>
        <v>0</v>
      </c>
      <c r="AP80" s="72">
        <f>T80*LeagueRatings!$K$27</f>
        <v>136.66666666666669</v>
      </c>
      <c r="AR80" s="14">
        <f t="shared" si="35"/>
        <v>55</v>
      </c>
    </row>
    <row r="81" spans="1:44" customFormat="1" x14ac:dyDescent="0.2">
      <c r="A81" s="41" t="s">
        <v>416</v>
      </c>
      <c r="B81" s="76" t="s">
        <v>163</v>
      </c>
      <c r="C81" s="76">
        <v>2</v>
      </c>
      <c r="D81" s="76">
        <v>1</v>
      </c>
      <c r="E81" s="97">
        <v>5.31</v>
      </c>
      <c r="F81" s="76">
        <v>40</v>
      </c>
      <c r="G81" s="76">
        <v>0</v>
      </c>
      <c r="H81" s="76">
        <v>0</v>
      </c>
      <c r="I81" s="76">
        <v>0</v>
      </c>
      <c r="J81" s="76">
        <v>1</v>
      </c>
      <c r="K81" s="76">
        <v>2</v>
      </c>
      <c r="L81" s="258">
        <f>INDEX('C-P-RollAdj'!$P$4:$P$900,MATCH((U81),'C-P-RollAdj'!$O$4:$O$900,FALSE),0)</f>
        <v>40.67</v>
      </c>
      <c r="M81" s="76">
        <v>41</v>
      </c>
      <c r="N81" s="76">
        <v>25</v>
      </c>
      <c r="O81" s="76">
        <v>24</v>
      </c>
      <c r="P81" s="76">
        <v>5</v>
      </c>
      <c r="Q81" s="76">
        <v>25</v>
      </c>
      <c r="R81" s="76">
        <v>3</v>
      </c>
      <c r="S81" s="76">
        <v>32</v>
      </c>
      <c r="T81" s="76">
        <v>182</v>
      </c>
      <c r="U81" s="76">
        <v>40.200000000000003</v>
      </c>
      <c r="V81" s="100">
        <v>0.26600000000000001</v>
      </c>
      <c r="W81" s="76">
        <v>1.62</v>
      </c>
      <c r="X81" s="76"/>
      <c r="Y81" s="50">
        <f t="shared" si="30"/>
        <v>12.290502793296088</v>
      </c>
      <c r="Z81" s="6">
        <f>IF(Y81&lt;LeagueRatings!$K$21,((LeagueRatings!$K$21-Y81)/LeagueRatings!$K$21)*36,(LeagueRatings!$K$21-Y81)*6.48)</f>
        <v>-21.626917121227621</v>
      </c>
      <c r="AA81" s="16">
        <f>INDEX('C-P-RollAdj'!$B$4:$B$76,MATCH(INT(Z81),'C-P-RollAdj'!$A$4:$A$76,FALSE),0)</f>
        <v>2.7199999999999998</v>
      </c>
      <c r="AB81" s="16">
        <f t="shared" si="31"/>
        <v>2.7932960893854748</v>
      </c>
      <c r="AC81" s="6">
        <f>IF(AB81&lt;LeagueRatings!$K$19,((LeagueRatings!$K$19-AB81)/LeagueRatings!$K$19)*36,(LeagueRatings!$K$19-AB81)/LeagueRatings!$K$22)</f>
        <v>1.4199964927224014</v>
      </c>
      <c r="AD81" s="16">
        <f>INDEX('C-P-RollAdj'!$F$4:$F$76,MATCH(INT(AC81),'C-P-RollAdj'!$E$4:$E$76,FALSE),0)</f>
        <v>-7.0000000000000007E-2</v>
      </c>
      <c r="AE81" s="17">
        <f>+((LeagueRatings!$I$17-E81)*5)+9.5</f>
        <v>3.7643872437063646</v>
      </c>
      <c r="AF81" s="17">
        <f t="shared" si="32"/>
        <v>4</v>
      </c>
      <c r="AG81" s="17">
        <f t="shared" si="33"/>
        <v>-4.0570445045488013E-2</v>
      </c>
      <c r="AH81" s="4">
        <f t="shared" si="34"/>
        <v>6.6094295549545121</v>
      </c>
      <c r="AI81" s="41" t="s">
        <v>416</v>
      </c>
      <c r="AJ81" s="5" t="s">
        <v>66</v>
      </c>
      <c r="AK81" s="219">
        <f>INDEX('C-P-RollAdj'!$J$4:$J$76,MATCH(INT(Z81),'C-P-RollAdj'!$I$4:$I$76,FALSE),0)</f>
        <v>-44</v>
      </c>
      <c r="AL81" s="219">
        <f>INDEX('C-P-RollAdj'!$J$4:$J$76,MATCH(INT(AC81),'C-P-RollAdj'!$I$4:$I$76,FALSE),0)</f>
        <v>11</v>
      </c>
      <c r="AM81" s="14">
        <f>+AR81*LeagueRatings!$K$27</f>
        <v>22.777777777777779</v>
      </c>
      <c r="AN81" s="72">
        <f>F81*LeagueRatings!$K$27</f>
        <v>22.222222222222221</v>
      </c>
      <c r="AO81" s="72">
        <f>G81*LeagueRatings!$K$27</f>
        <v>0</v>
      </c>
      <c r="AP81" s="72">
        <f>T81*LeagueRatings!$K$27</f>
        <v>101.11111111111111</v>
      </c>
      <c r="AR81" s="14">
        <f t="shared" si="35"/>
        <v>41</v>
      </c>
    </row>
    <row r="82" spans="1:44" customFormat="1" x14ac:dyDescent="0.2">
      <c r="A82" s="41" t="s">
        <v>1112</v>
      </c>
      <c r="B82" s="76" t="s">
        <v>163</v>
      </c>
      <c r="C82" s="76">
        <v>10</v>
      </c>
      <c r="D82" s="76">
        <v>10</v>
      </c>
      <c r="E82" s="97">
        <v>4.6100000000000003</v>
      </c>
      <c r="F82" s="76">
        <v>29</v>
      </c>
      <c r="G82" s="76">
        <v>29</v>
      </c>
      <c r="H82" s="76">
        <v>1</v>
      </c>
      <c r="I82" s="76">
        <v>1</v>
      </c>
      <c r="J82" s="76">
        <v>0</v>
      </c>
      <c r="K82" s="76">
        <v>0</v>
      </c>
      <c r="L82" s="258">
        <f>INDEX('C-P-RollAdj'!$P$4:$P$900,MATCH((U82),'C-P-RollAdj'!$O$4:$O$900,FALSE),0)</f>
        <v>168</v>
      </c>
      <c r="M82" s="76">
        <v>153</v>
      </c>
      <c r="N82" s="76">
        <v>92</v>
      </c>
      <c r="O82" s="76">
        <v>86</v>
      </c>
      <c r="P82" s="76">
        <v>18</v>
      </c>
      <c r="Q82" s="76">
        <v>59</v>
      </c>
      <c r="R82" s="76">
        <v>2</v>
      </c>
      <c r="S82" s="76">
        <v>185</v>
      </c>
      <c r="T82" s="76">
        <v>712</v>
      </c>
      <c r="U82" s="76">
        <v>168</v>
      </c>
      <c r="V82" s="100">
        <v>0.24299999999999999</v>
      </c>
      <c r="W82" s="76">
        <v>1.26</v>
      </c>
      <c r="X82" s="76"/>
      <c r="Y82" s="50">
        <f t="shared" si="30"/>
        <v>8.0281690140845079</v>
      </c>
      <c r="Z82" s="6">
        <f>IF(Y82&lt;LeagueRatings!$K$21,((LeagueRatings!$K$21-Y82)/LeagueRatings!$K$21)*36,(LeagueRatings!$K$21-Y82)*6.48)</f>
        <v>3.7188002388385373</v>
      </c>
      <c r="AA82" s="16">
        <f>INDEX('C-P-RollAdj'!$B$4:$B$76,MATCH(INT(Z82),'C-P-RollAdj'!$A$4:$A$76,FALSE),0)</f>
        <v>-0.24</v>
      </c>
      <c r="AB82" s="16">
        <f t="shared" si="31"/>
        <v>2.535211267605634</v>
      </c>
      <c r="AC82" s="6">
        <f>IF(AB82&lt;LeagueRatings!$K$19,((LeagueRatings!$K$19-AB82)/LeagueRatings!$K$19)*36,(LeagueRatings!$K$19-AB82)/LeagueRatings!$K$22)</f>
        <v>4.6149939998736809</v>
      </c>
      <c r="AD82" s="16">
        <f>INDEX('C-P-RollAdj'!$F$4:$F$76,MATCH(INT(AC82),'C-P-RollAdj'!$E$4:$E$76,FALSE),0)</f>
        <v>-0.28000000000000003</v>
      </c>
      <c r="AE82" s="17">
        <f>+((LeagueRatings!$I$17-E82)*5)+9.5</f>
        <v>7.264387243706361</v>
      </c>
      <c r="AF82" s="17">
        <f t="shared" si="32"/>
        <v>7.264387243706361</v>
      </c>
      <c r="AG82" s="17">
        <f t="shared" si="33"/>
        <v>0.55500000000000016</v>
      </c>
      <c r="AH82" s="4">
        <f t="shared" si="34"/>
        <v>7.2993872437063612</v>
      </c>
      <c r="AI82" s="41" t="s">
        <v>1112</v>
      </c>
      <c r="AJ82" s="5" t="s">
        <v>55</v>
      </c>
      <c r="AK82" s="219">
        <f>INDEX('C-P-RollAdj'!$J$4:$J$76,MATCH(INT(Z82),'C-P-RollAdj'!$I$4:$I$76,FALSE),0)</f>
        <v>13</v>
      </c>
      <c r="AL82" s="219">
        <f>INDEX('C-P-RollAdj'!$J$4:$J$76,MATCH(INT(AC82),'C-P-RollAdj'!$I$4:$I$76,FALSE),0)</f>
        <v>14</v>
      </c>
      <c r="AM82" s="14">
        <f>+AR82*LeagueRatings!$K$27</f>
        <v>93.333333333333343</v>
      </c>
      <c r="AN82" s="72">
        <f>F82*LeagueRatings!$K$27</f>
        <v>16.111111111111111</v>
      </c>
      <c r="AO82" s="72">
        <f>G82*LeagueRatings!$K$27</f>
        <v>16.111111111111111</v>
      </c>
      <c r="AP82" s="72">
        <f>T82*LeagueRatings!$K$27</f>
        <v>395.5555555555556</v>
      </c>
      <c r="AR82" s="14">
        <f t="shared" si="35"/>
        <v>168</v>
      </c>
    </row>
    <row r="83" spans="1:44" s="12" customFormat="1" x14ac:dyDescent="0.2">
      <c r="A83" s="41" t="s">
        <v>585</v>
      </c>
      <c r="B83" s="76" t="s">
        <v>163</v>
      </c>
      <c r="C83" s="76">
        <v>2</v>
      </c>
      <c r="D83" s="76">
        <v>5</v>
      </c>
      <c r="E83" s="97">
        <v>3.69</v>
      </c>
      <c r="F83" s="76">
        <v>66</v>
      </c>
      <c r="G83" s="76">
        <v>0</v>
      </c>
      <c r="H83" s="76">
        <v>0</v>
      </c>
      <c r="I83" s="76">
        <v>0</v>
      </c>
      <c r="J83" s="76">
        <v>1</v>
      </c>
      <c r="K83" s="76">
        <v>4</v>
      </c>
      <c r="L83" s="258">
        <f>INDEX('C-P-RollAdj'!$P$4:$P$900,MATCH((U83),'C-P-RollAdj'!$O$4:$O$900,FALSE),0)</f>
        <v>46.33</v>
      </c>
      <c r="M83" s="76">
        <v>27</v>
      </c>
      <c r="N83" s="76">
        <v>23</v>
      </c>
      <c r="O83" s="76">
        <v>19</v>
      </c>
      <c r="P83" s="76">
        <v>4</v>
      </c>
      <c r="Q83" s="76">
        <v>20</v>
      </c>
      <c r="R83" s="76">
        <v>5</v>
      </c>
      <c r="S83" s="76">
        <v>57</v>
      </c>
      <c r="T83" s="76">
        <v>187</v>
      </c>
      <c r="U83" s="76">
        <v>46.1</v>
      </c>
      <c r="V83" s="100">
        <v>0.16600000000000001</v>
      </c>
      <c r="W83" s="76">
        <v>1.01</v>
      </c>
      <c r="X83" s="76"/>
      <c r="Y83" s="52">
        <f t="shared" si="30"/>
        <v>8.2417582417582409</v>
      </c>
      <c r="Z83" s="53">
        <f>IF(Y83&lt;LeagueRatings!$K$21,((LeagueRatings!$K$21-Y83)/LeagueRatings!$K$21)*36,(LeagueRatings!$K$21-Y83)*6.48)</f>
        <v>2.8599597593628778</v>
      </c>
      <c r="AA83" s="16">
        <f>INDEX('C-P-RollAdj'!$B$4:$B$76,MATCH(INT(Z83),'C-P-RollAdj'!$A$4:$A$76,FALSE),0)</f>
        <v>-0.16</v>
      </c>
      <c r="AB83" s="54">
        <f t="shared" si="31"/>
        <v>2.197802197802198</v>
      </c>
      <c r="AC83" s="53">
        <f>IF(AB83&lt;LeagueRatings!$K$19,((LeagueRatings!$K$19-AB83)/LeagueRatings!$K$19)*36,(LeagueRatings!$K$19-AB83)/LeagueRatings!$K$22)</f>
        <v>8.7919972404277331</v>
      </c>
      <c r="AD83" s="16">
        <f>INDEX('C-P-RollAdj'!$F$4:$F$76,MATCH(INT(AC83),'C-P-RollAdj'!$E$4:$E$76,FALSE),0)</f>
        <v>-0.56999999999999995</v>
      </c>
      <c r="AE83" s="55">
        <f>+((LeagueRatings!$I$17-E83)*5)+9.5</f>
        <v>11.864387243706362</v>
      </c>
      <c r="AF83" s="55">
        <f t="shared" si="32"/>
        <v>11.864387243706362</v>
      </c>
      <c r="AG83" s="17">
        <f t="shared" si="33"/>
        <v>2.8505698251672777</v>
      </c>
      <c r="AH83" s="56">
        <f t="shared" si="34"/>
        <v>13.984957068873641</v>
      </c>
      <c r="AI83" s="41" t="s">
        <v>585</v>
      </c>
      <c r="AJ83" s="5" t="s">
        <v>21</v>
      </c>
      <c r="AK83" s="219">
        <f>INDEX('C-P-RollAdj'!$J$4:$J$76,MATCH(INT(Z83),'C-P-RollAdj'!$I$4:$I$76,FALSE),0)</f>
        <v>12</v>
      </c>
      <c r="AL83" s="219">
        <f>INDEX('C-P-RollAdj'!$J$4:$J$76,MATCH(INT(AC83),'C-P-RollAdj'!$I$4:$I$76,FALSE),0)</f>
        <v>22</v>
      </c>
      <c r="AM83" s="14">
        <f>+AR83*LeagueRatings!$K$27</f>
        <v>26.111111111111111</v>
      </c>
      <c r="AN83" s="72">
        <f>F83*LeagueRatings!$K$27</f>
        <v>36.666666666666671</v>
      </c>
      <c r="AO83" s="72">
        <f>G83*LeagueRatings!$K$27</f>
        <v>0</v>
      </c>
      <c r="AP83" s="72">
        <f>T83*LeagueRatings!$K$27</f>
        <v>103.8888888888889</v>
      </c>
      <c r="AQ83"/>
      <c r="AR83" s="14">
        <f t="shared" si="35"/>
        <v>47</v>
      </c>
    </row>
    <row r="84" spans="1:44" s="12" customFormat="1" x14ac:dyDescent="0.2">
      <c r="A84" s="41" t="s">
        <v>553</v>
      </c>
      <c r="B84" s="76" t="s">
        <v>163</v>
      </c>
      <c r="C84" s="76">
        <v>4</v>
      </c>
      <c r="D84" s="76">
        <v>5</v>
      </c>
      <c r="E84" s="97">
        <v>5.83</v>
      </c>
      <c r="F84" s="76">
        <v>40</v>
      </c>
      <c r="G84" s="76">
        <v>5</v>
      </c>
      <c r="H84" s="76">
        <v>0</v>
      </c>
      <c r="I84" s="76">
        <v>0</v>
      </c>
      <c r="J84" s="76">
        <v>1</v>
      </c>
      <c r="K84" s="76">
        <v>4</v>
      </c>
      <c r="L84" s="258">
        <f>INDEX('C-P-RollAdj'!$P$4:$P$900,MATCH((U84),'C-P-RollAdj'!$O$4:$O$900,FALSE),0)</f>
        <v>58.67</v>
      </c>
      <c r="M84" s="76">
        <v>69</v>
      </c>
      <c r="N84" s="76">
        <v>46</v>
      </c>
      <c r="O84" s="76">
        <v>38</v>
      </c>
      <c r="P84" s="76">
        <v>4</v>
      </c>
      <c r="Q84" s="76">
        <v>28</v>
      </c>
      <c r="R84" s="76">
        <v>2</v>
      </c>
      <c r="S84" s="76">
        <v>32</v>
      </c>
      <c r="T84" s="76">
        <v>273</v>
      </c>
      <c r="U84" s="76">
        <v>58.2</v>
      </c>
      <c r="V84" s="100">
        <v>0.29099999999999998</v>
      </c>
      <c r="W84" s="76">
        <v>1.65</v>
      </c>
      <c r="X84" s="76"/>
      <c r="Y84" s="52">
        <f t="shared" si="30"/>
        <v>9.5940959409594093</v>
      </c>
      <c r="Z84" s="53">
        <f>IF(Y84&lt;LeagueRatings!$K$21,((LeagueRatings!$K$21-Y84)/LeagueRatings!$K$21)*36,(LeagueRatings!$K$21-Y84)*6.48)</f>
        <v>-4.1542007180859395</v>
      </c>
      <c r="AA84" s="16">
        <f>INDEX('C-P-RollAdj'!$B$4:$B$76,MATCH(INT(Z84),'C-P-RollAdj'!$A$4:$A$76,FALSE),0)</f>
        <v>0.44999999999999996</v>
      </c>
      <c r="AB84" s="54">
        <f t="shared" si="31"/>
        <v>1.4760147601476015</v>
      </c>
      <c r="AC84" s="53">
        <f>IF(AB84&lt;LeagueRatings!$K$19,((LeagueRatings!$K$19-AB84)/LeagueRatings!$K$19)*36,(LeagueRatings!$K$19-AB84)/LeagueRatings!$K$22)</f>
        <v>17.727466781394273</v>
      </c>
      <c r="AD84" s="16">
        <f>INDEX('C-P-RollAdj'!$F$4:$F$76,MATCH(INT(AC84),'C-P-RollAdj'!$E$4:$E$76,FALSE),0)</f>
        <v>-1.32</v>
      </c>
      <c r="AE84" s="55">
        <f>+((LeagueRatings!$I$17-E84)*5)+9.5</f>
        <v>1.1643872437063614</v>
      </c>
      <c r="AF84" s="55">
        <f t="shared" si="32"/>
        <v>4</v>
      </c>
      <c r="AG84" s="17">
        <f t="shared" si="33"/>
        <v>-0.88034770751661773</v>
      </c>
      <c r="AH84" s="56">
        <f t="shared" si="34"/>
        <v>2.2496522924833822</v>
      </c>
      <c r="AI84" s="41" t="s">
        <v>553</v>
      </c>
      <c r="AJ84" s="7" t="s">
        <v>78</v>
      </c>
      <c r="AK84" s="219">
        <f>INDEX('C-P-RollAdj'!$J$4:$J$76,MATCH(INT(Z84),'C-P-RollAdj'!$I$4:$I$76,FALSE),0)</f>
        <v>-15</v>
      </c>
      <c r="AL84" s="219">
        <f>INDEX('C-P-RollAdj'!$J$4:$J$76,MATCH(INT(AC84),'C-P-RollAdj'!$I$4:$I$76,FALSE),0)</f>
        <v>35</v>
      </c>
      <c r="AM84" s="14">
        <f>+AR84*LeagueRatings!$K$27</f>
        <v>32.777777777777779</v>
      </c>
      <c r="AN84" s="72">
        <f>F84*LeagueRatings!$K$27</f>
        <v>22.222222222222221</v>
      </c>
      <c r="AO84" s="72">
        <f>G84*LeagueRatings!$K$27</f>
        <v>2.7777777777777777</v>
      </c>
      <c r="AP84" s="72">
        <f>T84*LeagueRatings!$K$27</f>
        <v>151.66666666666669</v>
      </c>
      <c r="AR84" s="14">
        <f t="shared" si="35"/>
        <v>59</v>
      </c>
    </row>
    <row r="85" spans="1:44" s="12" customFormat="1" x14ac:dyDescent="0.2">
      <c r="A85" s="41" t="s">
        <v>632</v>
      </c>
      <c r="B85" s="76" t="s">
        <v>163</v>
      </c>
      <c r="C85" s="76">
        <v>2</v>
      </c>
      <c r="D85" s="76">
        <v>3</v>
      </c>
      <c r="E85" s="97">
        <v>4.7300000000000004</v>
      </c>
      <c r="F85" s="76">
        <v>57</v>
      </c>
      <c r="G85" s="76">
        <v>0</v>
      </c>
      <c r="H85" s="76">
        <v>0</v>
      </c>
      <c r="I85" s="76">
        <v>0</v>
      </c>
      <c r="J85" s="76">
        <v>15</v>
      </c>
      <c r="K85" s="76">
        <v>19</v>
      </c>
      <c r="L85" s="258">
        <f>INDEX('C-P-RollAdj'!$P$4:$P$900,MATCH((U85),'C-P-RollAdj'!$O$4:$O$900,FALSE),0)</f>
        <v>45.67</v>
      </c>
      <c r="M85" s="76">
        <v>56</v>
      </c>
      <c r="N85" s="76">
        <v>25</v>
      </c>
      <c r="O85" s="76">
        <v>24</v>
      </c>
      <c r="P85" s="76">
        <v>9</v>
      </c>
      <c r="Q85" s="76">
        <v>16</v>
      </c>
      <c r="R85" s="76">
        <v>1</v>
      </c>
      <c r="S85" s="76">
        <v>38</v>
      </c>
      <c r="T85" s="76">
        <v>205</v>
      </c>
      <c r="U85" s="76">
        <v>45.2</v>
      </c>
      <c r="V85" s="100">
        <v>0.30099999999999999</v>
      </c>
      <c r="W85" s="76">
        <v>1.58</v>
      </c>
      <c r="X85" s="76"/>
      <c r="Y85" s="50">
        <f t="shared" si="30"/>
        <v>7.3529411764705888</v>
      </c>
      <c r="Z85" s="6">
        <f>IF(Y85&lt;LeagueRatings!$K$21,((LeagueRatings!$K$21-Y85)/LeagueRatings!$K$21)*36,(LeagueRatings!$K$21-Y85)*6.48)</f>
        <v>6.4338856676668765</v>
      </c>
      <c r="AA85" s="16">
        <f>INDEX('C-P-RollAdj'!$B$4:$B$76,MATCH(INT(Z85),'C-P-RollAdj'!$A$4:$A$76,FALSE),0)</f>
        <v>-0.48</v>
      </c>
      <c r="AB85" s="16">
        <f t="shared" si="31"/>
        <v>4.4117647058823533</v>
      </c>
      <c r="AC85" s="6">
        <f>IF(AB85&lt;LeagueRatings!$K$19,((LeagueRatings!$K$19-AB85)/LeagueRatings!$K$19)*36,(LeagueRatings!$K$19-AB85)/LeagueRatings!$K$22)</f>
        <v>-12.150387374461982</v>
      </c>
      <c r="AD85" s="16">
        <f>INDEX('C-P-RollAdj'!$F$4:$F$76,MATCH(INT(AC85),'C-P-RollAdj'!$E$4:$E$76,FALSE),0)</f>
        <v>1.2599999999999998</v>
      </c>
      <c r="AE85" s="17">
        <f>+((LeagueRatings!$I$17-E85)*5)+9.5</f>
        <v>6.6643872437063605</v>
      </c>
      <c r="AF85" s="17">
        <f t="shared" si="32"/>
        <v>6.6643872437063605</v>
      </c>
      <c r="AG85" s="17">
        <f t="shared" si="33"/>
        <v>-1.1309393474928831</v>
      </c>
      <c r="AH85" s="4">
        <f t="shared" si="34"/>
        <v>6.3134478962134777</v>
      </c>
      <c r="AI85" s="41" t="s">
        <v>632</v>
      </c>
      <c r="AJ85" s="5" t="s">
        <v>66</v>
      </c>
      <c r="AK85" s="219">
        <f>INDEX('C-P-RollAdj'!$J$4:$J$76,MATCH(INT(Z85),'C-P-RollAdj'!$I$4:$I$76,FALSE),0)</f>
        <v>16</v>
      </c>
      <c r="AL85" s="219">
        <f>INDEX('C-P-RollAdj'!$J$4:$J$76,MATCH(INT(AC85),'C-P-RollAdj'!$I$4:$I$76,FALSE),0)</f>
        <v>-31</v>
      </c>
      <c r="AM85" s="14">
        <f>+AR85*LeagueRatings!$K$27</f>
        <v>25.555555555555557</v>
      </c>
      <c r="AN85" s="72">
        <f>F85*LeagueRatings!$K$27</f>
        <v>31.666666666666668</v>
      </c>
      <c r="AO85" s="72">
        <f>G85*LeagueRatings!$K$27</f>
        <v>0</v>
      </c>
      <c r="AP85" s="72">
        <f>T85*LeagueRatings!$K$27</f>
        <v>113.8888888888889</v>
      </c>
      <c r="AR85" s="14">
        <f t="shared" si="35"/>
        <v>46</v>
      </c>
    </row>
    <row r="86" spans="1:44" customFormat="1" x14ac:dyDescent="0.2">
      <c r="A86" s="41" t="s">
        <v>593</v>
      </c>
      <c r="B86" s="76" t="s">
        <v>163</v>
      </c>
      <c r="C86" s="76">
        <v>1</v>
      </c>
      <c r="D86" s="76">
        <v>1</v>
      </c>
      <c r="E86" s="97">
        <v>5.7</v>
      </c>
      <c r="F86" s="76">
        <v>40</v>
      </c>
      <c r="G86" s="76">
        <v>0</v>
      </c>
      <c r="H86" s="76">
        <v>0</v>
      </c>
      <c r="I86" s="76">
        <v>0</v>
      </c>
      <c r="J86" s="76">
        <v>0</v>
      </c>
      <c r="K86" s="76">
        <v>0</v>
      </c>
      <c r="L86" s="258">
        <f>INDEX('C-P-RollAdj'!$P$4:$P$900,MATCH((U86),'C-P-RollAdj'!$O$4:$O$900,FALSE),0)</f>
        <v>42.67</v>
      </c>
      <c r="M86" s="76">
        <v>50</v>
      </c>
      <c r="N86" s="76">
        <v>27</v>
      </c>
      <c r="O86" s="76">
        <v>27</v>
      </c>
      <c r="P86" s="76">
        <v>6</v>
      </c>
      <c r="Q86" s="76">
        <v>20</v>
      </c>
      <c r="R86" s="76">
        <v>0</v>
      </c>
      <c r="S86" s="76">
        <v>45</v>
      </c>
      <c r="T86" s="76">
        <v>194</v>
      </c>
      <c r="U86" s="76">
        <v>42.2</v>
      </c>
      <c r="V86" s="100">
        <v>0.29799999999999999</v>
      </c>
      <c r="W86" s="76">
        <v>1.64</v>
      </c>
      <c r="X86" s="76"/>
      <c r="Y86" s="50">
        <f t="shared" si="30"/>
        <v>10.309278350515463</v>
      </c>
      <c r="Z86" s="6">
        <f>IF(Y86&lt;LeagueRatings!$K$21,((LeagueRatings!$K$21-Y86)/LeagueRatings!$K$21)*36,(LeagueRatings!$K$21-Y86)*6.48)</f>
        <v>-8.7885827320091661</v>
      </c>
      <c r="AA86" s="16">
        <f>INDEX('C-P-RollAdj'!$B$4:$B$76,MATCH(INT(Z86),'C-P-RollAdj'!$A$4:$A$76,FALSE),0)</f>
        <v>0.87000000000000011</v>
      </c>
      <c r="AB86" s="16">
        <f t="shared" si="31"/>
        <v>3.0927835051546393</v>
      </c>
      <c r="AC86" s="6">
        <f>IF(AB86&lt;LeagueRatings!$K$19,((LeagueRatings!$K$19-AB86)/LeagueRatings!$K$19)*36,(LeagueRatings!$K$19-AB86)/LeagueRatings!$K$22)</f>
        <v>-1.4930450088006033</v>
      </c>
      <c r="AD86" s="16">
        <f>INDEX('C-P-RollAdj'!$F$4:$F$76,MATCH(INT(AC86),'C-P-RollAdj'!$E$4:$E$76,FALSE),0)</f>
        <v>0.16</v>
      </c>
      <c r="AE86" s="17">
        <f>+((LeagueRatings!$I$17-E86)*5)+9.5</f>
        <v>1.8143872437063617</v>
      </c>
      <c r="AF86" s="17">
        <f t="shared" si="32"/>
        <v>4</v>
      </c>
      <c r="AG86" s="17">
        <f t="shared" si="33"/>
        <v>-0.85891727208811774</v>
      </c>
      <c r="AH86" s="4">
        <f t="shared" si="34"/>
        <v>4.1710827279118821</v>
      </c>
      <c r="AI86" s="41" t="s">
        <v>593</v>
      </c>
      <c r="AJ86" s="5" t="s">
        <v>19</v>
      </c>
      <c r="AK86" s="219">
        <f>INDEX('C-P-RollAdj'!$J$4:$J$76,MATCH(INT(Z86),'C-P-RollAdj'!$I$4:$I$76,FALSE),0)</f>
        <v>-23</v>
      </c>
      <c r="AL86" s="219">
        <f>INDEX('C-P-RollAdj'!$J$4:$J$76,MATCH(INT(AC86),'C-P-RollAdj'!$I$4:$I$76,FALSE),0)</f>
        <v>-12</v>
      </c>
      <c r="AM86" s="14">
        <f>+AR86*LeagueRatings!$K$27</f>
        <v>23.888888888888889</v>
      </c>
      <c r="AN86" s="72">
        <f>F86*LeagueRatings!$K$27</f>
        <v>22.222222222222221</v>
      </c>
      <c r="AO86" s="72">
        <f>G86*LeagueRatings!$K$27</f>
        <v>0</v>
      </c>
      <c r="AP86" s="72">
        <f>T86*LeagueRatings!$K$27</f>
        <v>107.77777777777779</v>
      </c>
      <c r="AQ86" s="12"/>
      <c r="AR86" s="14">
        <f t="shared" si="35"/>
        <v>43</v>
      </c>
    </row>
    <row r="87" spans="1:44" x14ac:dyDescent="0.2">
      <c r="A87" s="41" t="s">
        <v>785</v>
      </c>
      <c r="B87" s="76" t="s">
        <v>163</v>
      </c>
      <c r="C87" s="76">
        <v>0</v>
      </c>
      <c r="D87" s="76">
        <v>1</v>
      </c>
      <c r="E87" s="97">
        <v>4.9400000000000004</v>
      </c>
      <c r="F87" s="76">
        <v>30</v>
      </c>
      <c r="G87" s="76">
        <v>0</v>
      </c>
      <c r="H87" s="76">
        <v>0</v>
      </c>
      <c r="I87" s="76">
        <v>0</v>
      </c>
      <c r="J87" s="76">
        <v>0</v>
      </c>
      <c r="K87" s="76">
        <v>0</v>
      </c>
      <c r="L87" s="258">
        <f>INDEX('C-P-RollAdj'!$P$4:$P$900,MATCH((U87),'C-P-RollAdj'!$O$4:$O$900,FALSE),0)</f>
        <v>23.67</v>
      </c>
      <c r="M87" s="76">
        <v>28</v>
      </c>
      <c r="N87" s="76">
        <v>15</v>
      </c>
      <c r="O87" s="76">
        <v>13</v>
      </c>
      <c r="P87" s="76">
        <v>6</v>
      </c>
      <c r="Q87" s="76">
        <v>8</v>
      </c>
      <c r="R87" s="76">
        <v>1</v>
      </c>
      <c r="S87" s="76">
        <v>24</v>
      </c>
      <c r="T87" s="76">
        <v>109</v>
      </c>
      <c r="U87" s="76">
        <v>23.2</v>
      </c>
      <c r="V87" s="100">
        <v>0.28599999999999998</v>
      </c>
      <c r="W87" s="76">
        <v>1.52</v>
      </c>
      <c r="X87" s="76"/>
      <c r="Y87" s="50">
        <f t="shared" si="30"/>
        <v>6.481481481481481</v>
      </c>
      <c r="Z87" s="6">
        <f>IF(Y87&lt;LeagueRatings!$K$21,((LeagueRatings!$K$21-Y87)/LeagueRatings!$K$21)*36,(LeagueRatings!$K$21-Y87)*6.48)</f>
        <v>9.9380177366841398</v>
      </c>
      <c r="AA87" s="16">
        <f>INDEX('C-P-RollAdj'!$B$4:$B$76,MATCH(INT(Z87),'C-P-RollAdj'!$A$4:$A$76,FALSE),0)</f>
        <v>-0.74</v>
      </c>
      <c r="AB87" s="16">
        <f t="shared" si="31"/>
        <v>5.5555555555555554</v>
      </c>
      <c r="AC87" s="6">
        <f>IF(AB87&lt;LeagueRatings!$K$19,((LeagueRatings!$K$19-AB87)/LeagueRatings!$K$19)*36,(LeagueRatings!$K$19-AB87)/LeagueRatings!$K$22)</f>
        <v>-21.392195121951218</v>
      </c>
      <c r="AD87" s="16">
        <f>INDEX('C-P-RollAdj'!$F$4:$F$76,MATCH(INT(AC87),'C-P-RollAdj'!$E$4:$E$76,FALSE),0)</f>
        <v>2.46</v>
      </c>
      <c r="AE87" s="17">
        <f>+((LeagueRatings!$I$17-E87)*5)+9.5</f>
        <v>5.6143872437063607</v>
      </c>
      <c r="AF87" s="17">
        <f t="shared" si="32"/>
        <v>5.6143872437063607</v>
      </c>
      <c r="AG87" s="17">
        <f t="shared" si="33"/>
        <v>-0.91465990705534406</v>
      </c>
      <c r="AH87" s="4">
        <f t="shared" si="34"/>
        <v>6.4197273366510164</v>
      </c>
      <c r="AI87" s="41" t="s">
        <v>785</v>
      </c>
      <c r="AJ87" s="5" t="s">
        <v>66</v>
      </c>
      <c r="AK87" s="219">
        <f>INDEX('C-P-RollAdj'!$J$4:$J$76,MATCH(INT(Z87),'C-P-RollAdj'!$I$4:$I$76,FALSE),0)</f>
        <v>23</v>
      </c>
      <c r="AL87" s="219">
        <f>INDEX('C-P-RollAdj'!$J$4:$J$76,MATCH(INT(AC87),'C-P-RollAdj'!$I$4:$I$76,FALSE),0)</f>
        <v>-44</v>
      </c>
      <c r="AM87" s="14">
        <f>+AR87*LeagueRatings!$K$27</f>
        <v>13.333333333333334</v>
      </c>
      <c r="AN87" s="72">
        <f>F87*LeagueRatings!$K$27</f>
        <v>16.666666666666668</v>
      </c>
      <c r="AO87" s="72">
        <f>G87*LeagueRatings!$K$27</f>
        <v>0</v>
      </c>
      <c r="AP87" s="72">
        <f>T87*LeagueRatings!$K$27</f>
        <v>60.555555555555557</v>
      </c>
      <c r="AQ87"/>
      <c r="AR87" s="14">
        <f t="shared" si="35"/>
        <v>24</v>
      </c>
    </row>
    <row r="88" spans="1:44" x14ac:dyDescent="0.2">
      <c r="A88" s="41" t="s">
        <v>364</v>
      </c>
      <c r="B88" s="76" t="s">
        <v>163</v>
      </c>
      <c r="C88" s="76">
        <v>1</v>
      </c>
      <c r="D88" s="76">
        <v>3</v>
      </c>
      <c r="E88" s="97">
        <v>2.67</v>
      </c>
      <c r="F88" s="76">
        <v>34</v>
      </c>
      <c r="G88" s="76">
        <v>0</v>
      </c>
      <c r="H88" s="76">
        <v>0</v>
      </c>
      <c r="I88" s="76">
        <v>0</v>
      </c>
      <c r="J88" s="76">
        <v>7</v>
      </c>
      <c r="K88" s="76">
        <v>12</v>
      </c>
      <c r="L88" s="258">
        <f>INDEX('C-P-RollAdj'!$P$4:$P$900,MATCH((U88),'C-P-RollAdj'!$O$4:$O$900,FALSE),0)</f>
        <v>27</v>
      </c>
      <c r="M88" s="76">
        <v>18</v>
      </c>
      <c r="N88" s="76">
        <v>9</v>
      </c>
      <c r="O88" s="76">
        <v>8</v>
      </c>
      <c r="P88" s="76">
        <v>3</v>
      </c>
      <c r="Q88" s="76">
        <v>7</v>
      </c>
      <c r="R88" s="76">
        <v>0</v>
      </c>
      <c r="S88" s="76">
        <v>35</v>
      </c>
      <c r="T88" s="76">
        <v>107</v>
      </c>
      <c r="U88" s="76">
        <v>27</v>
      </c>
      <c r="V88" s="100">
        <v>0.184</v>
      </c>
      <c r="W88" s="76">
        <v>0.93</v>
      </c>
      <c r="X88" s="76"/>
      <c r="Y88" s="50">
        <f t="shared" si="30"/>
        <v>6.5420560747663545</v>
      </c>
      <c r="Z88" s="6">
        <f>IF(Y88&lt;LeagueRatings!$K$21,((LeagueRatings!$K$21-Y88)/LeagueRatings!$K$21)*36,(LeagueRatings!$K$21-Y88)*6.48)</f>
        <v>9.6944478089895973</v>
      </c>
      <c r="AA88" s="16">
        <f>INDEX('C-P-RollAdj'!$B$4:$B$76,MATCH(INT(Z88),'C-P-RollAdj'!$A$4:$A$76,FALSE),0)</f>
        <v>-0.74</v>
      </c>
      <c r="AB88" s="16">
        <f t="shared" si="31"/>
        <v>2.8037383177570092</v>
      </c>
      <c r="AC88" s="6">
        <f>IF(AB88&lt;LeagueRatings!$K$19,((LeagueRatings!$K$19-AB88)/LeagueRatings!$K$19)*36,(LeagueRatings!$K$19-AB88)/LeagueRatings!$K$22)</f>
        <v>1.290725451573701</v>
      </c>
      <c r="AD88" s="16">
        <f>INDEX('C-P-RollAdj'!$F$4:$F$76,MATCH(INT(AC88),'C-P-RollAdj'!$E$4:$E$76,FALSE),0)</f>
        <v>-7.0000000000000007E-2</v>
      </c>
      <c r="AE88" s="17">
        <f>+((LeagueRatings!$I$17-E88)*5)+9.5</f>
        <v>16.964387243706362</v>
      </c>
      <c r="AF88" s="17">
        <f>IF(AE88&lt;4,4,AE88)</f>
        <v>16.964387243706362</v>
      </c>
      <c r="AG88" s="17">
        <f t="shared" si="33"/>
        <v>2.2633333333333336</v>
      </c>
      <c r="AH88" s="4">
        <f>+AA88+AD88+AF88+AG88</f>
        <v>18.417720577039695</v>
      </c>
      <c r="AI88" s="41" t="s">
        <v>364</v>
      </c>
      <c r="AJ88" s="5" t="s">
        <v>63</v>
      </c>
      <c r="AK88" s="219">
        <f>INDEX('C-P-RollAdj'!$J$4:$J$76,MATCH(INT(Z88),'C-P-RollAdj'!$I$4:$I$76,FALSE),0)</f>
        <v>23</v>
      </c>
      <c r="AL88" s="219">
        <f>INDEX('C-P-RollAdj'!$J$4:$J$76,MATCH(INT(AC88),'C-P-RollAdj'!$I$4:$I$76,FALSE),0)</f>
        <v>11</v>
      </c>
      <c r="AM88" s="14">
        <f>+AR88*LeagueRatings!$K$27</f>
        <v>15</v>
      </c>
      <c r="AN88" s="72">
        <f>F88*LeagueRatings!$K$27</f>
        <v>18.888888888888889</v>
      </c>
      <c r="AO88" s="72">
        <f>G88*LeagueRatings!$K$27</f>
        <v>0</v>
      </c>
      <c r="AP88" s="72">
        <f>T88*LeagueRatings!$K$27</f>
        <v>59.44444444444445</v>
      </c>
      <c r="AQ88"/>
      <c r="AR88" s="14">
        <f t="shared" si="35"/>
        <v>27</v>
      </c>
    </row>
    <row r="89" spans="1:44" s="13" customFormat="1" x14ac:dyDescent="0.2">
      <c r="A89" s="41" t="s">
        <v>387</v>
      </c>
      <c r="B89" s="76" t="s">
        <v>163</v>
      </c>
      <c r="C89" s="76">
        <v>2</v>
      </c>
      <c r="D89" s="76">
        <v>0</v>
      </c>
      <c r="E89" s="97">
        <v>5.23</v>
      </c>
      <c r="F89" s="76">
        <v>44</v>
      </c>
      <c r="G89" s="76">
        <v>0</v>
      </c>
      <c r="H89" s="76">
        <v>0</v>
      </c>
      <c r="I89" s="76">
        <v>0</v>
      </c>
      <c r="J89" s="76">
        <v>0</v>
      </c>
      <c r="K89" s="76">
        <v>1</v>
      </c>
      <c r="L89" s="258">
        <f>INDEX('C-P-RollAdj'!$P$4:$P$900,MATCH((U89),'C-P-RollAdj'!$O$4:$O$900,FALSE),0)</f>
        <v>32.67</v>
      </c>
      <c r="M89" s="76">
        <v>43</v>
      </c>
      <c r="N89" s="76">
        <v>22</v>
      </c>
      <c r="O89" s="76">
        <v>19</v>
      </c>
      <c r="P89" s="76">
        <v>5</v>
      </c>
      <c r="Q89" s="76">
        <v>9</v>
      </c>
      <c r="R89" s="76">
        <v>1</v>
      </c>
      <c r="S89" s="76">
        <v>22</v>
      </c>
      <c r="T89" s="76">
        <v>152</v>
      </c>
      <c r="U89" s="76">
        <v>32.200000000000003</v>
      </c>
      <c r="V89" s="100">
        <v>0.30499999999999999</v>
      </c>
      <c r="W89" s="76">
        <v>1.59</v>
      </c>
      <c r="X89" s="76"/>
      <c r="Y89" s="50">
        <f t="shared" si="30"/>
        <v>5.298013245033113</v>
      </c>
      <c r="Z89" s="6">
        <f>IF(Y89&lt;LeagueRatings!$K$21,((LeagueRatings!$K$21-Y89)/LeagueRatings!$K$21)*36,(LeagueRatings!$K$21-Y89)*6.48)</f>
        <v>14.696733514186464</v>
      </c>
      <c r="AA89" s="16">
        <f>INDEX('C-P-RollAdj'!$B$4:$B$76,MATCH(INT(Z89),'C-P-RollAdj'!$A$4:$A$76,FALSE),0)</f>
        <v>-1.19</v>
      </c>
      <c r="AB89" s="16">
        <f t="shared" si="31"/>
        <v>3.3112582781456954</v>
      </c>
      <c r="AC89" s="6">
        <f>IF(AB89&lt;LeagueRatings!$K$19,((LeagueRatings!$K$19-AB89)/LeagueRatings!$K$19)*36,(LeagueRatings!$K$19-AB89)/LeagueRatings!$K$22)</f>
        <v>-3.2583169116459367</v>
      </c>
      <c r="AD89" s="16">
        <f>INDEX('C-P-RollAdj'!$F$4:$F$76,MATCH(INT(AC89),'C-P-RollAdj'!$E$4:$E$76,FALSE),0)</f>
        <v>0.32999999999999996</v>
      </c>
      <c r="AE89" s="17">
        <f>+((LeagueRatings!$I$17-E89)*5)+9.5</f>
        <v>4.1643872437063605</v>
      </c>
      <c r="AF89" s="17">
        <f>IF(AE89&lt;4,4,AE89)</f>
        <v>4.1643872437063605</v>
      </c>
      <c r="AG89" s="17">
        <f t="shared" si="33"/>
        <v>-1.580961126415672</v>
      </c>
      <c r="AH89" s="4">
        <f>+AA89+AD89+AF89+AG89</f>
        <v>1.7234261172906886</v>
      </c>
      <c r="AI89" s="41" t="s">
        <v>387</v>
      </c>
      <c r="AJ89" s="5" t="s">
        <v>50</v>
      </c>
      <c r="AK89" s="219">
        <f>INDEX('C-P-RollAdj'!$J$4:$J$76,MATCH(INT(Z89),'C-P-RollAdj'!$I$4:$I$76,FALSE),0)</f>
        <v>32</v>
      </c>
      <c r="AL89" s="219">
        <f>INDEX('C-P-RollAdj'!$J$4:$J$76,MATCH(INT(AC89),'C-P-RollAdj'!$I$4:$I$76,FALSE),0)</f>
        <v>-14</v>
      </c>
      <c r="AM89" s="14">
        <f>+AR89*LeagueRatings!$K$27</f>
        <v>18.333333333333336</v>
      </c>
      <c r="AN89" s="72">
        <f>F89*LeagueRatings!$K$27</f>
        <v>24.444444444444446</v>
      </c>
      <c r="AO89" s="72">
        <f>G89*LeagueRatings!$K$27</f>
        <v>0</v>
      </c>
      <c r="AP89" s="72">
        <f>T89*LeagueRatings!$K$27</f>
        <v>84.444444444444443</v>
      </c>
      <c r="AQ89"/>
      <c r="AR89" s="14">
        <f t="shared" si="35"/>
        <v>33</v>
      </c>
    </row>
    <row r="90" spans="1:44" s="122" customFormat="1" x14ac:dyDescent="0.2">
      <c r="A90" s="41" t="s">
        <v>348</v>
      </c>
      <c r="B90" s="76" t="s">
        <v>163</v>
      </c>
      <c r="C90" s="76">
        <v>3</v>
      </c>
      <c r="D90" s="76">
        <v>5</v>
      </c>
      <c r="E90" s="97">
        <v>3.74</v>
      </c>
      <c r="F90" s="76">
        <v>29</v>
      </c>
      <c r="G90" s="76">
        <v>7</v>
      </c>
      <c r="H90" s="76">
        <v>0</v>
      </c>
      <c r="I90" s="76">
        <v>0</v>
      </c>
      <c r="J90" s="76">
        <v>0</v>
      </c>
      <c r="K90" s="76">
        <v>1</v>
      </c>
      <c r="L90" s="258">
        <f>INDEX('C-P-RollAdj'!$P$4:$P$900,MATCH((U90),'C-P-RollAdj'!$O$4:$O$900,FALSE),0)</f>
        <v>84.33</v>
      </c>
      <c r="M90" s="76">
        <v>82</v>
      </c>
      <c r="N90" s="76">
        <v>36</v>
      </c>
      <c r="O90" s="76">
        <v>35</v>
      </c>
      <c r="P90" s="76">
        <v>5</v>
      </c>
      <c r="Q90" s="76">
        <v>23</v>
      </c>
      <c r="R90" s="76">
        <v>2</v>
      </c>
      <c r="S90" s="76">
        <v>69</v>
      </c>
      <c r="T90" s="76">
        <v>350</v>
      </c>
      <c r="U90" s="76">
        <v>84.1</v>
      </c>
      <c r="V90" s="100">
        <v>0.25900000000000001</v>
      </c>
      <c r="W90" s="76">
        <v>1.25</v>
      </c>
      <c r="X90" s="42"/>
      <c r="Y90" s="50">
        <f t="shared" si="30"/>
        <v>6.0344827586206895</v>
      </c>
      <c r="Z90" s="6">
        <f>IF(Y90&lt;LeagueRatings!$K$21,((LeagueRatings!$K$21-Y90)/LeagueRatings!$K$21)*36,(LeagueRatings!$K$21-Y90)*6.48)</f>
        <v>11.73539582380937</v>
      </c>
      <c r="AA90" s="16">
        <f>INDEX('C-P-RollAdj'!$B$4:$B$76,MATCH(INT(Z90),'C-P-RollAdj'!$A$4:$A$76,FALSE),0)</f>
        <v>-0.92</v>
      </c>
      <c r="AB90" s="16">
        <f t="shared" si="31"/>
        <v>1.4367816091954022</v>
      </c>
      <c r="AC90" s="6">
        <f>IF(AB90&lt;LeagueRatings!$K$19,((LeagueRatings!$K$19-AB90)/LeagueRatings!$K$19)*36,(LeagueRatings!$K$19-AB90)/LeagueRatings!$K$22)</f>
        <v>18.213159115509512</v>
      </c>
      <c r="AD90" s="16">
        <f>INDEX('C-P-RollAdj'!$F$4:$F$76,MATCH(INT(AC90),'C-P-RollAdj'!$E$4:$E$76,FALSE),0)</f>
        <v>-1.4100000000000001</v>
      </c>
      <c r="AE90" s="17">
        <f>+((LeagueRatings!$I$17-E90)*5)+9.5</f>
        <v>11.614387243706361</v>
      </c>
      <c r="AF90" s="17">
        <f>IF(AE90&lt;4,4,AE90)</f>
        <v>11.614387243706361</v>
      </c>
      <c r="AG90" s="17">
        <f t="shared" si="33"/>
        <v>0.12340685402585055</v>
      </c>
      <c r="AH90" s="4">
        <f>+AA90+AD90+AF90+AG90</f>
        <v>9.4077940977322108</v>
      </c>
      <c r="AI90" s="41" t="s">
        <v>348</v>
      </c>
      <c r="AJ90" s="5" t="s">
        <v>39</v>
      </c>
      <c r="AK90" s="219">
        <f>INDEX('C-P-RollAdj'!$J$4:$J$76,MATCH(INT(Z90),'C-P-RollAdj'!$I$4:$I$76,FALSE),0)</f>
        <v>25</v>
      </c>
      <c r="AL90" s="219">
        <f>INDEX('C-P-RollAdj'!$J$4:$J$76,MATCH(INT(AC90),'C-P-RollAdj'!$I$4:$I$76,FALSE),0)</f>
        <v>36</v>
      </c>
      <c r="AM90" s="14">
        <f>+AR90*LeagueRatings!$K$27</f>
        <v>47.222222222222221</v>
      </c>
      <c r="AN90" s="72">
        <f>F90*LeagueRatings!$K$27</f>
        <v>16.111111111111111</v>
      </c>
      <c r="AO90" s="72">
        <f>G90*LeagueRatings!$K$27</f>
        <v>3.8888888888888893</v>
      </c>
      <c r="AP90" s="72">
        <f>T90*LeagueRatings!$K$27</f>
        <v>194.44444444444446</v>
      </c>
      <c r="AQ90"/>
      <c r="AR90" s="14">
        <f t="shared" si="35"/>
        <v>85</v>
      </c>
    </row>
    <row r="91" spans="1:44" s="28" customFormat="1" x14ac:dyDescent="0.2">
      <c r="A91" s="107"/>
      <c r="B91" s="42"/>
      <c r="C91" s="42"/>
      <c r="D91" s="55"/>
      <c r="E91" s="55"/>
      <c r="F91" s="42"/>
      <c r="G91" s="61"/>
      <c r="H91" s="42"/>
      <c r="I91" s="55"/>
      <c r="J91" s="61"/>
      <c r="K91" s="55"/>
      <c r="L91" s="55"/>
      <c r="M91" s="42"/>
      <c r="N91" s="42"/>
      <c r="O91" s="42"/>
      <c r="P91" s="42"/>
      <c r="Q91" s="42"/>
      <c r="R91" s="42"/>
      <c r="S91" s="54"/>
      <c r="T91" s="42"/>
      <c r="U91" s="42"/>
      <c r="V91" s="54"/>
      <c r="W91" s="42"/>
      <c r="X91" s="70"/>
      <c r="Y91" s="52"/>
      <c r="Z91" s="53"/>
      <c r="AA91" s="54"/>
      <c r="AB91" s="54"/>
      <c r="AC91" s="53"/>
      <c r="AD91" s="54"/>
      <c r="AE91" s="55"/>
      <c r="AF91" s="55"/>
      <c r="AG91" s="55"/>
      <c r="AH91" s="56"/>
      <c r="AI91" s="107"/>
      <c r="AJ91" s="9"/>
      <c r="AK91" s="9"/>
      <c r="AL91" s="9"/>
      <c r="AM91" s="14"/>
      <c r="AN91" s="72"/>
      <c r="AO91" s="72"/>
      <c r="AP91" s="72"/>
      <c r="AQ91" s="13"/>
      <c r="AR91" s="14"/>
    </row>
    <row r="92" spans="1:44" x14ac:dyDescent="0.2">
      <c r="A92" s="69" t="s">
        <v>106</v>
      </c>
      <c r="B92" s="70" t="s">
        <v>157</v>
      </c>
      <c r="C92" s="71" t="s">
        <v>85</v>
      </c>
      <c r="D92" s="70" t="s">
        <v>86</v>
      </c>
      <c r="E92" s="71" t="s">
        <v>87</v>
      </c>
      <c r="F92" s="70" t="s">
        <v>108</v>
      </c>
      <c r="G92" s="70" t="s">
        <v>88</v>
      </c>
      <c r="H92" s="70" t="s">
        <v>89</v>
      </c>
      <c r="I92" s="72" t="s">
        <v>317</v>
      </c>
      <c r="J92" s="72" t="s">
        <v>90</v>
      </c>
      <c r="K92" s="72" t="s">
        <v>158</v>
      </c>
      <c r="L92" s="71" t="s">
        <v>91</v>
      </c>
      <c r="M92" s="70" t="s">
        <v>92</v>
      </c>
      <c r="N92" s="70" t="s">
        <v>93</v>
      </c>
      <c r="O92" s="70" t="s">
        <v>94</v>
      </c>
      <c r="P92" s="70" t="s">
        <v>95</v>
      </c>
      <c r="Q92" s="70" t="s">
        <v>96</v>
      </c>
      <c r="R92" s="70" t="s">
        <v>98</v>
      </c>
      <c r="S92" s="70" t="s">
        <v>97</v>
      </c>
      <c r="T92" s="70" t="s">
        <v>109</v>
      </c>
      <c r="U92" s="196" t="s">
        <v>91</v>
      </c>
      <c r="V92" s="277" t="s">
        <v>1071</v>
      </c>
      <c r="W92" s="196" t="s">
        <v>1072</v>
      </c>
      <c r="X92" s="70"/>
      <c r="Y92" s="115" t="s">
        <v>2</v>
      </c>
      <c r="Z92" s="116" t="s">
        <v>3</v>
      </c>
      <c r="AA92" s="117" t="s">
        <v>4</v>
      </c>
      <c r="AB92" s="118" t="s">
        <v>5</v>
      </c>
      <c r="AC92" s="116" t="s">
        <v>6</v>
      </c>
      <c r="AD92" s="117" t="s">
        <v>7</v>
      </c>
      <c r="AE92" s="119" t="s">
        <v>8</v>
      </c>
      <c r="AF92" s="119" t="s">
        <v>81</v>
      </c>
      <c r="AG92" s="119" t="s">
        <v>9</v>
      </c>
      <c r="AH92" s="120" t="s">
        <v>10</v>
      </c>
      <c r="AI92" s="69" t="s">
        <v>106</v>
      </c>
      <c r="AJ92" s="7" t="s">
        <v>11</v>
      </c>
      <c r="AK92" s="7" t="s">
        <v>12</v>
      </c>
      <c r="AL92" s="7" t="s">
        <v>13</v>
      </c>
      <c r="AN92" s="72"/>
      <c r="AO92" s="72"/>
      <c r="AP92" s="72"/>
      <c r="AQ92" s="122"/>
      <c r="AR92" s="14"/>
    </row>
    <row r="93" spans="1:44" x14ac:dyDescent="0.2">
      <c r="A93" s="69"/>
      <c r="B93" s="70"/>
      <c r="C93" s="71"/>
      <c r="D93" s="70"/>
      <c r="E93" s="71"/>
      <c r="F93" s="70"/>
      <c r="G93" s="70"/>
      <c r="H93" s="70"/>
      <c r="I93" s="72"/>
      <c r="J93" s="72"/>
      <c r="K93" s="72"/>
      <c r="L93" s="71"/>
      <c r="M93" s="70"/>
      <c r="N93" s="70"/>
      <c r="O93" s="70"/>
      <c r="P93" s="70"/>
      <c r="Q93" s="70"/>
      <c r="R93" s="70"/>
      <c r="S93" s="70"/>
      <c r="T93" s="70"/>
      <c r="U93" s="70"/>
      <c r="V93" s="164"/>
      <c r="W93" s="70"/>
      <c r="X93" s="76"/>
      <c r="Y93" s="52"/>
      <c r="Z93" s="53"/>
      <c r="AA93" s="54"/>
      <c r="AB93" s="54"/>
      <c r="AC93" s="53"/>
      <c r="AD93" s="54"/>
      <c r="AE93" s="55"/>
      <c r="AF93" s="55"/>
      <c r="AG93" s="55"/>
      <c r="AH93" s="56"/>
      <c r="AI93" s="69"/>
      <c r="AJ93" s="9"/>
      <c r="AK93" s="9"/>
      <c r="AL93" s="9"/>
      <c r="AN93" s="72"/>
      <c r="AO93" s="72"/>
      <c r="AP93" s="72"/>
      <c r="AQ93" s="28"/>
      <c r="AR93" s="14"/>
    </row>
    <row r="94" spans="1:44" x14ac:dyDescent="0.2">
      <c r="A94" s="41" t="s">
        <v>333</v>
      </c>
      <c r="B94" s="76" t="s">
        <v>165</v>
      </c>
      <c r="C94" s="76">
        <v>3</v>
      </c>
      <c r="D94" s="76">
        <v>0</v>
      </c>
      <c r="E94" s="97">
        <v>3.2</v>
      </c>
      <c r="F94" s="76">
        <v>27</v>
      </c>
      <c r="G94" s="76">
        <v>0</v>
      </c>
      <c r="H94" s="76">
        <v>0</v>
      </c>
      <c r="I94" s="76">
        <v>0</v>
      </c>
      <c r="J94" s="76">
        <v>0</v>
      </c>
      <c r="K94" s="76">
        <v>1</v>
      </c>
      <c r="L94" s="258">
        <f>INDEX('C-P-RollAdj'!$P$4:$P$900,MATCH((U94),'C-P-RollAdj'!$O$4:$O$900,FALSE),0)</f>
        <v>19.670000000000002</v>
      </c>
      <c r="M94" s="76">
        <v>12</v>
      </c>
      <c r="N94" s="76">
        <v>8</v>
      </c>
      <c r="O94" s="76">
        <v>7</v>
      </c>
      <c r="P94" s="76">
        <v>0</v>
      </c>
      <c r="Q94" s="76">
        <v>10</v>
      </c>
      <c r="R94" s="76">
        <v>4</v>
      </c>
      <c r="S94" s="76">
        <v>28</v>
      </c>
      <c r="T94" s="76">
        <v>82</v>
      </c>
      <c r="U94" s="76">
        <v>19.2</v>
      </c>
      <c r="V94" s="100">
        <v>0.17599999999999999</v>
      </c>
      <c r="W94" s="76">
        <v>1.1200000000000001</v>
      </c>
      <c r="X94" s="76"/>
      <c r="Y94" s="50">
        <f t="shared" ref="Y94:Y109" si="36">+(Q94-R94)/(T94-R94)*100</f>
        <v>7.6923076923076925</v>
      </c>
      <c r="Z94" s="6">
        <f>IF(Y94&lt;LeagueRatings!$K$21,((LeagueRatings!$K$21-Y94)/LeagueRatings!$K$21)*36,(LeagueRatings!$K$21-Y94)*6.48)</f>
        <v>5.0692957754053483</v>
      </c>
      <c r="AA94" s="16">
        <f>INDEX('C-P-RollAdj'!$B$4:$B$76,MATCH(INT(Z94),'C-P-RollAdj'!$A$4:$A$76,FALSE),0)</f>
        <v>-0.4</v>
      </c>
      <c r="AB94" s="16">
        <f t="shared" ref="AB94:AB109" si="37">(P94/(T94-R94))*100</f>
        <v>0</v>
      </c>
      <c r="AC94" s="6">
        <f>IF(AB94&lt;LeagueRatings!$K$19,((LeagueRatings!$K$19-AB94)/LeagueRatings!$K$19)*36,(LeagueRatings!$K$19-AB94)/LeagueRatings!$K$22)</f>
        <v>36</v>
      </c>
      <c r="AD94" s="16">
        <f>INDEX('C-P-RollAdj'!$F$4:$F$76,MATCH(INT(AC94),'C-P-RollAdj'!$E$4:$E$76,FALSE),0)</f>
        <v>-3.26</v>
      </c>
      <c r="AE94" s="17">
        <f>+((LeagueRatings!$I$17-E94)*5)+9.5</f>
        <v>14.314387243706362</v>
      </c>
      <c r="AF94" s="17">
        <f t="shared" ref="AF94:AF99" si="38">IF(AE94&lt;4,4,AE94)</f>
        <v>14.314387243706362</v>
      </c>
      <c r="AG94" s="17">
        <f t="shared" ref="AG94:AG109" si="39">IF(M94&lt;L94,((1-(M94/L94))*7)-0.07,(1-(M94/L94))*5)</f>
        <v>2.6595373665480428</v>
      </c>
      <c r="AH94" s="4">
        <f t="shared" ref="AH94:AH100" si="40">+AA94+AD94+AF94+AG94</f>
        <v>13.313924610254404</v>
      </c>
      <c r="AI94" s="41" t="s">
        <v>333</v>
      </c>
      <c r="AJ94" s="5" t="s">
        <v>16</v>
      </c>
      <c r="AK94" s="219">
        <f>INDEX('C-P-RollAdj'!$J$4:$J$76,MATCH(INT(Z94),'C-P-RollAdj'!$I$4:$I$76,FALSE),0)</f>
        <v>15</v>
      </c>
      <c r="AL94" s="219">
        <f>INDEX('C-P-RollAdj'!$J$4:$J$76,MATCH(INT(AC94),'C-P-RollAdj'!$I$4:$I$76,FALSE),0)</f>
        <v>66</v>
      </c>
      <c r="AM94" s="14">
        <f>+AR94*LeagueRatings!$K$27</f>
        <v>11.111111111111111</v>
      </c>
      <c r="AN94" s="72">
        <f>F94*LeagueRatings!$K$27</f>
        <v>15</v>
      </c>
      <c r="AO94" s="72">
        <f>G94*LeagueRatings!$K$27</f>
        <v>0</v>
      </c>
      <c r="AP94" s="72">
        <f>T94*LeagueRatings!$K$27</f>
        <v>45.555555555555557</v>
      </c>
      <c r="AR94" s="14">
        <f t="shared" ref="AR94:AR109" si="41">ROUNDUP(L94,0)</f>
        <v>20</v>
      </c>
    </row>
    <row r="95" spans="1:44" x14ac:dyDescent="0.2">
      <c r="A95" s="41" t="s">
        <v>763</v>
      </c>
      <c r="B95" s="76" t="s">
        <v>165</v>
      </c>
      <c r="C95" s="76">
        <v>3</v>
      </c>
      <c r="D95" s="76">
        <v>2</v>
      </c>
      <c r="E95" s="97">
        <v>3.04</v>
      </c>
      <c r="F95" s="76">
        <v>73</v>
      </c>
      <c r="G95" s="76">
        <v>0</v>
      </c>
      <c r="H95" s="76">
        <v>0</v>
      </c>
      <c r="I95" s="76">
        <v>0</v>
      </c>
      <c r="J95" s="76">
        <v>0</v>
      </c>
      <c r="K95" s="76">
        <v>2</v>
      </c>
      <c r="L95" s="258">
        <f>INDEX('C-P-RollAdj'!$P$4:$P$900,MATCH((U95),'C-P-RollAdj'!$O$4:$O$900,FALSE),0)</f>
        <v>74</v>
      </c>
      <c r="M95" s="76">
        <v>52</v>
      </c>
      <c r="N95" s="76">
        <v>27</v>
      </c>
      <c r="O95" s="76">
        <v>25</v>
      </c>
      <c r="P95" s="76">
        <v>11</v>
      </c>
      <c r="Q95" s="76">
        <v>22</v>
      </c>
      <c r="R95" s="76">
        <v>0</v>
      </c>
      <c r="S95" s="76">
        <v>83</v>
      </c>
      <c r="T95" s="76">
        <v>295</v>
      </c>
      <c r="U95" s="76">
        <v>74</v>
      </c>
      <c r="V95" s="100">
        <v>0.19500000000000001</v>
      </c>
      <c r="W95" s="76">
        <v>1</v>
      </c>
      <c r="X95" s="76"/>
      <c r="Y95" s="50">
        <f t="shared" si="36"/>
        <v>7.4576271186440684</v>
      </c>
      <c r="Z95" s="6">
        <f>IF(Y95&lt;LeagueRatings!$K$21,((LeagueRatings!$K$21-Y95)/LeagueRatings!$K$21)*36,(LeagueRatings!$K$21-Y95)*6.48)</f>
        <v>6.0129443788675569</v>
      </c>
      <c r="AA95" s="16">
        <f>INDEX('C-P-RollAdj'!$B$4:$B$76,MATCH(INT(Z95),'C-P-RollAdj'!$A$4:$A$76,FALSE),0)</f>
        <v>-0.48</v>
      </c>
      <c r="AB95" s="16">
        <f t="shared" si="37"/>
        <v>3.7288135593220342</v>
      </c>
      <c r="AC95" s="6">
        <f>IF(AB95&lt;LeagueRatings!$K$19,((LeagueRatings!$K$19-AB95)/LeagueRatings!$K$19)*36,(LeagueRatings!$K$19-AB95)/LeagueRatings!$K$22)</f>
        <v>-6.6321554361306339</v>
      </c>
      <c r="AD95" s="16">
        <f>INDEX('C-P-RollAdj'!$F$4:$F$76,MATCH(INT(AC95),'C-P-RollAdj'!$E$4:$E$76,FALSE),0)</f>
        <v>0.61</v>
      </c>
      <c r="AE95" s="17">
        <f>+((LeagueRatings!$I$17-E95)*5)+9.5</f>
        <v>15.114387243706362</v>
      </c>
      <c r="AF95" s="17">
        <f t="shared" si="38"/>
        <v>15.114387243706362</v>
      </c>
      <c r="AG95" s="17">
        <f t="shared" si="39"/>
        <v>2.0110810810810809</v>
      </c>
      <c r="AH95" s="4">
        <f t="shared" si="40"/>
        <v>17.255468324787444</v>
      </c>
      <c r="AI95" s="41" t="s">
        <v>763</v>
      </c>
      <c r="AJ95" s="5" t="s">
        <v>53</v>
      </c>
      <c r="AK95" s="219">
        <f>INDEX('C-P-RollAdj'!$J$4:$J$76,MATCH(INT(Z95),'C-P-RollAdj'!$I$4:$I$76,FALSE),0)</f>
        <v>16</v>
      </c>
      <c r="AL95" s="219">
        <f>INDEX('C-P-RollAdj'!$J$4:$J$76,MATCH(INT(AC95),'C-P-RollAdj'!$I$4:$I$76,FALSE),0)</f>
        <v>-21</v>
      </c>
      <c r="AM95" s="14">
        <f>+AR95*LeagueRatings!$K$27</f>
        <v>41.111111111111114</v>
      </c>
      <c r="AN95" s="72">
        <f>F95*LeagueRatings!$K$27</f>
        <v>40.555555555555557</v>
      </c>
      <c r="AO95" s="72">
        <f>G95*LeagueRatings!$K$27</f>
        <v>0</v>
      </c>
      <c r="AP95" s="72">
        <f>T95*LeagueRatings!$K$27</f>
        <v>163.88888888888889</v>
      </c>
      <c r="AR95" s="14">
        <f t="shared" si="41"/>
        <v>74</v>
      </c>
    </row>
    <row r="96" spans="1:44" s="28" customFormat="1" x14ac:dyDescent="0.2">
      <c r="A96" s="41" t="s">
        <v>1151</v>
      </c>
      <c r="B96" s="76" t="s">
        <v>165</v>
      </c>
      <c r="C96" s="76">
        <v>7</v>
      </c>
      <c r="D96" s="76">
        <v>2</v>
      </c>
      <c r="E96" s="97">
        <v>2.48</v>
      </c>
      <c r="F96" s="76">
        <v>75</v>
      </c>
      <c r="G96" s="76">
        <v>0</v>
      </c>
      <c r="H96" s="76">
        <v>0</v>
      </c>
      <c r="I96" s="76">
        <v>0</v>
      </c>
      <c r="J96" s="76">
        <v>0</v>
      </c>
      <c r="K96" s="76">
        <v>1</v>
      </c>
      <c r="L96" s="258">
        <f>INDEX('C-P-RollAdj'!$P$4:$P$900,MATCH((U96),'C-P-RollAdj'!$O$4:$O$900,FALSE),0)</f>
        <v>80</v>
      </c>
      <c r="M96" s="76">
        <v>55</v>
      </c>
      <c r="N96" s="76">
        <v>23</v>
      </c>
      <c r="O96" s="76">
        <v>22</v>
      </c>
      <c r="P96" s="76">
        <v>7</v>
      </c>
      <c r="Q96" s="76">
        <v>26</v>
      </c>
      <c r="R96" s="76">
        <v>4</v>
      </c>
      <c r="S96" s="76">
        <v>80</v>
      </c>
      <c r="T96" s="76">
        <v>315</v>
      </c>
      <c r="U96" s="76">
        <v>80</v>
      </c>
      <c r="V96" s="100">
        <v>0.19400000000000001</v>
      </c>
      <c r="W96" s="76">
        <v>1.01</v>
      </c>
      <c r="X96" s="76"/>
      <c r="Y96" s="50">
        <f t="shared" si="36"/>
        <v>7.07395498392283</v>
      </c>
      <c r="Z96" s="6">
        <f>IF(Y96&lt;LeagueRatings!$K$21,((LeagueRatings!$K$21-Y96)/LeagueRatings!$K$21)*36,(LeagueRatings!$K$21-Y96)*6.48)</f>
        <v>7.5556867902441462</v>
      </c>
      <c r="AA96" s="16">
        <f>INDEX('C-P-RollAdj'!$B$4:$B$76,MATCH(INT(Z96),'C-P-RollAdj'!$A$4:$A$76,FALSE),0)</f>
        <v>-0.56000000000000005</v>
      </c>
      <c r="AB96" s="16">
        <f t="shared" si="37"/>
        <v>2.2508038585209005</v>
      </c>
      <c r="AC96" s="6">
        <f>IF(AB96&lt;LeagueRatings!$K$19,((LeagueRatings!$K$19-AB96)/LeagueRatings!$K$19)*36,(LeagueRatings!$K$19-AB96)/LeagueRatings!$K$22)</f>
        <v>8.1358556947788845</v>
      </c>
      <c r="AD96" s="16">
        <f>INDEX('C-P-RollAdj'!$F$4:$F$76,MATCH(INT(AC96),'C-P-RollAdj'!$E$4:$E$76,FALSE),0)</f>
        <v>-0.56999999999999995</v>
      </c>
      <c r="AE96" s="17">
        <f>+((LeagueRatings!$I$17-E96)*5)+9.5</f>
        <v>17.914387243706365</v>
      </c>
      <c r="AF96" s="17">
        <f t="shared" si="38"/>
        <v>17.914387243706365</v>
      </c>
      <c r="AG96" s="17">
        <f t="shared" si="39"/>
        <v>2.1175000000000002</v>
      </c>
      <c r="AH96" s="4">
        <f t="shared" si="40"/>
        <v>18.901887243706366</v>
      </c>
      <c r="AI96" s="41" t="s">
        <v>1151</v>
      </c>
      <c r="AJ96" s="5" t="s">
        <v>67</v>
      </c>
      <c r="AK96" s="219">
        <f>INDEX('C-P-RollAdj'!$J$4:$J$76,MATCH(INT(Z96),'C-P-RollAdj'!$I$4:$I$76,FALSE),0)</f>
        <v>21</v>
      </c>
      <c r="AL96" s="219">
        <f>INDEX('C-P-RollAdj'!$J$4:$J$76,MATCH(INT(AC96),'C-P-RollAdj'!$I$4:$I$76,FALSE),0)</f>
        <v>22</v>
      </c>
      <c r="AM96" s="14">
        <f>+AR96*LeagueRatings!$K$27</f>
        <v>44.444444444444443</v>
      </c>
      <c r="AN96" s="72">
        <f>F96*LeagueRatings!$K$27</f>
        <v>41.666666666666671</v>
      </c>
      <c r="AO96" s="72">
        <f>G96*LeagueRatings!$K$27</f>
        <v>0</v>
      </c>
      <c r="AP96" s="72">
        <f>T96*LeagueRatings!$K$27</f>
        <v>175</v>
      </c>
      <c r="AQ96" s="24"/>
      <c r="AR96" s="14">
        <f t="shared" si="41"/>
        <v>80</v>
      </c>
    </row>
    <row r="97" spans="1:44" x14ac:dyDescent="0.2">
      <c r="A97" s="41" t="s">
        <v>600</v>
      </c>
      <c r="B97" s="76" t="s">
        <v>165</v>
      </c>
      <c r="C97" s="76">
        <v>1</v>
      </c>
      <c r="D97" s="76">
        <v>0</v>
      </c>
      <c r="E97" s="97">
        <v>4.21</v>
      </c>
      <c r="F97" s="76">
        <v>23</v>
      </c>
      <c r="G97" s="76">
        <v>0</v>
      </c>
      <c r="H97" s="76">
        <v>0</v>
      </c>
      <c r="I97" s="76">
        <v>0</v>
      </c>
      <c r="J97" s="76">
        <v>0</v>
      </c>
      <c r="K97" s="76">
        <v>1</v>
      </c>
      <c r="L97" s="258">
        <f>INDEX('C-P-RollAdj'!$P$4:$P$900,MATCH((U97),'C-P-RollAdj'!$O$4:$O$900,FALSE),0)</f>
        <v>25.67</v>
      </c>
      <c r="M97" s="76">
        <v>28</v>
      </c>
      <c r="N97" s="76">
        <v>14</v>
      </c>
      <c r="O97" s="76">
        <v>12</v>
      </c>
      <c r="P97" s="76">
        <v>3</v>
      </c>
      <c r="Q97" s="76">
        <v>8</v>
      </c>
      <c r="R97" s="76">
        <v>3</v>
      </c>
      <c r="S97" s="76">
        <v>21</v>
      </c>
      <c r="T97" s="76">
        <v>109</v>
      </c>
      <c r="U97" s="76">
        <v>25.2</v>
      </c>
      <c r="V97" s="100">
        <v>0.27700000000000002</v>
      </c>
      <c r="W97" s="76">
        <v>1.4</v>
      </c>
      <c r="X97" s="76"/>
      <c r="Y97" s="50">
        <f t="shared" si="36"/>
        <v>4.716981132075472</v>
      </c>
      <c r="Z97" s="6">
        <f>IF(Y97&lt;LeagueRatings!$K$21,((LeagueRatings!$K$21-Y97)/LeagueRatings!$K$21)*36,(LeagueRatings!$K$21-Y97)*6.48)</f>
        <v>17.033058730201393</v>
      </c>
      <c r="AA97" s="16">
        <f>INDEX('C-P-RollAdj'!$B$4:$B$76,MATCH(INT(Z97),'C-P-RollAdj'!$A$4:$A$76,FALSE),0)</f>
        <v>-1.49</v>
      </c>
      <c r="AB97" s="16">
        <f t="shared" si="37"/>
        <v>2.8301886792452833</v>
      </c>
      <c r="AC97" s="6">
        <f>IF(AB97&lt;LeagueRatings!$K$19,((LeagueRatings!$K$19-AB97)/LeagueRatings!$K$19)*36,(LeagueRatings!$K$19-AB97)/LeagueRatings!$K$22)</f>
        <v>0.96327946526778763</v>
      </c>
      <c r="AD97" s="16">
        <f>INDEX('C-P-RollAdj'!$F$4:$F$76,MATCH(INT(AC97),'C-P-RollAdj'!$E$4:$E$76,FALSE),0)</f>
        <v>0</v>
      </c>
      <c r="AE97" s="17">
        <f>+((LeagueRatings!$I$17-E97)*5)+9.5</f>
        <v>9.2643872437063628</v>
      </c>
      <c r="AF97" s="17">
        <f t="shared" si="38"/>
        <v>9.2643872437063628</v>
      </c>
      <c r="AG97" s="17">
        <f t="shared" si="39"/>
        <v>-0.45383716400467455</v>
      </c>
      <c r="AH97" s="4">
        <f t="shared" si="40"/>
        <v>7.3205500797016878</v>
      </c>
      <c r="AI97" s="41" t="s">
        <v>600</v>
      </c>
      <c r="AJ97" s="5" t="s">
        <v>55</v>
      </c>
      <c r="AK97" s="219">
        <f>INDEX('C-P-RollAdj'!$J$4:$J$76,MATCH(INT(Z97),'C-P-RollAdj'!$I$4:$I$76,FALSE),0)</f>
        <v>35</v>
      </c>
      <c r="AL97" s="219">
        <f>INDEX('C-P-RollAdj'!$J$4:$J$76,MATCH(INT(AC97),'C-P-RollAdj'!$I$4:$I$76,FALSE),0)</f>
        <v>0</v>
      </c>
      <c r="AM97" s="14">
        <f>+AR97*LeagueRatings!$K$27</f>
        <v>14.444444444444445</v>
      </c>
      <c r="AN97" s="72">
        <f>F97*LeagueRatings!$K$27</f>
        <v>12.777777777777779</v>
      </c>
      <c r="AO97" s="72">
        <f>G97*LeagueRatings!$K$27</f>
        <v>0</v>
      </c>
      <c r="AP97" s="72">
        <f>T97*LeagueRatings!$K$27</f>
        <v>60.555555555555557</v>
      </c>
      <c r="AR97" s="14">
        <f t="shared" si="41"/>
        <v>26</v>
      </c>
    </row>
    <row r="98" spans="1:44" x14ac:dyDescent="0.2">
      <c r="A98" s="41" t="s">
        <v>554</v>
      </c>
      <c r="B98" s="76" t="s">
        <v>165</v>
      </c>
      <c r="C98" s="76">
        <v>2</v>
      </c>
      <c r="D98" s="76">
        <v>1</v>
      </c>
      <c r="E98" s="97">
        <v>4.6900000000000004</v>
      </c>
      <c r="F98" s="76">
        <v>61</v>
      </c>
      <c r="G98" s="76">
        <v>0</v>
      </c>
      <c r="H98" s="76">
        <v>0</v>
      </c>
      <c r="I98" s="76">
        <v>0</v>
      </c>
      <c r="J98" s="76">
        <v>0</v>
      </c>
      <c r="K98" s="76">
        <v>2</v>
      </c>
      <c r="L98" s="258">
        <f>INDEX('C-P-RollAdj'!$P$4:$P$900,MATCH((U98),'C-P-RollAdj'!$O$4:$O$900,FALSE),0)</f>
        <v>48</v>
      </c>
      <c r="M98" s="76">
        <v>45</v>
      </c>
      <c r="N98" s="76">
        <v>27</v>
      </c>
      <c r="O98" s="76">
        <v>25</v>
      </c>
      <c r="P98" s="76">
        <v>5</v>
      </c>
      <c r="Q98" s="76">
        <v>24</v>
      </c>
      <c r="R98" s="76">
        <v>2</v>
      </c>
      <c r="S98" s="76">
        <v>45</v>
      </c>
      <c r="T98" s="76">
        <v>211</v>
      </c>
      <c r="U98" s="76">
        <v>48</v>
      </c>
      <c r="V98" s="100">
        <v>0.25</v>
      </c>
      <c r="W98" s="76">
        <v>1.44</v>
      </c>
      <c r="X98" s="76"/>
      <c r="Y98" s="52">
        <f t="shared" si="36"/>
        <v>10.526315789473683</v>
      </c>
      <c r="Z98" s="53">
        <f>IF(Y98&lt;LeagueRatings!$K$21,((LeagueRatings!$K$21-Y98)/LeagueRatings!$K$21)*36,(LeagueRatings!$K$21-Y98)*6.48)</f>
        <v>-10.194985336458435</v>
      </c>
      <c r="AA98" s="16">
        <f>INDEX('C-P-RollAdj'!$B$4:$B$76,MATCH(INT(Z98),'C-P-RollAdj'!$A$4:$A$76,FALSE),0)</f>
        <v>1.1099999999999999</v>
      </c>
      <c r="AB98" s="16">
        <f t="shared" si="37"/>
        <v>2.3923444976076556</v>
      </c>
      <c r="AC98" s="53">
        <f>IF(AB98&lt;LeagueRatings!$K$19,((LeagueRatings!$K$19-AB98)/LeagueRatings!$K$19)*36,(LeagueRatings!$K$19-AB98)/LeagueRatings!$K$22)</f>
        <v>6.3836333597957395</v>
      </c>
      <c r="AD98" s="16">
        <f>INDEX('C-P-RollAdj'!$F$4:$F$76,MATCH(INT(AC98),'C-P-RollAdj'!$E$4:$E$76,FALSE),0)</f>
        <v>-0.42000000000000004</v>
      </c>
      <c r="AE98" s="55">
        <f>+((LeagueRatings!$I$17-E98)*5)+9.5</f>
        <v>6.8643872437063607</v>
      </c>
      <c r="AF98" s="55">
        <f t="shared" si="38"/>
        <v>6.8643872437063607</v>
      </c>
      <c r="AG98" s="17">
        <f t="shared" si="39"/>
        <v>0.36749999999999999</v>
      </c>
      <c r="AH98" s="56">
        <f>+AA98+AD98+AF98+AG98</f>
        <v>7.9218872437063599</v>
      </c>
      <c r="AI98" s="41" t="s">
        <v>554</v>
      </c>
      <c r="AJ98" s="9" t="s">
        <v>55</v>
      </c>
      <c r="AK98" s="219">
        <f>INDEX('C-P-RollAdj'!$J$4:$J$76,MATCH(INT(Z98),'C-P-RollAdj'!$I$4:$I$76,FALSE),0)</f>
        <v>-25</v>
      </c>
      <c r="AL98" s="219">
        <f>INDEX('C-P-RollAdj'!$J$4:$J$76,MATCH(INT(AC98),'C-P-RollAdj'!$I$4:$I$76,FALSE),0)</f>
        <v>16</v>
      </c>
      <c r="AM98" s="14">
        <f>+AR98*LeagueRatings!$K$27</f>
        <v>26.666666666666668</v>
      </c>
      <c r="AN98" s="72">
        <f>F98*LeagueRatings!$K$27</f>
        <v>33.888888888888893</v>
      </c>
      <c r="AO98" s="72">
        <f>G98*LeagueRatings!$K$27</f>
        <v>0</v>
      </c>
      <c r="AP98" s="72">
        <f>T98*LeagueRatings!$K$27</f>
        <v>117.22222222222223</v>
      </c>
      <c r="AQ98" s="28"/>
      <c r="AR98" s="14">
        <f t="shared" si="41"/>
        <v>48</v>
      </c>
    </row>
    <row r="99" spans="1:44" x14ac:dyDescent="0.2">
      <c r="A99" s="41" t="s">
        <v>398</v>
      </c>
      <c r="B99" s="76" t="s">
        <v>165</v>
      </c>
      <c r="C99" s="76">
        <v>5</v>
      </c>
      <c r="D99" s="76">
        <v>4</v>
      </c>
      <c r="E99" s="97">
        <v>5.53</v>
      </c>
      <c r="F99" s="76">
        <v>37</v>
      </c>
      <c r="G99" s="76">
        <v>0</v>
      </c>
      <c r="H99" s="76">
        <v>0</v>
      </c>
      <c r="I99" s="76">
        <v>0</v>
      </c>
      <c r="J99" s="76">
        <v>0</v>
      </c>
      <c r="K99" s="76">
        <v>1</v>
      </c>
      <c r="L99" s="258">
        <f>INDEX('C-P-RollAdj'!$P$4:$P$900,MATCH((U99),'C-P-RollAdj'!$O$4:$O$900,FALSE),0)</f>
        <v>40.67</v>
      </c>
      <c r="M99" s="76">
        <v>40</v>
      </c>
      <c r="N99" s="76">
        <v>26</v>
      </c>
      <c r="O99" s="76">
        <v>25</v>
      </c>
      <c r="P99" s="76">
        <v>8</v>
      </c>
      <c r="Q99" s="76">
        <v>21</v>
      </c>
      <c r="R99" s="76">
        <v>4</v>
      </c>
      <c r="S99" s="76">
        <v>43</v>
      </c>
      <c r="T99" s="76">
        <v>181</v>
      </c>
      <c r="U99" s="76">
        <v>40.200000000000003</v>
      </c>
      <c r="V99" s="100">
        <v>0.253</v>
      </c>
      <c r="W99" s="76">
        <v>1.5</v>
      </c>
      <c r="X99" s="76"/>
      <c r="Y99" s="50">
        <f t="shared" si="36"/>
        <v>9.6045197740112993</v>
      </c>
      <c r="Z99" s="6">
        <f>IF(Y99&lt;LeagueRatings!$K$21,((LeagueRatings!$K$21-Y99)/LeagueRatings!$K$21)*36,(LeagueRatings!$K$21-Y99)*6.48)</f>
        <v>-4.2217471562621869</v>
      </c>
      <c r="AA99" s="16">
        <f>INDEX('C-P-RollAdj'!$B$4:$B$76,MATCH(INT(Z99),'C-P-RollAdj'!$A$4:$A$76,FALSE),0)</f>
        <v>0.44999999999999996</v>
      </c>
      <c r="AB99" s="16">
        <f t="shared" si="37"/>
        <v>4.5197740112994351</v>
      </c>
      <c r="AC99" s="6">
        <f>IF(AB99&lt;LeagueRatings!$K$19,((LeagueRatings!$K$19-AB99)/LeagueRatings!$K$19)*36,(LeagueRatings!$K$19-AB99)/LeagueRatings!$K$22)</f>
        <v>-13.023100454733362</v>
      </c>
      <c r="AD99" s="16">
        <f>INDEX('C-P-RollAdj'!$F$4:$F$76,MATCH(INT(AC99),'C-P-RollAdj'!$E$4:$E$76,FALSE),0)</f>
        <v>1.38</v>
      </c>
      <c r="AE99" s="17">
        <f>+((LeagueRatings!$I$17-E99)*5)+9.5</f>
        <v>2.6643872437063614</v>
      </c>
      <c r="AF99" s="17">
        <f t="shared" si="38"/>
        <v>4</v>
      </c>
      <c r="AG99" s="17">
        <f t="shared" si="39"/>
        <v>4.5318416523236371E-2</v>
      </c>
      <c r="AH99" s="4">
        <f t="shared" si="40"/>
        <v>5.8753184165232364</v>
      </c>
      <c r="AI99" s="41" t="s">
        <v>398</v>
      </c>
      <c r="AJ99" s="5" t="s">
        <v>24</v>
      </c>
      <c r="AK99" s="219">
        <f>INDEX('C-P-RollAdj'!$J$4:$J$76,MATCH(INT(Z99),'C-P-RollAdj'!$I$4:$I$76,FALSE),0)</f>
        <v>-15</v>
      </c>
      <c r="AL99" s="219">
        <f>INDEX('C-P-RollAdj'!$J$4:$J$76,MATCH(INT(AC99),'C-P-RollAdj'!$I$4:$I$76,FALSE),0)</f>
        <v>-32</v>
      </c>
      <c r="AM99" s="14">
        <f>+AR99*LeagueRatings!$K$27</f>
        <v>22.777777777777779</v>
      </c>
      <c r="AN99" s="72">
        <f>F99*LeagueRatings!$K$27</f>
        <v>20.555555555555557</v>
      </c>
      <c r="AO99" s="72">
        <f>G99*LeagueRatings!$K$27</f>
        <v>0</v>
      </c>
      <c r="AP99" s="72">
        <f>T99*LeagueRatings!$K$27</f>
        <v>100.55555555555556</v>
      </c>
      <c r="AR99" s="14">
        <f t="shared" si="41"/>
        <v>41</v>
      </c>
    </row>
    <row r="100" spans="1:44" x14ac:dyDescent="0.2">
      <c r="A100" s="41" t="s">
        <v>532</v>
      </c>
      <c r="B100" s="76" t="s">
        <v>165</v>
      </c>
      <c r="C100" s="76">
        <v>3</v>
      </c>
      <c r="D100" s="76">
        <v>2</v>
      </c>
      <c r="E100" s="97">
        <v>1.83</v>
      </c>
      <c r="F100" s="76">
        <v>6</v>
      </c>
      <c r="G100" s="76">
        <v>6</v>
      </c>
      <c r="H100" s="76">
        <v>0</v>
      </c>
      <c r="I100" s="76">
        <v>0</v>
      </c>
      <c r="J100" s="76">
        <v>0</v>
      </c>
      <c r="K100" s="76">
        <v>0</v>
      </c>
      <c r="L100" s="258">
        <f>INDEX('C-P-RollAdj'!$P$4:$P$900,MATCH((U100),'C-P-RollAdj'!$O$4:$O$900,FALSE),0)</f>
        <v>34.33</v>
      </c>
      <c r="M100" s="76">
        <v>22</v>
      </c>
      <c r="N100" s="76">
        <v>7</v>
      </c>
      <c r="O100" s="76">
        <v>7</v>
      </c>
      <c r="P100" s="76">
        <v>2</v>
      </c>
      <c r="Q100" s="76">
        <v>5</v>
      </c>
      <c r="R100" s="76">
        <v>0</v>
      </c>
      <c r="S100" s="76">
        <v>39</v>
      </c>
      <c r="T100" s="76">
        <v>128</v>
      </c>
      <c r="U100" s="76">
        <v>34.1</v>
      </c>
      <c r="V100" s="100">
        <v>0.182</v>
      </c>
      <c r="W100" s="76">
        <v>0.79</v>
      </c>
      <c r="X100" s="76"/>
      <c r="Y100" s="52">
        <f t="shared" si="36"/>
        <v>3.90625</v>
      </c>
      <c r="Z100" s="53">
        <f>IF(Y100&lt;LeagueRatings!$K$21,((LeagueRatings!$K$21-Y100)/LeagueRatings!$K$21)*36,(LeagueRatings!$K$21-Y100)*6.48)</f>
        <v>20.29300176094803</v>
      </c>
      <c r="AA100" s="16">
        <f>INDEX('C-P-RollAdj'!$B$4:$B$76,MATCH(INT(Z100),'C-P-RollAdj'!$A$4:$A$76,FALSE),0)</f>
        <v>-1.79</v>
      </c>
      <c r="AB100" s="54">
        <f t="shared" si="37"/>
        <v>1.5625</v>
      </c>
      <c r="AC100" s="53">
        <f>IF(AB100&lt;LeagueRatings!$K$19,((LeagueRatings!$K$19-AB100)/LeagueRatings!$K$19)*36,(LeagueRatings!$K$19-AB100)/LeagueRatings!$K$22)</f>
        <v>16.656810538116591</v>
      </c>
      <c r="AD100" s="16">
        <f>INDEX('C-P-RollAdj'!$F$4:$F$76,MATCH(INT(AC100),'C-P-RollAdj'!$E$4:$E$76,FALSE),0)</f>
        <v>-1.23</v>
      </c>
      <c r="AE100" s="55">
        <f>+((LeagueRatings!$I$17-E100)*5)+9.5</f>
        <v>21.164387243706361</v>
      </c>
      <c r="AF100" s="55">
        <f t="shared" ref="AF100:AF105" si="42">IF(AE100&lt;4,4,AE100)</f>
        <v>21.164387243706361</v>
      </c>
      <c r="AG100" s="17">
        <f t="shared" si="39"/>
        <v>2.4441275852024464</v>
      </c>
      <c r="AH100" s="56">
        <f t="shared" si="40"/>
        <v>20.588514828908806</v>
      </c>
      <c r="AI100" s="41" t="s">
        <v>532</v>
      </c>
      <c r="AJ100" s="9" t="s">
        <v>28</v>
      </c>
      <c r="AK100" s="219">
        <f>INDEX('C-P-RollAdj'!$J$4:$J$76,MATCH(INT(Z100),'C-P-RollAdj'!$I$4:$I$76,FALSE),0)</f>
        <v>42</v>
      </c>
      <c r="AL100" s="219">
        <f>INDEX('C-P-RollAdj'!$J$4:$J$76,MATCH(INT(AC100),'C-P-RollAdj'!$I$4:$I$76,FALSE),0)</f>
        <v>34</v>
      </c>
      <c r="AM100" s="14">
        <f>+AR100*LeagueRatings!$K$27</f>
        <v>19.444444444444446</v>
      </c>
      <c r="AN100" s="72">
        <f>F100*LeagueRatings!$K$27</f>
        <v>3.3333333333333335</v>
      </c>
      <c r="AO100" s="72">
        <f>G100*LeagueRatings!$K$27</f>
        <v>3.3333333333333335</v>
      </c>
      <c r="AP100" s="72">
        <f>T100*LeagueRatings!$K$27</f>
        <v>71.111111111111114</v>
      </c>
      <c r="AR100" s="14">
        <f t="shared" si="41"/>
        <v>35</v>
      </c>
    </row>
    <row r="101" spans="1:44" x14ac:dyDescent="0.2">
      <c r="A101" s="41" t="s">
        <v>377</v>
      </c>
      <c r="B101" s="76" t="s">
        <v>165</v>
      </c>
      <c r="C101" s="76">
        <v>1</v>
      </c>
      <c r="D101" s="76">
        <v>1</v>
      </c>
      <c r="E101" s="97">
        <v>4.09</v>
      </c>
      <c r="F101" s="76">
        <v>64</v>
      </c>
      <c r="G101" s="76">
        <v>0</v>
      </c>
      <c r="H101" s="76">
        <v>0</v>
      </c>
      <c r="I101" s="76">
        <v>0</v>
      </c>
      <c r="J101" s="76">
        <v>0</v>
      </c>
      <c r="K101" s="76">
        <v>0</v>
      </c>
      <c r="L101" s="258">
        <f>INDEX('C-P-RollAdj'!$P$4:$P$900,MATCH((U101),'C-P-RollAdj'!$O$4:$O$900,FALSE),0)</f>
        <v>50.67</v>
      </c>
      <c r="M101" s="76">
        <v>56</v>
      </c>
      <c r="N101" s="76">
        <v>23</v>
      </c>
      <c r="O101" s="76">
        <v>23</v>
      </c>
      <c r="P101" s="76">
        <v>4</v>
      </c>
      <c r="Q101" s="76">
        <v>15</v>
      </c>
      <c r="R101" s="76">
        <v>2</v>
      </c>
      <c r="S101" s="76">
        <v>44</v>
      </c>
      <c r="T101" s="76">
        <v>220</v>
      </c>
      <c r="U101" s="76">
        <v>50.2</v>
      </c>
      <c r="V101" s="100">
        <v>0.28100000000000003</v>
      </c>
      <c r="W101" s="76">
        <v>1.4</v>
      </c>
      <c r="X101" s="76"/>
      <c r="Y101" s="50">
        <f t="shared" si="36"/>
        <v>5.9633027522935782</v>
      </c>
      <c r="Z101" s="6">
        <f>IF(Y101&lt;LeagueRatings!$K$21,((LeagueRatings!$K$21-Y101)/LeagueRatings!$K$21)*36,(LeagueRatings!$K$21-Y101)*6.48)</f>
        <v>12.021610027722495</v>
      </c>
      <c r="AA101" s="16">
        <f>INDEX('C-P-RollAdj'!$B$4:$B$76,MATCH(INT(Z101),'C-P-RollAdj'!$A$4:$A$76,FALSE),0)</f>
        <v>-1.01</v>
      </c>
      <c r="AB101" s="16">
        <f t="shared" si="37"/>
        <v>1.834862385321101</v>
      </c>
      <c r="AC101" s="6">
        <f>IF(AB101&lt;LeagueRatings!$K$19,((LeagueRatings!$K$19-AB101)/LeagueRatings!$K$19)*36,(LeagueRatings!$K$19-AB101)/LeagueRatings!$K$22)</f>
        <v>13.285061916320402</v>
      </c>
      <c r="AD101" s="16">
        <f>INDEX('C-P-RollAdj'!$F$4:$F$76,MATCH(INT(AC101),'C-P-RollAdj'!$E$4:$E$76,FALSE),0)</f>
        <v>-0.97</v>
      </c>
      <c r="AE101" s="17">
        <f>+((LeagueRatings!$I$17-E101)*5)+9.5</f>
        <v>9.8643872437063642</v>
      </c>
      <c r="AF101" s="17">
        <f t="shared" si="42"/>
        <v>9.8643872437063642</v>
      </c>
      <c r="AG101" s="17">
        <f t="shared" si="39"/>
        <v>-0.52595223998421092</v>
      </c>
      <c r="AH101" s="4">
        <f>+AA101+AD101+AF101+AG101</f>
        <v>7.3584350037221533</v>
      </c>
      <c r="AI101" s="41" t="s">
        <v>377</v>
      </c>
      <c r="AJ101" s="5" t="s">
        <v>55</v>
      </c>
      <c r="AK101" s="219">
        <f>INDEX('C-P-RollAdj'!$J$4:$J$76,MATCH(INT(Z101),'C-P-RollAdj'!$I$4:$I$76,FALSE),0)</f>
        <v>26</v>
      </c>
      <c r="AL101" s="219">
        <f>INDEX('C-P-RollAdj'!$J$4:$J$76,MATCH(INT(AC101),'C-P-RollAdj'!$I$4:$I$76,FALSE),0)</f>
        <v>31</v>
      </c>
      <c r="AM101" s="14">
        <f>+AR101*LeagueRatings!$K$27</f>
        <v>28.333333333333336</v>
      </c>
      <c r="AN101" s="72">
        <f>F101*LeagueRatings!$K$27</f>
        <v>35.555555555555557</v>
      </c>
      <c r="AO101" s="72">
        <f>G101*LeagueRatings!$K$27</f>
        <v>0</v>
      </c>
      <c r="AP101" s="72">
        <f>T101*LeagueRatings!$K$27</f>
        <v>122.22222222222223</v>
      </c>
      <c r="AR101" s="14">
        <f t="shared" si="41"/>
        <v>51</v>
      </c>
    </row>
    <row r="102" spans="1:44" x14ac:dyDescent="0.2">
      <c r="A102" s="41" t="s">
        <v>376</v>
      </c>
      <c r="B102" s="76" t="s">
        <v>165</v>
      </c>
      <c r="C102" s="76">
        <v>3</v>
      </c>
      <c r="D102" s="76">
        <v>2</v>
      </c>
      <c r="E102" s="97">
        <v>1.83</v>
      </c>
      <c r="F102" s="76">
        <v>71</v>
      </c>
      <c r="G102" s="76">
        <v>0</v>
      </c>
      <c r="H102" s="76">
        <v>0</v>
      </c>
      <c r="I102" s="76">
        <v>0</v>
      </c>
      <c r="J102" s="76">
        <v>47</v>
      </c>
      <c r="K102" s="76">
        <v>53</v>
      </c>
      <c r="L102" s="258">
        <f>INDEX('C-P-RollAdj'!$P$4:$P$900,MATCH((U102),'C-P-RollAdj'!$O$4:$O$900,FALSE),0)</f>
        <v>68.67</v>
      </c>
      <c r="M102" s="76">
        <v>35</v>
      </c>
      <c r="N102" s="76">
        <v>14</v>
      </c>
      <c r="O102" s="76">
        <v>14</v>
      </c>
      <c r="P102" s="76">
        <v>4</v>
      </c>
      <c r="Q102" s="76">
        <v>11</v>
      </c>
      <c r="R102" s="76">
        <v>2</v>
      </c>
      <c r="S102" s="76">
        <v>104</v>
      </c>
      <c r="T102" s="76">
        <v>251</v>
      </c>
      <c r="U102" s="76">
        <v>68.2</v>
      </c>
      <c r="V102" s="100">
        <v>0.15</v>
      </c>
      <c r="W102" s="76">
        <v>0.67</v>
      </c>
      <c r="X102" s="76"/>
      <c r="Y102" s="50">
        <f t="shared" si="36"/>
        <v>3.6144578313253009</v>
      </c>
      <c r="Z102" s="6">
        <f>IF(Y102&lt;LeagueRatings!$K$21,((LeagueRatings!$K$21-Y102)/LeagueRatings!$K$21)*36,(LeagueRatings!$K$21-Y102)*6.48)</f>
        <v>21.46629560531095</v>
      </c>
      <c r="AA102" s="16">
        <f>INDEX('C-P-RollAdj'!$B$4:$B$76,MATCH(INT(Z102),'C-P-RollAdj'!$A$4:$A$76,FALSE),0)</f>
        <v>-1.8900000000000001</v>
      </c>
      <c r="AB102" s="16">
        <f t="shared" si="37"/>
        <v>1.6064257028112447</v>
      </c>
      <c r="AC102" s="6">
        <f>IF(AB102&lt;LeagueRatings!$K$19,((LeagueRatings!$K$19-AB102)/LeagueRatings!$K$19)*36,(LeagueRatings!$K$19-AB102)/LeagueRatings!$K$22)</f>
        <v>16.113026095413048</v>
      </c>
      <c r="AD102" s="16">
        <f>INDEX('C-P-RollAdj'!$F$4:$F$76,MATCH(INT(AC102),'C-P-RollAdj'!$E$4:$E$76,FALSE),0)</f>
        <v>-1.23</v>
      </c>
      <c r="AE102" s="17">
        <f>+((LeagueRatings!$I$17-E102)*5)+9.5</f>
        <v>21.164387243706361</v>
      </c>
      <c r="AF102" s="17">
        <f t="shared" si="42"/>
        <v>21.164387243706361</v>
      </c>
      <c r="AG102" s="17">
        <f t="shared" si="39"/>
        <v>3.3622120285423041</v>
      </c>
      <c r="AH102" s="4">
        <f>+AA102+AD102+AF102+AG102</f>
        <v>21.406599272248663</v>
      </c>
      <c r="AI102" s="41" t="s">
        <v>376</v>
      </c>
      <c r="AJ102" s="5" t="s">
        <v>28</v>
      </c>
      <c r="AK102" s="219">
        <f>INDEX('C-P-RollAdj'!$J$4:$J$76,MATCH(INT(Z102),'C-P-RollAdj'!$I$4:$I$76,FALSE),0)</f>
        <v>43</v>
      </c>
      <c r="AL102" s="219">
        <f>INDEX('C-P-RollAdj'!$J$4:$J$76,MATCH(INT(AC102),'C-P-RollAdj'!$I$4:$I$76,FALSE),0)</f>
        <v>34</v>
      </c>
      <c r="AM102" s="14">
        <f>+AR102*LeagueRatings!$K$27</f>
        <v>38.333333333333336</v>
      </c>
      <c r="AN102" s="72">
        <f>F102*LeagueRatings!$K$27</f>
        <v>39.444444444444443</v>
      </c>
      <c r="AO102" s="72">
        <f>G102*LeagueRatings!$K$27</f>
        <v>0</v>
      </c>
      <c r="AP102" s="72">
        <f>T102*LeagueRatings!$K$27</f>
        <v>139.44444444444446</v>
      </c>
      <c r="AR102" s="14">
        <f t="shared" si="41"/>
        <v>69</v>
      </c>
    </row>
    <row r="103" spans="1:44" x14ac:dyDescent="0.2">
      <c r="A103" s="41" t="s">
        <v>530</v>
      </c>
      <c r="B103" s="76" t="s">
        <v>165</v>
      </c>
      <c r="C103" s="76">
        <v>10</v>
      </c>
      <c r="D103" s="76">
        <v>6</v>
      </c>
      <c r="E103" s="97">
        <v>4.5599999999999996</v>
      </c>
      <c r="F103" s="76">
        <v>26</v>
      </c>
      <c r="G103" s="76">
        <v>26</v>
      </c>
      <c r="H103" s="76">
        <v>0</v>
      </c>
      <c r="I103" s="76">
        <v>0</v>
      </c>
      <c r="J103" s="76">
        <v>0</v>
      </c>
      <c r="K103" s="76">
        <v>0</v>
      </c>
      <c r="L103" s="258">
        <f>INDEX('C-P-RollAdj'!$P$4:$P$900,MATCH((U103),'C-P-RollAdj'!$O$4:$O$900,FALSE),0)</f>
        <v>136.32999999999998</v>
      </c>
      <c r="M103" s="76">
        <v>133</v>
      </c>
      <c r="N103" s="76">
        <v>71</v>
      </c>
      <c r="O103" s="76">
        <v>69</v>
      </c>
      <c r="P103" s="76">
        <v>21</v>
      </c>
      <c r="Q103" s="76">
        <v>52</v>
      </c>
      <c r="R103" s="76">
        <v>3</v>
      </c>
      <c r="S103" s="76">
        <v>134</v>
      </c>
      <c r="T103" s="76">
        <v>590</v>
      </c>
      <c r="U103" s="76">
        <v>136.1</v>
      </c>
      <c r="V103" s="100">
        <v>0.253</v>
      </c>
      <c r="W103" s="76">
        <v>1.36</v>
      </c>
      <c r="X103" s="76"/>
      <c r="Y103" s="50">
        <f t="shared" si="36"/>
        <v>8.3475298126064725</v>
      </c>
      <c r="Z103" s="6">
        <f>IF(Y103&lt;LeagueRatings!$K$21,((LeagueRatings!$K$21-Y103)/LeagueRatings!$K$21)*36,(LeagueRatings!$K$21-Y103)*6.48)</f>
        <v>2.4346531668368145</v>
      </c>
      <c r="AA103" s="16">
        <f>INDEX('C-P-RollAdj'!$B$4:$B$76,MATCH(INT(Z103),'C-P-RollAdj'!$A$4:$A$76,FALSE),0)</f>
        <v>-0.16</v>
      </c>
      <c r="AB103" s="16">
        <f t="shared" si="37"/>
        <v>3.5775127768313459</v>
      </c>
      <c r="AC103" s="6">
        <f>IF(AB103&lt;LeagueRatings!$K$19,((LeagueRatings!$K$19-AB103)/LeagueRatings!$K$19)*36,(LeagueRatings!$K$19-AB103)/LeagueRatings!$K$22)</f>
        <v>-5.4096480658162633</v>
      </c>
      <c r="AD103" s="16">
        <f>INDEX('C-P-RollAdj'!$F$4:$F$76,MATCH(INT(AC103),'C-P-RollAdj'!$E$4:$E$76,FALSE),0)</f>
        <v>0.51</v>
      </c>
      <c r="AE103" s="17">
        <f>+((LeagueRatings!$I$17-E103)*5)+9.5</f>
        <v>7.5143872437063646</v>
      </c>
      <c r="AF103" s="17">
        <f t="shared" si="42"/>
        <v>7.5143872437063646</v>
      </c>
      <c r="AG103" s="17">
        <f t="shared" si="39"/>
        <v>0.10098217560331496</v>
      </c>
      <c r="AH103" s="4">
        <f>+AA103+AD103+AF103+AG103</f>
        <v>7.9653694193096793</v>
      </c>
      <c r="AI103" s="41" t="s">
        <v>530</v>
      </c>
      <c r="AJ103" s="5" t="s">
        <v>55</v>
      </c>
      <c r="AK103" s="219">
        <f>INDEX('C-P-RollAdj'!$J$4:$J$76,MATCH(INT(Z103),'C-P-RollAdj'!$I$4:$I$76,FALSE),0)</f>
        <v>12</v>
      </c>
      <c r="AL103" s="219">
        <f>INDEX('C-P-RollAdj'!$J$4:$J$76,MATCH(INT(AC103),'C-P-RollAdj'!$I$4:$I$76,FALSE),0)</f>
        <v>-16</v>
      </c>
      <c r="AM103" s="14">
        <f>+AR103*LeagueRatings!$K$27</f>
        <v>76.111111111111114</v>
      </c>
      <c r="AN103" s="72">
        <f>F103*LeagueRatings!$K$27</f>
        <v>14.444444444444445</v>
      </c>
      <c r="AO103" s="72">
        <f>G103*LeagueRatings!$K$27</f>
        <v>14.444444444444445</v>
      </c>
      <c r="AP103" s="72">
        <f>T103*LeagueRatings!$K$27</f>
        <v>327.77777777777777</v>
      </c>
      <c r="AR103" s="14">
        <f t="shared" si="41"/>
        <v>137</v>
      </c>
    </row>
    <row r="104" spans="1:44" x14ac:dyDescent="0.2">
      <c r="A104" s="41" t="s">
        <v>375</v>
      </c>
      <c r="B104" s="76" t="s">
        <v>165</v>
      </c>
      <c r="C104" s="76">
        <v>12</v>
      </c>
      <c r="D104" s="76">
        <v>4</v>
      </c>
      <c r="E104" s="97">
        <v>1.69</v>
      </c>
      <c r="F104" s="76">
        <v>21</v>
      </c>
      <c r="G104" s="76">
        <v>21</v>
      </c>
      <c r="H104" s="76">
        <v>3</v>
      </c>
      <c r="I104" s="76">
        <v>3</v>
      </c>
      <c r="J104" s="76">
        <v>0</v>
      </c>
      <c r="K104" s="76">
        <v>0</v>
      </c>
      <c r="L104" s="258">
        <f>INDEX('C-P-RollAdj'!$P$4:$P$900,MATCH((U104),'C-P-RollAdj'!$O$4:$O$900,FALSE),0)</f>
        <v>149</v>
      </c>
      <c r="M104" s="76">
        <v>97</v>
      </c>
      <c r="N104" s="76">
        <v>31</v>
      </c>
      <c r="O104" s="76">
        <v>28</v>
      </c>
      <c r="P104" s="76">
        <v>8</v>
      </c>
      <c r="Q104" s="76">
        <v>11</v>
      </c>
      <c r="R104" s="76">
        <v>1</v>
      </c>
      <c r="S104" s="76">
        <v>172</v>
      </c>
      <c r="T104" s="76">
        <v>544</v>
      </c>
      <c r="U104" s="76">
        <v>149</v>
      </c>
      <c r="V104" s="100">
        <v>0.184</v>
      </c>
      <c r="W104" s="76">
        <v>0.72</v>
      </c>
      <c r="X104" s="76"/>
      <c r="Y104" s="50">
        <f t="shared" si="36"/>
        <v>1.8416206261510131</v>
      </c>
      <c r="Z104" s="6">
        <f>IF(Y104&lt;LeagueRatings!$K$21,((LeagueRatings!$K$21-Y104)/LeagueRatings!$K$21)*36,(LeagueRatings!$K$21-Y104)*6.48)</f>
        <v>28.594859025419328</v>
      </c>
      <c r="AA104" s="16">
        <f>INDEX('C-P-RollAdj'!$B$4:$B$76,MATCH(INT(Z104),'C-P-RollAdj'!$A$4:$A$76,FALSE),0)</f>
        <v>-2.66</v>
      </c>
      <c r="AB104" s="16">
        <f t="shared" si="37"/>
        <v>1.4732965009208103</v>
      </c>
      <c r="AC104" s="6">
        <f>IF(AB104&lt;LeagueRatings!$K$19,((LeagueRatings!$K$19-AB104)/LeagueRatings!$K$19)*36,(LeagueRatings!$K$19-AB104)/LeagueRatings!$K$22)</f>
        <v>17.761117855461688</v>
      </c>
      <c r="AD104" s="16">
        <f>INDEX('C-P-RollAdj'!$F$4:$F$76,MATCH(INT(AC104),'C-P-RollAdj'!$E$4:$E$76,FALSE),0)</f>
        <v>-1.32</v>
      </c>
      <c r="AE104" s="17">
        <f>+((LeagueRatings!$I$17-E104)*5)+9.5</f>
        <v>21.864387243706361</v>
      </c>
      <c r="AF104" s="17">
        <f t="shared" si="42"/>
        <v>21.864387243706361</v>
      </c>
      <c r="AG104" s="17">
        <f t="shared" si="39"/>
        <v>2.3729530201342288</v>
      </c>
      <c r="AH104" s="4">
        <f>+AA104+AD104+AF104+AG104</f>
        <v>20.25734026384059</v>
      </c>
      <c r="AI104" s="41" t="s">
        <v>375</v>
      </c>
      <c r="AJ104" s="5" t="s">
        <v>72</v>
      </c>
      <c r="AK104" s="219">
        <f>INDEX('C-P-RollAdj'!$J$4:$J$76,MATCH(INT(Z104),'C-P-RollAdj'!$I$4:$I$76,FALSE),0)</f>
        <v>54</v>
      </c>
      <c r="AL104" s="219">
        <f>INDEX('C-P-RollAdj'!$J$4:$J$76,MATCH(INT(AC104),'C-P-RollAdj'!$I$4:$I$76,FALSE),0)</f>
        <v>35</v>
      </c>
      <c r="AM104" s="14">
        <f>+AR104*LeagueRatings!$K$27</f>
        <v>82.777777777777786</v>
      </c>
      <c r="AN104" s="72">
        <f>F104*LeagueRatings!$K$27</f>
        <v>11.666666666666668</v>
      </c>
      <c r="AO104" s="72">
        <f>G104*LeagueRatings!$K$27</f>
        <v>11.666666666666668</v>
      </c>
      <c r="AP104" s="72">
        <f>T104*LeagueRatings!$K$27</f>
        <v>302.22222222222223</v>
      </c>
      <c r="AR104" s="14">
        <f t="shared" si="41"/>
        <v>149</v>
      </c>
    </row>
    <row r="105" spans="1:44" x14ac:dyDescent="0.2">
      <c r="A105" s="41" t="s">
        <v>1116</v>
      </c>
      <c r="B105" s="76" t="s">
        <v>165</v>
      </c>
      <c r="C105" s="76">
        <v>2</v>
      </c>
      <c r="D105" s="76">
        <v>2</v>
      </c>
      <c r="E105" s="97">
        <v>3.38</v>
      </c>
      <c r="F105" s="76">
        <v>58</v>
      </c>
      <c r="G105" s="76">
        <v>0</v>
      </c>
      <c r="H105" s="76">
        <v>0</v>
      </c>
      <c r="I105" s="76">
        <v>0</v>
      </c>
      <c r="J105" s="76">
        <v>0</v>
      </c>
      <c r="K105" s="76">
        <v>2</v>
      </c>
      <c r="L105" s="258">
        <f>INDEX('C-P-RollAdj'!$P$4:$P$900,MATCH((U105),'C-P-RollAdj'!$O$4:$O$900,FALSE),0)</f>
        <v>42.67</v>
      </c>
      <c r="M105" s="76">
        <v>34</v>
      </c>
      <c r="N105" s="76">
        <v>16</v>
      </c>
      <c r="O105" s="76">
        <v>16</v>
      </c>
      <c r="P105" s="76">
        <v>2</v>
      </c>
      <c r="Q105" s="76">
        <v>17</v>
      </c>
      <c r="R105" s="76">
        <v>4</v>
      </c>
      <c r="S105" s="76">
        <v>47</v>
      </c>
      <c r="T105" s="76">
        <v>176</v>
      </c>
      <c r="U105" s="76">
        <v>42.2</v>
      </c>
      <c r="V105" s="100">
        <v>0.219</v>
      </c>
      <c r="W105" s="76">
        <v>1.2</v>
      </c>
      <c r="X105" s="76"/>
      <c r="Y105" s="50">
        <f t="shared" si="36"/>
        <v>7.5581395348837201</v>
      </c>
      <c r="Z105" s="6">
        <f>IF(Y105&lt;LeagueRatings!$K$21,((LeagueRatings!$K$21-Y105)/LeagueRatings!$K$21)*36,(LeagueRatings!$K$21-Y105)*6.48)</f>
        <v>5.6087848025785156</v>
      </c>
      <c r="AA105" s="16">
        <f>INDEX('C-P-RollAdj'!$B$4:$B$76,MATCH(INT(Z105),'C-P-RollAdj'!$A$4:$A$76,FALSE),0)</f>
        <v>-0.4</v>
      </c>
      <c r="AB105" s="16">
        <f t="shared" si="37"/>
        <v>1.1627906976744187</v>
      </c>
      <c r="AC105" s="6">
        <f>IF(AB105&lt;LeagueRatings!$K$19,((LeagueRatings!$K$19-AB105)/LeagueRatings!$K$19)*36,(LeagueRatings!$K$19-AB105)/LeagueRatings!$K$22)</f>
        <v>21.605068307435605</v>
      </c>
      <c r="AD105" s="16">
        <f>INDEX('C-P-RollAdj'!$F$4:$F$76,MATCH(INT(AC105),'C-P-RollAdj'!$E$4:$E$76,FALSE),0)</f>
        <v>-1.6800000000000002</v>
      </c>
      <c r="AE105" s="17">
        <f>+((LeagueRatings!$I$17-E105)*5)+9.5</f>
        <v>13.414387243706363</v>
      </c>
      <c r="AF105" s="17">
        <f t="shared" si="42"/>
        <v>13.414387243706363</v>
      </c>
      <c r="AG105" s="17">
        <f t="shared" si="39"/>
        <v>1.3523107569721118</v>
      </c>
      <c r="AH105" s="4">
        <f>+AA105+AD105+AF105+AG105</f>
        <v>12.686698000678476</v>
      </c>
      <c r="AI105" s="41" t="s">
        <v>1116</v>
      </c>
      <c r="AJ105" s="5" t="s">
        <v>16</v>
      </c>
      <c r="AK105" s="219">
        <f>INDEX('C-P-RollAdj'!$J$4:$J$76,MATCH(INT(Z105),'C-P-RollAdj'!$I$4:$I$76,FALSE),0)</f>
        <v>15</v>
      </c>
      <c r="AL105" s="219">
        <f>INDEX('C-P-RollAdj'!$J$4:$J$76,MATCH(INT(AC105),'C-P-RollAdj'!$I$4:$I$76,FALSE),0)</f>
        <v>43</v>
      </c>
      <c r="AM105" s="14">
        <f>+AR105*LeagueRatings!$K$27</f>
        <v>23.888888888888889</v>
      </c>
      <c r="AN105" s="72">
        <f>F105*LeagueRatings!$K$27</f>
        <v>32.222222222222221</v>
      </c>
      <c r="AO105" s="72">
        <f>G105*LeagueRatings!$K$27</f>
        <v>0</v>
      </c>
      <c r="AP105" s="72">
        <f>T105*LeagueRatings!$K$27</f>
        <v>97.777777777777786</v>
      </c>
      <c r="AR105" s="14">
        <f t="shared" si="41"/>
        <v>43</v>
      </c>
    </row>
    <row r="106" spans="1:44" x14ac:dyDescent="0.2">
      <c r="A106" s="41" t="s">
        <v>1446</v>
      </c>
      <c r="B106" s="76" t="s">
        <v>165</v>
      </c>
      <c r="C106" s="76">
        <v>16</v>
      </c>
      <c r="D106" s="76">
        <v>11</v>
      </c>
      <c r="E106" s="97">
        <v>3.48</v>
      </c>
      <c r="F106" s="76">
        <v>32</v>
      </c>
      <c r="G106" s="76">
        <v>32</v>
      </c>
      <c r="H106" s="76">
        <v>0</v>
      </c>
      <c r="I106" s="76">
        <v>0</v>
      </c>
      <c r="J106" s="76">
        <v>0</v>
      </c>
      <c r="K106" s="76">
        <v>0</v>
      </c>
      <c r="L106" s="258">
        <f>INDEX('C-P-RollAdj'!$P$4:$P$900,MATCH((U106),'C-P-RollAdj'!$O$4:$O$900,FALSE),0)</f>
        <v>175.67000000000002</v>
      </c>
      <c r="M106" s="76">
        <v>150</v>
      </c>
      <c r="N106" s="76">
        <v>72</v>
      </c>
      <c r="O106" s="76">
        <v>68</v>
      </c>
      <c r="P106" s="76">
        <v>20</v>
      </c>
      <c r="Q106" s="76">
        <v>50</v>
      </c>
      <c r="R106" s="76">
        <v>6</v>
      </c>
      <c r="S106" s="76">
        <v>179</v>
      </c>
      <c r="T106" s="76">
        <v>716</v>
      </c>
      <c r="U106" s="76">
        <v>175.2</v>
      </c>
      <c r="V106" s="100">
        <v>0.22900000000000001</v>
      </c>
      <c r="W106" s="76">
        <v>1.1399999999999999</v>
      </c>
      <c r="X106" s="76"/>
      <c r="Y106" s="50">
        <f t="shared" si="36"/>
        <v>6.197183098591549</v>
      </c>
      <c r="Z106" s="6">
        <f>IF(Y106&lt;LeagueRatings!$K$21,((LeagueRatings!$K$21-Y106)/LeagueRatings!$K$21)*36,(LeagueRatings!$K$21-Y106)*6.48)</f>
        <v>11.081179131735015</v>
      </c>
      <c r="AA106" s="16">
        <f>INDEX('C-P-RollAdj'!$B$4:$B$76,MATCH(INT(Z106),'C-P-RollAdj'!$A$4:$A$76,FALSE),0)</f>
        <v>-0.92</v>
      </c>
      <c r="AB106" s="16">
        <f t="shared" si="37"/>
        <v>2.8169014084507045</v>
      </c>
      <c r="AC106" s="6">
        <f>IF(AB106&lt;LeagueRatings!$K$19,((LeagueRatings!$K$19-AB106)/LeagueRatings!$K$19)*36,(LeagueRatings!$K$19-AB106)/LeagueRatings!$K$22)</f>
        <v>1.127771110970756</v>
      </c>
      <c r="AD106" s="16">
        <f>INDEX('C-P-RollAdj'!$F$4:$F$76,MATCH(INT(AC106),'C-P-RollAdj'!$E$4:$E$76,FALSE),0)</f>
        <v>-7.0000000000000007E-2</v>
      </c>
      <c r="AE106" s="17">
        <f>+((LeagueRatings!$I$17-E106)*5)+9.5</f>
        <v>12.914387243706363</v>
      </c>
      <c r="AF106" s="17">
        <f t="shared" ref="AF106:AF120" si="43">IF(AE106&lt;4,4,AE106)</f>
        <v>12.914387243706363</v>
      </c>
      <c r="AG106" s="17">
        <f t="shared" si="39"/>
        <v>0.95288381624637131</v>
      </c>
      <c r="AH106" s="4">
        <f t="shared" ref="AH106:AH120" si="44">+AA106+AD106+AF106+AG106</f>
        <v>12.877271059952735</v>
      </c>
      <c r="AI106" s="41" t="s">
        <v>1446</v>
      </c>
      <c r="AJ106" s="5" t="s">
        <v>16</v>
      </c>
      <c r="AK106" s="219">
        <f>INDEX('C-P-RollAdj'!$J$4:$J$76,MATCH(INT(Z106),'C-P-RollAdj'!$I$4:$I$76,FALSE),0)</f>
        <v>25</v>
      </c>
      <c r="AL106" s="219">
        <f>INDEX('C-P-RollAdj'!$J$4:$J$76,MATCH(INT(AC106),'C-P-RollAdj'!$I$4:$I$76,FALSE),0)</f>
        <v>11</v>
      </c>
      <c r="AM106" s="14">
        <f>+AR106*LeagueRatings!$K$27</f>
        <v>97.777777777777786</v>
      </c>
      <c r="AN106" s="72">
        <f>F106*LeagueRatings!$K$27</f>
        <v>17.777777777777779</v>
      </c>
      <c r="AO106" s="72">
        <f>G106*LeagueRatings!$K$27</f>
        <v>17.777777777777779</v>
      </c>
      <c r="AP106" s="72">
        <f>T106*LeagueRatings!$K$27</f>
        <v>397.77777777777777</v>
      </c>
      <c r="AR106" s="14">
        <f t="shared" si="41"/>
        <v>176</v>
      </c>
    </row>
    <row r="107" spans="1:44" s="28" customFormat="1" x14ac:dyDescent="0.2">
      <c r="A107" s="41" t="s">
        <v>492</v>
      </c>
      <c r="B107" s="76" t="s">
        <v>165</v>
      </c>
      <c r="C107" s="76">
        <v>3</v>
      </c>
      <c r="D107" s="76">
        <v>3</v>
      </c>
      <c r="E107" s="97">
        <v>6.54</v>
      </c>
      <c r="F107" s="76">
        <v>13</v>
      </c>
      <c r="G107" s="76">
        <v>9</v>
      </c>
      <c r="H107" s="76">
        <v>0</v>
      </c>
      <c r="I107" s="76">
        <v>0</v>
      </c>
      <c r="J107" s="76">
        <v>0</v>
      </c>
      <c r="K107" s="76">
        <v>0</v>
      </c>
      <c r="L107" s="258">
        <f>INDEX('C-P-RollAdj'!$P$4:$P$900,MATCH((U107),'C-P-RollAdj'!$O$4:$O$900,FALSE),0)</f>
        <v>42.67</v>
      </c>
      <c r="M107" s="76">
        <v>48</v>
      </c>
      <c r="N107" s="76">
        <v>33</v>
      </c>
      <c r="O107" s="76">
        <v>31</v>
      </c>
      <c r="P107" s="76">
        <v>8</v>
      </c>
      <c r="Q107" s="76">
        <v>21</v>
      </c>
      <c r="R107" s="76">
        <v>3</v>
      </c>
      <c r="S107" s="76">
        <v>42</v>
      </c>
      <c r="T107" s="76">
        <v>194</v>
      </c>
      <c r="U107" s="76">
        <v>42.2</v>
      </c>
      <c r="V107" s="100">
        <v>0.27900000000000003</v>
      </c>
      <c r="W107" s="76">
        <v>1.62</v>
      </c>
      <c r="X107" s="76"/>
      <c r="Y107" s="50">
        <f t="shared" si="36"/>
        <v>9.4240837696335085</v>
      </c>
      <c r="Z107" s="6">
        <f>IF(Y107&lt;LeagueRatings!$K$21,((LeagueRatings!$K$21-Y107)/LeagueRatings!$K$21)*36,(LeagueRatings!$K$21-Y107)*6.48)</f>
        <v>-3.0525218478941016</v>
      </c>
      <c r="AA107" s="16">
        <f>INDEX('C-P-RollAdj'!$B$4:$B$76,MATCH(INT(Z107),'C-P-RollAdj'!$A$4:$A$76,FALSE),0)</f>
        <v>0.36</v>
      </c>
      <c r="AB107" s="16">
        <f t="shared" si="37"/>
        <v>4.1884816753926701</v>
      </c>
      <c r="AC107" s="6">
        <f>IF(AB107&lt;LeagueRatings!$K$19,((LeagueRatings!$K$19-AB107)/LeagueRatings!$K$19)*36,(LeagueRatings!$K$19-AB107)/LeagueRatings!$K$22)</f>
        <v>-10.346264844847401</v>
      </c>
      <c r="AD107" s="16">
        <f>INDEX('C-P-RollAdj'!$F$4:$F$76,MATCH(INT(AC107),'C-P-RollAdj'!$E$4:$E$76,FALSE),0)</f>
        <v>1.03</v>
      </c>
      <c r="AE107" s="17">
        <f>+((LeagueRatings!$I$17-E107)*5)+9.5</f>
        <v>-2.3856127562936376</v>
      </c>
      <c r="AF107" s="17">
        <f>IF(AE107&lt;4,4,AE107)</f>
        <v>4</v>
      </c>
      <c r="AG107" s="17">
        <f t="shared" si="39"/>
        <v>-0.6245605812045929</v>
      </c>
      <c r="AH107" s="4">
        <f>+AA107+AD107+AF107+AG107</f>
        <v>4.7654394187954079</v>
      </c>
      <c r="AI107" s="41" t="s">
        <v>492</v>
      </c>
      <c r="AJ107" s="5" t="s">
        <v>19</v>
      </c>
      <c r="AK107" s="219">
        <f>INDEX('C-P-RollAdj'!$J$4:$J$76,MATCH(INT(Z107),'C-P-RollAdj'!$I$4:$I$76,FALSE),0)</f>
        <v>-14</v>
      </c>
      <c r="AL107" s="219">
        <f>INDEX('C-P-RollAdj'!$J$4:$J$76,MATCH(INT(AC107),'C-P-RollAdj'!$I$4:$I$76,FALSE),0)</f>
        <v>-25</v>
      </c>
      <c r="AM107" s="14">
        <f>+AR107*LeagueRatings!$K$27</f>
        <v>23.888888888888889</v>
      </c>
      <c r="AN107" s="72">
        <f>F107*LeagueRatings!$K$27</f>
        <v>7.2222222222222223</v>
      </c>
      <c r="AO107" s="72">
        <f>G107*LeagueRatings!$K$27</f>
        <v>5</v>
      </c>
      <c r="AP107" s="72">
        <f>T107*LeagueRatings!$K$27</f>
        <v>107.77777777777779</v>
      </c>
      <c r="AQ107" s="24"/>
      <c r="AR107" s="14">
        <f t="shared" si="41"/>
        <v>43</v>
      </c>
    </row>
    <row r="108" spans="1:44" s="28" customFormat="1" x14ac:dyDescent="0.2">
      <c r="A108" s="41" t="s">
        <v>1447</v>
      </c>
      <c r="B108" s="76" t="s">
        <v>165</v>
      </c>
      <c r="C108" s="76">
        <v>5</v>
      </c>
      <c r="D108" s="76">
        <v>9</v>
      </c>
      <c r="E108" s="97">
        <v>3.96</v>
      </c>
      <c r="F108" s="76">
        <v>22</v>
      </c>
      <c r="G108" s="76">
        <v>14</v>
      </c>
      <c r="H108" s="76">
        <v>0</v>
      </c>
      <c r="I108" s="76">
        <v>0</v>
      </c>
      <c r="J108" s="76">
        <v>0</v>
      </c>
      <c r="K108" s="76">
        <v>0</v>
      </c>
      <c r="L108" s="258">
        <f>INDEX('C-P-RollAdj'!$P$4:$P$900,MATCH((U108),'C-P-RollAdj'!$O$4:$O$900,FALSE),0)</f>
        <v>100</v>
      </c>
      <c r="M108" s="76">
        <v>96</v>
      </c>
      <c r="N108" s="76">
        <v>46</v>
      </c>
      <c r="O108" s="76">
        <v>44</v>
      </c>
      <c r="P108" s="76">
        <v>10</v>
      </c>
      <c r="Q108" s="76">
        <v>30</v>
      </c>
      <c r="R108" s="76">
        <v>3</v>
      </c>
      <c r="S108" s="76">
        <v>74</v>
      </c>
      <c r="T108" s="76">
        <v>419</v>
      </c>
      <c r="U108" s="76">
        <v>100</v>
      </c>
      <c r="V108" s="100">
        <v>0.25</v>
      </c>
      <c r="W108" s="76">
        <v>1.26</v>
      </c>
      <c r="X108" s="8"/>
      <c r="Y108" s="50">
        <f t="shared" si="36"/>
        <v>6.4903846153846159</v>
      </c>
      <c r="Z108" s="6">
        <f>IF(Y108&lt;LeagueRatings!$K$21,((LeagueRatings!$K$21-Y108)/LeagueRatings!$K$21)*36,(LeagueRatings!$K$21-Y108)*6.48)</f>
        <v>9.9022183104982613</v>
      </c>
      <c r="AA108" s="16">
        <f>INDEX('C-P-RollAdj'!$B$4:$B$76,MATCH(INT(Z108),'C-P-RollAdj'!$A$4:$A$76,FALSE),0)</f>
        <v>-0.74</v>
      </c>
      <c r="AB108" s="16">
        <f t="shared" si="37"/>
        <v>2.4038461538461542</v>
      </c>
      <c r="AC108" s="6">
        <f>IF(AB108&lt;LeagueRatings!$K$19,((LeagueRatings!$K$19-AB108)/LeagueRatings!$K$19)*36,(LeagueRatings!$K$19-AB108)/LeagueRatings!$K$22)</f>
        <v>6.2412469817178309</v>
      </c>
      <c r="AD108" s="16">
        <f>INDEX('C-P-RollAdj'!$F$4:$F$76,MATCH(INT(AC108),'C-P-RollAdj'!$E$4:$E$76,FALSE),0)</f>
        <v>-0.42000000000000004</v>
      </c>
      <c r="AE108" s="17">
        <f>+((LeagueRatings!$I$17-E108)*5)+9.5</f>
        <v>10.514387243706363</v>
      </c>
      <c r="AF108" s="17">
        <f>IF(AE108&lt;4,4,AE108)</f>
        <v>10.514387243706363</v>
      </c>
      <c r="AG108" s="17">
        <f t="shared" si="39"/>
        <v>0.21000000000000024</v>
      </c>
      <c r="AH108" s="4">
        <f>+AA108+AD108+AF108+AG108</f>
        <v>9.5643872437063635</v>
      </c>
      <c r="AI108" s="41" t="s">
        <v>1447</v>
      </c>
      <c r="AJ108" s="5" t="s">
        <v>39</v>
      </c>
      <c r="AK108" s="219">
        <f>INDEX('C-P-RollAdj'!$J$4:$J$76,MATCH(INT(Z108),'C-P-RollAdj'!$I$4:$I$76,FALSE),0)</f>
        <v>23</v>
      </c>
      <c r="AL108" s="219">
        <f>INDEX('C-P-RollAdj'!$J$4:$J$76,MATCH(INT(AC108),'C-P-RollAdj'!$I$4:$I$76,FALSE),0)</f>
        <v>16</v>
      </c>
      <c r="AM108" s="14">
        <f>+AR108*LeagueRatings!$K$27</f>
        <v>55.555555555555557</v>
      </c>
      <c r="AN108" s="72">
        <f>F108*LeagueRatings!$K$27</f>
        <v>12.222222222222223</v>
      </c>
      <c r="AO108" s="72">
        <f>G108*LeagueRatings!$K$27</f>
        <v>7.7777777777777786</v>
      </c>
      <c r="AP108" s="72">
        <f>T108*LeagueRatings!$K$27</f>
        <v>232.7777777777778</v>
      </c>
      <c r="AQ108" s="24"/>
      <c r="AR108" s="14">
        <f t="shared" si="41"/>
        <v>100</v>
      </c>
    </row>
    <row r="109" spans="1:44" s="122" customFormat="1" x14ac:dyDescent="0.2">
      <c r="A109" s="41" t="s">
        <v>1445</v>
      </c>
      <c r="B109" s="76" t="s">
        <v>165</v>
      </c>
      <c r="C109" s="76">
        <v>5</v>
      </c>
      <c r="D109" s="76">
        <v>2</v>
      </c>
      <c r="E109" s="97">
        <v>3.39</v>
      </c>
      <c r="F109" s="76">
        <v>18</v>
      </c>
      <c r="G109" s="76">
        <v>15</v>
      </c>
      <c r="H109" s="76">
        <v>0</v>
      </c>
      <c r="I109" s="76">
        <v>0</v>
      </c>
      <c r="J109" s="76">
        <v>0</v>
      </c>
      <c r="K109" s="76">
        <v>0</v>
      </c>
      <c r="L109" s="258">
        <f>INDEX('C-P-RollAdj'!$P$4:$P$900,MATCH((U109),'C-P-RollAdj'!$O$4:$O$900,FALSE),0)</f>
        <v>77</v>
      </c>
      <c r="M109" s="76">
        <v>81</v>
      </c>
      <c r="N109" s="76">
        <v>32</v>
      </c>
      <c r="O109" s="76">
        <v>29</v>
      </c>
      <c r="P109" s="76">
        <v>5</v>
      </c>
      <c r="Q109" s="76">
        <v>31</v>
      </c>
      <c r="R109" s="76">
        <v>0</v>
      </c>
      <c r="S109" s="76">
        <v>84</v>
      </c>
      <c r="T109" s="76">
        <v>336</v>
      </c>
      <c r="U109" s="76">
        <v>77</v>
      </c>
      <c r="V109" s="100">
        <v>0.27400000000000002</v>
      </c>
      <c r="W109" s="76">
        <v>1.45</v>
      </c>
      <c r="X109" s="8"/>
      <c r="Y109" s="50">
        <f t="shared" si="36"/>
        <v>9.2261904761904763</v>
      </c>
      <c r="Z109" s="6">
        <f>IF(Y109&lt;LeagueRatings!$K$21,((LeagueRatings!$K$21-Y109)/LeagueRatings!$K$21)*36,(LeagueRatings!$K$21-Y109)*6.48)</f>
        <v>-1.7701733063832532</v>
      </c>
      <c r="AA109" s="16">
        <f>INDEX('C-P-RollAdj'!$B$4:$B$76,MATCH(INT(Z109),'C-P-RollAdj'!$A$4:$A$76,FALSE),0)</f>
        <v>0.18</v>
      </c>
      <c r="AB109" s="16">
        <f t="shared" si="37"/>
        <v>1.4880952380952379</v>
      </c>
      <c r="AC109" s="6">
        <f>IF(AB109&lt;LeagueRatings!$K$19,((LeagueRatings!$K$19-AB109)/LeagueRatings!$K$19)*36,(LeagueRatings!$K$19-AB109)/LeagueRatings!$K$22)</f>
        <v>17.57791479820628</v>
      </c>
      <c r="AD109" s="16">
        <f>INDEX('C-P-RollAdj'!$F$4:$F$76,MATCH(INT(AC109),'C-P-RollAdj'!$E$4:$E$76,FALSE),0)</f>
        <v>-1.32</v>
      </c>
      <c r="AE109" s="17">
        <f>+((LeagueRatings!$I$17-E109)*5)+9.5</f>
        <v>13.364387243706362</v>
      </c>
      <c r="AF109" s="17">
        <f>IF(AE109&lt;4,4,AE109)</f>
        <v>13.364387243706362</v>
      </c>
      <c r="AG109" s="17">
        <f t="shared" si="39"/>
        <v>-0.25974025974025983</v>
      </c>
      <c r="AH109" s="4">
        <f>+AA109+AD109+AF109+AG109</f>
        <v>11.964646983966102</v>
      </c>
      <c r="AI109" s="41" t="s">
        <v>1445</v>
      </c>
      <c r="AJ109" s="5" t="s">
        <v>59</v>
      </c>
      <c r="AK109" s="219">
        <f>INDEX('C-P-RollAdj'!$J$4:$J$76,MATCH(INT(Z109),'C-P-RollAdj'!$I$4:$I$76,FALSE),0)</f>
        <v>-12</v>
      </c>
      <c r="AL109" s="219">
        <f>INDEX('C-P-RollAdj'!$J$4:$J$76,MATCH(INT(AC109),'C-P-RollAdj'!$I$4:$I$76,FALSE),0)</f>
        <v>35</v>
      </c>
      <c r="AM109" s="14">
        <f>+AR109*LeagueRatings!$K$27</f>
        <v>42.777777777777779</v>
      </c>
      <c r="AN109" s="72">
        <f>F109*LeagueRatings!$K$27</f>
        <v>10</v>
      </c>
      <c r="AO109" s="72">
        <f>G109*LeagueRatings!$K$27</f>
        <v>8.3333333333333339</v>
      </c>
      <c r="AP109" s="72">
        <f>T109*LeagueRatings!$K$27</f>
        <v>186.66666666666669</v>
      </c>
      <c r="AQ109" s="24"/>
      <c r="AR109" s="14">
        <f t="shared" si="41"/>
        <v>77</v>
      </c>
    </row>
    <row r="110" spans="1:44" s="28" customFormat="1" x14ac:dyDescent="0.2">
      <c r="A110" s="124"/>
      <c r="B110" s="125"/>
      <c r="C110" s="125"/>
      <c r="D110" s="125"/>
      <c r="E110" s="126"/>
      <c r="F110" s="125"/>
      <c r="G110" s="125"/>
      <c r="H110" s="8"/>
      <c r="I110" s="8"/>
      <c r="J110" s="125"/>
      <c r="K110" s="125"/>
      <c r="L110" s="126"/>
      <c r="M110" s="125"/>
      <c r="N110" s="125"/>
      <c r="O110" s="125"/>
      <c r="P110" s="125"/>
      <c r="Q110" s="125"/>
      <c r="R110" s="8"/>
      <c r="S110" s="125"/>
      <c r="T110" s="8"/>
      <c r="U110" s="8"/>
      <c r="V110" s="274"/>
      <c r="W110" s="8"/>
      <c r="X110" s="70"/>
      <c r="Y110" s="52"/>
      <c r="Z110" s="53"/>
      <c r="AA110" s="54"/>
      <c r="AB110" s="54"/>
      <c r="AC110" s="53"/>
      <c r="AD110" s="54"/>
      <c r="AE110" s="55"/>
      <c r="AF110" s="55"/>
      <c r="AG110" s="55"/>
      <c r="AH110" s="56"/>
      <c r="AI110" s="124"/>
      <c r="AJ110" s="9"/>
      <c r="AK110" s="9"/>
      <c r="AL110" s="9"/>
      <c r="AM110" s="14"/>
      <c r="AN110" s="72"/>
      <c r="AO110" s="72"/>
      <c r="AP110" s="72"/>
      <c r="AR110" s="14"/>
    </row>
    <row r="111" spans="1:44" x14ac:dyDescent="0.2">
      <c r="A111" s="69" t="s">
        <v>106</v>
      </c>
      <c r="B111" s="70" t="s">
        <v>157</v>
      </c>
      <c r="C111" s="71" t="s">
        <v>85</v>
      </c>
      <c r="D111" s="70" t="s">
        <v>86</v>
      </c>
      <c r="E111" s="71" t="s">
        <v>87</v>
      </c>
      <c r="F111" s="70" t="s">
        <v>108</v>
      </c>
      <c r="G111" s="70" t="s">
        <v>88</v>
      </c>
      <c r="H111" s="70" t="s">
        <v>89</v>
      </c>
      <c r="I111" s="72" t="s">
        <v>317</v>
      </c>
      <c r="J111" s="72" t="s">
        <v>90</v>
      </c>
      <c r="K111" s="72" t="s">
        <v>158</v>
      </c>
      <c r="L111" s="71" t="s">
        <v>91</v>
      </c>
      <c r="M111" s="70" t="s">
        <v>92</v>
      </c>
      <c r="N111" s="70" t="s">
        <v>93</v>
      </c>
      <c r="O111" s="70" t="s">
        <v>94</v>
      </c>
      <c r="P111" s="70" t="s">
        <v>95</v>
      </c>
      <c r="Q111" s="70" t="s">
        <v>96</v>
      </c>
      <c r="R111" s="70" t="s">
        <v>98</v>
      </c>
      <c r="S111" s="70" t="s">
        <v>97</v>
      </c>
      <c r="T111" s="70" t="s">
        <v>109</v>
      </c>
      <c r="U111" s="196" t="s">
        <v>91</v>
      </c>
      <c r="V111" s="277" t="s">
        <v>1071</v>
      </c>
      <c r="W111" s="196" t="s">
        <v>1072</v>
      </c>
      <c r="X111" s="70"/>
      <c r="Y111" s="115" t="s">
        <v>2</v>
      </c>
      <c r="Z111" s="116" t="s">
        <v>3</v>
      </c>
      <c r="AA111" s="117" t="s">
        <v>4</v>
      </c>
      <c r="AB111" s="118" t="s">
        <v>5</v>
      </c>
      <c r="AC111" s="116" t="s">
        <v>6</v>
      </c>
      <c r="AD111" s="117" t="s">
        <v>7</v>
      </c>
      <c r="AE111" s="119" t="s">
        <v>8</v>
      </c>
      <c r="AF111" s="119" t="s">
        <v>81</v>
      </c>
      <c r="AG111" s="119" t="s">
        <v>9</v>
      </c>
      <c r="AH111" s="120" t="s">
        <v>10</v>
      </c>
      <c r="AI111" s="69" t="s">
        <v>106</v>
      </c>
      <c r="AJ111" s="7" t="s">
        <v>11</v>
      </c>
      <c r="AK111" s="7" t="s">
        <v>12</v>
      </c>
      <c r="AL111" s="7" t="s">
        <v>13</v>
      </c>
      <c r="AN111" s="72"/>
      <c r="AO111" s="72"/>
      <c r="AP111" s="72"/>
      <c r="AQ111" s="122"/>
      <c r="AR111" s="14"/>
    </row>
    <row r="112" spans="1:44" x14ac:dyDescent="0.2">
      <c r="A112" s="69"/>
      <c r="B112" s="70"/>
      <c r="C112" s="71"/>
      <c r="D112" s="70"/>
      <c r="E112" s="71"/>
      <c r="F112" s="70"/>
      <c r="G112" s="70"/>
      <c r="H112" s="70"/>
      <c r="I112" s="72"/>
      <c r="J112" s="72"/>
      <c r="K112" s="72"/>
      <c r="L112" s="71"/>
      <c r="M112" s="70"/>
      <c r="N112" s="70"/>
      <c r="O112" s="70"/>
      <c r="P112" s="70"/>
      <c r="Q112" s="70"/>
      <c r="R112" s="70"/>
      <c r="S112" s="70"/>
      <c r="T112" s="70"/>
      <c r="U112" s="70"/>
      <c r="V112" s="164"/>
      <c r="W112" s="70"/>
      <c r="X112" s="76"/>
      <c r="Y112" s="52"/>
      <c r="Z112" s="53"/>
      <c r="AA112" s="54"/>
      <c r="AB112" s="54"/>
      <c r="AC112" s="53"/>
      <c r="AD112" s="54"/>
      <c r="AE112" s="55"/>
      <c r="AF112" s="55"/>
      <c r="AG112" s="55"/>
      <c r="AH112" s="56"/>
      <c r="AI112" s="69"/>
      <c r="AJ112" s="9"/>
      <c r="AK112" s="9"/>
      <c r="AL112" s="9"/>
      <c r="AN112" s="72"/>
      <c r="AO112" s="72"/>
      <c r="AP112" s="72"/>
      <c r="AQ112" s="28"/>
      <c r="AR112" s="14"/>
    </row>
    <row r="113" spans="1:44" x14ac:dyDescent="0.2">
      <c r="A113" s="41" t="s">
        <v>1119</v>
      </c>
      <c r="B113" s="76" t="s">
        <v>244</v>
      </c>
      <c r="C113" s="76">
        <v>6</v>
      </c>
      <c r="D113" s="76">
        <v>3</v>
      </c>
      <c r="E113" s="97">
        <v>2.85</v>
      </c>
      <c r="F113" s="76">
        <v>75</v>
      </c>
      <c r="G113" s="76">
        <v>0</v>
      </c>
      <c r="H113" s="76">
        <v>0</v>
      </c>
      <c r="I113" s="76">
        <v>0</v>
      </c>
      <c r="J113" s="76">
        <v>0</v>
      </c>
      <c r="K113" s="76">
        <v>4</v>
      </c>
      <c r="L113" s="258">
        <f>INDEX('C-P-RollAdj'!$P$4:$P$900,MATCH((U113),'C-P-RollAdj'!$O$4:$O$900,FALSE),0)</f>
        <v>72.67</v>
      </c>
      <c r="M113" s="76">
        <v>45</v>
      </c>
      <c r="N113" s="76">
        <v>24</v>
      </c>
      <c r="O113" s="76">
        <v>23</v>
      </c>
      <c r="P113" s="76">
        <v>1</v>
      </c>
      <c r="Q113" s="76">
        <v>44</v>
      </c>
      <c r="R113" s="76">
        <v>1</v>
      </c>
      <c r="S113" s="76">
        <v>113</v>
      </c>
      <c r="T113" s="76">
        <v>306</v>
      </c>
      <c r="U113" s="76">
        <v>72.2</v>
      </c>
      <c r="V113" s="100">
        <v>0.17599999999999999</v>
      </c>
      <c r="W113" s="76">
        <v>1.22</v>
      </c>
      <c r="X113" s="76"/>
      <c r="Y113" s="50">
        <f t="shared" ref="Y113:Y128" si="45">+(Q113-R113)/(T113-R113)*100</f>
        <v>14.098360655737704</v>
      </c>
      <c r="Z113" s="6">
        <f>IF(Y113&lt;LeagueRatings!$K$21,((LeagueRatings!$K$21-Y113)/LeagueRatings!$K$21)*36,(LeagueRatings!$K$21-Y113)*6.48)</f>
        <v>-33.341836069849286</v>
      </c>
      <c r="AA113" s="16">
        <f>INDEX('C-P-RollAdj'!$B$4:$B$76,MATCH(INT(Z113),'C-P-RollAdj'!$A$4:$A$76,FALSE),0)</f>
        <v>5.0199999999999996</v>
      </c>
      <c r="AB113" s="16">
        <f t="shared" ref="AB113:AB128" si="46">(P113/(T113-R113))*100</f>
        <v>0.32786885245901637</v>
      </c>
      <c r="AC113" s="6">
        <f>IF(AB113&lt;LeagueRatings!$K$19,((LeagueRatings!$K$19-AB113)/LeagueRatings!$K$19)*36,(LeagueRatings!$K$19-AB113)/LeagueRatings!$K$22)</f>
        <v>31.941101227670369</v>
      </c>
      <c r="AD113" s="16">
        <f>INDEX('C-P-RollAdj'!$F$4:$F$76,MATCH(INT(AC113),'C-P-RollAdj'!$E$4:$E$76,FALSE),0)</f>
        <v>-2.71</v>
      </c>
      <c r="AE113" s="17">
        <f>+((LeagueRatings!$I$17-E113)*5)+9.5</f>
        <v>16.064387243706364</v>
      </c>
      <c r="AF113" s="17">
        <f t="shared" si="43"/>
        <v>16.064387243706364</v>
      </c>
      <c r="AG113" s="17">
        <f t="shared" ref="AG113:AG128" si="47">IF(M113&lt;L113,((1-(M113/L113))*7)-0.07,(1-(M113/L113))*5)</f>
        <v>2.5953364524563094</v>
      </c>
      <c r="AH113" s="4">
        <f t="shared" si="44"/>
        <v>20.969723696162671</v>
      </c>
      <c r="AI113" s="41" t="s">
        <v>1119</v>
      </c>
      <c r="AJ113" s="5" t="s">
        <v>28</v>
      </c>
      <c r="AK113" s="219">
        <f>INDEX('C-P-RollAdj'!$J$4:$J$76,MATCH(INT(Z113),'C-P-RollAdj'!$I$4:$I$76,FALSE),0)</f>
        <v>-64</v>
      </c>
      <c r="AL113" s="219">
        <f>INDEX('C-P-RollAdj'!$J$4:$J$76,MATCH(INT(AC113),'C-P-RollAdj'!$I$4:$I$76,FALSE),0)</f>
        <v>61</v>
      </c>
      <c r="AM113" s="14">
        <f>+AR113*LeagueRatings!$K$27</f>
        <v>40.555555555555557</v>
      </c>
      <c r="AN113" s="72">
        <f>F113*LeagueRatings!$K$27</f>
        <v>41.666666666666671</v>
      </c>
      <c r="AO113" s="72">
        <f>G113*LeagueRatings!$K$27</f>
        <v>0</v>
      </c>
      <c r="AP113" s="72">
        <f>T113*LeagueRatings!$K$27</f>
        <v>170</v>
      </c>
      <c r="AR113" s="14">
        <f t="shared" ref="AR113:AR128" si="48">ROUNDUP(L113,0)</f>
        <v>73</v>
      </c>
    </row>
    <row r="114" spans="1:44" x14ac:dyDescent="0.2">
      <c r="A114" s="41" t="s">
        <v>442</v>
      </c>
      <c r="B114" s="76" t="s">
        <v>244</v>
      </c>
      <c r="C114" s="76">
        <v>1</v>
      </c>
      <c r="D114" s="76">
        <v>4</v>
      </c>
      <c r="E114" s="97">
        <v>5.98</v>
      </c>
      <c r="F114" s="76">
        <v>12</v>
      </c>
      <c r="G114" s="76">
        <v>11</v>
      </c>
      <c r="H114" s="76">
        <v>0</v>
      </c>
      <c r="I114" s="76">
        <v>0</v>
      </c>
      <c r="J114" s="76">
        <v>0</v>
      </c>
      <c r="K114" s="76">
        <v>0</v>
      </c>
      <c r="L114" s="258">
        <f>INDEX('C-P-RollAdj'!$P$4:$P$900,MATCH((U114),'C-P-RollAdj'!$O$4:$O$900,FALSE),0)</f>
        <v>52.67</v>
      </c>
      <c r="M114" s="76">
        <v>62</v>
      </c>
      <c r="N114" s="76">
        <v>36</v>
      </c>
      <c r="O114" s="76">
        <v>35</v>
      </c>
      <c r="P114" s="76">
        <v>6</v>
      </c>
      <c r="Q114" s="76">
        <v>30</v>
      </c>
      <c r="R114" s="76">
        <v>3</v>
      </c>
      <c r="S114" s="76">
        <v>45</v>
      </c>
      <c r="T114" s="76">
        <v>241</v>
      </c>
      <c r="U114" s="76">
        <v>52.2</v>
      </c>
      <c r="V114" s="100">
        <v>0.30099999999999999</v>
      </c>
      <c r="W114" s="76">
        <v>1.75</v>
      </c>
      <c r="X114" s="76"/>
      <c r="Y114" s="50">
        <f t="shared" si="45"/>
        <v>11.344537815126051</v>
      </c>
      <c r="Z114" s="6">
        <f>IF(Y114&lt;LeagueRatings!$K$21,((LeagueRatings!$K$21-Y114)/LeagueRatings!$K$21)*36,(LeagueRatings!$K$21-Y114)*6.48)</f>
        <v>-15.497064062685778</v>
      </c>
      <c r="AA114" s="16">
        <f>INDEX('C-P-RollAdj'!$B$4:$B$76,MATCH(INT(Z114),'C-P-RollAdj'!$A$4:$A$76,FALSE),0)</f>
        <v>1.7799999999999998</v>
      </c>
      <c r="AB114" s="16">
        <f t="shared" si="46"/>
        <v>2.5210084033613445</v>
      </c>
      <c r="AC114" s="6">
        <f>IF(AB114&lt;LeagueRatings!$K$19,((LeagueRatings!$K$19-AB114)/LeagueRatings!$K$19)*36,(LeagueRatings!$K$19-AB114)/LeagueRatings!$K$22)</f>
        <v>4.7908203640200497</v>
      </c>
      <c r="AD114" s="16">
        <f>INDEX('C-P-RollAdj'!$F$4:$F$76,MATCH(INT(AC114),'C-P-RollAdj'!$E$4:$E$76,FALSE),0)</f>
        <v>-0.28000000000000003</v>
      </c>
      <c r="AE114" s="17">
        <f>+((LeagueRatings!$I$17-E114)*5)+9.5</f>
        <v>0.41438724370636137</v>
      </c>
      <c r="AF114" s="17">
        <f t="shared" si="43"/>
        <v>4</v>
      </c>
      <c r="AG114" s="17">
        <f t="shared" si="47"/>
        <v>-0.88570343649136074</v>
      </c>
      <c r="AH114" s="4">
        <f t="shared" si="44"/>
        <v>4.6142965635086393</v>
      </c>
      <c r="AI114" s="41" t="s">
        <v>442</v>
      </c>
      <c r="AJ114" s="5" t="s">
        <v>19</v>
      </c>
      <c r="AK114" s="219">
        <f>INDEX('C-P-RollAdj'!$J$4:$J$76,MATCH(INT(Z114),'C-P-RollAdj'!$I$4:$I$76,FALSE),0)</f>
        <v>-34</v>
      </c>
      <c r="AL114" s="219">
        <f>INDEX('C-P-RollAdj'!$J$4:$J$76,MATCH(INT(AC114),'C-P-RollAdj'!$I$4:$I$76,FALSE),0)</f>
        <v>14</v>
      </c>
      <c r="AM114" s="14">
        <f>+AR114*LeagueRatings!$K$27</f>
        <v>29.444444444444446</v>
      </c>
      <c r="AN114" s="72">
        <f>F114*LeagueRatings!$K$27</f>
        <v>6.666666666666667</v>
      </c>
      <c r="AO114" s="72">
        <f>G114*LeagueRatings!$K$27</f>
        <v>6.1111111111111116</v>
      </c>
      <c r="AP114" s="72">
        <f>T114*LeagueRatings!$K$27</f>
        <v>133.88888888888889</v>
      </c>
      <c r="AR114" s="14">
        <f t="shared" si="48"/>
        <v>53</v>
      </c>
    </row>
    <row r="115" spans="1:44" x14ac:dyDescent="0.2">
      <c r="A115" s="41" t="s">
        <v>1415</v>
      </c>
      <c r="B115" s="76" t="s">
        <v>244</v>
      </c>
      <c r="C115" s="76">
        <v>0</v>
      </c>
      <c r="D115" s="76">
        <v>0</v>
      </c>
      <c r="E115" s="97">
        <v>4.82</v>
      </c>
      <c r="F115" s="76">
        <v>18</v>
      </c>
      <c r="G115" s="76">
        <v>0</v>
      </c>
      <c r="H115" s="76">
        <v>0</v>
      </c>
      <c r="I115" s="76">
        <v>0</v>
      </c>
      <c r="J115" s="76">
        <v>0</v>
      </c>
      <c r="K115" s="76">
        <v>0</v>
      </c>
      <c r="L115" s="258">
        <f>INDEX('C-P-RollAdj'!$P$4:$P$900,MATCH((U115),'C-P-RollAdj'!$O$4:$O$900,FALSE),0)</f>
        <v>9.33</v>
      </c>
      <c r="M115" s="76">
        <v>11</v>
      </c>
      <c r="N115" s="76">
        <v>5</v>
      </c>
      <c r="O115" s="76">
        <v>5</v>
      </c>
      <c r="P115" s="76">
        <v>1</v>
      </c>
      <c r="Q115" s="76">
        <v>5</v>
      </c>
      <c r="R115" s="76">
        <v>0</v>
      </c>
      <c r="S115" s="76">
        <v>7</v>
      </c>
      <c r="T115" s="76">
        <v>43</v>
      </c>
      <c r="U115" s="76">
        <v>9.1</v>
      </c>
      <c r="V115" s="100">
        <v>0.28899999999999998</v>
      </c>
      <c r="W115" s="76">
        <v>1.71</v>
      </c>
      <c r="X115" s="76"/>
      <c r="Y115" s="50">
        <f t="shared" si="45"/>
        <v>11.627906976744185</v>
      </c>
      <c r="Z115" s="6">
        <f>IF(Y115&lt;LeagueRatings!$K$21,((LeagueRatings!$K$21-Y115)/LeagueRatings!$K$21)*36,(LeagueRatings!$K$21-Y115)*6.48)</f>
        <v>-17.333296229971289</v>
      </c>
      <c r="AA115" s="16">
        <f>INDEX('C-P-RollAdj'!$B$4:$B$76,MATCH(INT(Z115),'C-P-RollAdj'!$A$4:$A$76,FALSE),0)</f>
        <v>2.08</v>
      </c>
      <c r="AB115" s="16">
        <f t="shared" si="46"/>
        <v>2.3255813953488373</v>
      </c>
      <c r="AC115" s="6">
        <f>IF(AB115&lt;LeagueRatings!$K$19,((LeagueRatings!$K$19-AB115)/LeagueRatings!$K$19)*36,(LeagueRatings!$K$19-AB115)/LeagueRatings!$K$22)</f>
        <v>7.2101366148712067</v>
      </c>
      <c r="AD115" s="16">
        <f>INDEX('C-P-RollAdj'!$F$4:$F$76,MATCH(INT(AC115),'C-P-RollAdj'!$E$4:$E$76,FALSE),0)</f>
        <v>-0.49000000000000005</v>
      </c>
      <c r="AE115" s="17">
        <f>+((LeagueRatings!$I$17-E115)*5)+9.5</f>
        <v>6.2143872437063612</v>
      </c>
      <c r="AF115" s="17">
        <f t="shared" si="43"/>
        <v>6.2143872437063612</v>
      </c>
      <c r="AG115" s="17">
        <f t="shared" si="47"/>
        <v>-0.89496248660235755</v>
      </c>
      <c r="AH115" s="4">
        <f t="shared" si="44"/>
        <v>6.9094247571040039</v>
      </c>
      <c r="AI115" s="41" t="s">
        <v>1415</v>
      </c>
      <c r="AJ115" s="5" t="s">
        <v>66</v>
      </c>
      <c r="AK115" s="219">
        <f>INDEX('C-P-RollAdj'!$J$4:$J$76,MATCH(INT(Z115),'C-P-RollAdj'!$I$4:$I$76,FALSE),0)</f>
        <v>-36</v>
      </c>
      <c r="AL115" s="219">
        <f>INDEX('C-P-RollAdj'!$J$4:$J$76,MATCH(INT(AC115),'C-P-RollAdj'!$I$4:$I$76,FALSE),0)</f>
        <v>21</v>
      </c>
      <c r="AM115" s="14">
        <f>+AR115*LeagueRatings!$K$27</f>
        <v>5.5555555555555554</v>
      </c>
      <c r="AN115" s="72">
        <f>F115*LeagueRatings!$K$27</f>
        <v>10</v>
      </c>
      <c r="AO115" s="72">
        <f>G115*LeagueRatings!$K$27</f>
        <v>0</v>
      </c>
      <c r="AP115" s="72">
        <f>T115*LeagueRatings!$K$27</f>
        <v>23.888888888888889</v>
      </c>
      <c r="AR115" s="14">
        <f t="shared" si="48"/>
        <v>10</v>
      </c>
    </row>
    <row r="116" spans="1:44" x14ac:dyDescent="0.2">
      <c r="A116" s="41" t="s">
        <v>490</v>
      </c>
      <c r="B116" s="76" t="s">
        <v>244</v>
      </c>
      <c r="C116" s="76">
        <v>5</v>
      </c>
      <c r="D116" s="76">
        <v>5</v>
      </c>
      <c r="E116" s="97">
        <v>4.96</v>
      </c>
      <c r="F116" s="76">
        <v>22</v>
      </c>
      <c r="G116" s="76">
        <v>22</v>
      </c>
      <c r="H116" s="76">
        <v>0</v>
      </c>
      <c r="I116" s="76">
        <v>0</v>
      </c>
      <c r="J116" s="76">
        <v>0</v>
      </c>
      <c r="K116" s="76">
        <v>0</v>
      </c>
      <c r="L116" s="258">
        <f>INDEX('C-P-RollAdj'!$P$4:$P$900,MATCH((U116),'C-P-RollAdj'!$O$4:$O$900,FALSE),0)</f>
        <v>123.33</v>
      </c>
      <c r="M116" s="76">
        <v>134</v>
      </c>
      <c r="N116" s="76">
        <v>69</v>
      </c>
      <c r="O116" s="76">
        <v>68</v>
      </c>
      <c r="P116" s="76">
        <v>22</v>
      </c>
      <c r="Q116" s="76">
        <v>24</v>
      </c>
      <c r="R116" s="76">
        <v>0</v>
      </c>
      <c r="S116" s="76">
        <v>100</v>
      </c>
      <c r="T116" s="76">
        <v>520</v>
      </c>
      <c r="U116" s="76">
        <v>123.1</v>
      </c>
      <c r="V116" s="100">
        <v>0.27600000000000002</v>
      </c>
      <c r="W116" s="76">
        <v>1.28</v>
      </c>
      <c r="X116" s="76"/>
      <c r="Y116" s="50">
        <f t="shared" si="45"/>
        <v>4.6153846153846159</v>
      </c>
      <c r="Z116" s="6">
        <f>IF(Y116&lt;LeagueRatings!$K$21,((LeagueRatings!$K$21-Y116)/LeagueRatings!$K$21)*36,(LeagueRatings!$K$21-Y116)*6.48)</f>
        <v>17.44157746524321</v>
      </c>
      <c r="AA116" s="16">
        <f>INDEX('C-P-RollAdj'!$B$4:$B$76,MATCH(INT(Z116),'C-P-RollAdj'!$A$4:$A$76,FALSE),0)</f>
        <v>-1.49</v>
      </c>
      <c r="AB116" s="16">
        <f t="shared" si="46"/>
        <v>4.2307692307692308</v>
      </c>
      <c r="AC116" s="6">
        <f>IF(AB116&lt;LeagueRatings!$K$19,((LeagueRatings!$K$19-AB116)/LeagueRatings!$K$19)*36,(LeagueRatings!$K$19-AB116)/LeagueRatings!$K$22)</f>
        <v>-10.687947467166978</v>
      </c>
      <c r="AD116" s="16">
        <f>INDEX('C-P-RollAdj'!$F$4:$F$76,MATCH(INT(AC116),'C-P-RollAdj'!$E$4:$E$76,FALSE),0)</f>
        <v>1.03</v>
      </c>
      <c r="AE116" s="17">
        <f>+((LeagueRatings!$I$17-E116)*5)+9.5</f>
        <v>5.5143872437063628</v>
      </c>
      <c r="AF116" s="17">
        <f t="shared" si="43"/>
        <v>5.5143872437063628</v>
      </c>
      <c r="AG116" s="17">
        <f t="shared" si="47"/>
        <v>-0.43257925889888971</v>
      </c>
      <c r="AH116" s="4">
        <f t="shared" si="44"/>
        <v>4.6218079848074733</v>
      </c>
      <c r="AI116" s="41" t="s">
        <v>490</v>
      </c>
      <c r="AJ116" s="5" t="s">
        <v>19</v>
      </c>
      <c r="AK116" s="219">
        <f>INDEX('C-P-RollAdj'!$J$4:$J$76,MATCH(INT(Z116),'C-P-RollAdj'!$I$4:$I$76,FALSE),0)</f>
        <v>35</v>
      </c>
      <c r="AL116" s="219">
        <f>INDEX('C-P-RollAdj'!$J$4:$J$76,MATCH(INT(AC116),'C-P-RollAdj'!$I$4:$I$76,FALSE),0)</f>
        <v>-25</v>
      </c>
      <c r="AM116" s="14">
        <f>+AR116*LeagueRatings!$K$27</f>
        <v>68.888888888888886</v>
      </c>
      <c r="AN116" s="72">
        <f>F116*LeagueRatings!$K$27</f>
        <v>12.222222222222223</v>
      </c>
      <c r="AO116" s="72">
        <f>G116*LeagueRatings!$K$27</f>
        <v>12.222222222222223</v>
      </c>
      <c r="AP116" s="72">
        <f>T116*LeagueRatings!$K$27</f>
        <v>288.88888888888891</v>
      </c>
      <c r="AR116" s="14">
        <f t="shared" si="48"/>
        <v>124</v>
      </c>
    </row>
    <row r="117" spans="1:44" x14ac:dyDescent="0.2">
      <c r="A117" s="41" t="s">
        <v>1121</v>
      </c>
      <c r="B117" s="76" t="s">
        <v>244</v>
      </c>
      <c r="C117" s="76">
        <v>8</v>
      </c>
      <c r="D117" s="76">
        <v>6</v>
      </c>
      <c r="E117" s="97">
        <v>3.85</v>
      </c>
      <c r="F117" s="76">
        <v>25</v>
      </c>
      <c r="G117" s="76">
        <v>25</v>
      </c>
      <c r="H117" s="76">
        <v>0</v>
      </c>
      <c r="I117" s="76">
        <v>0</v>
      </c>
      <c r="J117" s="76">
        <v>0</v>
      </c>
      <c r="K117" s="76">
        <v>0</v>
      </c>
      <c r="L117" s="258">
        <f>INDEX('C-P-RollAdj'!$P$4:$P$900,MATCH((U117),'C-P-RollAdj'!$O$4:$O$900,FALSE),0)</f>
        <v>133.32999999999998</v>
      </c>
      <c r="M117" s="76">
        <v>125</v>
      </c>
      <c r="N117" s="76">
        <v>59</v>
      </c>
      <c r="O117" s="76">
        <v>57</v>
      </c>
      <c r="P117" s="76">
        <v>13</v>
      </c>
      <c r="Q117" s="76">
        <v>62</v>
      </c>
      <c r="R117" s="76">
        <v>7</v>
      </c>
      <c r="S117" s="76">
        <v>124</v>
      </c>
      <c r="T117" s="76">
        <v>584</v>
      </c>
      <c r="U117" s="76">
        <v>133.1</v>
      </c>
      <c r="V117" s="100">
        <v>0.25</v>
      </c>
      <c r="W117" s="76">
        <v>1.4</v>
      </c>
      <c r="X117" s="76"/>
      <c r="Y117" s="50">
        <f t="shared" si="45"/>
        <v>9.5320623916811087</v>
      </c>
      <c r="Z117" s="6">
        <f>IF(Y117&lt;LeagueRatings!$K$21,((LeagueRatings!$K$21-Y117)/LeagueRatings!$K$21)*36,(LeagueRatings!$K$21-Y117)*6.48)</f>
        <v>-3.7522233187625513</v>
      </c>
      <c r="AA117" s="16">
        <f>INDEX('C-P-RollAdj'!$B$4:$B$76,MATCH(INT(Z117),'C-P-RollAdj'!$A$4:$A$76,FALSE),0)</f>
        <v>0.36</v>
      </c>
      <c r="AB117" s="16">
        <f t="shared" si="46"/>
        <v>2.2530329289428077</v>
      </c>
      <c r="AC117" s="6">
        <f>IF(AB117&lt;LeagueRatings!$K$19,((LeagueRatings!$K$19-AB117)/LeagueRatings!$K$19)*36,(LeagueRatings!$K$19-AB117)/LeagueRatings!$K$22)</f>
        <v>8.1082606026221917</v>
      </c>
      <c r="AD117" s="16">
        <f>INDEX('C-P-RollAdj'!$F$4:$F$76,MATCH(INT(AC117),'C-P-RollAdj'!$E$4:$E$76,FALSE),0)</f>
        <v>-0.56999999999999995</v>
      </c>
      <c r="AE117" s="17">
        <f>+((LeagueRatings!$I$17-E117)*5)+9.5</f>
        <v>11.064387243706362</v>
      </c>
      <c r="AF117" s="17">
        <f t="shared" si="43"/>
        <v>11.064387243706362</v>
      </c>
      <c r="AG117" s="17">
        <f t="shared" si="47"/>
        <v>0.36733593339833398</v>
      </c>
      <c r="AH117" s="4">
        <f t="shared" si="44"/>
        <v>11.221723177104696</v>
      </c>
      <c r="AI117" s="41" t="s">
        <v>1121</v>
      </c>
      <c r="AJ117" s="5" t="s">
        <v>59</v>
      </c>
      <c r="AK117" s="219">
        <f>INDEX('C-P-RollAdj'!$J$4:$J$76,MATCH(INT(Z117),'C-P-RollAdj'!$I$4:$I$76,FALSE),0)</f>
        <v>-14</v>
      </c>
      <c r="AL117" s="219">
        <f>INDEX('C-P-RollAdj'!$J$4:$J$76,MATCH(INT(AC117),'C-P-RollAdj'!$I$4:$I$76,FALSE),0)</f>
        <v>22</v>
      </c>
      <c r="AM117" s="14">
        <f>+AR117*LeagueRatings!$K$27</f>
        <v>74.444444444444443</v>
      </c>
      <c r="AN117" s="72">
        <f>F117*LeagueRatings!$K$27</f>
        <v>13.888888888888889</v>
      </c>
      <c r="AO117" s="72">
        <f>G117*LeagueRatings!$K$27</f>
        <v>13.888888888888889</v>
      </c>
      <c r="AP117" s="72">
        <f>T117*LeagueRatings!$K$27</f>
        <v>324.44444444444446</v>
      </c>
      <c r="AR117" s="14">
        <f t="shared" si="48"/>
        <v>134</v>
      </c>
    </row>
    <row r="118" spans="1:44" x14ac:dyDescent="0.2">
      <c r="A118" s="41" t="s">
        <v>388</v>
      </c>
      <c r="B118" s="76" t="s">
        <v>244</v>
      </c>
      <c r="C118" s="76">
        <v>6</v>
      </c>
      <c r="D118" s="76">
        <v>1</v>
      </c>
      <c r="E118" s="97">
        <v>3.4</v>
      </c>
      <c r="F118" s="76">
        <v>51</v>
      </c>
      <c r="G118" s="76">
        <v>0</v>
      </c>
      <c r="H118" s="76">
        <v>0</v>
      </c>
      <c r="I118" s="76">
        <v>0</v>
      </c>
      <c r="J118" s="76">
        <v>0</v>
      </c>
      <c r="K118" s="76">
        <v>4</v>
      </c>
      <c r="L118" s="258">
        <f>INDEX('C-P-RollAdj'!$P$4:$P$900,MATCH((U118),'C-P-RollAdj'!$O$4:$O$900,FALSE),0)</f>
        <v>42.33</v>
      </c>
      <c r="M118" s="76">
        <v>43</v>
      </c>
      <c r="N118" s="76">
        <v>16</v>
      </c>
      <c r="O118" s="76">
        <v>16</v>
      </c>
      <c r="P118" s="76">
        <v>5</v>
      </c>
      <c r="Q118" s="76">
        <v>11</v>
      </c>
      <c r="R118" s="76">
        <v>0</v>
      </c>
      <c r="S118" s="76">
        <v>38</v>
      </c>
      <c r="T118" s="76">
        <v>176</v>
      </c>
      <c r="U118" s="76">
        <v>42.1</v>
      </c>
      <c r="V118" s="100">
        <v>0.27</v>
      </c>
      <c r="W118" s="76">
        <v>1.28</v>
      </c>
      <c r="X118" s="76"/>
      <c r="Y118" s="50">
        <f t="shared" si="45"/>
        <v>6.25</v>
      </c>
      <c r="Z118" s="6">
        <f>IF(Y118&lt;LeagueRatings!$K$21,((LeagueRatings!$K$21-Y118)/LeagueRatings!$K$21)*36,(LeagueRatings!$K$21-Y118)*6.48)</f>
        <v>10.868802817516846</v>
      </c>
      <c r="AA118" s="16">
        <f>INDEX('C-P-RollAdj'!$B$4:$B$76,MATCH(INT(Z118),'C-P-RollAdj'!$A$4:$A$76,FALSE),0)</f>
        <v>-0.83000000000000007</v>
      </c>
      <c r="AB118" s="16">
        <f t="shared" si="46"/>
        <v>2.8409090909090908</v>
      </c>
      <c r="AC118" s="6">
        <f>IF(AB118&lt;LeagueRatings!$K$19,((LeagueRatings!$K$19-AB118)/LeagueRatings!$K$19)*36,(LeagueRatings!$K$19-AB118)/LeagueRatings!$K$22)</f>
        <v>0.83056461475744259</v>
      </c>
      <c r="AD118" s="16">
        <f>INDEX('C-P-RollAdj'!$F$4:$F$76,MATCH(INT(AC118),'C-P-RollAdj'!$E$4:$E$76,FALSE),0)</f>
        <v>0</v>
      </c>
      <c r="AE118" s="17">
        <f>+((LeagueRatings!$I$17-E118)*5)+9.5</f>
        <v>13.314387243706364</v>
      </c>
      <c r="AF118" s="17">
        <f t="shared" si="43"/>
        <v>13.314387243706364</v>
      </c>
      <c r="AG118" s="17">
        <f t="shared" si="47"/>
        <v>-7.9140089770848299E-2</v>
      </c>
      <c r="AH118" s="4">
        <f t="shared" si="44"/>
        <v>12.405247153935516</v>
      </c>
      <c r="AI118" s="41" t="s">
        <v>388</v>
      </c>
      <c r="AJ118" s="5" t="s">
        <v>16</v>
      </c>
      <c r="AK118" s="219">
        <f>INDEX('C-P-RollAdj'!$J$4:$J$76,MATCH(INT(Z118),'C-P-RollAdj'!$I$4:$I$76,FALSE),0)</f>
        <v>24</v>
      </c>
      <c r="AL118" s="219">
        <f>INDEX('C-P-RollAdj'!$J$4:$J$76,MATCH(INT(AC118),'C-P-RollAdj'!$I$4:$I$76,FALSE),0)</f>
        <v>0</v>
      </c>
      <c r="AM118" s="14">
        <f>+AR118*LeagueRatings!$K$27</f>
        <v>23.888888888888889</v>
      </c>
      <c r="AN118" s="72">
        <f>F118*LeagueRatings!$K$27</f>
        <v>28.333333333333336</v>
      </c>
      <c r="AO118" s="72">
        <f>G118*LeagueRatings!$K$27</f>
        <v>0</v>
      </c>
      <c r="AP118" s="72">
        <f>T118*LeagueRatings!$K$27</f>
        <v>97.777777777777786</v>
      </c>
      <c r="AR118" s="14">
        <f t="shared" si="48"/>
        <v>43</v>
      </c>
    </row>
    <row r="119" spans="1:44" x14ac:dyDescent="0.2">
      <c r="A119" s="41" t="s">
        <v>1120</v>
      </c>
      <c r="B119" s="76" t="s">
        <v>244</v>
      </c>
      <c r="C119" s="76">
        <v>4</v>
      </c>
      <c r="D119" s="76">
        <v>2</v>
      </c>
      <c r="E119" s="97">
        <v>2.4500000000000002</v>
      </c>
      <c r="F119" s="76">
        <v>32</v>
      </c>
      <c r="G119" s="76">
        <v>0</v>
      </c>
      <c r="H119" s="76">
        <v>0</v>
      </c>
      <c r="I119" s="76">
        <v>0</v>
      </c>
      <c r="J119" s="76">
        <v>0</v>
      </c>
      <c r="K119" s="76">
        <v>0</v>
      </c>
      <c r="L119" s="258">
        <f>INDEX('C-P-RollAdj'!$P$4:$P$900,MATCH((U119),'C-P-RollAdj'!$O$4:$O$900,FALSE),0)</f>
        <v>33</v>
      </c>
      <c r="M119" s="76">
        <v>27</v>
      </c>
      <c r="N119" s="76">
        <v>10</v>
      </c>
      <c r="O119" s="76">
        <v>9</v>
      </c>
      <c r="P119" s="76">
        <v>2</v>
      </c>
      <c r="Q119" s="76">
        <v>16</v>
      </c>
      <c r="R119" s="76">
        <v>2</v>
      </c>
      <c r="S119" s="76">
        <v>32</v>
      </c>
      <c r="T119" s="76">
        <v>142</v>
      </c>
      <c r="U119" s="76">
        <v>33</v>
      </c>
      <c r="V119" s="100">
        <v>0.223</v>
      </c>
      <c r="W119" s="76">
        <v>1.3</v>
      </c>
      <c r="X119" s="76"/>
      <c r="Y119" s="50">
        <f t="shared" si="45"/>
        <v>10</v>
      </c>
      <c r="Z119" s="6">
        <f>IF(Y119&lt;LeagueRatings!$K$21,((LeagueRatings!$K$21-Y119)/LeagueRatings!$K$21)*36,(LeagueRatings!$K$21-Y119)*6.48)</f>
        <v>-6.784459020668967</v>
      </c>
      <c r="AA119" s="16">
        <f>INDEX('C-P-RollAdj'!$B$4:$B$76,MATCH(INT(Z119),'C-P-RollAdj'!$A$4:$A$76,FALSE),0)</f>
        <v>0.65</v>
      </c>
      <c r="AB119" s="16">
        <f t="shared" si="46"/>
        <v>1.4285714285714286</v>
      </c>
      <c r="AC119" s="6">
        <f>IF(AB119&lt;LeagueRatings!$K$19,((LeagueRatings!$K$19-AB119)/LeagueRatings!$K$19)*36,(LeagueRatings!$K$19-AB119)/LeagueRatings!$K$22)</f>
        <v>18.314798206278027</v>
      </c>
      <c r="AD119" s="16">
        <f>INDEX('C-P-RollAdj'!$F$4:$F$76,MATCH(INT(AC119),'C-P-RollAdj'!$E$4:$E$76,FALSE),0)</f>
        <v>-1.4100000000000001</v>
      </c>
      <c r="AE119" s="17">
        <f>+((LeagueRatings!$I$17-E119)*5)+9.5</f>
        <v>18.064387243706364</v>
      </c>
      <c r="AF119" s="17">
        <f t="shared" si="43"/>
        <v>18.064387243706364</v>
      </c>
      <c r="AG119" s="17">
        <f t="shared" si="47"/>
        <v>1.2027272727272724</v>
      </c>
      <c r="AH119" s="4">
        <f t="shared" si="44"/>
        <v>18.507114516433635</v>
      </c>
      <c r="AI119" s="41" t="s">
        <v>1120</v>
      </c>
      <c r="AJ119" s="5" t="s">
        <v>67</v>
      </c>
      <c r="AK119" s="219">
        <f>INDEX('C-P-RollAdj'!$J$4:$J$76,MATCH(INT(Z119),'C-P-RollAdj'!$I$4:$I$76,FALSE),0)</f>
        <v>-21</v>
      </c>
      <c r="AL119" s="219">
        <f>INDEX('C-P-RollAdj'!$J$4:$J$76,MATCH(INT(AC119),'C-P-RollAdj'!$I$4:$I$76,FALSE),0)</f>
        <v>36</v>
      </c>
      <c r="AM119" s="14">
        <f>+AR119*LeagueRatings!$K$27</f>
        <v>18.333333333333336</v>
      </c>
      <c r="AN119" s="72">
        <f>F119*LeagueRatings!$K$27</f>
        <v>17.777777777777779</v>
      </c>
      <c r="AO119" s="72">
        <f>G119*LeagueRatings!$K$27</f>
        <v>0</v>
      </c>
      <c r="AP119" s="72">
        <f>T119*LeagueRatings!$K$27</f>
        <v>78.888888888888886</v>
      </c>
      <c r="AR119" s="14">
        <f t="shared" si="48"/>
        <v>33</v>
      </c>
    </row>
    <row r="120" spans="1:44" x14ac:dyDescent="0.2">
      <c r="A120" s="41" t="s">
        <v>385</v>
      </c>
      <c r="B120" s="76" t="s">
        <v>244</v>
      </c>
      <c r="C120" s="76">
        <v>16</v>
      </c>
      <c r="D120" s="76">
        <v>8</v>
      </c>
      <c r="E120" s="97">
        <v>2.86</v>
      </c>
      <c r="F120" s="76">
        <v>29</v>
      </c>
      <c r="G120" s="76">
        <v>29</v>
      </c>
      <c r="H120" s="76">
        <v>0</v>
      </c>
      <c r="I120" s="76">
        <v>0</v>
      </c>
      <c r="J120" s="76">
        <v>0</v>
      </c>
      <c r="K120" s="76">
        <v>0</v>
      </c>
      <c r="L120" s="258">
        <f>INDEX('C-P-RollAdj'!$P$4:$P$900,MATCH((U120),'C-P-RollAdj'!$O$4:$O$900,FALSE),0)</f>
        <v>182.32999999999998</v>
      </c>
      <c r="M120" s="76">
        <v>149</v>
      </c>
      <c r="N120" s="76">
        <v>63</v>
      </c>
      <c r="O120" s="76">
        <v>58</v>
      </c>
      <c r="P120" s="76">
        <v>13</v>
      </c>
      <c r="Q120" s="76">
        <v>55</v>
      </c>
      <c r="R120" s="76">
        <v>6</v>
      </c>
      <c r="S120" s="76">
        <v>253</v>
      </c>
      <c r="T120" s="76">
        <v>737</v>
      </c>
      <c r="U120" s="76">
        <v>182.1</v>
      </c>
      <c r="V120" s="100">
        <v>0.224</v>
      </c>
      <c r="W120" s="76">
        <v>1.1200000000000001</v>
      </c>
      <c r="X120" s="76"/>
      <c r="Y120" s="50">
        <f t="shared" si="45"/>
        <v>6.703146374829001</v>
      </c>
      <c r="Z120" s="6">
        <f>IF(Y120&lt;LeagueRatings!$K$21,((LeagueRatings!$K$21-Y120)/LeagueRatings!$K$21)*36,(LeagueRatings!$K$21-Y120)*6.48)</f>
        <v>9.0467050737800392</v>
      </c>
      <c r="AA120" s="16">
        <f>INDEX('C-P-RollAdj'!$B$4:$B$76,MATCH(INT(Z120),'C-P-RollAdj'!$A$4:$A$76,FALSE),0)</f>
        <v>-0.74</v>
      </c>
      <c r="AB120" s="16">
        <f t="shared" si="46"/>
        <v>1.7783857729138166</v>
      </c>
      <c r="AC120" s="6">
        <f>IF(AB120&lt;LeagueRatings!$K$19,((LeagueRatings!$K$19-AB120)/LeagueRatings!$K$19)*36,(LeagueRatings!$K$19-AB120)/LeagueRatings!$K$22)</f>
        <v>13.984222117254454</v>
      </c>
      <c r="AD120" s="16">
        <f>INDEX('C-P-RollAdj'!$F$4:$F$76,MATCH(INT(AC120),'C-P-RollAdj'!$E$4:$E$76,FALSE),0)</f>
        <v>-0.97</v>
      </c>
      <c r="AE120" s="17">
        <f>+((LeagueRatings!$I$17-E120)*5)+9.5</f>
        <v>16.014387243706363</v>
      </c>
      <c r="AF120" s="17">
        <f t="shared" si="43"/>
        <v>16.014387243706363</v>
      </c>
      <c r="AG120" s="17">
        <f t="shared" si="47"/>
        <v>1.2096029177864305</v>
      </c>
      <c r="AH120" s="4">
        <f t="shared" si="44"/>
        <v>15.513990161492792</v>
      </c>
      <c r="AI120" s="41" t="s">
        <v>385</v>
      </c>
      <c r="AJ120" s="5" t="s">
        <v>31</v>
      </c>
      <c r="AK120" s="219">
        <f>INDEX('C-P-RollAdj'!$J$4:$J$76,MATCH(INT(Z120),'C-P-RollAdj'!$I$4:$I$76,FALSE),0)</f>
        <v>23</v>
      </c>
      <c r="AL120" s="219">
        <f>INDEX('C-P-RollAdj'!$J$4:$J$76,MATCH(INT(AC120),'C-P-RollAdj'!$I$4:$I$76,FALSE),0)</f>
        <v>31</v>
      </c>
      <c r="AM120" s="14">
        <f>+AR120*LeagueRatings!$K$27</f>
        <v>101.66666666666667</v>
      </c>
      <c r="AN120" s="72">
        <f>F120*LeagueRatings!$K$27</f>
        <v>16.111111111111111</v>
      </c>
      <c r="AO120" s="72">
        <f>G120*LeagueRatings!$K$27</f>
        <v>16.111111111111111</v>
      </c>
      <c r="AP120" s="72">
        <f>T120*LeagueRatings!$K$27</f>
        <v>409.44444444444446</v>
      </c>
      <c r="AR120" s="14">
        <f t="shared" si="48"/>
        <v>183</v>
      </c>
    </row>
    <row r="121" spans="1:44" x14ac:dyDescent="0.2">
      <c r="A121" s="41" t="s">
        <v>396</v>
      </c>
      <c r="B121" s="76" t="s">
        <v>244</v>
      </c>
      <c r="C121" s="76">
        <v>9</v>
      </c>
      <c r="D121" s="76">
        <v>13</v>
      </c>
      <c r="E121" s="97">
        <v>4.33</v>
      </c>
      <c r="F121" s="76">
        <v>33</v>
      </c>
      <c r="G121" s="76">
        <v>33</v>
      </c>
      <c r="H121" s="76">
        <v>0</v>
      </c>
      <c r="I121" s="76">
        <v>0</v>
      </c>
      <c r="J121" s="76">
        <v>0</v>
      </c>
      <c r="K121" s="76">
        <v>0</v>
      </c>
      <c r="L121" s="258">
        <f>INDEX('C-P-RollAdj'!$P$4:$P$900,MATCH((U121),'C-P-RollAdj'!$O$4:$O$900,FALSE),0)</f>
        <v>176.67000000000002</v>
      </c>
      <c r="M121" s="76">
        <v>176</v>
      </c>
      <c r="N121" s="76">
        <v>93</v>
      </c>
      <c r="O121" s="76">
        <v>85</v>
      </c>
      <c r="P121" s="76">
        <v>22</v>
      </c>
      <c r="Q121" s="76">
        <v>83</v>
      </c>
      <c r="R121" s="76">
        <v>7</v>
      </c>
      <c r="S121" s="76">
        <v>147</v>
      </c>
      <c r="T121" s="76">
        <v>774</v>
      </c>
      <c r="U121" s="76">
        <v>176.2</v>
      </c>
      <c r="V121" s="100">
        <v>0.26100000000000001</v>
      </c>
      <c r="W121" s="76">
        <v>1.47</v>
      </c>
      <c r="X121" s="76"/>
      <c r="Y121" s="52">
        <f t="shared" si="45"/>
        <v>9.9087353324641452</v>
      </c>
      <c r="Z121" s="53">
        <f>IF(Y121&lt;LeagueRatings!$K$21,((LeagueRatings!$K$21-Y121)/LeagueRatings!$K$21)*36,(LeagueRatings!$K$21-Y121)*6.48)</f>
        <v>-6.1930639750366279</v>
      </c>
      <c r="AA121" s="16">
        <f>INDEX('C-P-RollAdj'!$B$4:$B$76,MATCH(INT(Z121),'C-P-RollAdj'!$A$4:$A$76,FALSE),0)</f>
        <v>0.65</v>
      </c>
      <c r="AB121" s="54">
        <f t="shared" si="46"/>
        <v>2.8683181225554106</v>
      </c>
      <c r="AC121" s="53">
        <f>IF(AB121&lt;LeagueRatings!$K$19,((LeagueRatings!$K$19-AB121)/LeagueRatings!$K$19)*36,(LeagueRatings!$K$19-AB121)/LeagueRatings!$K$22)</f>
        <v>0.49125063581246853</v>
      </c>
      <c r="AD121" s="16">
        <f>INDEX('C-P-RollAdj'!$F$4:$F$76,MATCH(INT(AC121),'C-P-RollAdj'!$E$4:$E$76,FALSE),0)</f>
        <v>0</v>
      </c>
      <c r="AE121" s="55">
        <f>+((LeagueRatings!$I$17-E121)*5)+9.5</f>
        <v>8.6643872437063614</v>
      </c>
      <c r="AF121" s="55">
        <f>IF(AE121&lt;4,4,AE121)</f>
        <v>8.6643872437063614</v>
      </c>
      <c r="AG121" s="17">
        <f t="shared" si="47"/>
        <v>-4.3453331069224721E-2</v>
      </c>
      <c r="AH121" s="56">
        <f>+AA121+AD121+AF121+AG121</f>
        <v>9.2709339126371368</v>
      </c>
      <c r="AI121" s="41" t="s">
        <v>396</v>
      </c>
      <c r="AJ121" s="9" t="s">
        <v>39</v>
      </c>
      <c r="AK121" s="219">
        <f>INDEX('C-P-RollAdj'!$J$4:$J$76,MATCH(INT(Z121),'C-P-RollAdj'!$I$4:$I$76,FALSE),0)</f>
        <v>-21</v>
      </c>
      <c r="AL121" s="219">
        <f>INDEX('C-P-RollAdj'!$J$4:$J$76,MATCH(INT(AC121),'C-P-RollAdj'!$I$4:$I$76,FALSE),0)</f>
        <v>0</v>
      </c>
      <c r="AM121" s="14">
        <f>+AR121*LeagueRatings!$K$27</f>
        <v>98.333333333333343</v>
      </c>
      <c r="AN121" s="72">
        <f>F121*LeagueRatings!$K$27</f>
        <v>18.333333333333336</v>
      </c>
      <c r="AO121" s="72">
        <f>G121*LeagueRatings!$K$27</f>
        <v>18.333333333333336</v>
      </c>
      <c r="AP121" s="72">
        <f>T121*LeagueRatings!$K$27</f>
        <v>430</v>
      </c>
      <c r="AR121" s="14">
        <f t="shared" si="48"/>
        <v>177</v>
      </c>
    </row>
    <row r="122" spans="1:44" s="28" customFormat="1" x14ac:dyDescent="0.2">
      <c r="A122" s="41" t="s">
        <v>616</v>
      </c>
      <c r="B122" s="76" t="s">
        <v>244</v>
      </c>
      <c r="C122" s="76">
        <v>1</v>
      </c>
      <c r="D122" s="76">
        <v>3</v>
      </c>
      <c r="E122" s="97">
        <v>2.82</v>
      </c>
      <c r="F122" s="76">
        <v>55</v>
      </c>
      <c r="G122" s="76">
        <v>0</v>
      </c>
      <c r="H122" s="76">
        <v>0</v>
      </c>
      <c r="I122" s="76">
        <v>0</v>
      </c>
      <c r="J122" s="76">
        <v>1</v>
      </c>
      <c r="K122" s="76">
        <v>2</v>
      </c>
      <c r="L122" s="258">
        <f>INDEX('C-P-RollAdj'!$P$4:$P$900,MATCH((U122),'C-P-RollAdj'!$O$4:$O$900,FALSE),0)</f>
        <v>67</v>
      </c>
      <c r="M122" s="76">
        <v>49</v>
      </c>
      <c r="N122" s="76">
        <v>26</v>
      </c>
      <c r="O122" s="76">
        <v>21</v>
      </c>
      <c r="P122" s="76">
        <v>7</v>
      </c>
      <c r="Q122" s="76">
        <v>33</v>
      </c>
      <c r="R122" s="76">
        <v>7</v>
      </c>
      <c r="S122" s="76">
        <v>63</v>
      </c>
      <c r="T122" s="76">
        <v>279</v>
      </c>
      <c r="U122" s="76">
        <v>67</v>
      </c>
      <c r="V122" s="100">
        <v>0.20200000000000001</v>
      </c>
      <c r="W122" s="76">
        <v>1.22</v>
      </c>
      <c r="X122" s="76"/>
      <c r="Y122" s="50">
        <f t="shared" si="45"/>
        <v>9.5588235294117645</v>
      </c>
      <c r="Z122" s="6">
        <f>IF(Y122&lt;LeagueRatings!$K$21,((LeagueRatings!$K$21-Y122)/LeagueRatings!$K$21)*36,(LeagueRatings!$K$21-Y122)*6.48)</f>
        <v>-3.9256354912572009</v>
      </c>
      <c r="AA122" s="16">
        <f>INDEX('C-P-RollAdj'!$B$4:$B$76,MATCH(INT(Z122),'C-P-RollAdj'!$A$4:$A$76,FALSE),0)</f>
        <v>0.36</v>
      </c>
      <c r="AB122" s="16">
        <f t="shared" si="46"/>
        <v>2.5735294117647056</v>
      </c>
      <c r="AC122" s="6">
        <f>IF(AB122&lt;LeagueRatings!$K$19,((LeagueRatings!$K$19-AB122)/LeagueRatings!$K$19)*36,(LeagueRatings!$K$19-AB122)/LeagueRatings!$K$22)</f>
        <v>4.1406291216038031</v>
      </c>
      <c r="AD122" s="16">
        <f>INDEX('C-P-RollAdj'!$F$4:$F$76,MATCH(INT(AC122),'C-P-RollAdj'!$E$4:$E$76,FALSE),0)</f>
        <v>-0.28000000000000003</v>
      </c>
      <c r="AE122" s="17">
        <f>+((LeagueRatings!$I$17-E122)*5)+9.5</f>
        <v>16.214387243706362</v>
      </c>
      <c r="AF122" s="17">
        <f t="shared" ref="AF122:AF132" si="49">IF(AE122&lt;4,4,AE122)</f>
        <v>16.214387243706362</v>
      </c>
      <c r="AG122" s="17">
        <f t="shared" si="47"/>
        <v>1.8105970149253732</v>
      </c>
      <c r="AH122" s="4">
        <f t="shared" ref="AH122:AH132" si="50">+AA122+AD122+AF122+AG122</f>
        <v>18.104984258631735</v>
      </c>
      <c r="AI122" s="41" t="s">
        <v>616</v>
      </c>
      <c r="AJ122" s="5" t="s">
        <v>63</v>
      </c>
      <c r="AK122" s="219">
        <f>INDEX('C-P-RollAdj'!$J$4:$J$76,MATCH(INT(Z122),'C-P-RollAdj'!$I$4:$I$76,FALSE),0)</f>
        <v>-14</v>
      </c>
      <c r="AL122" s="219">
        <f>INDEX('C-P-RollAdj'!$J$4:$J$76,MATCH(INT(AC122),'C-P-RollAdj'!$I$4:$I$76,FALSE),0)</f>
        <v>14</v>
      </c>
      <c r="AM122" s="14">
        <f>+AR122*LeagueRatings!$K$27</f>
        <v>37.222222222222221</v>
      </c>
      <c r="AN122" s="72">
        <f>F122*LeagueRatings!$K$27</f>
        <v>30.555555555555557</v>
      </c>
      <c r="AO122" s="72">
        <f>G122*LeagueRatings!$K$27</f>
        <v>0</v>
      </c>
      <c r="AP122" s="72">
        <f>T122*LeagueRatings!$K$27</f>
        <v>155</v>
      </c>
      <c r="AQ122" s="24"/>
      <c r="AR122" s="14">
        <f t="shared" si="48"/>
        <v>67</v>
      </c>
    </row>
    <row r="123" spans="1:44" x14ac:dyDescent="0.2">
      <c r="A123" s="41" t="s">
        <v>1122</v>
      </c>
      <c r="B123" s="76" t="s">
        <v>244</v>
      </c>
      <c r="C123" s="76">
        <v>3</v>
      </c>
      <c r="D123" s="76">
        <v>6</v>
      </c>
      <c r="E123" s="97">
        <v>4.99</v>
      </c>
      <c r="F123" s="76">
        <v>18</v>
      </c>
      <c r="G123" s="76">
        <v>13</v>
      </c>
      <c r="H123" s="76">
        <v>0</v>
      </c>
      <c r="I123" s="76">
        <v>0</v>
      </c>
      <c r="J123" s="76">
        <v>0</v>
      </c>
      <c r="K123" s="76">
        <v>0</v>
      </c>
      <c r="L123" s="258">
        <f>INDEX('C-P-RollAdj'!$P$4:$P$900,MATCH((U123),'C-P-RollAdj'!$O$4:$O$900,FALSE),0)</f>
        <v>79.33</v>
      </c>
      <c r="M123" s="76">
        <v>96</v>
      </c>
      <c r="N123" s="76">
        <v>45</v>
      </c>
      <c r="O123" s="76">
        <v>44</v>
      </c>
      <c r="P123" s="76">
        <v>8</v>
      </c>
      <c r="Q123" s="76">
        <v>20</v>
      </c>
      <c r="R123" s="76">
        <v>1</v>
      </c>
      <c r="S123" s="76">
        <v>37</v>
      </c>
      <c r="T123" s="76">
        <v>346</v>
      </c>
      <c r="U123" s="76">
        <v>79.099999999999994</v>
      </c>
      <c r="V123" s="100">
        <v>0.307</v>
      </c>
      <c r="W123" s="76">
        <v>1.46</v>
      </c>
      <c r="X123" s="76"/>
      <c r="Y123" s="50">
        <f t="shared" si="45"/>
        <v>5.5072463768115938</v>
      </c>
      <c r="Z123" s="6">
        <f>IF(Y123&lt;LeagueRatings!$K$21,((LeagueRatings!$K$21-Y123)/LeagueRatings!$K$21)*36,(LeagueRatings!$K$21-Y123)*6.48)</f>
        <v>13.855408859493107</v>
      </c>
      <c r="AA123" s="16">
        <f>INDEX('C-P-RollAdj'!$B$4:$B$76,MATCH(INT(Z123),'C-P-RollAdj'!$A$4:$A$76,FALSE),0)</f>
        <v>-1.1000000000000001</v>
      </c>
      <c r="AB123" s="16">
        <f t="shared" si="46"/>
        <v>2.318840579710145</v>
      </c>
      <c r="AC123" s="6">
        <f>IF(AB123&lt;LeagueRatings!$K$19,((LeagueRatings!$K$19-AB123)/LeagueRatings!$K$19)*36,(LeagueRatings!$K$19-AB123)/LeagueRatings!$K$22)</f>
        <v>7.2935854942483918</v>
      </c>
      <c r="AD123" s="16">
        <f>INDEX('C-P-RollAdj'!$F$4:$F$76,MATCH(INT(AC123),'C-P-RollAdj'!$E$4:$E$76,FALSE),0)</f>
        <v>-0.49000000000000005</v>
      </c>
      <c r="AE123" s="17">
        <f>+((LeagueRatings!$I$17-E123)*5)+9.5</f>
        <v>5.3643872437063616</v>
      </c>
      <c r="AF123" s="17">
        <f t="shared" si="49"/>
        <v>5.3643872437063616</v>
      </c>
      <c r="AG123" s="17">
        <f t="shared" si="47"/>
        <v>-1.0506743980839528</v>
      </c>
      <c r="AH123" s="4">
        <f t="shared" si="50"/>
        <v>2.7237128456224089</v>
      </c>
      <c r="AI123" s="41" t="s">
        <v>1122</v>
      </c>
      <c r="AJ123" s="5" t="s">
        <v>78</v>
      </c>
      <c r="AK123" s="219">
        <f>INDEX('C-P-RollAdj'!$J$4:$J$76,MATCH(INT(Z123),'C-P-RollAdj'!$I$4:$I$76,FALSE),0)</f>
        <v>31</v>
      </c>
      <c r="AL123" s="219">
        <f>INDEX('C-P-RollAdj'!$J$4:$J$76,MATCH(INT(AC123),'C-P-RollAdj'!$I$4:$I$76,FALSE),0)</f>
        <v>21</v>
      </c>
      <c r="AM123" s="14">
        <f>+AR123*LeagueRatings!$K$27</f>
        <v>44.444444444444443</v>
      </c>
      <c r="AN123" s="72">
        <f>F123*LeagueRatings!$K$27</f>
        <v>10</v>
      </c>
      <c r="AO123" s="72">
        <f>G123*LeagueRatings!$K$27</f>
        <v>7.2222222222222223</v>
      </c>
      <c r="AP123" s="72">
        <f>T123*LeagueRatings!$K$27</f>
        <v>192.22222222222223</v>
      </c>
      <c r="AR123" s="14">
        <f t="shared" si="48"/>
        <v>80</v>
      </c>
    </row>
    <row r="124" spans="1:44" x14ac:dyDescent="0.2">
      <c r="A124" s="41" t="s">
        <v>590</v>
      </c>
      <c r="B124" s="76" t="s">
        <v>244</v>
      </c>
      <c r="C124" s="76">
        <v>7</v>
      </c>
      <c r="D124" s="76">
        <v>6</v>
      </c>
      <c r="E124" s="97">
        <v>2.2799999999999998</v>
      </c>
      <c r="F124" s="76">
        <v>64</v>
      </c>
      <c r="G124" s="76">
        <v>5</v>
      </c>
      <c r="H124" s="76">
        <v>0</v>
      </c>
      <c r="I124" s="76">
        <v>0</v>
      </c>
      <c r="J124" s="76">
        <v>4</v>
      </c>
      <c r="K124" s="76">
        <v>10</v>
      </c>
      <c r="L124" s="258">
        <f>INDEX('C-P-RollAdj'!$P$4:$P$900,MATCH((U124),'C-P-RollAdj'!$O$4:$O$900,FALSE),0)</f>
        <v>86.67</v>
      </c>
      <c r="M124" s="76">
        <v>61</v>
      </c>
      <c r="N124" s="76">
        <v>23</v>
      </c>
      <c r="O124" s="76">
        <v>22</v>
      </c>
      <c r="P124" s="76">
        <v>6</v>
      </c>
      <c r="Q124" s="76">
        <v>38</v>
      </c>
      <c r="R124" s="76">
        <v>6</v>
      </c>
      <c r="S124" s="76">
        <v>114</v>
      </c>
      <c r="T124" s="76">
        <v>352</v>
      </c>
      <c r="U124" s="76">
        <v>86.2</v>
      </c>
      <c r="V124" s="100">
        <v>0.19700000000000001</v>
      </c>
      <c r="W124" s="76">
        <v>1.1399999999999999</v>
      </c>
      <c r="X124" s="76"/>
      <c r="Y124" s="52">
        <f t="shared" si="45"/>
        <v>9.2485549132947966</v>
      </c>
      <c r="Z124" s="53">
        <f>IF(Y124&lt;LeagueRatings!$K$21,((LeagueRatings!$K$21-Y124)/LeagueRatings!$K$21)*36,(LeagueRatings!$K$21-Y124)*6.48)</f>
        <v>-1.9150948588192489</v>
      </c>
      <c r="AA124" s="16">
        <f>INDEX('C-P-RollAdj'!$B$4:$B$76,MATCH(INT(Z124),'C-P-RollAdj'!$A$4:$A$76,FALSE),0)</f>
        <v>0.18</v>
      </c>
      <c r="AB124" s="16">
        <f t="shared" si="46"/>
        <v>1.7341040462427744</v>
      </c>
      <c r="AC124" s="53">
        <f>IF(AB124&lt;LeagueRatings!$K$19,((LeagueRatings!$K$19-AB124)/LeagueRatings!$K$19)*36,(LeagueRatings!$K$19-AB124)/LeagueRatings!$K$22)</f>
        <v>14.53241400762073</v>
      </c>
      <c r="AD124" s="16">
        <f>INDEX('C-P-RollAdj'!$F$4:$F$76,MATCH(INT(AC124),'C-P-RollAdj'!$E$4:$E$76,FALSE),0)</f>
        <v>-1.05</v>
      </c>
      <c r="AE124" s="55">
        <f>+((LeagueRatings!$I$17-E124)*5)+9.5</f>
        <v>18.914387243706365</v>
      </c>
      <c r="AF124" s="55">
        <f t="shared" si="49"/>
        <v>18.914387243706365</v>
      </c>
      <c r="AG124" s="17">
        <f t="shared" si="47"/>
        <v>2.0032664128302762</v>
      </c>
      <c r="AH124" s="56">
        <f t="shared" si="50"/>
        <v>20.047653656536639</v>
      </c>
      <c r="AI124" s="41" t="s">
        <v>590</v>
      </c>
      <c r="AJ124" s="9" t="s">
        <v>72</v>
      </c>
      <c r="AK124" s="219">
        <f>INDEX('C-P-RollAdj'!$J$4:$J$76,MATCH(INT(Z124),'C-P-RollAdj'!$I$4:$I$76,FALSE),0)</f>
        <v>-12</v>
      </c>
      <c r="AL124" s="219">
        <f>INDEX('C-P-RollAdj'!$J$4:$J$76,MATCH(INT(AC124),'C-P-RollAdj'!$I$4:$I$76,FALSE),0)</f>
        <v>32</v>
      </c>
      <c r="AM124" s="14">
        <f>+AR124*LeagueRatings!$K$27</f>
        <v>48.333333333333336</v>
      </c>
      <c r="AN124" s="72">
        <f>F124*LeagueRatings!$K$27</f>
        <v>35.555555555555557</v>
      </c>
      <c r="AO124" s="72">
        <f>G124*LeagueRatings!$K$27</f>
        <v>2.7777777777777777</v>
      </c>
      <c r="AP124" s="72">
        <f>T124*LeagueRatings!$K$27</f>
        <v>195.55555555555557</v>
      </c>
      <c r="AQ124" s="28"/>
      <c r="AR124" s="14">
        <f t="shared" si="48"/>
        <v>87</v>
      </c>
    </row>
    <row r="125" spans="1:44" s="28" customFormat="1" x14ac:dyDescent="0.2">
      <c r="A125" s="41" t="s">
        <v>392</v>
      </c>
      <c r="B125" s="76" t="s">
        <v>244</v>
      </c>
      <c r="C125" s="76">
        <v>1</v>
      </c>
      <c r="D125" s="76">
        <v>4</v>
      </c>
      <c r="E125" s="97">
        <v>2.81</v>
      </c>
      <c r="F125" s="76">
        <v>67</v>
      </c>
      <c r="G125" s="76">
        <v>0</v>
      </c>
      <c r="H125" s="76">
        <v>0</v>
      </c>
      <c r="I125" s="76">
        <v>0</v>
      </c>
      <c r="J125" s="76">
        <v>40</v>
      </c>
      <c r="K125" s="76">
        <v>43</v>
      </c>
      <c r="L125" s="258">
        <f>INDEX('C-P-RollAdj'!$P$4:$P$900,MATCH((U125),'C-P-RollAdj'!$O$4:$O$900,FALSE),0)</f>
        <v>64</v>
      </c>
      <c r="M125" s="76">
        <v>52</v>
      </c>
      <c r="N125" s="76">
        <v>21</v>
      </c>
      <c r="O125" s="76">
        <v>20</v>
      </c>
      <c r="P125" s="76">
        <v>1</v>
      </c>
      <c r="Q125" s="76">
        <v>35</v>
      </c>
      <c r="R125" s="76">
        <v>3</v>
      </c>
      <c r="S125" s="76">
        <v>73</v>
      </c>
      <c r="T125" s="76">
        <v>278</v>
      </c>
      <c r="U125" s="76">
        <v>64</v>
      </c>
      <c r="V125" s="100">
        <v>0.223</v>
      </c>
      <c r="W125" s="76">
        <v>1.36</v>
      </c>
      <c r="X125" s="76"/>
      <c r="Y125" s="50">
        <f t="shared" si="45"/>
        <v>11.636363636363637</v>
      </c>
      <c r="Z125" s="6">
        <f>IF(Y125&lt;LeagueRatings!$K$21,((LeagueRatings!$K$21-Y125)/LeagueRatings!$K$21)*36,(LeagueRatings!$K$21-Y125)*6.48)</f>
        <v>-17.388095384305334</v>
      </c>
      <c r="AA125" s="16">
        <f>INDEX('C-P-RollAdj'!$B$4:$B$76,MATCH(INT(Z125),'C-P-RollAdj'!$A$4:$A$76,FALSE),0)</f>
        <v>2.08</v>
      </c>
      <c r="AB125" s="16">
        <f t="shared" si="46"/>
        <v>0.36363636363636365</v>
      </c>
      <c r="AC125" s="6">
        <f>IF(AB125&lt;LeagueRatings!$K$19,((LeagueRatings!$K$19-AB125)/LeagueRatings!$K$19)*36,(LeagueRatings!$K$19-AB125)/LeagueRatings!$K$22)</f>
        <v>31.498312270688949</v>
      </c>
      <c r="AD125" s="16">
        <f>INDEX('C-P-RollAdj'!$F$4:$F$76,MATCH(INT(AC125),'C-P-RollAdj'!$E$4:$E$76,FALSE),0)</f>
        <v>-2.71</v>
      </c>
      <c r="AE125" s="17">
        <f>+((LeagueRatings!$I$17-E125)*5)+9.5</f>
        <v>16.264387243706363</v>
      </c>
      <c r="AF125" s="17">
        <f t="shared" si="49"/>
        <v>16.264387243706363</v>
      </c>
      <c r="AG125" s="17">
        <f t="shared" si="47"/>
        <v>1.2424999999999999</v>
      </c>
      <c r="AH125" s="4">
        <f t="shared" si="50"/>
        <v>16.876887243706364</v>
      </c>
      <c r="AI125" s="41" t="s">
        <v>392</v>
      </c>
      <c r="AJ125" s="5" t="s">
        <v>53</v>
      </c>
      <c r="AK125" s="219">
        <f>INDEX('C-P-RollAdj'!$J$4:$J$76,MATCH(INT(Z125),'C-P-RollAdj'!$I$4:$I$76,FALSE),0)</f>
        <v>-36</v>
      </c>
      <c r="AL125" s="219">
        <f>INDEX('C-P-RollAdj'!$J$4:$J$76,MATCH(INT(AC125),'C-P-RollAdj'!$I$4:$I$76,FALSE),0)</f>
        <v>61</v>
      </c>
      <c r="AM125" s="14">
        <f>+AR125*LeagueRatings!$K$27</f>
        <v>35.555555555555557</v>
      </c>
      <c r="AN125" s="72">
        <f>F125*LeagueRatings!$K$27</f>
        <v>37.222222222222221</v>
      </c>
      <c r="AO125" s="72">
        <f>G125*LeagueRatings!$K$27</f>
        <v>0</v>
      </c>
      <c r="AP125" s="72">
        <f>T125*LeagueRatings!$K$27</f>
        <v>154.44444444444446</v>
      </c>
      <c r="AQ125" s="24"/>
      <c r="AR125" s="14">
        <f t="shared" si="48"/>
        <v>64</v>
      </c>
    </row>
    <row r="126" spans="1:44" x14ac:dyDescent="0.2">
      <c r="A126" s="41" t="s">
        <v>629</v>
      </c>
      <c r="B126" s="76" t="s">
        <v>244</v>
      </c>
      <c r="C126" s="76">
        <v>2</v>
      </c>
      <c r="D126" s="76">
        <v>3</v>
      </c>
      <c r="E126" s="97">
        <v>5.89</v>
      </c>
      <c r="F126" s="76">
        <v>39</v>
      </c>
      <c r="G126" s="76">
        <v>0</v>
      </c>
      <c r="H126" s="76">
        <v>0</v>
      </c>
      <c r="I126" s="76">
        <v>0</v>
      </c>
      <c r="J126" s="76">
        <v>8</v>
      </c>
      <c r="K126" s="76">
        <v>11</v>
      </c>
      <c r="L126" s="258">
        <f>INDEX('C-P-RollAdj'!$P$4:$P$900,MATCH((U126),'C-P-RollAdj'!$O$4:$O$900,FALSE),0)</f>
        <v>36.67</v>
      </c>
      <c r="M126" s="76">
        <v>41</v>
      </c>
      <c r="N126" s="76">
        <v>25</v>
      </c>
      <c r="O126" s="76">
        <v>24</v>
      </c>
      <c r="P126" s="76">
        <v>5</v>
      </c>
      <c r="Q126" s="76">
        <v>25</v>
      </c>
      <c r="R126" s="76">
        <v>3</v>
      </c>
      <c r="S126" s="76">
        <v>41</v>
      </c>
      <c r="T126" s="76">
        <v>174</v>
      </c>
      <c r="U126" s="76">
        <v>36.200000000000003</v>
      </c>
      <c r="V126" s="100">
        <v>0.28899999999999998</v>
      </c>
      <c r="W126" s="76">
        <v>1.8</v>
      </c>
      <c r="X126" s="8"/>
      <c r="Y126" s="50">
        <f t="shared" si="45"/>
        <v>12.865497076023392</v>
      </c>
      <c r="Z126" s="6">
        <f>IF(Y126&lt;LeagueRatings!$K$21,((LeagueRatings!$K$21-Y126)/LeagueRatings!$K$21)*36,(LeagueRatings!$K$21-Y126)*6.48)</f>
        <v>-25.352880073300547</v>
      </c>
      <c r="AA126" s="16">
        <f>INDEX('C-P-RollAdj'!$B$4:$B$76,MATCH(INT(Z126),'C-P-RollAdj'!$A$4:$A$76,FALSE),0)</f>
        <v>3.42</v>
      </c>
      <c r="AB126" s="16">
        <f t="shared" si="46"/>
        <v>2.9239766081871341</v>
      </c>
      <c r="AC126" s="6">
        <f>IF(AB126&lt;LeagueRatings!$K$19,((LeagueRatings!$K$19-AB126)/LeagueRatings!$K$19)*36,(LeagueRatings!$K$19-AB126)/LeagueRatings!$K$22)</f>
        <v>-0.129088575096273</v>
      </c>
      <c r="AD126" s="16">
        <f>INDEX('C-P-RollAdj'!$F$4:$F$76,MATCH(INT(AC126),'C-P-RollAdj'!$E$4:$E$76,FALSE),0)</f>
        <v>0.08</v>
      </c>
      <c r="AE126" s="17">
        <f>+((LeagueRatings!$I$17-E126)*5)+9.5</f>
        <v>0.86438724370636422</v>
      </c>
      <c r="AF126" s="17">
        <f t="shared" si="49"/>
        <v>4</v>
      </c>
      <c r="AG126" s="17">
        <f t="shared" si="47"/>
        <v>-0.59040087264794039</v>
      </c>
      <c r="AH126" s="4">
        <f t="shared" si="50"/>
        <v>6.9095991273520596</v>
      </c>
      <c r="AI126" s="41" t="s">
        <v>629</v>
      </c>
      <c r="AJ126" s="5" t="s">
        <v>66</v>
      </c>
      <c r="AK126" s="219">
        <f>INDEX('C-P-RollAdj'!$J$4:$J$76,MATCH(INT(Z126),'C-P-RollAdj'!$I$4:$I$76,FALSE),0)</f>
        <v>-52</v>
      </c>
      <c r="AL126" s="219">
        <f>INDEX('C-P-RollAdj'!$J$4:$J$76,MATCH(INT(AC126),'C-P-RollAdj'!$I$4:$I$76,FALSE),0)</f>
        <v>-11</v>
      </c>
      <c r="AM126" s="14">
        <f>+AR126*LeagueRatings!$K$27</f>
        <v>20.555555555555557</v>
      </c>
      <c r="AN126" s="72">
        <f>F126*LeagueRatings!$K$27</f>
        <v>21.666666666666668</v>
      </c>
      <c r="AO126" s="72">
        <f>G126*LeagueRatings!$K$27</f>
        <v>0</v>
      </c>
      <c r="AP126" s="72">
        <f>T126*LeagueRatings!$K$27</f>
        <v>96.666666666666671</v>
      </c>
      <c r="AR126" s="14">
        <f t="shared" si="48"/>
        <v>37</v>
      </c>
    </row>
    <row r="127" spans="1:44" s="28" customFormat="1" x14ac:dyDescent="0.2">
      <c r="A127" s="41" t="s">
        <v>1126</v>
      </c>
      <c r="B127" s="76" t="s">
        <v>244</v>
      </c>
      <c r="C127" s="76">
        <v>4</v>
      </c>
      <c r="D127" s="76">
        <v>9</v>
      </c>
      <c r="E127" s="97">
        <v>6.13</v>
      </c>
      <c r="F127" s="76">
        <v>28</v>
      </c>
      <c r="G127" s="76">
        <v>12</v>
      </c>
      <c r="H127" s="76">
        <v>0</v>
      </c>
      <c r="I127" s="76">
        <v>0</v>
      </c>
      <c r="J127" s="76">
        <v>1</v>
      </c>
      <c r="K127" s="76">
        <v>3</v>
      </c>
      <c r="L127" s="258">
        <f>INDEX('C-P-RollAdj'!$P$4:$P$900,MATCH((U127),'C-P-RollAdj'!$O$4:$O$900,FALSE),0)</f>
        <v>83.67</v>
      </c>
      <c r="M127" s="76">
        <v>91</v>
      </c>
      <c r="N127" s="76">
        <v>59</v>
      </c>
      <c r="O127" s="76">
        <v>57</v>
      </c>
      <c r="P127" s="76">
        <v>11</v>
      </c>
      <c r="Q127" s="76">
        <v>29</v>
      </c>
      <c r="R127" s="76">
        <v>6</v>
      </c>
      <c r="S127" s="76">
        <v>58</v>
      </c>
      <c r="T127" s="76">
        <v>373</v>
      </c>
      <c r="U127" s="76">
        <v>83.2</v>
      </c>
      <c r="V127" s="100">
        <v>0.27500000000000002</v>
      </c>
      <c r="W127" s="76">
        <v>1.43</v>
      </c>
      <c r="X127" s="76"/>
      <c r="Y127" s="50">
        <f t="shared" si="45"/>
        <v>6.2670299727520433</v>
      </c>
      <c r="Z127" s="6">
        <f>IF(Y127&lt;LeagueRatings!$K$21,((LeagueRatings!$K$21-Y127)/LeagueRatings!$K$21)*36,(LeagueRatings!$K$21-Y127)*6.48)</f>
        <v>10.80032544099782</v>
      </c>
      <c r="AA127" s="16">
        <f>INDEX('C-P-RollAdj'!$B$4:$B$76,MATCH(INT(Z127),'C-P-RollAdj'!$A$4:$A$76,FALSE),0)</f>
        <v>-0.83000000000000007</v>
      </c>
      <c r="AB127" s="16">
        <f t="shared" si="46"/>
        <v>2.9972752043596729</v>
      </c>
      <c r="AC127" s="6">
        <f>IF(AB127&lt;LeagueRatings!$K$19,((LeagueRatings!$K$19-AB127)/LeagueRatings!$K$19)*36,(LeagueRatings!$K$19-AB127)/LeagueRatings!$K$22)</f>
        <v>-0.72133980195387548</v>
      </c>
      <c r="AD127" s="16">
        <f>INDEX('C-P-RollAdj'!$F$4:$F$76,MATCH(INT(AC127),'C-P-RollAdj'!$E$4:$E$76,FALSE),0)</f>
        <v>0.08</v>
      </c>
      <c r="AE127" s="17">
        <f>+((LeagueRatings!$I$17-E127)*5)+9.5</f>
        <v>-0.33561275629363685</v>
      </c>
      <c r="AF127" s="17">
        <f>IF(AE127&lt;4,4,AE127)</f>
        <v>4</v>
      </c>
      <c r="AG127" s="17">
        <f t="shared" si="47"/>
        <v>-0.43803035735628049</v>
      </c>
      <c r="AH127" s="4">
        <f>+AA127+AD127+AF127+AG127</f>
        <v>2.8119696426437195</v>
      </c>
      <c r="AI127" s="41" t="s">
        <v>1126</v>
      </c>
      <c r="AJ127" s="5" t="s">
        <v>78</v>
      </c>
      <c r="AK127" s="219">
        <f>INDEX('C-P-RollAdj'!$J$4:$J$76,MATCH(INT(Z127),'C-P-RollAdj'!$I$4:$I$76,FALSE),0)</f>
        <v>24</v>
      </c>
      <c r="AL127" s="219">
        <f>INDEX('C-P-RollAdj'!$J$4:$J$76,MATCH(INT(AC127),'C-P-RollAdj'!$I$4:$I$76,FALSE),0)</f>
        <v>-11</v>
      </c>
      <c r="AM127" s="14">
        <f>+AR127*LeagueRatings!$K$27</f>
        <v>46.666666666666671</v>
      </c>
      <c r="AN127" s="72">
        <f>F127*LeagueRatings!$K$27</f>
        <v>15.555555555555557</v>
      </c>
      <c r="AO127" s="72">
        <f>G127*LeagueRatings!$K$27</f>
        <v>6.666666666666667</v>
      </c>
      <c r="AP127" s="72">
        <f>T127*LeagueRatings!$K$27</f>
        <v>207.22222222222223</v>
      </c>
      <c r="AQ127" s="24"/>
      <c r="AR127" s="14">
        <f t="shared" si="48"/>
        <v>84</v>
      </c>
    </row>
    <row r="128" spans="1:44" s="122" customFormat="1" x14ac:dyDescent="0.2">
      <c r="A128" s="41" t="s">
        <v>1452</v>
      </c>
      <c r="B128" s="76" t="s">
        <v>244</v>
      </c>
      <c r="C128" s="76">
        <v>4</v>
      </c>
      <c r="D128" s="76">
        <v>3</v>
      </c>
      <c r="E128" s="97">
        <v>3.14</v>
      </c>
      <c r="F128" s="76">
        <v>48</v>
      </c>
      <c r="G128" s="76">
        <v>0</v>
      </c>
      <c r="H128" s="76">
        <v>0</v>
      </c>
      <c r="I128" s="76">
        <v>0</v>
      </c>
      <c r="J128" s="76">
        <v>0</v>
      </c>
      <c r="K128" s="76">
        <v>2</v>
      </c>
      <c r="L128" s="258">
        <f>INDEX('C-P-RollAdj'!$P$4:$P$900,MATCH((U128),'C-P-RollAdj'!$O$4:$O$900,FALSE),0)</f>
        <v>51.67</v>
      </c>
      <c r="M128" s="76">
        <v>50</v>
      </c>
      <c r="N128" s="76">
        <v>18</v>
      </c>
      <c r="O128" s="76">
        <v>18</v>
      </c>
      <c r="P128" s="76">
        <v>6</v>
      </c>
      <c r="Q128" s="76">
        <v>10</v>
      </c>
      <c r="R128" s="76">
        <v>2</v>
      </c>
      <c r="S128" s="76">
        <v>42</v>
      </c>
      <c r="T128" s="76">
        <v>213</v>
      </c>
      <c r="U128" s="76">
        <v>51.2</v>
      </c>
      <c r="V128" s="100">
        <v>0.254</v>
      </c>
      <c r="W128" s="76">
        <v>1.1599999999999999</v>
      </c>
      <c r="X128" s="8"/>
      <c r="Y128" s="50">
        <f t="shared" si="45"/>
        <v>3.7914691943127963</v>
      </c>
      <c r="Z128" s="6">
        <f>IF(Y128&lt;LeagueRatings!$K$21,((LeagueRatings!$K$21-Y128)/LeagueRatings!$K$21)*36,(LeagueRatings!$K$21-Y128)*6.48)</f>
        <v>20.754534410626331</v>
      </c>
      <c r="AA128" s="16">
        <f>INDEX('C-P-RollAdj'!$B$4:$B$76,MATCH(INT(Z128),'C-P-RollAdj'!$A$4:$A$76,FALSE),0)</f>
        <v>-1.79</v>
      </c>
      <c r="AB128" s="16">
        <f t="shared" si="46"/>
        <v>2.8436018957345972</v>
      </c>
      <c r="AC128" s="6">
        <f>IF(AB128&lt;LeagueRatings!$K$19,((LeagueRatings!$K$19-AB128)/LeagueRatings!$K$19)*36,(LeagueRatings!$K$19-AB128)/LeagueRatings!$K$22)</f>
        <v>0.79722865704631063</v>
      </c>
      <c r="AD128" s="16">
        <f>INDEX('C-P-RollAdj'!$F$4:$F$76,MATCH(INT(AC128),'C-P-RollAdj'!$E$4:$E$76,FALSE),0)</f>
        <v>0</v>
      </c>
      <c r="AE128" s="17">
        <f>+((LeagueRatings!$I$17-E128)*5)+9.5</f>
        <v>14.614387243706362</v>
      </c>
      <c r="AF128" s="17">
        <f>IF(AE128&lt;4,4,AE128)</f>
        <v>14.614387243706362</v>
      </c>
      <c r="AG128" s="17">
        <f t="shared" si="47"/>
        <v>0.15624346816334483</v>
      </c>
      <c r="AH128" s="4">
        <f>+AA128+AD128+AF128+AG128</f>
        <v>12.980630711869706</v>
      </c>
      <c r="AI128" s="41" t="s">
        <v>1452</v>
      </c>
      <c r="AJ128" s="5" t="s">
        <v>16</v>
      </c>
      <c r="AK128" s="219">
        <f>INDEX('C-P-RollAdj'!$J$4:$J$76,MATCH(INT(Z128),'C-P-RollAdj'!$I$4:$I$76,FALSE),0)</f>
        <v>42</v>
      </c>
      <c r="AL128" s="219">
        <f>INDEX('C-P-RollAdj'!$J$4:$J$76,MATCH(INT(AC128),'C-P-RollAdj'!$I$4:$I$76,FALSE),0)</f>
        <v>0</v>
      </c>
      <c r="AM128" s="14">
        <f>+AR128*LeagueRatings!$K$27</f>
        <v>28.888888888888889</v>
      </c>
      <c r="AN128" s="72">
        <f>F128*LeagueRatings!$K$27</f>
        <v>26.666666666666668</v>
      </c>
      <c r="AO128" s="72">
        <f>G128*LeagueRatings!$K$27</f>
        <v>0</v>
      </c>
      <c r="AP128" s="72">
        <f>T128*LeagueRatings!$K$27</f>
        <v>118.33333333333334</v>
      </c>
      <c r="AQ128" s="24"/>
      <c r="AR128" s="14">
        <f t="shared" si="48"/>
        <v>52</v>
      </c>
    </row>
    <row r="129" spans="1:44" s="28" customFormat="1" x14ac:dyDescent="0.2">
      <c r="A129" s="124"/>
      <c r="B129" s="125"/>
      <c r="C129" s="125"/>
      <c r="D129" s="125"/>
      <c r="E129" s="126"/>
      <c r="F129" s="125"/>
      <c r="G129" s="125"/>
      <c r="H129" s="8"/>
      <c r="I129" s="8"/>
      <c r="J129" s="125"/>
      <c r="K129" s="125"/>
      <c r="L129" s="126"/>
      <c r="M129" s="125"/>
      <c r="N129" s="125"/>
      <c r="O129" s="125"/>
      <c r="P129" s="125"/>
      <c r="Q129" s="125"/>
      <c r="R129" s="8"/>
      <c r="S129" s="125"/>
      <c r="T129" s="8"/>
      <c r="U129" s="8"/>
      <c r="V129" s="274"/>
      <c r="W129" s="8"/>
      <c r="X129" s="70"/>
      <c r="Y129" s="52"/>
      <c r="Z129" s="53"/>
      <c r="AA129" s="54"/>
      <c r="AB129" s="54"/>
      <c r="AC129" s="53"/>
      <c r="AD129" s="54"/>
      <c r="AE129" s="55"/>
      <c r="AF129" s="55"/>
      <c r="AG129" s="55"/>
      <c r="AH129" s="56"/>
      <c r="AI129" s="124"/>
      <c r="AJ129" s="9"/>
      <c r="AK129" s="9"/>
      <c r="AL129" s="9"/>
      <c r="AM129" s="14"/>
      <c r="AN129" s="72"/>
      <c r="AO129" s="72"/>
      <c r="AP129" s="72"/>
      <c r="AR129" s="14"/>
    </row>
    <row r="130" spans="1:44" x14ac:dyDescent="0.2">
      <c r="A130" s="69" t="s">
        <v>106</v>
      </c>
      <c r="B130" s="70" t="s">
        <v>157</v>
      </c>
      <c r="C130" s="71" t="s">
        <v>85</v>
      </c>
      <c r="D130" s="70" t="s">
        <v>86</v>
      </c>
      <c r="E130" s="71" t="s">
        <v>87</v>
      </c>
      <c r="F130" s="70" t="s">
        <v>108</v>
      </c>
      <c r="G130" s="70" t="s">
        <v>88</v>
      </c>
      <c r="H130" s="70" t="s">
        <v>89</v>
      </c>
      <c r="I130" s="72" t="s">
        <v>317</v>
      </c>
      <c r="J130" s="72" t="s">
        <v>90</v>
      </c>
      <c r="K130" s="72" t="s">
        <v>158</v>
      </c>
      <c r="L130" s="71" t="s">
        <v>91</v>
      </c>
      <c r="M130" s="70" t="s">
        <v>92</v>
      </c>
      <c r="N130" s="70" t="s">
        <v>93</v>
      </c>
      <c r="O130" s="70" t="s">
        <v>94</v>
      </c>
      <c r="P130" s="70" t="s">
        <v>95</v>
      </c>
      <c r="Q130" s="70" t="s">
        <v>96</v>
      </c>
      <c r="R130" s="70" t="s">
        <v>98</v>
      </c>
      <c r="S130" s="70" t="s">
        <v>97</v>
      </c>
      <c r="T130" s="70" t="s">
        <v>109</v>
      </c>
      <c r="U130" s="196" t="s">
        <v>91</v>
      </c>
      <c r="V130" s="277" t="s">
        <v>1071</v>
      </c>
      <c r="W130" s="196" t="s">
        <v>1072</v>
      </c>
      <c r="X130" s="70"/>
      <c r="Y130" s="115" t="s">
        <v>2</v>
      </c>
      <c r="Z130" s="116" t="s">
        <v>3</v>
      </c>
      <c r="AA130" s="117" t="s">
        <v>4</v>
      </c>
      <c r="AB130" s="118" t="s">
        <v>5</v>
      </c>
      <c r="AC130" s="116" t="s">
        <v>6</v>
      </c>
      <c r="AD130" s="117" t="s">
        <v>7</v>
      </c>
      <c r="AE130" s="119" t="s">
        <v>8</v>
      </c>
      <c r="AF130" s="119" t="s">
        <v>81</v>
      </c>
      <c r="AG130" s="119" t="s">
        <v>9</v>
      </c>
      <c r="AH130" s="120" t="s">
        <v>10</v>
      </c>
      <c r="AI130" s="69" t="s">
        <v>106</v>
      </c>
      <c r="AJ130" s="7" t="s">
        <v>11</v>
      </c>
      <c r="AK130" s="7" t="s">
        <v>12</v>
      </c>
      <c r="AL130" s="7" t="s">
        <v>13</v>
      </c>
      <c r="AN130" s="72"/>
      <c r="AO130" s="72"/>
      <c r="AP130" s="72"/>
      <c r="AQ130" s="122"/>
      <c r="AR130" s="14"/>
    </row>
    <row r="131" spans="1:44" x14ac:dyDescent="0.2">
      <c r="A131" s="69"/>
      <c r="B131" s="70"/>
      <c r="C131" s="71"/>
      <c r="D131" s="70"/>
      <c r="E131" s="71"/>
      <c r="F131" s="70"/>
      <c r="G131" s="70"/>
      <c r="H131" s="70"/>
      <c r="I131" s="72"/>
      <c r="J131" s="72"/>
      <c r="K131" s="72"/>
      <c r="L131" s="71"/>
      <c r="M131" s="70"/>
      <c r="N131" s="70"/>
      <c r="O131" s="70"/>
      <c r="P131" s="70"/>
      <c r="Q131" s="70"/>
      <c r="R131" s="70"/>
      <c r="S131" s="70"/>
      <c r="T131" s="70"/>
      <c r="U131" s="70"/>
      <c r="V131" s="164"/>
      <c r="W131" s="70"/>
      <c r="X131" s="76"/>
      <c r="Y131" s="52"/>
      <c r="Z131" s="53"/>
      <c r="AA131" s="54"/>
      <c r="AB131" s="54"/>
      <c r="AC131" s="53"/>
      <c r="AD131" s="54"/>
      <c r="AE131" s="55"/>
      <c r="AF131" s="55"/>
      <c r="AG131" s="55"/>
      <c r="AH131" s="56"/>
      <c r="AI131" s="69"/>
      <c r="AJ131" s="9"/>
      <c r="AK131" s="9"/>
      <c r="AL131" s="9"/>
      <c r="AN131" s="72"/>
      <c r="AO131" s="72"/>
      <c r="AP131" s="72"/>
      <c r="AQ131" s="28"/>
      <c r="AR131" s="14"/>
    </row>
    <row r="132" spans="1:44" x14ac:dyDescent="0.2">
      <c r="A132" s="41" t="s">
        <v>747</v>
      </c>
      <c r="B132" s="76" t="s">
        <v>166</v>
      </c>
      <c r="C132" s="76">
        <v>9</v>
      </c>
      <c r="D132" s="76">
        <v>11</v>
      </c>
      <c r="E132" s="97">
        <v>4.3899999999999997</v>
      </c>
      <c r="F132" s="76">
        <v>31</v>
      </c>
      <c r="G132" s="76">
        <v>30</v>
      </c>
      <c r="H132" s="76">
        <v>0</v>
      </c>
      <c r="I132" s="76">
        <v>0</v>
      </c>
      <c r="J132" s="76">
        <v>0</v>
      </c>
      <c r="K132" s="76">
        <v>0</v>
      </c>
      <c r="L132" s="258">
        <f>INDEX('C-P-RollAdj'!$P$4:$P$900,MATCH((U132),'C-P-RollAdj'!$O$4:$O$900,FALSE),0)</f>
        <v>151.67000000000002</v>
      </c>
      <c r="M132" s="76">
        <v>155</v>
      </c>
      <c r="N132" s="76">
        <v>83</v>
      </c>
      <c r="O132" s="76">
        <v>74</v>
      </c>
      <c r="P132" s="76">
        <v>28</v>
      </c>
      <c r="Q132" s="76">
        <v>53</v>
      </c>
      <c r="R132" s="76">
        <v>0</v>
      </c>
      <c r="S132" s="76">
        <v>120</v>
      </c>
      <c r="T132" s="76">
        <v>647</v>
      </c>
      <c r="U132" s="76">
        <v>151.19999999999999</v>
      </c>
      <c r="V132" s="100">
        <v>0.26600000000000001</v>
      </c>
      <c r="W132" s="76">
        <v>1.37</v>
      </c>
      <c r="X132" s="76"/>
      <c r="Y132" s="50">
        <f t="shared" ref="Y132:Y147" si="51">+(Q132-R132)/(T132-R132)*100</f>
        <v>8.1916537867078816</v>
      </c>
      <c r="Z132" s="6">
        <f>IF(Y132&lt;LeagueRatings!$K$21,((LeagueRatings!$K$21-Y132)/LeagueRatings!$K$21)*36,(LeagueRatings!$K$21-Y132)*6.48)</f>
        <v>3.0614293496975087</v>
      </c>
      <c r="AA132" s="16">
        <f>INDEX('C-P-RollAdj'!$B$4:$B$76,MATCH(INT(Z132),'C-P-RollAdj'!$A$4:$A$76,FALSE),0)</f>
        <v>-0.24</v>
      </c>
      <c r="AB132" s="16">
        <f t="shared" ref="AB132:AB147" si="52">(P132/(T132-R132))*100</f>
        <v>4.327666151468315</v>
      </c>
      <c r="AC132" s="6">
        <f>IF(AB132&lt;LeagueRatings!$K$19,((LeagueRatings!$K$19-AB132)/LeagueRatings!$K$19)*36,(LeagueRatings!$K$19-AB132)/LeagueRatings!$K$22)</f>
        <v>-11.470872695743957</v>
      </c>
      <c r="AD132" s="16">
        <f>INDEX('C-P-RollAdj'!$F$4:$F$76,MATCH(INT(AC132),'C-P-RollAdj'!$E$4:$E$76,FALSE),0)</f>
        <v>1.1400000000000001</v>
      </c>
      <c r="AE132" s="17">
        <f>+((LeagueRatings!$I$17-E132)*5)+9.5</f>
        <v>8.3643872437063642</v>
      </c>
      <c r="AF132" s="17">
        <f t="shared" si="49"/>
        <v>8.3643872437063642</v>
      </c>
      <c r="AG132" s="17">
        <f t="shared" ref="AG132:AG147" si="53">IF(M132&lt;L132,((1-(M132/L132))*7)-0.07,(1-(M132/L132))*5)</f>
        <v>-0.1097778070811628</v>
      </c>
      <c r="AH132" s="4">
        <f t="shared" si="50"/>
        <v>9.1546094366252024</v>
      </c>
      <c r="AI132" s="41" t="s">
        <v>747</v>
      </c>
      <c r="AJ132" s="5" t="s">
        <v>34</v>
      </c>
      <c r="AK132" s="219">
        <f>INDEX('C-P-RollAdj'!$J$4:$J$76,MATCH(INT(Z132),'C-P-RollAdj'!$I$4:$I$76,FALSE),0)</f>
        <v>13</v>
      </c>
      <c r="AL132" s="219">
        <f>INDEX('C-P-RollAdj'!$J$4:$J$76,MATCH(INT(AC132),'C-P-RollAdj'!$I$4:$I$76,FALSE),0)</f>
        <v>-26</v>
      </c>
      <c r="AM132" s="14">
        <f>+AR132*LeagueRatings!$K$27</f>
        <v>84.444444444444443</v>
      </c>
      <c r="AN132" s="72">
        <f>F132*LeagueRatings!$K$27</f>
        <v>17.222222222222221</v>
      </c>
      <c r="AO132" s="72">
        <f>G132*LeagueRatings!$K$27</f>
        <v>16.666666666666668</v>
      </c>
      <c r="AP132" s="72">
        <f>T132*LeagueRatings!$K$27</f>
        <v>359.44444444444446</v>
      </c>
      <c r="AR132" s="14">
        <f t="shared" ref="AR132:AR147" si="54">ROUNDUP(L132,0)</f>
        <v>152</v>
      </c>
    </row>
    <row r="133" spans="1:44" x14ac:dyDescent="0.2">
      <c r="A133" s="41" t="s">
        <v>1456</v>
      </c>
      <c r="B133" s="76" t="s">
        <v>166</v>
      </c>
      <c r="C133" s="76">
        <v>0</v>
      </c>
      <c r="D133" s="76">
        <v>1</v>
      </c>
      <c r="E133" s="97">
        <v>2.7</v>
      </c>
      <c r="F133" s="76">
        <v>27</v>
      </c>
      <c r="G133" s="76">
        <v>0</v>
      </c>
      <c r="H133" s="76">
        <v>0</v>
      </c>
      <c r="I133" s="76">
        <v>0</v>
      </c>
      <c r="J133" s="76">
        <v>1</v>
      </c>
      <c r="K133" s="76">
        <v>1</v>
      </c>
      <c r="L133" s="258">
        <f>INDEX('C-P-RollAdj'!$P$4:$P$900,MATCH((U133),'C-P-RollAdj'!$O$4:$O$900,FALSE),0)</f>
        <v>26.67</v>
      </c>
      <c r="M133" s="76">
        <v>24</v>
      </c>
      <c r="N133" s="76">
        <v>9</v>
      </c>
      <c r="O133" s="76">
        <v>8</v>
      </c>
      <c r="P133" s="76">
        <v>1</v>
      </c>
      <c r="Q133" s="76">
        <v>6</v>
      </c>
      <c r="R133" s="76">
        <v>1</v>
      </c>
      <c r="S133" s="76">
        <v>26</v>
      </c>
      <c r="T133" s="76">
        <v>106</v>
      </c>
      <c r="U133" s="76">
        <v>26.2</v>
      </c>
      <c r="V133" s="100">
        <v>0.245</v>
      </c>
      <c r="W133" s="76">
        <v>1.1299999999999999</v>
      </c>
      <c r="X133" s="76"/>
      <c r="Y133" s="52">
        <f t="shared" si="51"/>
        <v>4.7619047619047619</v>
      </c>
      <c r="Z133" s="53">
        <f>IF(Y133&lt;LeagueRatings!$K$21,((LeagueRatings!$K$21-Y133)/LeagueRatings!$K$21)*36,(LeagueRatings!$K$21-Y133)*6.48)</f>
        <v>16.85242119429855</v>
      </c>
      <c r="AA133" s="16">
        <f>INDEX('C-P-RollAdj'!$B$4:$B$76,MATCH(INT(Z133),'C-P-RollAdj'!$A$4:$A$76,FALSE),0)</f>
        <v>-1.39</v>
      </c>
      <c r="AB133" s="54">
        <f t="shared" si="52"/>
        <v>0.95238095238095244</v>
      </c>
      <c r="AC133" s="53">
        <f>IF(AB133&lt;LeagueRatings!$K$19,((LeagueRatings!$K$19-AB133)/LeagueRatings!$K$19)*36,(LeagueRatings!$K$19-AB133)/LeagueRatings!$K$22)</f>
        <v>24.209865470852019</v>
      </c>
      <c r="AD133" s="16">
        <f>INDEX('C-P-RollAdj'!$F$4:$F$76,MATCH(INT(AC133),'C-P-RollAdj'!$E$4:$E$76,FALSE),0)</f>
        <v>-1.98</v>
      </c>
      <c r="AE133" s="55">
        <f>+((LeagueRatings!$I$17-E133)*5)+9.5</f>
        <v>16.814387243706364</v>
      </c>
      <c r="AF133" s="55">
        <f>IF(AE133&lt;4,4,AE133)</f>
        <v>16.814387243706364</v>
      </c>
      <c r="AG133" s="17">
        <f t="shared" si="53"/>
        <v>0.63078740157480384</v>
      </c>
      <c r="AH133" s="56">
        <f>+AA133+AD133+AF133+AG133</f>
        <v>14.075174645281166</v>
      </c>
      <c r="AI133" s="41" t="s">
        <v>1456</v>
      </c>
      <c r="AJ133" s="9" t="s">
        <v>21</v>
      </c>
      <c r="AK133" s="219">
        <f>INDEX('C-P-RollAdj'!$J$4:$J$76,MATCH(INT(Z133),'C-P-RollAdj'!$I$4:$I$76,FALSE),0)</f>
        <v>34</v>
      </c>
      <c r="AL133" s="219">
        <f>INDEX('C-P-RollAdj'!$J$4:$J$76,MATCH(INT(AC133),'C-P-RollAdj'!$I$4:$I$76,FALSE),0)</f>
        <v>46</v>
      </c>
      <c r="AM133" s="14">
        <f>+AR133*LeagueRatings!$K$27</f>
        <v>15</v>
      </c>
      <c r="AN133" s="72">
        <f>F133*LeagueRatings!$K$27</f>
        <v>15</v>
      </c>
      <c r="AO133" s="72">
        <f>G133*LeagueRatings!$K$27</f>
        <v>0</v>
      </c>
      <c r="AP133" s="72">
        <f>T133*LeagueRatings!$K$27</f>
        <v>58.888888888888893</v>
      </c>
      <c r="AR133" s="14">
        <f t="shared" si="54"/>
        <v>27</v>
      </c>
    </row>
    <row r="134" spans="1:44" x14ac:dyDescent="0.2">
      <c r="A134" s="41" t="s">
        <v>1127</v>
      </c>
      <c r="B134" s="76" t="s">
        <v>166</v>
      </c>
      <c r="C134" s="76">
        <v>3</v>
      </c>
      <c r="D134" s="76">
        <v>1</v>
      </c>
      <c r="E134" s="97">
        <v>5.66</v>
      </c>
      <c r="F134" s="76">
        <v>41</v>
      </c>
      <c r="G134" s="76">
        <v>0</v>
      </c>
      <c r="H134" s="76">
        <v>0</v>
      </c>
      <c r="I134" s="76">
        <v>0</v>
      </c>
      <c r="J134" s="76">
        <v>0</v>
      </c>
      <c r="K134" s="76">
        <v>2</v>
      </c>
      <c r="L134" s="258">
        <f>INDEX('C-P-RollAdj'!$P$4:$P$900,MATCH((U134),'C-P-RollAdj'!$O$4:$O$900,FALSE),0)</f>
        <v>41.33</v>
      </c>
      <c r="M134" s="76">
        <v>52</v>
      </c>
      <c r="N134" s="76">
        <v>31</v>
      </c>
      <c r="O134" s="76">
        <v>26</v>
      </c>
      <c r="P134" s="76">
        <v>7</v>
      </c>
      <c r="Q134" s="76">
        <v>27</v>
      </c>
      <c r="R134" s="76">
        <v>3</v>
      </c>
      <c r="S134" s="76">
        <v>36</v>
      </c>
      <c r="T134" s="76">
        <v>201</v>
      </c>
      <c r="U134" s="76">
        <v>41.1</v>
      </c>
      <c r="V134" s="100">
        <v>0.311</v>
      </c>
      <c r="W134" s="76">
        <v>1.91</v>
      </c>
      <c r="X134" s="76"/>
      <c r="Y134" s="50">
        <f t="shared" si="51"/>
        <v>12.121212121212121</v>
      </c>
      <c r="Z134" s="6">
        <f>IF(Y134&lt;LeagueRatings!$K$21,((LeagueRatings!$K$21-Y134)/LeagueRatings!$K$21)*36,(LeagueRatings!$K$21-Y134)*6.48)</f>
        <v>-20.529913566123511</v>
      </c>
      <c r="AA134" s="16">
        <f>INDEX('C-P-RollAdj'!$B$4:$B$76,MATCH(INT(Z134),'C-P-RollAdj'!$A$4:$A$76,FALSE),0)</f>
        <v>2.5499999999999998</v>
      </c>
      <c r="AB134" s="16">
        <f t="shared" si="52"/>
        <v>3.535353535353535</v>
      </c>
      <c r="AC134" s="6">
        <f>IF(AB134&lt;LeagueRatings!$K$19,((LeagueRatings!$K$19-AB134)/LeagueRatings!$K$19)*36,(LeagueRatings!$K$19-AB134)/LeagueRatings!$K$22)</f>
        <v>-5.069002217294897</v>
      </c>
      <c r="AD134" s="16">
        <f>INDEX('C-P-RollAdj'!$F$4:$F$76,MATCH(INT(AC134),'C-P-RollAdj'!$E$4:$E$76,FALSE),0)</f>
        <v>0.51</v>
      </c>
      <c r="AE134" s="17">
        <f>+((LeagueRatings!$I$17-E134)*5)+9.5</f>
        <v>2.0143872437063619</v>
      </c>
      <c r="AF134" s="17">
        <f t="shared" ref="AF134:AF147" si="55">IF(AE134&lt;4,4,AE134)</f>
        <v>4</v>
      </c>
      <c r="AG134" s="17">
        <f t="shared" si="53"/>
        <v>-1.2908299056375516</v>
      </c>
      <c r="AH134" s="4">
        <f>+AA134+AD134+AF134+AG134</f>
        <v>5.7691700943624475</v>
      </c>
      <c r="AI134" s="41" t="s">
        <v>1127</v>
      </c>
      <c r="AJ134" s="5" t="s">
        <v>24</v>
      </c>
      <c r="AK134" s="219">
        <f>INDEX('C-P-RollAdj'!$J$4:$J$76,MATCH(INT(Z134),'C-P-RollAdj'!$I$4:$I$76,FALSE),0)</f>
        <v>-43</v>
      </c>
      <c r="AL134" s="219">
        <f>INDEX('C-P-RollAdj'!$J$4:$J$76,MATCH(INT(AC134),'C-P-RollAdj'!$I$4:$I$76,FALSE),0)</f>
        <v>-16</v>
      </c>
      <c r="AM134" s="14">
        <f>+AR134*LeagueRatings!$K$27</f>
        <v>23.333333333333336</v>
      </c>
      <c r="AN134" s="72">
        <f>F134*LeagueRatings!$K$27</f>
        <v>22.777777777777779</v>
      </c>
      <c r="AO134" s="72">
        <f>G134*LeagueRatings!$K$27</f>
        <v>0</v>
      </c>
      <c r="AP134" s="72">
        <f>T134*LeagueRatings!$K$27</f>
        <v>111.66666666666667</v>
      </c>
      <c r="AR134" s="14">
        <f t="shared" si="54"/>
        <v>42</v>
      </c>
    </row>
    <row r="135" spans="1:44" x14ac:dyDescent="0.2">
      <c r="A135" s="41" t="s">
        <v>778</v>
      </c>
      <c r="B135" s="76" t="s">
        <v>166</v>
      </c>
      <c r="C135" s="76">
        <v>2</v>
      </c>
      <c r="D135" s="76">
        <v>4</v>
      </c>
      <c r="E135" s="97">
        <v>3.95</v>
      </c>
      <c r="F135" s="76">
        <v>61</v>
      </c>
      <c r="G135" s="76">
        <v>0</v>
      </c>
      <c r="H135" s="76">
        <v>0</v>
      </c>
      <c r="I135" s="76">
        <v>0</v>
      </c>
      <c r="J135" s="76">
        <v>1</v>
      </c>
      <c r="K135" s="76">
        <v>3</v>
      </c>
      <c r="L135" s="258">
        <f>INDEX('C-P-RollAdj'!$P$4:$P$900,MATCH((U135),'C-P-RollAdj'!$O$4:$O$900,FALSE),0)</f>
        <v>66</v>
      </c>
      <c r="M135" s="76">
        <v>80</v>
      </c>
      <c r="N135" s="76">
        <v>30</v>
      </c>
      <c r="O135" s="76">
        <v>29</v>
      </c>
      <c r="P135" s="76">
        <v>4</v>
      </c>
      <c r="Q135" s="76">
        <v>17</v>
      </c>
      <c r="R135" s="76">
        <v>3</v>
      </c>
      <c r="S135" s="76">
        <v>26</v>
      </c>
      <c r="T135" s="76">
        <v>282</v>
      </c>
      <c r="U135" s="76">
        <v>66</v>
      </c>
      <c r="V135" s="100">
        <v>0.30499999999999999</v>
      </c>
      <c r="W135" s="76">
        <v>1.47</v>
      </c>
      <c r="X135" s="76"/>
      <c r="Y135" s="50">
        <f t="shared" si="51"/>
        <v>5.0179211469534053</v>
      </c>
      <c r="Z135" s="6">
        <f>IF(Y135&lt;LeagueRatings!$K$21,((LeagueRatings!$K$21-Y135)/LeagueRatings!$K$21)*36,(LeagueRatings!$K$21-Y135)*6.48)</f>
        <v>15.82298147356191</v>
      </c>
      <c r="AA135" s="16">
        <f>INDEX('C-P-RollAdj'!$B$4:$B$76,MATCH(INT(Z135),'C-P-RollAdj'!$A$4:$A$76,FALSE),0)</f>
        <v>-1.29</v>
      </c>
      <c r="AB135" s="16">
        <f t="shared" si="52"/>
        <v>1.4336917562724014</v>
      </c>
      <c r="AC135" s="6">
        <f>IF(AB135&lt;LeagueRatings!$K$19,((LeagueRatings!$K$19-AB135)/LeagueRatings!$K$19)*36,(LeagueRatings!$K$19-AB135)/LeagueRatings!$K$22)</f>
        <v>18.251410386228844</v>
      </c>
      <c r="AD135" s="16">
        <f>INDEX('C-P-RollAdj'!$F$4:$F$76,MATCH(INT(AC135),'C-P-RollAdj'!$E$4:$E$76,FALSE),0)</f>
        <v>-1.4100000000000001</v>
      </c>
      <c r="AE135" s="17">
        <f>+((LeagueRatings!$I$17-E135)*5)+9.5</f>
        <v>10.564387243706362</v>
      </c>
      <c r="AF135" s="17">
        <f t="shared" si="55"/>
        <v>10.564387243706362</v>
      </c>
      <c r="AG135" s="17">
        <f t="shared" si="53"/>
        <v>-1.0606060606060608</v>
      </c>
      <c r="AH135" s="4">
        <f>+AA135+AD135+AF135+AG135</f>
        <v>6.803781183100301</v>
      </c>
      <c r="AI135" s="41" t="s">
        <v>778</v>
      </c>
      <c r="AJ135" s="5" t="s">
        <v>66</v>
      </c>
      <c r="AK135" s="219">
        <f>INDEX('C-P-RollAdj'!$J$4:$J$76,MATCH(INT(Z135),'C-P-RollAdj'!$I$4:$I$76,FALSE),0)</f>
        <v>33</v>
      </c>
      <c r="AL135" s="219">
        <f>INDEX('C-P-RollAdj'!$J$4:$J$76,MATCH(INT(AC135),'C-P-RollAdj'!$I$4:$I$76,FALSE),0)</f>
        <v>36</v>
      </c>
      <c r="AM135" s="14">
        <f>+AR135*LeagueRatings!$K$27</f>
        <v>36.666666666666671</v>
      </c>
      <c r="AN135" s="72">
        <f>F135*LeagueRatings!$K$27</f>
        <v>33.888888888888893</v>
      </c>
      <c r="AO135" s="72">
        <f>G135*LeagueRatings!$K$27</f>
        <v>0</v>
      </c>
      <c r="AP135" s="72">
        <f>T135*LeagueRatings!$K$27</f>
        <v>156.66666666666669</v>
      </c>
      <c r="AR135" s="14">
        <f t="shared" si="54"/>
        <v>66</v>
      </c>
    </row>
    <row r="136" spans="1:44" x14ac:dyDescent="0.2">
      <c r="A136" s="41" t="s">
        <v>1132</v>
      </c>
      <c r="B136" s="76" t="s">
        <v>166</v>
      </c>
      <c r="C136" s="76">
        <v>0</v>
      </c>
      <c r="D136" s="76">
        <v>1</v>
      </c>
      <c r="E136" s="97">
        <v>2.86</v>
      </c>
      <c r="F136" s="76">
        <v>20</v>
      </c>
      <c r="G136" s="76">
        <v>2</v>
      </c>
      <c r="H136" s="76">
        <v>0</v>
      </c>
      <c r="I136" s="76">
        <v>0</v>
      </c>
      <c r="J136" s="76">
        <v>0</v>
      </c>
      <c r="K136" s="76">
        <v>0</v>
      </c>
      <c r="L136" s="258">
        <f>INDEX('C-P-RollAdj'!$P$4:$P$900,MATCH((U136),'C-P-RollAdj'!$O$4:$O$900,FALSE),0)</f>
        <v>28.33</v>
      </c>
      <c r="M136" s="76">
        <v>21</v>
      </c>
      <c r="N136" s="76">
        <v>9</v>
      </c>
      <c r="O136" s="76">
        <v>9</v>
      </c>
      <c r="P136" s="76">
        <v>3</v>
      </c>
      <c r="Q136" s="76">
        <v>12</v>
      </c>
      <c r="R136" s="76">
        <v>1</v>
      </c>
      <c r="S136" s="76">
        <v>22</v>
      </c>
      <c r="T136" s="76">
        <v>116</v>
      </c>
      <c r="U136" s="76">
        <v>28.1</v>
      </c>
      <c r="V136" s="100">
        <v>0.20799999999999999</v>
      </c>
      <c r="W136" s="76">
        <v>1.1599999999999999</v>
      </c>
      <c r="X136" s="76"/>
      <c r="Y136" s="50">
        <f t="shared" si="51"/>
        <v>9.5652173913043477</v>
      </c>
      <c r="Z136" s="6">
        <f>IF(Y136&lt;LeagueRatings!$K$21,((LeagueRatings!$K$21-Y136)/LeagueRatings!$K$21)*36,(LeagueRatings!$K$21-Y136)*6.48)</f>
        <v>-3.9670677163211399</v>
      </c>
      <c r="AA136" s="16">
        <f>INDEX('C-P-RollAdj'!$B$4:$B$76,MATCH(INT(Z136),'C-P-RollAdj'!$A$4:$A$76,FALSE),0)</f>
        <v>0.36</v>
      </c>
      <c r="AB136" s="16">
        <f t="shared" si="52"/>
        <v>2.6086956521739131</v>
      </c>
      <c r="AC136" s="6">
        <f>IF(AB136&lt;LeagueRatings!$K$19,((LeagueRatings!$K$19-AB136)/LeagueRatings!$K$19)*36,(LeagueRatings!$K$19-AB136)/LeagueRatings!$K$22)</f>
        <v>3.7052836810294418</v>
      </c>
      <c r="AD136" s="16">
        <f>INDEX('C-P-RollAdj'!$F$4:$F$76,MATCH(INT(AC136),'C-P-RollAdj'!$E$4:$E$76,FALSE),0)</f>
        <v>-0.21000000000000002</v>
      </c>
      <c r="AE136" s="17">
        <f>+((LeagueRatings!$I$17-E136)*5)+9.5</f>
        <v>16.014387243706363</v>
      </c>
      <c r="AF136" s="17">
        <f t="shared" si="55"/>
        <v>16.014387243706363</v>
      </c>
      <c r="AG136" s="17">
        <f t="shared" si="53"/>
        <v>1.7411542534415811</v>
      </c>
      <c r="AH136" s="4">
        <f>+AA136+AD136+AF136+AG136</f>
        <v>17.905541497147944</v>
      </c>
      <c r="AI136" s="41" t="s">
        <v>1132</v>
      </c>
      <c r="AJ136" s="5" t="s">
        <v>63</v>
      </c>
      <c r="AK136" s="219">
        <f>INDEX('C-P-RollAdj'!$J$4:$J$76,MATCH(INT(Z136),'C-P-RollAdj'!$I$4:$I$76,FALSE),0)</f>
        <v>-14</v>
      </c>
      <c r="AL136" s="219">
        <f>INDEX('C-P-RollAdj'!$J$4:$J$76,MATCH(INT(AC136),'C-P-RollAdj'!$I$4:$I$76,FALSE),0)</f>
        <v>13</v>
      </c>
      <c r="AM136" s="14">
        <f>+AR136*LeagueRatings!$K$27</f>
        <v>16.111111111111111</v>
      </c>
      <c r="AN136" s="72">
        <f>F136*LeagueRatings!$K$27</f>
        <v>11.111111111111111</v>
      </c>
      <c r="AO136" s="72">
        <f>G136*LeagueRatings!$K$27</f>
        <v>1.1111111111111112</v>
      </c>
      <c r="AP136" s="72">
        <f>T136*LeagueRatings!$K$27</f>
        <v>64.444444444444443</v>
      </c>
      <c r="AR136" s="14">
        <f t="shared" si="54"/>
        <v>29</v>
      </c>
    </row>
    <row r="137" spans="1:44" x14ac:dyDescent="0.2">
      <c r="A137" s="41" t="s">
        <v>1128</v>
      </c>
      <c r="B137" s="76" t="s">
        <v>166</v>
      </c>
      <c r="C137" s="76">
        <v>11</v>
      </c>
      <c r="D137" s="76">
        <v>7</v>
      </c>
      <c r="E137" s="97">
        <v>3.97</v>
      </c>
      <c r="F137" s="76">
        <v>28</v>
      </c>
      <c r="G137" s="76">
        <v>28</v>
      </c>
      <c r="H137" s="76">
        <v>0</v>
      </c>
      <c r="I137" s="76">
        <v>0</v>
      </c>
      <c r="J137" s="76">
        <v>0</v>
      </c>
      <c r="K137" s="76">
        <v>0</v>
      </c>
      <c r="L137" s="258">
        <f>INDEX('C-P-RollAdj'!$P$4:$P$900,MATCH((U137),'C-P-RollAdj'!$O$4:$O$900,FALSE),0)</f>
        <v>163.32999999999998</v>
      </c>
      <c r="M137" s="76">
        <v>166</v>
      </c>
      <c r="N137" s="76">
        <v>79</v>
      </c>
      <c r="O137" s="76">
        <v>72</v>
      </c>
      <c r="P137" s="76">
        <v>20</v>
      </c>
      <c r="Q137" s="76">
        <v>38</v>
      </c>
      <c r="R137" s="76">
        <v>0</v>
      </c>
      <c r="S137" s="76">
        <v>135</v>
      </c>
      <c r="T137" s="76">
        <v>682</v>
      </c>
      <c r="U137" s="76">
        <v>163.1</v>
      </c>
      <c r="V137" s="100">
        <v>0.26300000000000001</v>
      </c>
      <c r="W137" s="76">
        <v>1.25</v>
      </c>
      <c r="X137" s="76"/>
      <c r="Y137" s="50">
        <f t="shared" si="51"/>
        <v>5.5718475073313778</v>
      </c>
      <c r="Z137" s="6">
        <f>IF(Y137&lt;LeagueRatings!$K$21,((LeagueRatings!$K$21-Y137)/LeagueRatings!$K$21)*36,(LeagueRatings!$K$21-Y137)*6.48)</f>
        <v>13.595648259604463</v>
      </c>
      <c r="AA137" s="16">
        <f>INDEX('C-P-RollAdj'!$B$4:$B$76,MATCH(INT(Z137),'C-P-RollAdj'!$A$4:$A$76,FALSE),0)</f>
        <v>-1.1000000000000001</v>
      </c>
      <c r="AB137" s="16">
        <f t="shared" si="52"/>
        <v>2.9325513196480939</v>
      </c>
      <c r="AC137" s="6">
        <f>IF(AB137&lt;LeagueRatings!$K$19,((LeagueRatings!$K$19-AB137)/LeagueRatings!$K$19)*36,(LeagueRatings!$K$19-AB137)/LeagueRatings!$K$22)</f>
        <v>-0.19837207638938492</v>
      </c>
      <c r="AD137" s="16">
        <f>INDEX('C-P-RollAdj'!$F$4:$F$76,MATCH(INT(AC137),'C-P-RollAdj'!$E$4:$E$76,FALSE),0)</f>
        <v>0.08</v>
      </c>
      <c r="AE137" s="17">
        <f>+((LeagueRatings!$I$17-E137)*5)+9.5</f>
        <v>10.464387243706362</v>
      </c>
      <c r="AF137" s="17">
        <f t="shared" si="55"/>
        <v>10.464387243706362</v>
      </c>
      <c r="AG137" s="17">
        <f t="shared" si="53"/>
        <v>-8.1736361966571192E-2</v>
      </c>
      <c r="AH137" s="4">
        <f>+AA137+AD137+AF137+AG137</f>
        <v>9.3626508817397909</v>
      </c>
      <c r="AI137" s="41" t="s">
        <v>1128</v>
      </c>
      <c r="AJ137" s="5" t="s">
        <v>39</v>
      </c>
      <c r="AK137" s="219">
        <f>INDEX('C-P-RollAdj'!$J$4:$J$76,MATCH(INT(Z137),'C-P-RollAdj'!$I$4:$I$76,FALSE),0)</f>
        <v>31</v>
      </c>
      <c r="AL137" s="219">
        <f>INDEX('C-P-RollAdj'!$J$4:$J$76,MATCH(INT(AC137),'C-P-RollAdj'!$I$4:$I$76,FALSE),0)</f>
        <v>-11</v>
      </c>
      <c r="AM137" s="14">
        <f>+AR137*LeagueRatings!$K$27</f>
        <v>91.111111111111114</v>
      </c>
      <c r="AN137" s="72">
        <f>F137*LeagueRatings!$K$27</f>
        <v>15.555555555555557</v>
      </c>
      <c r="AO137" s="72">
        <f>G137*LeagueRatings!$K$27</f>
        <v>15.555555555555557</v>
      </c>
      <c r="AP137" s="72">
        <f>T137*LeagueRatings!$K$27</f>
        <v>378.88888888888891</v>
      </c>
      <c r="AR137" s="14">
        <f t="shared" si="54"/>
        <v>164</v>
      </c>
    </row>
    <row r="138" spans="1:44" x14ac:dyDescent="0.2">
      <c r="A138" s="41" t="s">
        <v>344</v>
      </c>
      <c r="B138" s="76" t="s">
        <v>166</v>
      </c>
      <c r="C138" s="76">
        <v>6</v>
      </c>
      <c r="D138" s="76">
        <v>8</v>
      </c>
      <c r="E138" s="97">
        <v>4.51</v>
      </c>
      <c r="F138" s="76">
        <v>19</v>
      </c>
      <c r="G138" s="76">
        <v>19</v>
      </c>
      <c r="H138" s="76">
        <v>0</v>
      </c>
      <c r="I138" s="76">
        <v>0</v>
      </c>
      <c r="J138" s="76">
        <v>0</v>
      </c>
      <c r="K138" s="76">
        <v>0</v>
      </c>
      <c r="L138" s="258">
        <f>INDEX('C-P-RollAdj'!$P$4:$P$900,MATCH((U138),'C-P-RollAdj'!$O$4:$O$900,FALSE),0)</f>
        <v>101.67</v>
      </c>
      <c r="M138" s="76">
        <v>117</v>
      </c>
      <c r="N138" s="76">
        <v>67</v>
      </c>
      <c r="O138" s="76">
        <v>51</v>
      </c>
      <c r="P138" s="76">
        <v>11</v>
      </c>
      <c r="Q138" s="76">
        <v>36</v>
      </c>
      <c r="R138" s="76">
        <v>2</v>
      </c>
      <c r="S138" s="76">
        <v>70</v>
      </c>
      <c r="T138" s="76">
        <v>461</v>
      </c>
      <c r="U138" s="76">
        <v>101.2</v>
      </c>
      <c r="V138" s="100">
        <v>0.28299999999999997</v>
      </c>
      <c r="W138" s="76">
        <v>1.5</v>
      </c>
      <c r="X138" s="76"/>
      <c r="Y138" s="50">
        <f t="shared" si="51"/>
        <v>7.4074074074074066</v>
      </c>
      <c r="Z138" s="6">
        <f>IF(Y138&lt;LeagueRatings!$K$21,((LeagueRatings!$K$21-Y138)/LeagueRatings!$K$21)*36,(LeagueRatings!$K$21-Y138)*6.48)</f>
        <v>6.2148774133533031</v>
      </c>
      <c r="AA138" s="16">
        <f>INDEX('C-P-RollAdj'!$B$4:$B$76,MATCH(INT(Z138),'C-P-RollAdj'!$A$4:$A$76,FALSE),0)</f>
        <v>-0.48</v>
      </c>
      <c r="AB138" s="16">
        <f t="shared" si="52"/>
        <v>2.3965141612200433</v>
      </c>
      <c r="AC138" s="6">
        <f>IF(AB138&lt;LeagueRatings!$K$19,((LeagueRatings!$K$19-AB138)/LeagueRatings!$K$19)*36,(LeagueRatings!$K$19-AB138)/LeagueRatings!$K$22)</f>
        <v>6.3320144201178277</v>
      </c>
      <c r="AD138" s="16">
        <f>INDEX('C-P-RollAdj'!$F$4:$F$76,MATCH(INT(AC138),'C-P-RollAdj'!$E$4:$E$76,FALSE),0)</f>
        <v>-0.42000000000000004</v>
      </c>
      <c r="AE138" s="17">
        <f>+((LeagueRatings!$I$17-E138)*5)+9.5</f>
        <v>7.7643872437063637</v>
      </c>
      <c r="AF138" s="17">
        <f t="shared" si="55"/>
        <v>7.7643872437063637</v>
      </c>
      <c r="AG138" s="17">
        <f t="shared" si="53"/>
        <v>-0.75390970787842959</v>
      </c>
      <c r="AH138" s="4">
        <f t="shared" ref="AH138:AH147" si="56">+AA138+AD138+AF138+AG138</f>
        <v>6.1104775358279335</v>
      </c>
      <c r="AI138" s="41" t="s">
        <v>344</v>
      </c>
      <c r="AJ138" s="5" t="s">
        <v>66</v>
      </c>
      <c r="AK138" s="219">
        <f>INDEX('C-P-RollAdj'!$J$4:$J$76,MATCH(INT(Z138),'C-P-RollAdj'!$I$4:$I$76,FALSE),0)</f>
        <v>16</v>
      </c>
      <c r="AL138" s="219">
        <f>INDEX('C-P-RollAdj'!$J$4:$J$76,MATCH(INT(AC138),'C-P-RollAdj'!$I$4:$I$76,FALSE),0)</f>
        <v>16</v>
      </c>
      <c r="AM138" s="14">
        <f>+AR138*LeagueRatings!$K$27</f>
        <v>56.666666666666671</v>
      </c>
      <c r="AN138" s="72">
        <f>F138*LeagueRatings!$K$27</f>
        <v>10.555555555555555</v>
      </c>
      <c r="AO138" s="72">
        <f>G138*LeagueRatings!$K$27</f>
        <v>10.555555555555555</v>
      </c>
      <c r="AP138" s="72">
        <f>T138*LeagueRatings!$K$27</f>
        <v>256.11111111111114</v>
      </c>
      <c r="AR138" s="14">
        <f t="shared" si="54"/>
        <v>102</v>
      </c>
    </row>
    <row r="139" spans="1:44" x14ac:dyDescent="0.2">
      <c r="A139" s="41" t="s">
        <v>383</v>
      </c>
      <c r="B139" s="76" t="s">
        <v>166</v>
      </c>
      <c r="C139" s="76">
        <v>9</v>
      </c>
      <c r="D139" s="76">
        <v>3</v>
      </c>
      <c r="E139" s="97">
        <v>2.81</v>
      </c>
      <c r="F139" s="76">
        <v>20</v>
      </c>
      <c r="G139" s="76">
        <v>20</v>
      </c>
      <c r="H139" s="76">
        <v>0</v>
      </c>
      <c r="I139" s="76">
        <v>0</v>
      </c>
      <c r="J139" s="76">
        <v>0</v>
      </c>
      <c r="K139" s="76">
        <v>0</v>
      </c>
      <c r="L139" s="258">
        <f>INDEX('C-P-RollAdj'!$P$4:$P$900,MATCH((U139),'C-P-RollAdj'!$O$4:$O$900,FALSE),0)</f>
        <v>121.67</v>
      </c>
      <c r="M139" s="76">
        <v>94</v>
      </c>
      <c r="N139" s="76">
        <v>40</v>
      </c>
      <c r="O139" s="76">
        <v>38</v>
      </c>
      <c r="P139" s="76">
        <v>10</v>
      </c>
      <c r="Q139" s="76">
        <v>43</v>
      </c>
      <c r="R139" s="76">
        <v>2</v>
      </c>
      <c r="S139" s="76">
        <v>100</v>
      </c>
      <c r="T139" s="76">
        <v>492</v>
      </c>
      <c r="U139" s="76">
        <v>121.2</v>
      </c>
      <c r="V139" s="100">
        <v>0.21299999999999999</v>
      </c>
      <c r="W139" s="76">
        <v>1.1299999999999999</v>
      </c>
      <c r="X139" s="76"/>
      <c r="Y139" s="50">
        <f t="shared" si="51"/>
        <v>8.3673469387755102</v>
      </c>
      <c r="Z139" s="6">
        <f>IF(Y139&lt;LeagueRatings!$K$21,((LeagueRatings!$K$21-Y139)/LeagueRatings!$K$21)*36,(LeagueRatings!$K$21-Y139)*6.48)</f>
        <v>2.3549686699817372</v>
      </c>
      <c r="AA139" s="16">
        <f>INDEX('C-P-RollAdj'!$B$4:$B$76,MATCH(INT(Z139),'C-P-RollAdj'!$A$4:$A$76,FALSE),0)</f>
        <v>-0.16</v>
      </c>
      <c r="AB139" s="16">
        <f t="shared" si="52"/>
        <v>2.0408163265306123</v>
      </c>
      <c r="AC139" s="6">
        <f>IF(AB139&lt;LeagueRatings!$K$19,((LeagueRatings!$K$19-AB139)/LeagueRatings!$K$19)*36,(LeagueRatings!$K$19-AB139)/LeagueRatings!$K$22)</f>
        <v>10.735426008968611</v>
      </c>
      <c r="AD139" s="16">
        <f>INDEX('C-P-RollAdj'!$F$4:$F$76,MATCH(INT(AC139),'C-P-RollAdj'!$E$4:$E$76,FALSE),0)</f>
        <v>-0.73</v>
      </c>
      <c r="AE139" s="17">
        <f>+((LeagueRatings!$I$17-E139)*5)+9.5</f>
        <v>16.264387243706363</v>
      </c>
      <c r="AF139" s="17">
        <f t="shared" si="55"/>
        <v>16.264387243706363</v>
      </c>
      <c r="AG139" s="17">
        <f t="shared" si="53"/>
        <v>1.5219289882468969</v>
      </c>
      <c r="AH139" s="4">
        <f t="shared" si="56"/>
        <v>16.896316231953261</v>
      </c>
      <c r="AI139" s="41" t="s">
        <v>383</v>
      </c>
      <c r="AJ139" s="5" t="s">
        <v>53</v>
      </c>
      <c r="AK139" s="219">
        <f>INDEX('C-P-RollAdj'!$J$4:$J$76,MATCH(INT(Z139),'C-P-RollAdj'!$I$4:$I$76,FALSE),0)</f>
        <v>12</v>
      </c>
      <c r="AL139" s="219">
        <f>INDEX('C-P-RollAdj'!$J$4:$J$76,MATCH(INT(AC139),'C-P-RollAdj'!$I$4:$I$76,FALSE),0)</f>
        <v>24</v>
      </c>
      <c r="AM139" s="14">
        <f>+AR139*LeagueRatings!$K$27</f>
        <v>67.777777777777786</v>
      </c>
      <c r="AN139" s="72">
        <f>F139*LeagueRatings!$K$27</f>
        <v>11.111111111111111</v>
      </c>
      <c r="AO139" s="72">
        <f>G139*LeagueRatings!$K$27</f>
        <v>11.111111111111111</v>
      </c>
      <c r="AP139" s="72">
        <f>T139*LeagueRatings!$K$27</f>
        <v>273.33333333333337</v>
      </c>
      <c r="AR139" s="14">
        <f t="shared" si="54"/>
        <v>122</v>
      </c>
    </row>
    <row r="140" spans="1:44" x14ac:dyDescent="0.2">
      <c r="A140" s="41" t="s">
        <v>1129</v>
      </c>
      <c r="B140" s="76" t="s">
        <v>166</v>
      </c>
      <c r="C140" s="76">
        <v>0</v>
      </c>
      <c r="D140" s="76">
        <v>5</v>
      </c>
      <c r="E140" s="97">
        <v>7.76</v>
      </c>
      <c r="F140" s="76">
        <v>8</v>
      </c>
      <c r="G140" s="76">
        <v>6</v>
      </c>
      <c r="H140" s="76">
        <v>0</v>
      </c>
      <c r="I140" s="76">
        <v>0</v>
      </c>
      <c r="J140" s="76">
        <v>0</v>
      </c>
      <c r="K140" s="76">
        <v>0</v>
      </c>
      <c r="L140" s="258">
        <f>INDEX('C-P-RollAdj'!$P$4:$P$900,MATCH((U140),'C-P-RollAdj'!$O$4:$O$900,FALSE),0)</f>
        <v>26.67</v>
      </c>
      <c r="M140" s="76">
        <v>30</v>
      </c>
      <c r="N140" s="76">
        <v>24</v>
      </c>
      <c r="O140" s="76">
        <v>23</v>
      </c>
      <c r="P140" s="76">
        <v>4</v>
      </c>
      <c r="Q140" s="76">
        <v>17</v>
      </c>
      <c r="R140" s="76">
        <v>1</v>
      </c>
      <c r="S140" s="76">
        <v>18</v>
      </c>
      <c r="T140" s="76">
        <v>126</v>
      </c>
      <c r="U140" s="76">
        <v>26.2</v>
      </c>
      <c r="V140" s="100">
        <v>0.29099999999999998</v>
      </c>
      <c r="W140" s="76">
        <v>1.76</v>
      </c>
      <c r="X140" s="76"/>
      <c r="Y140" s="50">
        <f t="shared" si="51"/>
        <v>12.8</v>
      </c>
      <c r="Z140" s="6">
        <f>IF(Y140&lt;LeagueRatings!$K$21,((LeagueRatings!$K$21-Y140)/LeagueRatings!$K$21)*36,(LeagueRatings!$K$21-Y140)*6.48)</f>
        <v>-24.928459020668974</v>
      </c>
      <c r="AA140" s="16">
        <f>INDEX('C-P-RollAdj'!$B$4:$B$76,MATCH(INT(Z140),'C-P-RollAdj'!$A$4:$A$76,FALSE),0)</f>
        <v>3.23</v>
      </c>
      <c r="AB140" s="16">
        <f t="shared" si="52"/>
        <v>3.2</v>
      </c>
      <c r="AC140" s="6">
        <f>IF(AB140&lt;LeagueRatings!$K$19,((LeagueRatings!$K$19-AB140)/LeagueRatings!$K$19)*36,(LeagueRatings!$K$19-AB140)/LeagueRatings!$K$22)</f>
        <v>-2.3593521951219514</v>
      </c>
      <c r="AD140" s="16">
        <f>INDEX('C-P-RollAdj'!$F$4:$F$76,MATCH(INT(AC140),'C-P-RollAdj'!$E$4:$E$76,FALSE),0)</f>
        <v>0.24</v>
      </c>
      <c r="AE140" s="17">
        <f>+((LeagueRatings!$I$17-E140)*5)+9.5</f>
        <v>-8.4856127562936372</v>
      </c>
      <c r="AF140" s="17">
        <f t="shared" si="55"/>
        <v>4</v>
      </c>
      <c r="AG140" s="17">
        <f t="shared" si="53"/>
        <v>-0.6242969628796402</v>
      </c>
      <c r="AH140" s="4">
        <f t="shared" si="56"/>
        <v>6.8457030371203595</v>
      </c>
      <c r="AI140" s="41" t="s">
        <v>1129</v>
      </c>
      <c r="AJ140" s="5" t="s">
        <v>66</v>
      </c>
      <c r="AK140" s="219">
        <f>INDEX('C-P-RollAdj'!$J$4:$J$76,MATCH(INT(Z140),'C-P-RollAdj'!$I$4:$I$76,FALSE),0)</f>
        <v>-51</v>
      </c>
      <c r="AL140" s="219">
        <f>INDEX('C-P-RollAdj'!$J$4:$J$76,MATCH(INT(AC140),'C-P-RollAdj'!$I$4:$I$76,FALSE),0)</f>
        <v>-13</v>
      </c>
      <c r="AM140" s="14">
        <f>+AR140*LeagueRatings!$K$27</f>
        <v>15</v>
      </c>
      <c r="AN140" s="72">
        <f>F140*LeagueRatings!$K$27</f>
        <v>4.4444444444444446</v>
      </c>
      <c r="AO140" s="72">
        <f>G140*LeagueRatings!$K$27</f>
        <v>3.3333333333333335</v>
      </c>
      <c r="AP140" s="72">
        <f>T140*LeagueRatings!$K$27</f>
        <v>70</v>
      </c>
      <c r="AR140" s="14">
        <f t="shared" si="54"/>
        <v>27</v>
      </c>
    </row>
    <row r="141" spans="1:44" x14ac:dyDescent="0.2">
      <c r="A141" s="41" t="s">
        <v>800</v>
      </c>
      <c r="B141" s="76" t="s">
        <v>166</v>
      </c>
      <c r="C141" s="76">
        <v>1</v>
      </c>
      <c r="D141" s="76">
        <v>4</v>
      </c>
      <c r="E141" s="97">
        <v>4.68</v>
      </c>
      <c r="F141" s="76">
        <v>35</v>
      </c>
      <c r="G141" s="76">
        <v>0</v>
      </c>
      <c r="H141" s="76">
        <v>0</v>
      </c>
      <c r="I141" s="76">
        <v>0</v>
      </c>
      <c r="J141" s="76">
        <v>2</v>
      </c>
      <c r="K141" s="76">
        <v>4</v>
      </c>
      <c r="L141" s="258">
        <f>INDEX('C-P-RollAdj'!$P$4:$P$900,MATCH((U141),'C-P-RollAdj'!$O$4:$O$900,FALSE),0)</f>
        <v>32.67</v>
      </c>
      <c r="M141" s="76">
        <v>32</v>
      </c>
      <c r="N141" s="76">
        <v>20</v>
      </c>
      <c r="O141" s="76">
        <v>17</v>
      </c>
      <c r="P141" s="76">
        <v>3</v>
      </c>
      <c r="Q141" s="76">
        <v>16</v>
      </c>
      <c r="R141" s="76">
        <v>3</v>
      </c>
      <c r="S141" s="76">
        <v>38</v>
      </c>
      <c r="T141" s="76">
        <v>145</v>
      </c>
      <c r="U141" s="76">
        <v>32.200000000000003</v>
      </c>
      <c r="V141" s="100">
        <v>0.252</v>
      </c>
      <c r="W141" s="76">
        <v>1.47</v>
      </c>
      <c r="X141" s="76"/>
      <c r="Y141" s="50">
        <f t="shared" si="51"/>
        <v>9.1549295774647899</v>
      </c>
      <c r="Z141" s="6">
        <f>IF(Y141&lt;LeagueRatings!$K$21,((LeagueRatings!$K$21-Y141)/LeagueRatings!$K$21)*36,(LeagueRatings!$K$21-Y141)*6.48)</f>
        <v>-1.3084026826408051</v>
      </c>
      <c r="AA141" s="16">
        <f>INDEX('C-P-RollAdj'!$B$4:$B$76,MATCH(INT(Z141),'C-P-RollAdj'!$A$4:$A$76,FALSE),0)</f>
        <v>0.18</v>
      </c>
      <c r="AB141" s="16">
        <f t="shared" si="52"/>
        <v>2.112676056338028</v>
      </c>
      <c r="AC141" s="6">
        <f>IF(AB141&lt;LeagueRatings!$K$19,((LeagueRatings!$K$19-AB141)/LeagueRatings!$K$19)*36,(LeagueRatings!$K$19-AB141)/LeagueRatings!$K$22)</f>
        <v>9.8458283332280718</v>
      </c>
      <c r="AD141" s="16">
        <f>INDEX('C-P-RollAdj'!$F$4:$F$76,MATCH(INT(AC141),'C-P-RollAdj'!$E$4:$E$76,FALSE),0)</f>
        <v>-0.65</v>
      </c>
      <c r="AE141" s="17">
        <f>+((LeagueRatings!$I$17-E141)*5)+9.5</f>
        <v>6.914387243706364</v>
      </c>
      <c r="AF141" s="17">
        <f t="shared" si="55"/>
        <v>6.914387243706364</v>
      </c>
      <c r="AG141" s="17">
        <f t="shared" si="53"/>
        <v>7.355677992041626E-2</v>
      </c>
      <c r="AH141" s="4">
        <f>+AA141+AD141+AF141+AG141</f>
        <v>6.5179440236267805</v>
      </c>
      <c r="AI141" s="41" t="s">
        <v>800</v>
      </c>
      <c r="AJ141" s="5" t="s">
        <v>66</v>
      </c>
      <c r="AK141" s="219">
        <f>INDEX('C-P-RollAdj'!$J$4:$J$76,MATCH(INT(Z141),'C-P-RollAdj'!$I$4:$I$76,FALSE),0)</f>
        <v>-12</v>
      </c>
      <c r="AL141" s="219">
        <f>INDEX('C-P-RollAdj'!$J$4:$J$76,MATCH(INT(AC141),'C-P-RollAdj'!$I$4:$I$76,FALSE),0)</f>
        <v>23</v>
      </c>
      <c r="AM141" s="14">
        <f>+AR141*LeagueRatings!$K$27</f>
        <v>18.333333333333336</v>
      </c>
      <c r="AN141" s="72">
        <f>F141*LeagueRatings!$K$27</f>
        <v>19.444444444444446</v>
      </c>
      <c r="AO141" s="72">
        <f>G141*LeagueRatings!$K$27</f>
        <v>0</v>
      </c>
      <c r="AP141" s="72">
        <f>T141*LeagueRatings!$K$27</f>
        <v>80.555555555555557</v>
      </c>
      <c r="AR141" s="14">
        <f t="shared" si="54"/>
        <v>33</v>
      </c>
    </row>
    <row r="142" spans="1:44" x14ac:dyDescent="0.2">
      <c r="A142" s="41" t="s">
        <v>1382</v>
      </c>
      <c r="B142" s="76" t="s">
        <v>166</v>
      </c>
      <c r="C142" s="76">
        <v>0</v>
      </c>
      <c r="D142" s="76">
        <v>1</v>
      </c>
      <c r="E142" s="97">
        <v>3.22</v>
      </c>
      <c r="F142" s="76">
        <v>43</v>
      </c>
      <c r="G142" s="76">
        <v>0</v>
      </c>
      <c r="H142" s="76">
        <v>0</v>
      </c>
      <c r="I142" s="76">
        <v>0</v>
      </c>
      <c r="J142" s="76">
        <v>0</v>
      </c>
      <c r="K142" s="76">
        <v>0</v>
      </c>
      <c r="L142" s="258">
        <f>INDEX('C-P-RollAdj'!$P$4:$P$900,MATCH((U142),'C-P-RollAdj'!$O$4:$O$900,FALSE),0)</f>
        <v>58.67</v>
      </c>
      <c r="M142" s="76">
        <v>60</v>
      </c>
      <c r="N142" s="76">
        <v>24</v>
      </c>
      <c r="O142" s="76">
        <v>21</v>
      </c>
      <c r="P142" s="76">
        <v>3</v>
      </c>
      <c r="Q142" s="76">
        <v>21</v>
      </c>
      <c r="R142" s="76">
        <v>3</v>
      </c>
      <c r="S142" s="76">
        <v>47</v>
      </c>
      <c r="T142" s="76">
        <v>256</v>
      </c>
      <c r="U142" s="76">
        <v>58.2</v>
      </c>
      <c r="V142" s="100">
        <v>0.26500000000000001</v>
      </c>
      <c r="W142" s="76">
        <v>1.38</v>
      </c>
      <c r="X142" s="76"/>
      <c r="Y142" s="50">
        <f t="shared" si="51"/>
        <v>7.1146245059288544</v>
      </c>
      <c r="Z142" s="6">
        <f>IF(Y142&lt;LeagueRatings!$K$21,((LeagueRatings!$K$21-Y142)/LeagueRatings!$K$21)*36,(LeagueRatings!$K$21-Y142)*6.48)</f>
        <v>7.3921549859480278</v>
      </c>
      <c r="AA142" s="16">
        <f>INDEX('C-P-RollAdj'!$B$4:$B$76,MATCH(INT(Z142),'C-P-RollAdj'!$A$4:$A$76,FALSE),0)</f>
        <v>-0.56000000000000005</v>
      </c>
      <c r="AB142" s="16">
        <f t="shared" si="52"/>
        <v>1.1857707509881421</v>
      </c>
      <c r="AC142" s="6">
        <f>IF(AB142&lt;LeagueRatings!$K$19,((LeagueRatings!$K$19-AB142)/LeagueRatings!$K$19)*36,(LeagueRatings!$K$19-AB142)/LeagueRatings!$K$22)</f>
        <v>21.320583491377022</v>
      </c>
      <c r="AD142" s="16">
        <f>INDEX('C-P-RollAdj'!$F$4:$F$76,MATCH(INT(AC142),'C-P-RollAdj'!$E$4:$E$76,FALSE),0)</f>
        <v>-1.6800000000000002</v>
      </c>
      <c r="AE142" s="17">
        <f>+((LeagueRatings!$I$17-E142)*5)+9.5</f>
        <v>14.214387243706362</v>
      </c>
      <c r="AF142" s="17">
        <f t="shared" si="55"/>
        <v>14.214387243706362</v>
      </c>
      <c r="AG142" s="55">
        <f t="shared" si="53"/>
        <v>-0.11334583262314624</v>
      </c>
      <c r="AH142" s="4">
        <f>+AA142+AD142+AF142+AG142</f>
        <v>11.861041411083216</v>
      </c>
      <c r="AI142" s="41" t="s">
        <v>1382</v>
      </c>
      <c r="AJ142" s="5" t="s">
        <v>59</v>
      </c>
      <c r="AK142" s="219">
        <f>INDEX('C-P-RollAdj'!$J$4:$J$76,MATCH(INT(Z142),'C-P-RollAdj'!$I$4:$I$76,FALSE),0)</f>
        <v>21</v>
      </c>
      <c r="AL142" s="219">
        <f>INDEX('C-P-RollAdj'!$J$4:$J$76,MATCH(INT(AC142),'C-P-RollAdj'!$I$4:$I$76,FALSE),0)</f>
        <v>43</v>
      </c>
      <c r="AM142" s="14">
        <f>+AR142*LeagueRatings!$K$27</f>
        <v>32.777777777777779</v>
      </c>
      <c r="AN142" s="72">
        <f>F142*LeagueRatings!$K$27</f>
        <v>23.888888888888889</v>
      </c>
      <c r="AO142" s="72">
        <f>G142*LeagueRatings!$K$27</f>
        <v>0</v>
      </c>
      <c r="AP142" s="72">
        <f>T142*LeagueRatings!$K$27</f>
        <v>142.22222222222223</v>
      </c>
      <c r="AR142" s="14">
        <f t="shared" si="54"/>
        <v>59</v>
      </c>
    </row>
    <row r="143" spans="1:44" x14ac:dyDescent="0.2">
      <c r="A143" s="41" t="s">
        <v>399</v>
      </c>
      <c r="B143" s="76" t="s">
        <v>166</v>
      </c>
      <c r="C143" s="76">
        <v>8</v>
      </c>
      <c r="D143" s="76">
        <v>16</v>
      </c>
      <c r="E143" s="97">
        <v>4.62</v>
      </c>
      <c r="F143" s="76">
        <v>32</v>
      </c>
      <c r="G143" s="76">
        <v>32</v>
      </c>
      <c r="H143" s="76">
        <v>0</v>
      </c>
      <c r="I143" s="76">
        <v>0</v>
      </c>
      <c r="J143" s="76">
        <v>0</v>
      </c>
      <c r="K143" s="76">
        <v>0</v>
      </c>
      <c r="L143" s="258">
        <f>INDEX('C-P-RollAdj'!$P$4:$P$900,MATCH((U143),'C-P-RollAdj'!$O$4:$O$900,FALSE),0)</f>
        <v>179.32999999999998</v>
      </c>
      <c r="M143" s="76">
        <v>186</v>
      </c>
      <c r="N143" s="76">
        <v>108</v>
      </c>
      <c r="O143" s="76">
        <v>92</v>
      </c>
      <c r="P143" s="76">
        <v>25</v>
      </c>
      <c r="Q143" s="76">
        <v>86</v>
      </c>
      <c r="R143" s="76">
        <v>2</v>
      </c>
      <c r="S143" s="76">
        <v>140</v>
      </c>
      <c r="T143" s="76">
        <v>807</v>
      </c>
      <c r="U143" s="76">
        <v>179.1</v>
      </c>
      <c r="V143" s="100">
        <v>0.26800000000000002</v>
      </c>
      <c r="W143" s="76">
        <v>1.52</v>
      </c>
      <c r="X143" s="76"/>
      <c r="Y143" s="52">
        <f t="shared" si="51"/>
        <v>10.434782608695652</v>
      </c>
      <c r="Z143" s="53">
        <f>IF(Y143&lt;LeagueRatings!$K$21,((LeagueRatings!$K$21-Y143)/LeagueRatings!$K$21)*36,(LeagueRatings!$K$21-Y143)*6.48)</f>
        <v>-9.6018503250167946</v>
      </c>
      <c r="AA143" s="16">
        <f>INDEX('C-P-RollAdj'!$B$4:$B$76,MATCH(INT(Z143),'C-P-RollAdj'!$A$4:$A$76,FALSE),0)</f>
        <v>0.98</v>
      </c>
      <c r="AB143" s="54">
        <f t="shared" si="52"/>
        <v>3.1055900621118013</v>
      </c>
      <c r="AC143" s="53">
        <f>IF(AB143&lt;LeagueRatings!$K$19,((LeagueRatings!$K$19-AB143)/LeagueRatings!$K$19)*36,(LeagueRatings!$K$19-AB143)/LeagueRatings!$K$22)</f>
        <v>-1.5965217391304345</v>
      </c>
      <c r="AD143" s="16">
        <f>INDEX('C-P-RollAdj'!$F$4:$F$76,MATCH(INT(AC143),'C-P-RollAdj'!$E$4:$E$76,FALSE),0)</f>
        <v>0.16</v>
      </c>
      <c r="AE143" s="55">
        <f>+((LeagueRatings!$I$17-E143)*5)+9.5</f>
        <v>7.2143872437063621</v>
      </c>
      <c r="AF143" s="55">
        <f t="shared" si="55"/>
        <v>7.2143872437063621</v>
      </c>
      <c r="AG143" s="17">
        <f t="shared" si="53"/>
        <v>-0.18596999944236914</v>
      </c>
      <c r="AH143" s="56">
        <f t="shared" si="56"/>
        <v>8.1684172442639937</v>
      </c>
      <c r="AI143" s="41" t="s">
        <v>399</v>
      </c>
      <c r="AJ143" s="5" t="s">
        <v>55</v>
      </c>
      <c r="AK143" s="219">
        <f>INDEX('C-P-RollAdj'!$J$4:$J$76,MATCH(INT(Z143),'C-P-RollAdj'!$I$4:$I$76,FALSE),0)</f>
        <v>-24</v>
      </c>
      <c r="AL143" s="219">
        <f>INDEX('C-P-RollAdj'!$J$4:$J$76,MATCH(INT(AC143),'C-P-RollAdj'!$I$4:$I$76,FALSE),0)</f>
        <v>-12</v>
      </c>
      <c r="AM143" s="14">
        <f>+AR143*LeagueRatings!$K$27</f>
        <v>100</v>
      </c>
      <c r="AN143" s="72">
        <f>F143*LeagueRatings!$K$27</f>
        <v>17.777777777777779</v>
      </c>
      <c r="AO143" s="72">
        <f>G143*LeagueRatings!$K$27</f>
        <v>17.777777777777779</v>
      </c>
      <c r="AP143" s="72">
        <f>T143*LeagueRatings!$K$27</f>
        <v>448.33333333333337</v>
      </c>
      <c r="AR143" s="14">
        <f t="shared" si="54"/>
        <v>180</v>
      </c>
    </row>
    <row r="144" spans="1:44" x14ac:dyDescent="0.2">
      <c r="A144" s="41" t="s">
        <v>407</v>
      </c>
      <c r="B144" s="76" t="s">
        <v>166</v>
      </c>
      <c r="C144" s="76">
        <v>7</v>
      </c>
      <c r="D144" s="76">
        <v>11</v>
      </c>
      <c r="E144" s="97">
        <v>4.8600000000000003</v>
      </c>
      <c r="F144" s="76">
        <v>23</v>
      </c>
      <c r="G144" s="76">
        <v>23</v>
      </c>
      <c r="H144" s="76">
        <v>0</v>
      </c>
      <c r="I144" s="76">
        <v>0</v>
      </c>
      <c r="J144" s="76">
        <v>0</v>
      </c>
      <c r="K144" s="76">
        <v>0</v>
      </c>
      <c r="L144" s="258">
        <f>INDEX('C-P-RollAdj'!$P$4:$P$900,MATCH((U144),'C-P-RollAdj'!$O$4:$O$900,FALSE),0)</f>
        <v>127.67</v>
      </c>
      <c r="M144" s="76">
        <v>152</v>
      </c>
      <c r="N144" s="76">
        <v>73</v>
      </c>
      <c r="O144" s="76">
        <v>69</v>
      </c>
      <c r="P144" s="76">
        <v>19</v>
      </c>
      <c r="Q144" s="76">
        <v>43</v>
      </c>
      <c r="R144" s="76">
        <v>1</v>
      </c>
      <c r="S144" s="76">
        <v>93</v>
      </c>
      <c r="T144" s="76">
        <v>554</v>
      </c>
      <c r="U144" s="76">
        <v>127.2</v>
      </c>
      <c r="V144" s="100">
        <v>0.30499999999999999</v>
      </c>
      <c r="W144" s="76">
        <v>1.53</v>
      </c>
      <c r="X144" s="76"/>
      <c r="Y144" s="52">
        <f t="shared" si="51"/>
        <v>7.59493670886076</v>
      </c>
      <c r="Z144" s="53">
        <f>IF(Y144&lt;LeagueRatings!$K$21,((LeagueRatings!$K$21-Y144)/LeagueRatings!$K$21)*36,(LeagueRatings!$K$21-Y144)*6.48)</f>
        <v>5.4608236769824954</v>
      </c>
      <c r="AA144" s="16">
        <f>INDEX('C-P-RollAdj'!$B$4:$B$76,MATCH(INT(Z144),'C-P-RollAdj'!$A$4:$A$76,FALSE),0)</f>
        <v>-0.4</v>
      </c>
      <c r="AB144" s="54">
        <f t="shared" si="52"/>
        <v>3.4358047016274864</v>
      </c>
      <c r="AC144" s="53">
        <f>IF(AB144&lt;LeagueRatings!$K$19,((LeagueRatings!$K$19-AB144)/LeagueRatings!$K$19)*36,(LeagueRatings!$K$19-AB144)/LeagueRatings!$K$22)</f>
        <v>-4.264649583204692</v>
      </c>
      <c r="AD144" s="16">
        <f>INDEX('C-P-RollAdj'!$F$4:$F$76,MATCH(INT(AC144),'C-P-RollAdj'!$E$4:$E$76,FALSE),0)</f>
        <v>0.42</v>
      </c>
      <c r="AE144" s="55">
        <f>+((LeagueRatings!$I$17-E144)*5)+9.5</f>
        <v>6.014387243706361</v>
      </c>
      <c r="AF144" s="55">
        <f t="shared" si="55"/>
        <v>6.014387243706361</v>
      </c>
      <c r="AG144" s="17">
        <f t="shared" si="53"/>
        <v>-0.95284718414662795</v>
      </c>
      <c r="AH144" s="56">
        <f t="shared" si="56"/>
        <v>5.0815400595597326</v>
      </c>
      <c r="AI144" s="41" t="s">
        <v>407</v>
      </c>
      <c r="AJ144" s="9" t="s">
        <v>24</v>
      </c>
      <c r="AK144" s="219">
        <f>INDEX('C-P-RollAdj'!$J$4:$J$76,MATCH(INT(Z144),'C-P-RollAdj'!$I$4:$I$76,FALSE),0)</f>
        <v>15</v>
      </c>
      <c r="AL144" s="219">
        <f>INDEX('C-P-RollAdj'!$J$4:$J$76,MATCH(INT(AC144),'C-P-RollAdj'!$I$4:$I$76,FALSE),0)</f>
        <v>-15</v>
      </c>
      <c r="AM144" s="14">
        <f>+AR144*LeagueRatings!$K$27</f>
        <v>71.111111111111114</v>
      </c>
      <c r="AN144" s="72">
        <f>F144*LeagueRatings!$K$27</f>
        <v>12.777777777777779</v>
      </c>
      <c r="AO144" s="72">
        <f>G144*LeagueRatings!$K$27</f>
        <v>12.777777777777779</v>
      </c>
      <c r="AP144" s="72">
        <f>T144*LeagueRatings!$K$27</f>
        <v>307.77777777777777</v>
      </c>
      <c r="AR144" s="14">
        <f t="shared" si="54"/>
        <v>128</v>
      </c>
    </row>
    <row r="145" spans="1:44" s="28" customFormat="1" x14ac:dyDescent="0.2">
      <c r="A145" s="41" t="s">
        <v>369</v>
      </c>
      <c r="B145" s="76" t="s">
        <v>166</v>
      </c>
      <c r="C145" s="76">
        <v>0</v>
      </c>
      <c r="D145" s="76">
        <v>0</v>
      </c>
      <c r="E145" s="97">
        <v>2.4500000000000002</v>
      </c>
      <c r="F145" s="76">
        <v>16</v>
      </c>
      <c r="G145" s="76">
        <v>0</v>
      </c>
      <c r="H145" s="76">
        <v>0</v>
      </c>
      <c r="I145" s="76">
        <v>0</v>
      </c>
      <c r="J145" s="76">
        <v>0</v>
      </c>
      <c r="K145" s="76">
        <v>0</v>
      </c>
      <c r="L145" s="258">
        <f>INDEX('C-P-RollAdj'!$P$4:$P$900,MATCH((U145),'C-P-RollAdj'!$O$4:$O$900,FALSE),0)</f>
        <v>18.329999999999998</v>
      </c>
      <c r="M145" s="76">
        <v>16</v>
      </c>
      <c r="N145" s="76">
        <v>5</v>
      </c>
      <c r="O145" s="76">
        <v>5</v>
      </c>
      <c r="P145" s="76">
        <v>1</v>
      </c>
      <c r="Q145" s="76">
        <v>3</v>
      </c>
      <c r="R145" s="76">
        <v>0</v>
      </c>
      <c r="S145" s="76">
        <v>14</v>
      </c>
      <c r="T145" s="76">
        <v>76</v>
      </c>
      <c r="U145" s="76">
        <v>18.100000000000001</v>
      </c>
      <c r="V145" s="100">
        <v>0.22500000000000001</v>
      </c>
      <c r="W145" s="76">
        <v>1.04</v>
      </c>
      <c r="X145" s="76"/>
      <c r="Y145" s="52">
        <f t="shared" si="51"/>
        <v>3.9473684210526314</v>
      </c>
      <c r="Z145" s="53">
        <f>IF(Y145&lt;LeagueRatings!$K$21,((LeagueRatings!$K$21-Y145)/LeagueRatings!$K$21)*36,(LeagueRatings!$K$21-Y145)*6.48)</f>
        <v>20.127664937379059</v>
      </c>
      <c r="AA145" s="16">
        <f>INDEX('C-P-RollAdj'!$B$4:$B$76,MATCH(INT(Z145),'C-P-RollAdj'!$A$4:$A$76,FALSE),0)</f>
        <v>-1.79</v>
      </c>
      <c r="AB145" s="54">
        <f t="shared" si="52"/>
        <v>1.3157894736842104</v>
      </c>
      <c r="AC145" s="53">
        <f>IF(AB145&lt;LeagueRatings!$K$19,((LeagueRatings!$K$19-AB145)/LeagueRatings!$K$19)*36,(LeagueRatings!$K$19-AB145)/LeagueRatings!$K$22)</f>
        <v>19.71099834788766</v>
      </c>
      <c r="AD145" s="16">
        <f>INDEX('C-P-RollAdj'!$F$4:$F$76,MATCH(INT(AC145),'C-P-RollAdj'!$E$4:$E$76,FALSE),0)</f>
        <v>-1.5</v>
      </c>
      <c r="AE145" s="55">
        <f>+((LeagueRatings!$I$17-E145)*5)+9.5</f>
        <v>18.064387243706364</v>
      </c>
      <c r="AF145" s="55">
        <f>IF(AE145&lt;4,4,AE145)</f>
        <v>18.064387243706364</v>
      </c>
      <c r="AG145" s="17">
        <f t="shared" si="53"/>
        <v>0.81979814511729354</v>
      </c>
      <c r="AH145" s="56">
        <f>+AA145+AD145+AF145+AG145</f>
        <v>15.594185388823657</v>
      </c>
      <c r="AI145" s="41" t="s">
        <v>369</v>
      </c>
      <c r="AJ145" s="9" t="s">
        <v>31</v>
      </c>
      <c r="AK145" s="219">
        <f>INDEX('C-P-RollAdj'!$J$4:$J$76,MATCH(INT(Z145),'C-P-RollAdj'!$I$4:$I$76,FALSE),0)</f>
        <v>42</v>
      </c>
      <c r="AL145" s="219">
        <f>INDEX('C-P-RollAdj'!$J$4:$J$76,MATCH(INT(AC145),'C-P-RollAdj'!$I$4:$I$76,FALSE),0)</f>
        <v>41</v>
      </c>
      <c r="AM145" s="14">
        <f>+AR145*LeagueRatings!$K$27</f>
        <v>10.555555555555555</v>
      </c>
      <c r="AN145" s="72">
        <f>F145*LeagueRatings!$K$27</f>
        <v>8.8888888888888893</v>
      </c>
      <c r="AO145" s="72">
        <f>G145*LeagueRatings!$K$27</f>
        <v>0</v>
      </c>
      <c r="AP145" s="72">
        <f>T145*LeagueRatings!$K$27</f>
        <v>42.222222222222221</v>
      </c>
      <c r="AQ145" s="24"/>
      <c r="AR145" s="14">
        <f t="shared" si="54"/>
        <v>19</v>
      </c>
    </row>
    <row r="146" spans="1:44" x14ac:dyDescent="0.2">
      <c r="A146" s="41" t="s">
        <v>401</v>
      </c>
      <c r="B146" s="76" t="s">
        <v>166</v>
      </c>
      <c r="C146" s="76">
        <v>8</v>
      </c>
      <c r="D146" s="76">
        <v>5</v>
      </c>
      <c r="E146" s="97">
        <v>2.15</v>
      </c>
      <c r="F146" s="76">
        <v>67</v>
      </c>
      <c r="G146" s="76">
        <v>0</v>
      </c>
      <c r="H146" s="76">
        <v>0</v>
      </c>
      <c r="I146" s="76">
        <v>0</v>
      </c>
      <c r="J146" s="76">
        <v>13</v>
      </c>
      <c r="K146" s="76">
        <v>21</v>
      </c>
      <c r="L146" s="258">
        <f>INDEX('C-P-RollAdj'!$P$4:$P$900,MATCH((U146),'C-P-RollAdj'!$O$4:$O$900,FALSE),0)</f>
        <v>67</v>
      </c>
      <c r="M146" s="76">
        <v>38</v>
      </c>
      <c r="N146" s="76">
        <v>19</v>
      </c>
      <c r="O146" s="76">
        <v>16</v>
      </c>
      <c r="P146" s="76">
        <v>6</v>
      </c>
      <c r="Q146" s="76">
        <v>25</v>
      </c>
      <c r="R146" s="76">
        <v>1</v>
      </c>
      <c r="S146" s="76">
        <v>90</v>
      </c>
      <c r="T146" s="76">
        <v>263</v>
      </c>
      <c r="U146" s="76">
        <v>67</v>
      </c>
      <c r="V146" s="100">
        <v>0.16200000000000001</v>
      </c>
      <c r="W146" s="76">
        <v>0.94</v>
      </c>
      <c r="X146" s="42"/>
      <c r="Y146" s="52">
        <f t="shared" si="51"/>
        <v>9.1603053435114496</v>
      </c>
      <c r="Z146" s="53">
        <f>IF(Y146&lt;LeagueRatings!$K$21,((LeagueRatings!$K$21-Y146)/LeagueRatings!$K$21)*36,(LeagueRatings!$K$21-Y146)*6.48)</f>
        <v>-1.3432376466231606</v>
      </c>
      <c r="AA146" s="16">
        <f>INDEX('C-P-RollAdj'!$B$4:$B$76,MATCH(INT(Z146),'C-P-RollAdj'!$A$4:$A$76,FALSE),0)</f>
        <v>0.18</v>
      </c>
      <c r="AB146" s="54">
        <f t="shared" si="52"/>
        <v>2.2900763358778624</v>
      </c>
      <c r="AC146" s="53">
        <f>IF(AB146&lt;LeagueRatings!$K$19,((LeagueRatings!$K$19-AB146)/LeagueRatings!$K$19)*36,(LeagueRatings!$K$19-AB146)/LeagueRatings!$K$22)</f>
        <v>7.6496765138808103</v>
      </c>
      <c r="AD146" s="16">
        <f>INDEX('C-P-RollAdj'!$F$4:$F$76,MATCH(INT(AC146),'C-P-RollAdj'!$E$4:$E$76,FALSE),0)</f>
        <v>-0.49000000000000005</v>
      </c>
      <c r="AE146" s="55">
        <f>+((LeagueRatings!$I$17-E146)*5)+9.5</f>
        <v>19.564387243706364</v>
      </c>
      <c r="AF146" s="55">
        <f>IF(AE146&lt;4,4,AE146)</f>
        <v>19.564387243706364</v>
      </c>
      <c r="AG146" s="17">
        <f t="shared" si="53"/>
        <v>2.959850746268657</v>
      </c>
      <c r="AH146" s="56">
        <f>+AA146+AD146+AF146+AG146</f>
        <v>22.214237989975022</v>
      </c>
      <c r="AI146" s="41" t="s">
        <v>401</v>
      </c>
      <c r="AJ146" s="9" t="s">
        <v>74</v>
      </c>
      <c r="AK146" s="219">
        <f>INDEX('C-P-RollAdj'!$J$4:$J$76,MATCH(INT(Z146),'C-P-RollAdj'!$I$4:$I$76,FALSE),0)</f>
        <v>-12</v>
      </c>
      <c r="AL146" s="219">
        <f>INDEX('C-P-RollAdj'!$J$4:$J$76,MATCH(INT(AC146),'C-P-RollAdj'!$I$4:$I$76,FALSE),0)</f>
        <v>21</v>
      </c>
      <c r="AM146" s="14">
        <f>+AR146*LeagueRatings!$K$27</f>
        <v>37.222222222222221</v>
      </c>
      <c r="AN146" s="72">
        <f>F146*LeagueRatings!$K$27</f>
        <v>37.222222222222221</v>
      </c>
      <c r="AO146" s="72">
        <f>G146*LeagueRatings!$K$27</f>
        <v>0</v>
      </c>
      <c r="AP146" s="72">
        <f>T146*LeagueRatings!$K$27</f>
        <v>146.11111111111111</v>
      </c>
      <c r="AR146" s="14">
        <f t="shared" si="54"/>
        <v>67</v>
      </c>
    </row>
    <row r="147" spans="1:44" s="122" customFormat="1" x14ac:dyDescent="0.2">
      <c r="A147" s="41" t="s">
        <v>413</v>
      </c>
      <c r="B147" s="76" t="s">
        <v>166</v>
      </c>
      <c r="C147" s="76">
        <v>3</v>
      </c>
      <c r="D147" s="76">
        <v>3</v>
      </c>
      <c r="E147" s="97">
        <v>2.73</v>
      </c>
      <c r="F147" s="76">
        <v>72</v>
      </c>
      <c r="G147" s="76">
        <v>0</v>
      </c>
      <c r="H147" s="76">
        <v>0</v>
      </c>
      <c r="I147" s="76">
        <v>0</v>
      </c>
      <c r="J147" s="76">
        <v>2</v>
      </c>
      <c r="K147" s="76">
        <v>5</v>
      </c>
      <c r="L147" s="258">
        <f>INDEX('C-P-RollAdj'!$P$4:$P$900,MATCH((U147),'C-P-RollAdj'!$O$4:$O$900,FALSE),0)</f>
        <v>82.33</v>
      </c>
      <c r="M147" s="76">
        <v>65</v>
      </c>
      <c r="N147" s="76">
        <v>26</v>
      </c>
      <c r="O147" s="76">
        <v>25</v>
      </c>
      <c r="P147" s="76">
        <v>8</v>
      </c>
      <c r="Q147" s="76">
        <v>30</v>
      </c>
      <c r="R147" s="76">
        <v>3</v>
      </c>
      <c r="S147" s="76">
        <v>78</v>
      </c>
      <c r="T147" s="76">
        <v>339</v>
      </c>
      <c r="U147" s="76">
        <v>82.1</v>
      </c>
      <c r="V147" s="100">
        <v>0.217</v>
      </c>
      <c r="W147" s="76">
        <v>1.1499999999999999</v>
      </c>
      <c r="X147" s="76"/>
      <c r="Y147" s="52">
        <f t="shared" si="51"/>
        <v>8.0357142857142865</v>
      </c>
      <c r="Z147" s="53">
        <f>IF(Y147&lt;LeagueRatings!$K$21,((LeagueRatings!$K$21-Y147)/LeagueRatings!$K$21)*36,(LeagueRatings!$K$21-Y147)*6.48)</f>
        <v>3.6884607653787995</v>
      </c>
      <c r="AA147" s="16">
        <f>INDEX('C-P-RollAdj'!$B$4:$B$76,MATCH(INT(Z147),'C-P-RollAdj'!$A$4:$A$76,FALSE),0)</f>
        <v>-0.24</v>
      </c>
      <c r="AB147" s="54">
        <f t="shared" si="52"/>
        <v>2.3809523809523809</v>
      </c>
      <c r="AC147" s="53">
        <f>IF(AB147&lt;LeagueRatings!$K$19,((LeagueRatings!$K$19-AB147)/LeagueRatings!$K$19)*36,(LeagueRatings!$K$19-AB147)/LeagueRatings!$K$22)</f>
        <v>6.5246636771300466</v>
      </c>
      <c r="AD147" s="16">
        <f>INDEX('C-P-RollAdj'!$F$4:$F$76,MATCH(INT(AC147),'C-P-RollAdj'!$E$4:$E$76,FALSE),0)</f>
        <v>-0.42000000000000004</v>
      </c>
      <c r="AE147" s="55">
        <f>+((LeagueRatings!$I$17-E147)*5)+9.5</f>
        <v>16.664387243706365</v>
      </c>
      <c r="AF147" s="55">
        <f t="shared" si="55"/>
        <v>16.664387243706365</v>
      </c>
      <c r="AG147" s="17">
        <f t="shared" si="53"/>
        <v>1.4034604639863957</v>
      </c>
      <c r="AH147" s="56">
        <f t="shared" si="56"/>
        <v>17.40784770769276</v>
      </c>
      <c r="AI147" s="41" t="s">
        <v>413</v>
      </c>
      <c r="AJ147" s="9" t="s">
        <v>53</v>
      </c>
      <c r="AK147" s="219">
        <f>INDEX('C-P-RollAdj'!$J$4:$J$76,MATCH(INT(Z147),'C-P-RollAdj'!$I$4:$I$76,FALSE),0)</f>
        <v>13</v>
      </c>
      <c r="AL147" s="219">
        <f>INDEX('C-P-RollAdj'!$J$4:$J$76,MATCH(INT(AC147),'C-P-RollAdj'!$I$4:$I$76,FALSE),0)</f>
        <v>16</v>
      </c>
      <c r="AM147" s="14">
        <f>+AR147*LeagueRatings!$K$27</f>
        <v>46.111111111111114</v>
      </c>
      <c r="AN147" s="72">
        <f>F147*LeagueRatings!$K$27</f>
        <v>40</v>
      </c>
      <c r="AO147" s="72">
        <f>G147*LeagueRatings!$K$27</f>
        <v>0</v>
      </c>
      <c r="AP147" s="72">
        <f>T147*LeagueRatings!$K$27</f>
        <v>188.33333333333334</v>
      </c>
      <c r="AQ147" s="24"/>
      <c r="AR147" s="14">
        <f t="shared" si="54"/>
        <v>83</v>
      </c>
    </row>
    <row r="148" spans="1:44" s="28" customFormat="1" x14ac:dyDescent="0.2">
      <c r="A148" s="107"/>
      <c r="B148" s="42"/>
      <c r="C148" s="42"/>
      <c r="D148" s="55"/>
      <c r="E148" s="55"/>
      <c r="F148" s="42"/>
      <c r="G148" s="61"/>
      <c r="H148" s="42"/>
      <c r="I148" s="55"/>
      <c r="J148" s="61"/>
      <c r="K148" s="55"/>
      <c r="L148" s="55"/>
      <c r="M148" s="42"/>
      <c r="N148" s="42"/>
      <c r="O148" s="42"/>
      <c r="P148" s="42"/>
      <c r="Q148" s="42"/>
      <c r="R148" s="42"/>
      <c r="S148" s="54"/>
      <c r="T148" s="42"/>
      <c r="U148" s="42"/>
      <c r="V148" s="54"/>
      <c r="W148" s="42"/>
      <c r="X148" s="70"/>
      <c r="Y148" s="52"/>
      <c r="Z148" s="53"/>
      <c r="AA148" s="54"/>
      <c r="AB148" s="54"/>
      <c r="AC148" s="53"/>
      <c r="AD148" s="54"/>
      <c r="AE148" s="55"/>
      <c r="AF148" s="55"/>
      <c r="AG148" s="55"/>
      <c r="AH148" s="56"/>
      <c r="AI148" s="107"/>
      <c r="AJ148" s="9"/>
      <c r="AK148" s="9"/>
      <c r="AL148" s="9"/>
      <c r="AM148" s="14"/>
      <c r="AN148" s="72"/>
      <c r="AO148" s="72"/>
      <c r="AP148" s="72"/>
      <c r="AR148" s="14"/>
    </row>
    <row r="149" spans="1:44" x14ac:dyDescent="0.2">
      <c r="A149" s="69" t="s">
        <v>106</v>
      </c>
      <c r="B149" s="70" t="s">
        <v>157</v>
      </c>
      <c r="C149" s="71" t="s">
        <v>85</v>
      </c>
      <c r="D149" s="70" t="s">
        <v>86</v>
      </c>
      <c r="E149" s="71" t="s">
        <v>87</v>
      </c>
      <c r="F149" s="70" t="s">
        <v>108</v>
      </c>
      <c r="G149" s="70" t="s">
        <v>88</v>
      </c>
      <c r="H149" s="70" t="s">
        <v>89</v>
      </c>
      <c r="I149" s="72" t="s">
        <v>317</v>
      </c>
      <c r="J149" s="72" t="s">
        <v>90</v>
      </c>
      <c r="K149" s="72" t="s">
        <v>158</v>
      </c>
      <c r="L149" s="71" t="s">
        <v>91</v>
      </c>
      <c r="M149" s="70" t="s">
        <v>92</v>
      </c>
      <c r="N149" s="70" t="s">
        <v>93</v>
      </c>
      <c r="O149" s="70" t="s">
        <v>94</v>
      </c>
      <c r="P149" s="70" t="s">
        <v>95</v>
      </c>
      <c r="Q149" s="70" t="s">
        <v>96</v>
      </c>
      <c r="R149" s="70" t="s">
        <v>98</v>
      </c>
      <c r="S149" s="70" t="s">
        <v>97</v>
      </c>
      <c r="T149" s="70" t="s">
        <v>109</v>
      </c>
      <c r="U149" s="196" t="s">
        <v>91</v>
      </c>
      <c r="V149" s="277" t="s">
        <v>1071</v>
      </c>
      <c r="W149" s="196" t="s">
        <v>1072</v>
      </c>
      <c r="X149" s="70"/>
      <c r="Y149" s="115" t="s">
        <v>2</v>
      </c>
      <c r="Z149" s="116" t="s">
        <v>3</v>
      </c>
      <c r="AA149" s="117" t="s">
        <v>4</v>
      </c>
      <c r="AB149" s="118" t="s">
        <v>5</v>
      </c>
      <c r="AC149" s="116" t="s">
        <v>6</v>
      </c>
      <c r="AD149" s="117" t="s">
        <v>7</v>
      </c>
      <c r="AE149" s="119" t="s">
        <v>8</v>
      </c>
      <c r="AF149" s="119" t="s">
        <v>81</v>
      </c>
      <c r="AG149" s="119" t="s">
        <v>9</v>
      </c>
      <c r="AH149" s="120" t="s">
        <v>10</v>
      </c>
      <c r="AI149" s="69" t="s">
        <v>106</v>
      </c>
      <c r="AJ149" s="7" t="s">
        <v>11</v>
      </c>
      <c r="AK149" s="7" t="s">
        <v>12</v>
      </c>
      <c r="AL149" s="7" t="s">
        <v>13</v>
      </c>
      <c r="AN149" s="72"/>
      <c r="AO149" s="72"/>
      <c r="AP149" s="72"/>
      <c r="AQ149" s="122"/>
      <c r="AR149" s="14"/>
    </row>
    <row r="150" spans="1:44" x14ac:dyDescent="0.2">
      <c r="A150" s="69"/>
      <c r="B150" s="70"/>
      <c r="C150" s="71"/>
      <c r="D150" s="70"/>
      <c r="E150" s="71"/>
      <c r="F150" s="70"/>
      <c r="G150" s="70"/>
      <c r="H150" s="70"/>
      <c r="I150" s="72"/>
      <c r="J150" s="72"/>
      <c r="K150" s="72"/>
      <c r="L150" s="71"/>
      <c r="M150" s="70"/>
      <c r="N150" s="70"/>
      <c r="O150" s="70"/>
      <c r="P150" s="70"/>
      <c r="Q150" s="70"/>
      <c r="R150" s="70"/>
      <c r="S150" s="70"/>
      <c r="T150" s="70"/>
      <c r="U150" s="70"/>
      <c r="V150" s="164"/>
      <c r="W150" s="70"/>
      <c r="X150" s="76"/>
      <c r="Y150" s="52"/>
      <c r="Z150" s="53"/>
      <c r="AA150" s="54"/>
      <c r="AB150" s="54"/>
      <c r="AC150" s="53"/>
      <c r="AD150" s="54"/>
      <c r="AE150" s="55"/>
      <c r="AF150" s="55"/>
      <c r="AG150" s="55"/>
      <c r="AH150" s="56"/>
      <c r="AI150" s="69"/>
      <c r="AJ150" s="9"/>
      <c r="AK150" s="9"/>
      <c r="AL150" s="9"/>
      <c r="AN150" s="72"/>
      <c r="AO150" s="72"/>
      <c r="AP150" s="72"/>
      <c r="AQ150" s="28"/>
      <c r="AR150" s="14"/>
    </row>
    <row r="151" spans="1:44" x14ac:dyDescent="0.2">
      <c r="A151" s="41" t="s">
        <v>598</v>
      </c>
      <c r="B151" s="76" t="s">
        <v>167</v>
      </c>
      <c r="C151" s="76">
        <v>4</v>
      </c>
      <c r="D151" s="76">
        <v>2</v>
      </c>
      <c r="E151" s="97">
        <v>2.79</v>
      </c>
      <c r="F151" s="76">
        <v>73</v>
      </c>
      <c r="G151" s="76">
        <v>0</v>
      </c>
      <c r="H151" s="76">
        <v>0</v>
      </c>
      <c r="I151" s="76">
        <v>0</v>
      </c>
      <c r="J151" s="76">
        <v>2</v>
      </c>
      <c r="K151" s="76">
        <v>3</v>
      </c>
      <c r="L151" s="258">
        <f>INDEX('C-P-RollAdj'!$P$4:$P$900,MATCH((U151),'C-P-RollAdj'!$O$4:$O$900,FALSE),0)</f>
        <v>42</v>
      </c>
      <c r="M151" s="76">
        <v>36</v>
      </c>
      <c r="N151" s="76">
        <v>14</v>
      </c>
      <c r="O151" s="76">
        <v>13</v>
      </c>
      <c r="P151" s="76">
        <v>4</v>
      </c>
      <c r="Q151" s="76">
        <v>15</v>
      </c>
      <c r="R151" s="76">
        <v>3</v>
      </c>
      <c r="S151" s="76">
        <v>52</v>
      </c>
      <c r="T151" s="76">
        <v>178</v>
      </c>
      <c r="U151" s="76">
        <v>42</v>
      </c>
      <c r="V151" s="100">
        <v>0.22900000000000001</v>
      </c>
      <c r="W151" s="76">
        <v>1.21</v>
      </c>
      <c r="X151" s="76"/>
      <c r="Y151" s="50">
        <f t="shared" ref="Y151:Y165" si="57">+(Q151-R151)/(T151-R151)*100</f>
        <v>6.8571428571428577</v>
      </c>
      <c r="Z151" s="6">
        <f>IF(Y151&lt;LeagueRatings!$K$21,((LeagueRatings!$K$21-Y151)/LeagueRatings!$K$21)*36,(LeagueRatings!$K$21-Y151)*6.48)</f>
        <v>8.4274865197899089</v>
      </c>
      <c r="AA151" s="16">
        <f>INDEX('C-P-RollAdj'!$B$4:$B$76,MATCH(INT(Z151),'C-P-RollAdj'!$A$4:$A$76,FALSE),0)</f>
        <v>-0.65</v>
      </c>
      <c r="AB151" s="16">
        <f t="shared" ref="AB151:AB165" si="58">(P151/(T151-R151))*100</f>
        <v>2.2857142857142856</v>
      </c>
      <c r="AC151" s="6">
        <f>IF(AB151&lt;LeagueRatings!$K$19,((LeagueRatings!$K$19-AB151)/LeagueRatings!$K$19)*36,(LeagueRatings!$K$19-AB151)/LeagueRatings!$K$22)</f>
        <v>7.7036771300448459</v>
      </c>
      <c r="AD151" s="16">
        <f>INDEX('C-P-RollAdj'!$F$4:$F$76,MATCH(INT(AC151),'C-P-RollAdj'!$E$4:$E$76,FALSE),0)</f>
        <v>-0.49000000000000005</v>
      </c>
      <c r="AE151" s="17">
        <f>+((LeagueRatings!$I$17-E151)*5)+9.5</f>
        <v>16.364387243706361</v>
      </c>
      <c r="AF151" s="17">
        <f>IF(AE151&lt;4,4,AE151)</f>
        <v>16.364387243706361</v>
      </c>
      <c r="AG151" s="17">
        <f t="shared" ref="AG151:AG165" si="59">IF(M151&lt;L151,((1-(M151/L151))*7)-0.07,(1-(M151/L151))*5)</f>
        <v>0.93000000000000038</v>
      </c>
      <c r="AH151" s="4">
        <f t="shared" ref="AH151:AH165" si="60">+AA151+AD151+AF151+AG151</f>
        <v>16.15438724370636</v>
      </c>
      <c r="AI151" s="41" t="s">
        <v>598</v>
      </c>
      <c r="AJ151" s="5" t="s">
        <v>31</v>
      </c>
      <c r="AK151" s="219">
        <f>INDEX('C-P-RollAdj'!$J$4:$J$76,MATCH(INT(Z151),'C-P-RollAdj'!$I$4:$I$76,FALSE),0)</f>
        <v>22</v>
      </c>
      <c r="AL151" s="219">
        <f>INDEX('C-P-RollAdj'!$J$4:$J$76,MATCH(INT(AC151),'C-P-RollAdj'!$I$4:$I$76,FALSE),0)</f>
        <v>21</v>
      </c>
      <c r="AM151" s="14">
        <f>+AR151*LeagueRatings!$K$27</f>
        <v>23.333333333333336</v>
      </c>
      <c r="AN151" s="72">
        <f>F151*LeagueRatings!$K$27</f>
        <v>40.555555555555557</v>
      </c>
      <c r="AO151" s="72">
        <f>G151*LeagueRatings!$K$27</f>
        <v>0</v>
      </c>
      <c r="AP151" s="72">
        <f>T151*LeagueRatings!$K$27</f>
        <v>98.8888888888889</v>
      </c>
      <c r="AR151" s="14">
        <f t="shared" ref="AR151:AR165" si="61">ROUNDUP(L151,0)</f>
        <v>42</v>
      </c>
    </row>
    <row r="152" spans="1:44" x14ac:dyDescent="0.2">
      <c r="A152" s="41" t="s">
        <v>595</v>
      </c>
      <c r="B152" s="76" t="s">
        <v>167</v>
      </c>
      <c r="C152" s="76">
        <v>15</v>
      </c>
      <c r="D152" s="76">
        <v>8</v>
      </c>
      <c r="E152" s="97">
        <v>3.43</v>
      </c>
      <c r="F152" s="76">
        <v>34</v>
      </c>
      <c r="G152" s="76">
        <v>33</v>
      </c>
      <c r="H152" s="76">
        <v>0</v>
      </c>
      <c r="I152" s="76">
        <v>0</v>
      </c>
      <c r="J152" s="76">
        <v>0</v>
      </c>
      <c r="K152" s="76">
        <v>0</v>
      </c>
      <c r="L152" s="258">
        <f>INDEX('C-P-RollAdj'!$P$4:$P$900,MATCH((U152),'C-P-RollAdj'!$O$4:$O$900,FALSE),0)</f>
        <v>191.67000000000002</v>
      </c>
      <c r="M152" s="76">
        <v>200</v>
      </c>
      <c r="N152" s="76">
        <v>81</v>
      </c>
      <c r="O152" s="76">
        <v>73</v>
      </c>
      <c r="P152" s="76">
        <v>24</v>
      </c>
      <c r="Q152" s="76">
        <v>32</v>
      </c>
      <c r="R152" s="76">
        <v>2</v>
      </c>
      <c r="S152" s="76">
        <v>128</v>
      </c>
      <c r="T152" s="76">
        <v>791</v>
      </c>
      <c r="U152" s="76">
        <v>191.2</v>
      </c>
      <c r="V152" s="100">
        <v>0.26800000000000002</v>
      </c>
      <c r="W152" s="76">
        <v>1.21</v>
      </c>
      <c r="X152" s="76"/>
      <c r="Y152" s="50">
        <f t="shared" si="57"/>
        <v>3.8022813688212929</v>
      </c>
      <c r="Z152" s="6">
        <f>IF(Y152&lt;LeagueRatings!$K$21,((LeagueRatings!$K$21-Y152)/LeagueRatings!$K$21)*36,(LeagueRatings!$K$21-Y152)*6.48)</f>
        <v>20.711058748299223</v>
      </c>
      <c r="AA152" s="16">
        <f>INDEX('C-P-RollAdj'!$B$4:$B$76,MATCH(INT(Z152),'C-P-RollAdj'!$A$4:$A$76,FALSE),0)</f>
        <v>-1.79</v>
      </c>
      <c r="AB152" s="16">
        <f t="shared" si="58"/>
        <v>3.041825095057034</v>
      </c>
      <c r="AC152" s="6">
        <f>IF(AB152&lt;LeagueRatings!$K$19,((LeagueRatings!$K$19-AB152)/LeagueRatings!$K$19)*36,(LeagueRatings!$K$19-AB152)/LeagueRatings!$K$22)</f>
        <v>-1.0813020495223937</v>
      </c>
      <c r="AD152" s="16">
        <f>INDEX('C-P-RollAdj'!$F$4:$F$76,MATCH(INT(AC152),'C-P-RollAdj'!$E$4:$E$76,FALSE),0)</f>
        <v>0.16</v>
      </c>
      <c r="AE152" s="17">
        <f>+((LeagueRatings!$I$17-E152)*5)+9.5</f>
        <v>13.164387243706361</v>
      </c>
      <c r="AF152" s="17">
        <f>IF(AE152&lt;4,4,AE152)</f>
        <v>13.164387243706361</v>
      </c>
      <c r="AG152" s="17">
        <f t="shared" si="59"/>
        <v>-0.21730056868576209</v>
      </c>
      <c r="AH152" s="4">
        <f t="shared" si="60"/>
        <v>11.317086675020599</v>
      </c>
      <c r="AI152" s="41" t="s">
        <v>595</v>
      </c>
      <c r="AJ152" s="5" t="s">
        <v>59</v>
      </c>
      <c r="AK152" s="219">
        <f>INDEX('C-P-RollAdj'!$J$4:$J$76,MATCH(INT(Z152),'C-P-RollAdj'!$I$4:$I$76,FALSE),0)</f>
        <v>42</v>
      </c>
      <c r="AL152" s="219">
        <f>INDEX('C-P-RollAdj'!$J$4:$J$76,MATCH(INT(AC152),'C-P-RollAdj'!$I$4:$I$76,FALSE),0)</f>
        <v>-12</v>
      </c>
      <c r="AM152" s="14">
        <f>+AR152*LeagueRatings!$K$27</f>
        <v>106.66666666666667</v>
      </c>
      <c r="AN152" s="72">
        <f>F152*LeagueRatings!$K$27</f>
        <v>18.888888888888889</v>
      </c>
      <c r="AO152" s="72">
        <f>G152*LeagueRatings!$K$27</f>
        <v>18.333333333333336</v>
      </c>
      <c r="AP152" s="72">
        <f>T152*LeagueRatings!$K$27</f>
        <v>439.44444444444446</v>
      </c>
      <c r="AR152" s="14">
        <f t="shared" si="61"/>
        <v>192</v>
      </c>
    </row>
    <row r="153" spans="1:44" x14ac:dyDescent="0.2">
      <c r="A153" s="41" t="s">
        <v>769</v>
      </c>
      <c r="B153" s="76" t="s">
        <v>167</v>
      </c>
      <c r="C153" s="76">
        <v>7</v>
      </c>
      <c r="D153" s="76">
        <v>8</v>
      </c>
      <c r="E153" s="97">
        <v>3.04</v>
      </c>
      <c r="F153" s="76">
        <v>24</v>
      </c>
      <c r="G153" s="76">
        <v>24</v>
      </c>
      <c r="H153" s="76">
        <v>1</v>
      </c>
      <c r="I153" s="76">
        <v>1</v>
      </c>
      <c r="J153" s="76">
        <v>0</v>
      </c>
      <c r="K153" s="76">
        <v>0</v>
      </c>
      <c r="L153" s="258">
        <f>INDEX('C-P-RollAdj'!$P$4:$P$900,MATCH((U153),'C-P-RollAdj'!$O$4:$O$900,FALSE),0)</f>
        <v>148</v>
      </c>
      <c r="M153" s="76">
        <v>142</v>
      </c>
      <c r="N153" s="76">
        <v>53</v>
      </c>
      <c r="O153" s="76">
        <v>50</v>
      </c>
      <c r="P153" s="76">
        <v>15</v>
      </c>
      <c r="Q153" s="76">
        <v>36</v>
      </c>
      <c r="R153" s="76">
        <v>0</v>
      </c>
      <c r="S153" s="76">
        <v>143</v>
      </c>
      <c r="T153" s="76">
        <v>604</v>
      </c>
      <c r="U153" s="76">
        <v>148</v>
      </c>
      <c r="V153" s="100">
        <v>0.255</v>
      </c>
      <c r="W153" s="76">
        <v>1.2</v>
      </c>
      <c r="X153" s="76"/>
      <c r="Y153" s="50">
        <f t="shared" si="57"/>
        <v>5.9602649006622519</v>
      </c>
      <c r="Z153" s="6">
        <f>IF(Y153&lt;LeagueRatings!$K$21,((LeagueRatings!$K$21-Y153)/LeagueRatings!$K$21)*36,(LeagueRatings!$K$21-Y153)*6.48)</f>
        <v>12.033825203459772</v>
      </c>
      <c r="AA153" s="16">
        <f>INDEX('C-P-RollAdj'!$B$4:$B$76,MATCH(INT(Z153),'C-P-RollAdj'!$A$4:$A$76,FALSE),0)</f>
        <v>-1.01</v>
      </c>
      <c r="AB153" s="16">
        <f t="shared" si="58"/>
        <v>2.4834437086092715</v>
      </c>
      <c r="AC153" s="6">
        <f>IF(AB153&lt;LeagueRatings!$K$19,((LeagueRatings!$K$19-AB153)/LeagueRatings!$K$19)*36,(LeagueRatings!$K$19-AB153)/LeagueRatings!$K$22)</f>
        <v>5.2558578089270345</v>
      </c>
      <c r="AD153" s="16">
        <f>INDEX('C-P-RollAdj'!$F$4:$F$76,MATCH(INT(AC153),'C-P-RollAdj'!$E$4:$E$76,FALSE),0)</f>
        <v>-0.35000000000000003</v>
      </c>
      <c r="AE153" s="17">
        <f>+((LeagueRatings!$I$17-E153)*5)+9.5</f>
        <v>15.114387243706362</v>
      </c>
      <c r="AF153" s="17">
        <f>IF(AE153&lt;4,4,AE153)</f>
        <v>15.114387243706362</v>
      </c>
      <c r="AG153" s="17">
        <f t="shared" si="59"/>
        <v>0.21378378378378399</v>
      </c>
      <c r="AH153" s="4">
        <f t="shared" si="60"/>
        <v>13.968171027490147</v>
      </c>
      <c r="AI153" s="41" t="s">
        <v>769</v>
      </c>
      <c r="AJ153" s="5" t="s">
        <v>21</v>
      </c>
      <c r="AK153" s="219">
        <f>INDEX('C-P-RollAdj'!$J$4:$J$76,MATCH(INT(Z153),'C-P-RollAdj'!$I$4:$I$76,FALSE),0)</f>
        <v>26</v>
      </c>
      <c r="AL153" s="219">
        <f>INDEX('C-P-RollAdj'!$J$4:$J$76,MATCH(INT(AC153),'C-P-RollAdj'!$I$4:$I$76,FALSE),0)</f>
        <v>15</v>
      </c>
      <c r="AM153" s="14">
        <f>+AR153*LeagueRatings!$K$27</f>
        <v>82.222222222222229</v>
      </c>
      <c r="AN153" s="72">
        <f>F153*LeagueRatings!$K$27</f>
        <v>13.333333333333334</v>
      </c>
      <c r="AO153" s="72">
        <f>G153*LeagueRatings!$K$27</f>
        <v>13.333333333333334</v>
      </c>
      <c r="AP153" s="72">
        <f>T153*LeagueRatings!$K$27</f>
        <v>335.55555555555554</v>
      </c>
      <c r="AR153" s="14">
        <f t="shared" si="61"/>
        <v>148</v>
      </c>
    </row>
    <row r="154" spans="1:44" x14ac:dyDescent="0.2">
      <c r="A154" s="41" t="s">
        <v>417</v>
      </c>
      <c r="B154" s="76" t="s">
        <v>167</v>
      </c>
      <c r="C154" s="76">
        <v>3</v>
      </c>
      <c r="D154" s="76">
        <v>4</v>
      </c>
      <c r="E154" s="97">
        <v>2.5499999999999998</v>
      </c>
      <c r="F154" s="76">
        <v>78</v>
      </c>
      <c r="G154" s="76">
        <v>0</v>
      </c>
      <c r="H154" s="76">
        <v>0</v>
      </c>
      <c r="I154" s="76">
        <v>0</v>
      </c>
      <c r="J154" s="76">
        <v>51</v>
      </c>
      <c r="K154" s="76">
        <v>56</v>
      </c>
      <c r="L154" s="258">
        <f>INDEX('C-P-RollAdj'!$P$4:$P$900,MATCH((U154),'C-P-RollAdj'!$O$4:$O$900,FALSE),0)</f>
        <v>77.67</v>
      </c>
      <c r="M154" s="76">
        <v>63</v>
      </c>
      <c r="N154" s="76">
        <v>25</v>
      </c>
      <c r="O154" s="76">
        <v>22</v>
      </c>
      <c r="P154" s="76">
        <v>1</v>
      </c>
      <c r="Q154" s="76">
        <v>31</v>
      </c>
      <c r="R154" s="76">
        <v>6</v>
      </c>
      <c r="S154" s="76">
        <v>84</v>
      </c>
      <c r="T154" s="76">
        <v>321</v>
      </c>
      <c r="U154" s="76">
        <v>77.2</v>
      </c>
      <c r="V154" s="100">
        <v>0.22</v>
      </c>
      <c r="W154" s="76">
        <v>1.21</v>
      </c>
      <c r="X154" s="76"/>
      <c r="Y154" s="50">
        <f t="shared" si="57"/>
        <v>7.9365079365079358</v>
      </c>
      <c r="Z154" s="6">
        <f>IF(Y154&lt;LeagueRatings!$K$21,((LeagueRatings!$K$21-Y154)/LeagueRatings!$K$21)*36,(LeagueRatings!$K$21-Y154)*6.48)</f>
        <v>4.0873686571642516</v>
      </c>
      <c r="AA154" s="16">
        <f>INDEX('C-P-RollAdj'!$B$4:$B$76,MATCH(INT(Z154),'C-P-RollAdj'!$A$4:$A$76,FALSE),0)</f>
        <v>-0.32</v>
      </c>
      <c r="AB154" s="16">
        <f t="shared" si="58"/>
        <v>0.31746031746031744</v>
      </c>
      <c r="AC154" s="6">
        <f>IF(AB154&lt;LeagueRatings!$K$19,((LeagueRatings!$K$19-AB154)/LeagueRatings!$K$19)*36,(LeagueRatings!$K$19-AB154)/LeagueRatings!$K$22)</f>
        <v>32.069955156950677</v>
      </c>
      <c r="AD154" s="16">
        <f>INDEX('C-P-RollAdj'!$F$4:$F$76,MATCH(INT(AC154),'C-P-RollAdj'!$E$4:$E$76,FALSE),0)</f>
        <v>-2.82</v>
      </c>
      <c r="AE154" s="17">
        <f>+((LeagueRatings!$I$17-E154)*5)+9.5</f>
        <v>17.564387243706364</v>
      </c>
      <c r="AF154" s="17">
        <f t="shared" ref="AF154:AF165" si="62">IF(AE154&lt;4,4,AE154)</f>
        <v>17.564387243706364</v>
      </c>
      <c r="AG154" s="17">
        <f t="shared" si="59"/>
        <v>1.2521320973348786</v>
      </c>
      <c r="AH154" s="4">
        <f t="shared" si="60"/>
        <v>15.676519341041242</v>
      </c>
      <c r="AI154" s="41" t="s">
        <v>417</v>
      </c>
      <c r="AJ154" s="5" t="s">
        <v>31</v>
      </c>
      <c r="AK154" s="219">
        <f>INDEX('C-P-RollAdj'!$J$4:$J$76,MATCH(INT(Z154),'C-P-RollAdj'!$I$4:$I$76,FALSE),0)</f>
        <v>14</v>
      </c>
      <c r="AL154" s="219">
        <f>INDEX('C-P-RollAdj'!$J$4:$J$76,MATCH(INT(AC154),'C-P-RollAdj'!$I$4:$I$76,FALSE),0)</f>
        <v>62</v>
      </c>
      <c r="AM154" s="14">
        <f>+AR154*LeagueRatings!$K$27</f>
        <v>43.333333333333336</v>
      </c>
      <c r="AN154" s="72">
        <f>F154*LeagueRatings!$K$27</f>
        <v>43.333333333333336</v>
      </c>
      <c r="AO154" s="72">
        <f>G154*LeagueRatings!$K$27</f>
        <v>0</v>
      </c>
      <c r="AP154" s="72">
        <f>T154*LeagueRatings!$K$27</f>
        <v>178.33333333333334</v>
      </c>
      <c r="AR154" s="14">
        <f t="shared" si="61"/>
        <v>78</v>
      </c>
    </row>
    <row r="155" spans="1:44" x14ac:dyDescent="0.2">
      <c r="A155" s="41" t="s">
        <v>770</v>
      </c>
      <c r="B155" s="76" t="s">
        <v>167</v>
      </c>
      <c r="C155" s="76">
        <v>2</v>
      </c>
      <c r="D155" s="76">
        <v>2</v>
      </c>
      <c r="E155" s="97">
        <v>4.54</v>
      </c>
      <c r="F155" s="76">
        <v>36</v>
      </c>
      <c r="G155" s="76">
        <v>0</v>
      </c>
      <c r="H155" s="76">
        <v>0</v>
      </c>
      <c r="I155" s="76">
        <v>0</v>
      </c>
      <c r="J155" s="76">
        <v>0</v>
      </c>
      <c r="K155" s="76">
        <v>1</v>
      </c>
      <c r="L155" s="258">
        <f>INDEX('C-P-RollAdj'!$P$4:$P$900,MATCH((U155),'C-P-RollAdj'!$O$4:$O$900,FALSE),0)</f>
        <v>35.67</v>
      </c>
      <c r="M155" s="76">
        <v>33</v>
      </c>
      <c r="N155" s="76">
        <v>20</v>
      </c>
      <c r="O155" s="76">
        <v>18</v>
      </c>
      <c r="P155" s="76">
        <v>5</v>
      </c>
      <c r="Q155" s="76">
        <v>14</v>
      </c>
      <c r="R155" s="76">
        <v>1</v>
      </c>
      <c r="S155" s="76">
        <v>36</v>
      </c>
      <c r="T155" s="76">
        <v>157</v>
      </c>
      <c r="U155" s="76">
        <v>35.200000000000003</v>
      </c>
      <c r="V155" s="100">
        <v>0.23400000000000001</v>
      </c>
      <c r="W155" s="76">
        <v>1.32</v>
      </c>
      <c r="X155" s="76"/>
      <c r="Y155" s="50">
        <f t="shared" si="57"/>
        <v>8.3333333333333321</v>
      </c>
      <c r="Z155" s="6">
        <f>IF(Y155&lt;LeagueRatings!$K$21,((LeagueRatings!$K$21-Y155)/LeagueRatings!$K$21)*36,(LeagueRatings!$K$21-Y155)*6.48)</f>
        <v>2.4917370900224665</v>
      </c>
      <c r="AA155" s="16">
        <f>INDEX('C-P-RollAdj'!$B$4:$B$76,MATCH(INT(Z155),'C-P-RollAdj'!$A$4:$A$76,FALSE),0)</f>
        <v>-0.16</v>
      </c>
      <c r="AB155" s="16">
        <f t="shared" si="58"/>
        <v>3.2051282051282048</v>
      </c>
      <c r="AC155" s="6">
        <f>IF(AB155&lt;LeagueRatings!$K$19,((LeagueRatings!$K$19-AB155)/LeagueRatings!$K$19)*36,(LeagueRatings!$K$19-AB155)/LeagueRatings!$K$22)</f>
        <v>-2.4007879924953062</v>
      </c>
      <c r="AD155" s="16">
        <f>INDEX('C-P-RollAdj'!$F$4:$F$76,MATCH(INT(AC155),'C-P-RollAdj'!$E$4:$E$76,FALSE),0)</f>
        <v>0.24</v>
      </c>
      <c r="AE155" s="17">
        <f>+((LeagueRatings!$I$17-E155)*5)+9.5</f>
        <v>7.6143872437063624</v>
      </c>
      <c r="AF155" s="17">
        <f t="shared" si="62"/>
        <v>7.6143872437063624</v>
      </c>
      <c r="AG155" s="17">
        <f t="shared" si="59"/>
        <v>0.45396972245584549</v>
      </c>
      <c r="AH155" s="4">
        <f t="shared" si="60"/>
        <v>8.1483569661622077</v>
      </c>
      <c r="AI155" s="41" t="s">
        <v>770</v>
      </c>
      <c r="AJ155" s="58">
        <v>8</v>
      </c>
      <c r="AK155" s="219">
        <f>INDEX('C-P-RollAdj'!$J$4:$J$76,MATCH(INT(Z155),'C-P-RollAdj'!$I$4:$I$76,FALSE),0)</f>
        <v>12</v>
      </c>
      <c r="AL155" s="219">
        <f>INDEX('C-P-RollAdj'!$J$4:$J$76,MATCH(INT(AC155),'C-P-RollAdj'!$I$4:$I$76,FALSE),0)</f>
        <v>-13</v>
      </c>
      <c r="AM155" s="14">
        <f>+AR155*LeagueRatings!$K$27</f>
        <v>20</v>
      </c>
      <c r="AN155" s="72">
        <f>F155*LeagueRatings!$K$27</f>
        <v>20</v>
      </c>
      <c r="AO155" s="72">
        <f>G155*LeagueRatings!$K$27</f>
        <v>0</v>
      </c>
      <c r="AP155" s="72">
        <f>T155*LeagueRatings!$K$27</f>
        <v>87.222222222222229</v>
      </c>
      <c r="AR155" s="14">
        <f t="shared" si="61"/>
        <v>36</v>
      </c>
    </row>
    <row r="156" spans="1:44" x14ac:dyDescent="0.2">
      <c r="A156" s="41" t="s">
        <v>1136</v>
      </c>
      <c r="B156" s="76" t="s">
        <v>167</v>
      </c>
      <c r="C156" s="76">
        <v>4</v>
      </c>
      <c r="D156" s="76">
        <v>10</v>
      </c>
      <c r="E156" s="97">
        <v>4.8600000000000003</v>
      </c>
      <c r="F156" s="76">
        <v>17</v>
      </c>
      <c r="G156" s="76">
        <v>17</v>
      </c>
      <c r="H156" s="76">
        <v>0</v>
      </c>
      <c r="I156" s="76">
        <v>0</v>
      </c>
      <c r="J156" s="76">
        <v>0</v>
      </c>
      <c r="K156" s="76">
        <v>0</v>
      </c>
      <c r="L156" s="258">
        <f>INDEX('C-P-RollAdj'!$P$4:$P$900,MATCH((U156),'C-P-RollAdj'!$O$4:$O$900,FALSE),0)</f>
        <v>92.67</v>
      </c>
      <c r="M156" s="76">
        <v>111</v>
      </c>
      <c r="N156" s="76">
        <v>55</v>
      </c>
      <c r="O156" s="76">
        <v>50</v>
      </c>
      <c r="P156" s="76">
        <v>8</v>
      </c>
      <c r="Q156" s="76">
        <v>25</v>
      </c>
      <c r="R156" s="76">
        <v>1</v>
      </c>
      <c r="S156" s="76">
        <v>76</v>
      </c>
      <c r="T156" s="76">
        <v>402</v>
      </c>
      <c r="U156" s="76">
        <v>92.2</v>
      </c>
      <c r="V156" s="100">
        <v>0.30199999999999999</v>
      </c>
      <c r="W156" s="76">
        <v>1.47</v>
      </c>
      <c r="X156" s="76"/>
      <c r="Y156" s="50">
        <f t="shared" si="57"/>
        <v>5.9850374064837908</v>
      </c>
      <c r="Z156" s="6">
        <f>IF(Y156&lt;LeagueRatings!$K$21,((LeagueRatings!$K$21-Y156)/LeagueRatings!$K$21)*36,(LeagueRatings!$K$21-Y156)*6.48)</f>
        <v>11.934215166898925</v>
      </c>
      <c r="AA156" s="16">
        <f>INDEX('C-P-RollAdj'!$B$4:$B$76,MATCH(INT(Z156),'C-P-RollAdj'!$A$4:$A$76,FALSE),0)</f>
        <v>-0.92</v>
      </c>
      <c r="AB156" s="16">
        <f t="shared" si="58"/>
        <v>1.99501246882793</v>
      </c>
      <c r="AC156" s="6">
        <f>IF(AB156&lt;LeagueRatings!$K$19,((LeagueRatings!$K$19-AB156)/LeagueRatings!$K$19)*36,(LeagueRatings!$K$19-AB156)/LeagueRatings!$K$22)</f>
        <v>11.302461335450614</v>
      </c>
      <c r="AD156" s="16">
        <f>INDEX('C-P-RollAdj'!$F$4:$F$76,MATCH(INT(AC156),'C-P-RollAdj'!$E$4:$E$76,FALSE),0)</f>
        <v>-0.81</v>
      </c>
      <c r="AE156" s="17">
        <f>+((LeagueRatings!$I$17-E156)*5)+9.5</f>
        <v>6.014387243706361</v>
      </c>
      <c r="AF156" s="17">
        <f t="shared" si="62"/>
        <v>6.014387243706361</v>
      </c>
      <c r="AG156" s="17">
        <f t="shared" si="59"/>
        <v>-0.98899320168339244</v>
      </c>
      <c r="AH156" s="4">
        <f t="shared" si="60"/>
        <v>3.2953940420229682</v>
      </c>
      <c r="AI156" s="41" t="s">
        <v>1136</v>
      </c>
      <c r="AJ156" s="58">
        <v>4</v>
      </c>
      <c r="AK156" s="219">
        <f>INDEX('C-P-RollAdj'!$J$4:$J$76,MATCH(INT(Z156),'C-P-RollAdj'!$I$4:$I$76,FALSE),0)</f>
        <v>25</v>
      </c>
      <c r="AL156" s="219">
        <f>INDEX('C-P-RollAdj'!$J$4:$J$76,MATCH(INT(AC156),'C-P-RollAdj'!$I$4:$I$76,FALSE),0)</f>
        <v>25</v>
      </c>
      <c r="AM156" s="14">
        <f>+AR156*LeagueRatings!$K$27</f>
        <v>51.666666666666671</v>
      </c>
      <c r="AN156" s="72">
        <f>F156*LeagueRatings!$K$27</f>
        <v>9.4444444444444446</v>
      </c>
      <c r="AO156" s="72">
        <f>G156*LeagueRatings!$K$27</f>
        <v>9.4444444444444446</v>
      </c>
      <c r="AP156" s="72">
        <f>T156*LeagueRatings!$K$27</f>
        <v>223.33333333333334</v>
      </c>
      <c r="AR156" s="14">
        <f t="shared" si="61"/>
        <v>93</v>
      </c>
    </row>
    <row r="157" spans="1:44" x14ac:dyDescent="0.2">
      <c r="A157" s="41" t="s">
        <v>1463</v>
      </c>
      <c r="B157" s="76" t="s">
        <v>167</v>
      </c>
      <c r="C157" s="76">
        <v>2</v>
      </c>
      <c r="D157" s="76">
        <v>2</v>
      </c>
      <c r="E157" s="97">
        <v>4.1100000000000003</v>
      </c>
      <c r="F157" s="76">
        <v>44</v>
      </c>
      <c r="G157" s="76">
        <v>0</v>
      </c>
      <c r="H157" s="76">
        <v>0</v>
      </c>
      <c r="I157" s="76">
        <v>0</v>
      </c>
      <c r="J157" s="76">
        <v>0</v>
      </c>
      <c r="K157" s="76">
        <v>2</v>
      </c>
      <c r="L157" s="258">
        <f>INDEX('C-P-RollAdj'!$P$4:$P$900,MATCH((U157),'C-P-RollAdj'!$O$4:$O$900,FALSE),0)</f>
        <v>35</v>
      </c>
      <c r="M157" s="76">
        <v>34</v>
      </c>
      <c r="N157" s="76">
        <v>17</v>
      </c>
      <c r="O157" s="76">
        <v>16</v>
      </c>
      <c r="P157" s="76">
        <v>7</v>
      </c>
      <c r="Q157" s="76">
        <v>14</v>
      </c>
      <c r="R157" s="76">
        <v>0</v>
      </c>
      <c r="S157" s="76">
        <v>40</v>
      </c>
      <c r="T157" s="76">
        <v>155</v>
      </c>
      <c r="U157" s="76">
        <v>35</v>
      </c>
      <c r="V157" s="100">
        <v>0.248</v>
      </c>
      <c r="W157" s="76">
        <v>1.37</v>
      </c>
      <c r="X157" s="76"/>
      <c r="Y157" s="50">
        <f t="shared" si="57"/>
        <v>9.0322580645161281</v>
      </c>
      <c r="Z157" s="6">
        <f>IF(Y157&lt;LeagueRatings!$K$21,((LeagueRatings!$K$21-Y157)/LeagueRatings!$K$21)*36,(LeagueRatings!$K$21-Y157)*6.48)</f>
        <v>-0.513491278733477</v>
      </c>
      <c r="AA157" s="16">
        <f>INDEX('C-P-RollAdj'!$B$4:$B$76,MATCH(INT(Z157),'C-P-RollAdj'!$A$4:$A$76,FALSE),0)</f>
        <v>0.09</v>
      </c>
      <c r="AB157" s="16">
        <f t="shared" si="58"/>
        <v>4.5161290322580641</v>
      </c>
      <c r="AC157" s="6">
        <f>IF(AB157&lt;LeagueRatings!$K$19,((LeagueRatings!$K$19-AB157)/LeagueRatings!$K$19)*36,(LeagueRatings!$K$19-AB157)/LeagueRatings!$K$22)</f>
        <v>-12.993649095200626</v>
      </c>
      <c r="AD157" s="16">
        <f>INDEX('C-P-RollAdj'!$F$4:$F$76,MATCH(INT(AC157),'C-P-RollAdj'!$E$4:$E$76,FALSE),0)</f>
        <v>1.2599999999999998</v>
      </c>
      <c r="AE157" s="17">
        <f>+((LeagueRatings!$I$17-E157)*5)+9.5</f>
        <v>9.764387243706361</v>
      </c>
      <c r="AF157" s="17">
        <f t="shared" si="62"/>
        <v>9.764387243706361</v>
      </c>
      <c r="AG157" s="17">
        <f t="shared" si="59"/>
        <v>0.13000000000000006</v>
      </c>
      <c r="AH157" s="4">
        <f t="shared" si="60"/>
        <v>11.244387243706361</v>
      </c>
      <c r="AI157" s="41" t="s">
        <v>1463</v>
      </c>
      <c r="AJ157" s="58">
        <v>12</v>
      </c>
      <c r="AK157" s="219">
        <f>INDEX('C-P-RollAdj'!$J$4:$J$76,MATCH(INT(Z157),'C-P-RollAdj'!$I$4:$I$76,FALSE),0)</f>
        <v>-11</v>
      </c>
      <c r="AL157" s="219">
        <f>INDEX('C-P-RollAdj'!$J$4:$J$76,MATCH(INT(AC157),'C-P-RollAdj'!$I$4:$I$76,FALSE),0)</f>
        <v>-31</v>
      </c>
      <c r="AM157" s="14">
        <f>+AR157*LeagueRatings!$K$27</f>
        <v>19.444444444444446</v>
      </c>
      <c r="AN157" s="72">
        <f>F157*LeagueRatings!$K$27</f>
        <v>24.444444444444446</v>
      </c>
      <c r="AO157" s="72">
        <f>G157*LeagueRatings!$K$27</f>
        <v>0</v>
      </c>
      <c r="AP157" s="72">
        <f>T157*LeagueRatings!$K$27</f>
        <v>86.111111111111114</v>
      </c>
      <c r="AR157" s="14">
        <f t="shared" si="61"/>
        <v>35</v>
      </c>
    </row>
    <row r="158" spans="1:44" x14ac:dyDescent="0.2">
      <c r="A158" s="41" t="s">
        <v>1462</v>
      </c>
      <c r="B158" s="76" t="s">
        <v>167</v>
      </c>
      <c r="C158" s="76">
        <v>5</v>
      </c>
      <c r="D158" s="76">
        <v>2</v>
      </c>
      <c r="E158" s="97">
        <v>2.67</v>
      </c>
      <c r="F158" s="76">
        <v>17</v>
      </c>
      <c r="G158" s="76">
        <v>8</v>
      </c>
      <c r="H158" s="76">
        <v>0</v>
      </c>
      <c r="I158" s="76">
        <v>0</v>
      </c>
      <c r="J158" s="76">
        <v>0</v>
      </c>
      <c r="K158" s="76">
        <v>0</v>
      </c>
      <c r="L158" s="258">
        <f>INDEX('C-P-RollAdj'!$P$4:$P$900,MATCH((U158),'C-P-RollAdj'!$O$4:$O$900,FALSE),0)</f>
        <v>64</v>
      </c>
      <c r="M158" s="76">
        <v>49</v>
      </c>
      <c r="N158" s="76">
        <v>19</v>
      </c>
      <c r="O158" s="76">
        <v>19</v>
      </c>
      <c r="P158" s="76">
        <v>7</v>
      </c>
      <c r="Q158" s="76">
        <v>21</v>
      </c>
      <c r="R158" s="76">
        <v>3</v>
      </c>
      <c r="S158" s="76">
        <v>45</v>
      </c>
      <c r="T158" s="76">
        <v>260</v>
      </c>
      <c r="U158" s="76">
        <v>64</v>
      </c>
      <c r="V158" s="100">
        <v>0.22</v>
      </c>
      <c r="W158" s="76">
        <v>1.0900000000000001</v>
      </c>
      <c r="X158" s="76"/>
      <c r="Y158" s="50">
        <f t="shared" si="57"/>
        <v>7.0038910505836576</v>
      </c>
      <c r="Z158" s="6">
        <f>IF(Y158&lt;LeagueRatings!$K$21,((LeagueRatings!$K$21-Y158)/LeagueRatings!$K$21)*36,(LeagueRatings!$K$21-Y158)*6.48)</f>
        <v>7.837413274104482</v>
      </c>
      <c r="AA158" s="16">
        <f>INDEX('C-P-RollAdj'!$B$4:$B$76,MATCH(INT(Z158),'C-P-RollAdj'!$A$4:$A$76,FALSE),0)</f>
        <v>-0.56000000000000005</v>
      </c>
      <c r="AB158" s="16">
        <f t="shared" si="58"/>
        <v>2.7237354085603114</v>
      </c>
      <c r="AC158" s="6">
        <f>IF(AB158&lt;LeagueRatings!$K$19,((LeagueRatings!$K$19-AB158)/LeagueRatings!$K$19)*36,(LeagueRatings!$K$19-AB158)/LeagueRatings!$K$22)</f>
        <v>2.281132766833593</v>
      </c>
      <c r="AD158" s="16">
        <f>INDEX('C-P-RollAdj'!$F$4:$F$76,MATCH(INT(AC158),'C-P-RollAdj'!$E$4:$E$76,FALSE),0)</f>
        <v>-0.14000000000000001</v>
      </c>
      <c r="AE158" s="17">
        <f>+((LeagueRatings!$I$17-E158)*5)+9.5</f>
        <v>16.964387243706362</v>
      </c>
      <c r="AF158" s="17">
        <f t="shared" si="62"/>
        <v>16.964387243706362</v>
      </c>
      <c r="AG158" s="17">
        <f t="shared" si="59"/>
        <v>1.5706249999999999</v>
      </c>
      <c r="AH158" s="4">
        <f t="shared" si="60"/>
        <v>17.835012243706363</v>
      </c>
      <c r="AI158" s="41" t="s">
        <v>1462</v>
      </c>
      <c r="AJ158" s="58">
        <v>18</v>
      </c>
      <c r="AK158" s="219">
        <f>INDEX('C-P-RollAdj'!$J$4:$J$76,MATCH(INT(Z158),'C-P-RollAdj'!$I$4:$I$76,FALSE),0)</f>
        <v>21</v>
      </c>
      <c r="AL158" s="219">
        <f>INDEX('C-P-RollAdj'!$J$4:$J$76,MATCH(INT(AC158),'C-P-RollAdj'!$I$4:$I$76,FALSE),0)</f>
        <v>12</v>
      </c>
      <c r="AM158" s="14">
        <f>+AR158*LeagueRatings!$K$27</f>
        <v>35.555555555555557</v>
      </c>
      <c r="AN158" s="72">
        <f>F158*LeagueRatings!$K$27</f>
        <v>9.4444444444444446</v>
      </c>
      <c r="AO158" s="72">
        <f>G158*LeagueRatings!$K$27</f>
        <v>4.4444444444444446</v>
      </c>
      <c r="AP158" s="72">
        <f>T158*LeagueRatings!$K$27</f>
        <v>144.44444444444446</v>
      </c>
      <c r="AR158" s="14">
        <f t="shared" si="61"/>
        <v>64</v>
      </c>
    </row>
    <row r="159" spans="1:44" x14ac:dyDescent="0.2">
      <c r="A159" s="41" t="s">
        <v>1134</v>
      </c>
      <c r="B159" s="76" t="s">
        <v>167</v>
      </c>
      <c r="C159" s="76">
        <v>9</v>
      </c>
      <c r="D159" s="76">
        <v>8</v>
      </c>
      <c r="E159" s="97">
        <v>3.4</v>
      </c>
      <c r="F159" s="76">
        <v>22</v>
      </c>
      <c r="G159" s="76">
        <v>22</v>
      </c>
      <c r="H159" s="76">
        <v>0</v>
      </c>
      <c r="I159" s="76">
        <v>0</v>
      </c>
      <c r="J159" s="76">
        <v>0</v>
      </c>
      <c r="K159" s="76">
        <v>0</v>
      </c>
      <c r="L159" s="258">
        <f>INDEX('C-P-RollAdj'!$P$4:$P$900,MATCH((U159),'C-P-RollAdj'!$O$4:$O$900,FALSE),0)</f>
        <v>132.32999999999998</v>
      </c>
      <c r="M159" s="76">
        <v>129</v>
      </c>
      <c r="N159" s="76">
        <v>53</v>
      </c>
      <c r="O159" s="76">
        <v>50</v>
      </c>
      <c r="P159" s="76">
        <v>14</v>
      </c>
      <c r="Q159" s="76">
        <v>31</v>
      </c>
      <c r="R159" s="76">
        <v>2</v>
      </c>
      <c r="S159" s="76">
        <v>129</v>
      </c>
      <c r="T159" s="76">
        <v>547</v>
      </c>
      <c r="U159" s="76">
        <v>132.1</v>
      </c>
      <c r="V159" s="100">
        <v>0.25700000000000001</v>
      </c>
      <c r="W159" s="76">
        <v>1.21</v>
      </c>
      <c r="X159" s="76"/>
      <c r="Y159" s="50">
        <f t="shared" si="57"/>
        <v>5.3211009174311927</v>
      </c>
      <c r="Z159" s="6">
        <f>IF(Y159&lt;LeagueRatings!$K$21,((LeagueRatings!$K$21-Y159)/LeagueRatings!$K$21)*36,(LeagueRatings!$K$21-Y159)*6.48)</f>
        <v>14.603898178583151</v>
      </c>
      <c r="AA159" s="16">
        <f>INDEX('C-P-RollAdj'!$B$4:$B$76,MATCH(INT(Z159),'C-P-RollAdj'!$A$4:$A$76,FALSE),0)</f>
        <v>-1.19</v>
      </c>
      <c r="AB159" s="16">
        <f t="shared" si="58"/>
        <v>2.5688073394495414</v>
      </c>
      <c r="AC159" s="6">
        <f>IF(AB159&lt;LeagueRatings!$K$19,((LeagueRatings!$K$19-AB159)/LeagueRatings!$K$19)*36,(LeagueRatings!$K$19-AB159)/LeagueRatings!$K$22)</f>
        <v>4.199086682848562</v>
      </c>
      <c r="AD159" s="16">
        <f>INDEX('C-P-RollAdj'!$F$4:$F$76,MATCH(INT(AC159),'C-P-RollAdj'!$E$4:$E$76,FALSE),0)</f>
        <v>-0.28000000000000003</v>
      </c>
      <c r="AE159" s="17">
        <f>+((LeagueRatings!$I$17-E159)*5)+9.5</f>
        <v>13.314387243706364</v>
      </c>
      <c r="AF159" s="17">
        <f t="shared" si="62"/>
        <v>13.314387243706364</v>
      </c>
      <c r="AG159" s="17">
        <f t="shared" si="59"/>
        <v>0.10615053275901104</v>
      </c>
      <c r="AH159" s="4">
        <f t="shared" si="60"/>
        <v>11.950537776465374</v>
      </c>
      <c r="AI159" s="41" t="s">
        <v>1134</v>
      </c>
      <c r="AJ159" s="58">
        <v>12</v>
      </c>
      <c r="AK159" s="219">
        <f>INDEX('C-P-RollAdj'!$J$4:$J$76,MATCH(INT(Z159),'C-P-RollAdj'!$I$4:$I$76,FALSE),0)</f>
        <v>32</v>
      </c>
      <c r="AL159" s="219">
        <f>INDEX('C-P-RollAdj'!$J$4:$J$76,MATCH(INT(AC159),'C-P-RollAdj'!$I$4:$I$76,FALSE),0)</f>
        <v>14</v>
      </c>
      <c r="AM159" s="14">
        <f>+AR159*LeagueRatings!$K$27</f>
        <v>73.888888888888886</v>
      </c>
      <c r="AN159" s="72">
        <f>F159*LeagueRatings!$K$27</f>
        <v>12.222222222222223</v>
      </c>
      <c r="AO159" s="72">
        <f>G159*LeagueRatings!$K$27</f>
        <v>12.222222222222223</v>
      </c>
      <c r="AP159" s="72">
        <f>T159*LeagueRatings!$K$27</f>
        <v>303.88888888888891</v>
      </c>
      <c r="AR159" s="14">
        <f t="shared" si="61"/>
        <v>133</v>
      </c>
    </row>
    <row r="160" spans="1:44" x14ac:dyDescent="0.2">
      <c r="A160" s="41" t="s">
        <v>415</v>
      </c>
      <c r="B160" s="76" t="s">
        <v>167</v>
      </c>
      <c r="C160" s="76">
        <v>0</v>
      </c>
      <c r="D160" s="76">
        <v>1</v>
      </c>
      <c r="E160" s="97">
        <v>11.45</v>
      </c>
      <c r="F160" s="76">
        <v>6</v>
      </c>
      <c r="G160" s="76">
        <v>2</v>
      </c>
      <c r="H160" s="76">
        <v>0</v>
      </c>
      <c r="I160" s="76">
        <v>0</v>
      </c>
      <c r="J160" s="76">
        <v>0</v>
      </c>
      <c r="K160" s="76">
        <v>0</v>
      </c>
      <c r="L160" s="258">
        <f>INDEX('C-P-RollAdj'!$P$4:$P$900,MATCH((U160),'C-P-RollAdj'!$O$4:$O$900,FALSE),0)</f>
        <v>11</v>
      </c>
      <c r="M160" s="76">
        <v>13</v>
      </c>
      <c r="N160" s="76">
        <v>14</v>
      </c>
      <c r="O160" s="76">
        <v>14</v>
      </c>
      <c r="P160" s="76">
        <v>4</v>
      </c>
      <c r="Q160" s="76">
        <v>9</v>
      </c>
      <c r="R160" s="76">
        <v>1</v>
      </c>
      <c r="S160" s="76">
        <v>12</v>
      </c>
      <c r="T160" s="76">
        <v>55</v>
      </c>
      <c r="U160" s="76">
        <v>11</v>
      </c>
      <c r="V160" s="100">
        <v>0.28899999999999998</v>
      </c>
      <c r="W160" s="76">
        <v>2</v>
      </c>
      <c r="X160" s="76"/>
      <c r="Y160" s="50">
        <f t="shared" si="57"/>
        <v>14.814814814814813</v>
      </c>
      <c r="Z160" s="6">
        <f>IF(Y160&lt;LeagueRatings!$K$21,((LeagueRatings!$K$21-Y160)/LeagueRatings!$K$21)*36,(LeagueRatings!$K$21-Y160)*6.48)</f>
        <v>-37.984459020668957</v>
      </c>
      <c r="AA160" s="16" t="e">
        <f>INDEX('C-P-RollAdj'!$B$4:$B$76,MATCH(INT(Z160),'C-P-RollAdj'!$A$4:$A$76,FALSE),0)</f>
        <v>#N/A</v>
      </c>
      <c r="AB160" s="16">
        <f t="shared" si="58"/>
        <v>7.4074074074074066</v>
      </c>
      <c r="AC160" s="6">
        <f>IF(AB160&lt;LeagueRatings!$K$19,((LeagueRatings!$K$19-AB160)/LeagueRatings!$K$19)*36,(LeagueRatings!$K$19-AB160)/LeagueRatings!$K$22)</f>
        <v>-36.355121951219509</v>
      </c>
      <c r="AD160" s="16" t="e">
        <f>INDEX('C-P-RollAdj'!$F$4:$F$76,MATCH(INT(AC160),'C-P-RollAdj'!$E$4:$E$76,FALSE),0)</f>
        <v>#N/A</v>
      </c>
      <c r="AE160" s="17">
        <f>+((LeagueRatings!$I$17-E160)*5)+9.5</f>
        <v>-26.935612756293636</v>
      </c>
      <c r="AF160" s="17">
        <f t="shared" si="62"/>
        <v>4</v>
      </c>
      <c r="AG160" s="17">
        <f t="shared" si="59"/>
        <v>-0.90909090909090939</v>
      </c>
      <c r="AH160" s="4" t="e">
        <f t="shared" si="60"/>
        <v>#N/A</v>
      </c>
      <c r="AI160" s="41" t="s">
        <v>415</v>
      </c>
      <c r="AJ160" s="58">
        <v>1</v>
      </c>
      <c r="AK160" s="219" t="e">
        <f>INDEX('C-P-RollAdj'!$J$4:$J$76,MATCH(INT(Z160),'C-P-RollAdj'!$I$4:$I$76,FALSE),0)</f>
        <v>#N/A</v>
      </c>
      <c r="AL160" s="219" t="e">
        <f>INDEX('C-P-RollAdj'!$J$4:$J$76,MATCH(INT(AC160),'C-P-RollAdj'!$I$4:$I$76,FALSE),0)</f>
        <v>#N/A</v>
      </c>
      <c r="AM160" s="14">
        <f>+AR160*LeagueRatings!$K$27</f>
        <v>6.1111111111111116</v>
      </c>
      <c r="AN160" s="72">
        <f>F160*LeagueRatings!$K$27</f>
        <v>3.3333333333333335</v>
      </c>
      <c r="AO160" s="72">
        <f>G160*LeagueRatings!$K$27</f>
        <v>1.1111111111111112</v>
      </c>
      <c r="AP160" s="72">
        <f>T160*LeagueRatings!$K$27</f>
        <v>30.555555555555557</v>
      </c>
      <c r="AR160" s="14">
        <f t="shared" si="61"/>
        <v>11</v>
      </c>
    </row>
    <row r="161" spans="1:44" x14ac:dyDescent="0.2">
      <c r="A161" s="41" t="s">
        <v>516</v>
      </c>
      <c r="B161" s="76" t="s">
        <v>167</v>
      </c>
      <c r="C161" s="76">
        <v>4</v>
      </c>
      <c r="D161" s="76">
        <v>2</v>
      </c>
      <c r="E161" s="97">
        <v>1.97</v>
      </c>
      <c r="F161" s="76">
        <v>80</v>
      </c>
      <c r="G161" s="76">
        <v>0</v>
      </c>
      <c r="H161" s="76">
        <v>0</v>
      </c>
      <c r="I161" s="76">
        <v>0</v>
      </c>
      <c r="J161" s="76">
        <v>1</v>
      </c>
      <c r="K161" s="76">
        <v>5</v>
      </c>
      <c r="L161" s="258">
        <f>INDEX('C-P-RollAdj'!$P$4:$P$900,MATCH((U161),'C-P-RollAdj'!$O$4:$O$900,FALSE),0)</f>
        <v>77.67</v>
      </c>
      <c r="M161" s="76">
        <v>60</v>
      </c>
      <c r="N161" s="76">
        <v>18</v>
      </c>
      <c r="O161" s="76">
        <v>17</v>
      </c>
      <c r="P161" s="76">
        <v>4</v>
      </c>
      <c r="Q161" s="76">
        <v>13</v>
      </c>
      <c r="R161" s="76">
        <v>4</v>
      </c>
      <c r="S161" s="76">
        <v>91</v>
      </c>
      <c r="T161" s="76">
        <v>304</v>
      </c>
      <c r="U161" s="76">
        <v>77.2</v>
      </c>
      <c r="V161" s="100">
        <v>0.21</v>
      </c>
      <c r="W161" s="76">
        <v>0.94</v>
      </c>
      <c r="X161" s="76"/>
      <c r="Y161" s="50">
        <f t="shared" si="57"/>
        <v>3</v>
      </c>
      <c r="Z161" s="6">
        <f>IF(Y161&lt;LeagueRatings!$K$21,((LeagueRatings!$K$21-Y161)/LeagueRatings!$K$21)*36,(LeagueRatings!$K$21-Y161)*6.48)</f>
        <v>23.937025352408085</v>
      </c>
      <c r="AA161" s="16">
        <f>INDEX('C-P-RollAdj'!$B$4:$B$76,MATCH(INT(Z161),'C-P-RollAdj'!$A$4:$A$76,FALSE),0)</f>
        <v>-2.11</v>
      </c>
      <c r="AB161" s="16">
        <f t="shared" si="58"/>
        <v>1.3333333333333335</v>
      </c>
      <c r="AC161" s="6">
        <f>IF(AB161&lt;LeagueRatings!$K$19,((LeagueRatings!$K$19-AB161)/LeagueRatings!$K$19)*36,(LeagueRatings!$K$19-AB161)/LeagueRatings!$K$22)</f>
        <v>19.493811659192826</v>
      </c>
      <c r="AD161" s="16">
        <f>INDEX('C-P-RollAdj'!$F$4:$F$76,MATCH(INT(AC161),'C-P-RollAdj'!$E$4:$E$76,FALSE),0)</f>
        <v>-1.5</v>
      </c>
      <c r="AE161" s="17">
        <f>+((LeagueRatings!$I$17-E161)*5)+9.5</f>
        <v>20.464387243706362</v>
      </c>
      <c r="AF161" s="17">
        <f t="shared" si="62"/>
        <v>20.464387243706362</v>
      </c>
      <c r="AG161" s="55">
        <f t="shared" si="59"/>
        <v>1.5225067593665507</v>
      </c>
      <c r="AH161" s="4">
        <f t="shared" si="60"/>
        <v>18.376894003072913</v>
      </c>
      <c r="AI161" s="41" t="s">
        <v>516</v>
      </c>
      <c r="AJ161" s="58">
        <v>18</v>
      </c>
      <c r="AK161" s="219">
        <f>INDEX('C-P-RollAdj'!$J$4:$J$76,MATCH(INT(Z161),'C-P-RollAdj'!$I$4:$I$76,FALSE),0)</f>
        <v>45</v>
      </c>
      <c r="AL161" s="219">
        <f>INDEX('C-P-RollAdj'!$J$4:$J$76,MATCH(INT(AC161),'C-P-RollAdj'!$I$4:$I$76,FALSE),0)</f>
        <v>41</v>
      </c>
      <c r="AM161" s="14">
        <f>+AR161*LeagueRatings!$K$27</f>
        <v>43.333333333333336</v>
      </c>
      <c r="AN161" s="72">
        <f>F161*LeagueRatings!$K$27</f>
        <v>44.444444444444443</v>
      </c>
      <c r="AO161" s="72">
        <f>G161*LeagueRatings!$K$27</f>
        <v>0</v>
      </c>
      <c r="AP161" s="72">
        <f>T161*LeagueRatings!$K$27</f>
        <v>168.88888888888889</v>
      </c>
      <c r="AR161" s="14">
        <f t="shared" si="61"/>
        <v>78</v>
      </c>
    </row>
    <row r="162" spans="1:44" x14ac:dyDescent="0.2">
      <c r="A162" s="41" t="s">
        <v>1139</v>
      </c>
      <c r="B162" s="76" t="s">
        <v>167</v>
      </c>
      <c r="C162" s="76">
        <v>6</v>
      </c>
      <c r="D162" s="76">
        <v>4</v>
      </c>
      <c r="E162" s="97">
        <v>3.48</v>
      </c>
      <c r="F162" s="76">
        <v>68</v>
      </c>
      <c r="G162" s="76">
        <v>0</v>
      </c>
      <c r="H162" s="76">
        <v>0</v>
      </c>
      <c r="I162" s="76">
        <v>0</v>
      </c>
      <c r="J162" s="76">
        <v>1</v>
      </c>
      <c r="K162" s="76">
        <v>3</v>
      </c>
      <c r="L162" s="258">
        <f>INDEX('C-P-RollAdj'!$P$4:$P$900,MATCH((U162),'C-P-RollAdj'!$O$4:$O$900,FALSE),0)</f>
        <v>77.67</v>
      </c>
      <c r="M162" s="76">
        <v>69</v>
      </c>
      <c r="N162" s="76">
        <v>32</v>
      </c>
      <c r="O162" s="76">
        <v>30</v>
      </c>
      <c r="P162" s="76">
        <v>7</v>
      </c>
      <c r="Q162" s="76">
        <v>36</v>
      </c>
      <c r="R162" s="76">
        <v>4</v>
      </c>
      <c r="S162" s="76">
        <v>85</v>
      </c>
      <c r="T162" s="76">
        <v>331</v>
      </c>
      <c r="U162" s="76">
        <v>77.2</v>
      </c>
      <c r="V162" s="100">
        <v>0.24</v>
      </c>
      <c r="W162" s="76">
        <v>1.35</v>
      </c>
      <c r="X162" s="76"/>
      <c r="Y162" s="50">
        <f t="shared" si="57"/>
        <v>9.7859327217125376</v>
      </c>
      <c r="Z162" s="6">
        <f>IF(Y162&lt;LeagueRatings!$K$21,((LeagueRatings!$K$21-Y162)/LeagueRatings!$K$21)*36,(LeagueRatings!$K$21-Y162)*6.48)</f>
        <v>-5.3973030573662104</v>
      </c>
      <c r="AA162" s="16">
        <f>INDEX('C-P-RollAdj'!$B$4:$B$76,MATCH(INT(Z162),'C-P-RollAdj'!$A$4:$A$76,FALSE),0)</f>
        <v>0.54</v>
      </c>
      <c r="AB162" s="16">
        <f t="shared" si="58"/>
        <v>2.1406727828746175</v>
      </c>
      <c r="AC162" s="6">
        <f>IF(AB162&lt;LeagueRatings!$K$19,((LeagueRatings!$K$19-AB162)/LeagueRatings!$K$19)*36,(LeagueRatings!$K$19-AB162)/LeagueRatings!$K$22)</f>
        <v>9.499238902373806</v>
      </c>
      <c r="AD162" s="16">
        <f>INDEX('C-P-RollAdj'!$F$4:$F$76,MATCH(INT(AC162),'C-P-RollAdj'!$E$4:$E$76,FALSE),0)</f>
        <v>-0.65</v>
      </c>
      <c r="AE162" s="17">
        <f>+((LeagueRatings!$I$17-E162)*5)+9.5</f>
        <v>12.914387243706363</v>
      </c>
      <c r="AF162" s="17">
        <f t="shared" si="62"/>
        <v>12.914387243706363</v>
      </c>
      <c r="AG162" s="17">
        <f t="shared" si="59"/>
        <v>0.71138277327153343</v>
      </c>
      <c r="AH162" s="4">
        <f t="shared" si="60"/>
        <v>13.515770016977896</v>
      </c>
      <c r="AI162" s="41" t="s">
        <v>1139</v>
      </c>
      <c r="AJ162" s="58">
        <v>14</v>
      </c>
      <c r="AK162" s="219">
        <f>INDEX('C-P-RollAdj'!$J$4:$J$76,MATCH(INT(Z162),'C-P-RollAdj'!$I$4:$I$76,FALSE),0)</f>
        <v>-16</v>
      </c>
      <c r="AL162" s="219">
        <f>INDEX('C-P-RollAdj'!$J$4:$J$76,MATCH(INT(AC162),'C-P-RollAdj'!$I$4:$I$76,FALSE),0)</f>
        <v>23</v>
      </c>
      <c r="AM162" s="14">
        <f>+AR162*LeagueRatings!$K$27</f>
        <v>43.333333333333336</v>
      </c>
      <c r="AN162" s="72">
        <f>F162*LeagueRatings!$K$27</f>
        <v>37.777777777777779</v>
      </c>
      <c r="AO162" s="72">
        <f>G162*LeagueRatings!$K$27</f>
        <v>0</v>
      </c>
      <c r="AP162" s="72">
        <f>T162*LeagueRatings!$K$27</f>
        <v>183.88888888888889</v>
      </c>
      <c r="AR162" s="14">
        <f t="shared" si="61"/>
        <v>78</v>
      </c>
    </row>
    <row r="163" spans="1:44" x14ac:dyDescent="0.2">
      <c r="A163" s="41" t="s">
        <v>469</v>
      </c>
      <c r="B163" s="76" t="s">
        <v>167</v>
      </c>
      <c r="C163" s="76">
        <v>0</v>
      </c>
      <c r="D163" s="76">
        <v>1</v>
      </c>
      <c r="E163" s="97">
        <v>2.08</v>
      </c>
      <c r="F163" s="76">
        <v>17</v>
      </c>
      <c r="G163" s="76">
        <v>0</v>
      </c>
      <c r="H163" s="76">
        <v>0</v>
      </c>
      <c r="I163" s="76">
        <v>0</v>
      </c>
      <c r="J163" s="76">
        <v>0</v>
      </c>
      <c r="K163" s="76">
        <v>0</v>
      </c>
      <c r="L163" s="258">
        <f>INDEX('C-P-RollAdj'!$P$4:$P$900,MATCH((U163),'C-P-RollAdj'!$O$4:$O$900,FALSE),0)</f>
        <v>17.329999999999998</v>
      </c>
      <c r="M163" s="76">
        <v>11</v>
      </c>
      <c r="N163" s="76">
        <v>4</v>
      </c>
      <c r="O163" s="76">
        <v>4</v>
      </c>
      <c r="P163" s="76">
        <v>3</v>
      </c>
      <c r="Q163" s="76">
        <v>0</v>
      </c>
      <c r="R163" s="76">
        <v>0</v>
      </c>
      <c r="S163" s="76">
        <v>19</v>
      </c>
      <c r="T163" s="76">
        <v>62</v>
      </c>
      <c r="U163" s="76">
        <v>17.100000000000001</v>
      </c>
      <c r="V163" s="100">
        <v>0.17699999999999999</v>
      </c>
      <c r="W163" s="76">
        <v>0.63</v>
      </c>
      <c r="X163" s="76"/>
      <c r="Y163" s="50">
        <f t="shared" si="57"/>
        <v>0</v>
      </c>
      <c r="Z163" s="6">
        <f>IF(Y163&lt;LeagueRatings!$K$21,((LeagueRatings!$K$21-Y163)/LeagueRatings!$K$21)*36,(LeagueRatings!$K$21-Y163)*6.48)</f>
        <v>36</v>
      </c>
      <c r="AA163" s="16">
        <f>INDEX('C-P-RollAdj'!$B$4:$B$76,MATCH(INT(Z163),'C-P-RollAdj'!$A$4:$A$76,FALSE),0)</f>
        <v>-3.62</v>
      </c>
      <c r="AB163" s="16">
        <f t="shared" si="58"/>
        <v>4.838709677419355</v>
      </c>
      <c r="AC163" s="6">
        <f>IF(AB163&lt;LeagueRatings!$K$19,((LeagueRatings!$K$19-AB163)/LeagueRatings!$K$19)*36,(LeagueRatings!$K$19-AB163)/LeagueRatings!$K$22)</f>
        <v>-15.600094413847366</v>
      </c>
      <c r="AD163" s="16">
        <f>INDEX('C-P-RollAdj'!$F$4:$F$76,MATCH(INT(AC163),'C-P-RollAdj'!$E$4:$E$76,FALSE),0)</f>
        <v>1.63</v>
      </c>
      <c r="AE163" s="17">
        <f>+((LeagueRatings!$I$17-E163)*5)+9.5</f>
        <v>19.914387243706361</v>
      </c>
      <c r="AF163" s="17">
        <f t="shared" si="62"/>
        <v>19.914387243706361</v>
      </c>
      <c r="AG163" s="17">
        <f t="shared" si="59"/>
        <v>2.486837853433352</v>
      </c>
      <c r="AH163" s="4">
        <f t="shared" si="60"/>
        <v>20.411225097139713</v>
      </c>
      <c r="AI163" s="41" t="s">
        <v>469</v>
      </c>
      <c r="AJ163" s="58">
        <v>20</v>
      </c>
      <c r="AK163" s="219">
        <f>INDEX('C-P-RollAdj'!$J$4:$J$76,MATCH(INT(Z163),'C-P-RollAdj'!$I$4:$I$76,FALSE),0)</f>
        <v>66</v>
      </c>
      <c r="AL163" s="219">
        <f>INDEX('C-P-RollAdj'!$J$4:$J$76,MATCH(INT(AC163),'C-P-RollAdj'!$I$4:$I$76,FALSE),0)</f>
        <v>-34</v>
      </c>
      <c r="AM163" s="14">
        <f>+AR163*LeagueRatings!$K$27</f>
        <v>10</v>
      </c>
      <c r="AN163" s="72">
        <f>F163*LeagueRatings!$K$27</f>
        <v>9.4444444444444446</v>
      </c>
      <c r="AO163" s="72">
        <f>G163*LeagueRatings!$K$27</f>
        <v>0</v>
      </c>
      <c r="AP163" s="72">
        <f>T163*LeagueRatings!$K$27</f>
        <v>34.444444444444443</v>
      </c>
      <c r="AR163" s="14">
        <f t="shared" si="61"/>
        <v>18</v>
      </c>
    </row>
    <row r="164" spans="1:44" s="28" customFormat="1" x14ac:dyDescent="0.2">
      <c r="A164" s="41" t="s">
        <v>1138</v>
      </c>
      <c r="B164" s="76" t="s">
        <v>167</v>
      </c>
      <c r="C164" s="76">
        <v>14</v>
      </c>
      <c r="D164" s="76">
        <v>9</v>
      </c>
      <c r="E164" s="97">
        <v>2.6</v>
      </c>
      <c r="F164" s="76">
        <v>31</v>
      </c>
      <c r="G164" s="76">
        <v>30</v>
      </c>
      <c r="H164" s="76">
        <v>0</v>
      </c>
      <c r="I164" s="76">
        <v>0</v>
      </c>
      <c r="J164" s="76">
        <v>0</v>
      </c>
      <c r="K164" s="76">
        <v>0</v>
      </c>
      <c r="L164" s="258">
        <f>INDEX('C-P-RollAdj'!$P$4:$P$900,MATCH((U164),'C-P-RollAdj'!$O$4:$O$900,FALSE),0)</f>
        <v>183.67000000000002</v>
      </c>
      <c r="M164" s="76">
        <v>168</v>
      </c>
      <c r="N164" s="76">
        <v>61</v>
      </c>
      <c r="O164" s="76">
        <v>53</v>
      </c>
      <c r="P164" s="76">
        <v>11</v>
      </c>
      <c r="Q164" s="76">
        <v>43</v>
      </c>
      <c r="R164" s="76">
        <v>2</v>
      </c>
      <c r="S164" s="76">
        <v>218</v>
      </c>
      <c r="T164" s="76">
        <v>744</v>
      </c>
      <c r="U164" s="76">
        <v>183.2</v>
      </c>
      <c r="V164" s="100">
        <v>0.24299999999999999</v>
      </c>
      <c r="W164" s="76">
        <v>1.1499999999999999</v>
      </c>
      <c r="X164" s="76"/>
      <c r="Y164" s="50">
        <f t="shared" si="57"/>
        <v>5.5256064690026951</v>
      </c>
      <c r="Z164" s="6">
        <f>IF(Y164&lt;LeagueRatings!$K$21,((LeagueRatings!$K$21-Y164)/LeagueRatings!$K$21)*36,(LeagueRatings!$K$21-Y164)*6.48)</f>
        <v>13.781583083950206</v>
      </c>
      <c r="AA164" s="16">
        <f>INDEX('C-P-RollAdj'!$B$4:$B$76,MATCH(INT(Z164),'C-P-RollAdj'!$A$4:$A$76,FALSE),0)</f>
        <v>-1.1000000000000001</v>
      </c>
      <c r="AB164" s="16">
        <f t="shared" si="58"/>
        <v>1.4824797843665769</v>
      </c>
      <c r="AC164" s="6">
        <f>IF(AB164&lt;LeagueRatings!$K$19,((LeagueRatings!$K$19-AB164)/LeagueRatings!$K$19)*36,(LeagueRatings!$K$19-AB164)/LeagueRatings!$K$22)</f>
        <v>17.647432100854555</v>
      </c>
      <c r="AD164" s="16">
        <f>INDEX('C-P-RollAdj'!$F$4:$F$76,MATCH(INT(AC164),'C-P-RollAdj'!$E$4:$E$76,FALSE),0)</f>
        <v>-1.32</v>
      </c>
      <c r="AE164" s="17">
        <f>+((LeagueRatings!$I$17-E164)*5)+9.5</f>
        <v>17.314387243706364</v>
      </c>
      <c r="AF164" s="17">
        <f t="shared" si="62"/>
        <v>17.314387243706364</v>
      </c>
      <c r="AG164" s="17">
        <f t="shared" si="59"/>
        <v>0.5272123917896232</v>
      </c>
      <c r="AH164" s="4">
        <f t="shared" si="60"/>
        <v>15.421599635495987</v>
      </c>
      <c r="AI164" s="41" t="s">
        <v>1138</v>
      </c>
      <c r="AJ164" s="58">
        <v>15</v>
      </c>
      <c r="AK164" s="219">
        <f>INDEX('C-P-RollAdj'!$J$4:$J$76,MATCH(INT(Z164),'C-P-RollAdj'!$I$4:$I$76,FALSE),0)</f>
        <v>31</v>
      </c>
      <c r="AL164" s="219">
        <f>INDEX('C-P-RollAdj'!$J$4:$J$76,MATCH(INT(AC164),'C-P-RollAdj'!$I$4:$I$76,FALSE),0)</f>
        <v>35</v>
      </c>
      <c r="AM164" s="14">
        <f>+AR164*LeagueRatings!$K$27</f>
        <v>102.22222222222223</v>
      </c>
      <c r="AN164" s="72">
        <f>F164*LeagueRatings!$K$27</f>
        <v>17.222222222222221</v>
      </c>
      <c r="AO164" s="72">
        <f>G164*LeagueRatings!$K$27</f>
        <v>16.666666666666668</v>
      </c>
      <c r="AP164" s="72">
        <f>T164*LeagueRatings!$K$27</f>
        <v>413.33333333333337</v>
      </c>
      <c r="AQ164" s="24"/>
      <c r="AR164" s="14">
        <f t="shared" si="61"/>
        <v>184</v>
      </c>
    </row>
    <row r="165" spans="1:44" s="122" customFormat="1" x14ac:dyDescent="0.2">
      <c r="A165" s="41" t="s">
        <v>1137</v>
      </c>
      <c r="B165" s="76" t="s">
        <v>167</v>
      </c>
      <c r="C165" s="76">
        <v>3</v>
      </c>
      <c r="D165" s="76">
        <v>8</v>
      </c>
      <c r="E165" s="97">
        <v>5.2</v>
      </c>
      <c r="F165" s="76">
        <v>35</v>
      </c>
      <c r="G165" s="76">
        <v>12</v>
      </c>
      <c r="H165" s="76">
        <v>0</v>
      </c>
      <c r="I165" s="76">
        <v>0</v>
      </c>
      <c r="J165" s="76">
        <v>0</v>
      </c>
      <c r="K165" s="76">
        <v>0</v>
      </c>
      <c r="L165" s="258">
        <f>INDEX('C-P-RollAdj'!$P$4:$P$900,MATCH((U165),'C-P-RollAdj'!$O$4:$O$900,FALSE),0)</f>
        <v>91.67</v>
      </c>
      <c r="M165" s="76">
        <v>100</v>
      </c>
      <c r="N165" s="76">
        <v>55</v>
      </c>
      <c r="O165" s="76">
        <v>53</v>
      </c>
      <c r="P165" s="76">
        <v>16</v>
      </c>
      <c r="Q165" s="76">
        <v>43</v>
      </c>
      <c r="R165" s="76">
        <v>3</v>
      </c>
      <c r="S165" s="76">
        <v>66</v>
      </c>
      <c r="T165" s="76">
        <v>406</v>
      </c>
      <c r="U165" s="76">
        <v>91.2</v>
      </c>
      <c r="V165" s="100">
        <v>0.28299999999999997</v>
      </c>
      <c r="W165" s="76">
        <v>1.56</v>
      </c>
      <c r="X165" s="125"/>
      <c r="Y165" s="50">
        <f t="shared" si="57"/>
        <v>9.9255583126550881</v>
      </c>
      <c r="Z165" s="6">
        <f>IF(Y165&lt;LeagueRatings!$K$21,((LeagueRatings!$K$21-Y165)/LeagueRatings!$K$21)*36,(LeagueRatings!$K$21-Y165)*6.48)</f>
        <v>-6.3020768866739383</v>
      </c>
      <c r="AA165" s="16">
        <f>INDEX('C-P-RollAdj'!$B$4:$B$76,MATCH(INT(Z165),'C-P-RollAdj'!$A$4:$A$76,FALSE),0)</f>
        <v>0.65</v>
      </c>
      <c r="AB165" s="16">
        <f t="shared" si="58"/>
        <v>3.9702233250620349</v>
      </c>
      <c r="AC165" s="6">
        <f>IF(AB165&lt;LeagueRatings!$K$19,((LeagueRatings!$K$19-AB165)/LeagueRatings!$K$19)*36,(LeagueRatings!$K$19-AB165)/LeagueRatings!$K$22)</f>
        <v>-8.5827416328753863</v>
      </c>
      <c r="AD165" s="16">
        <f>INDEX('C-P-RollAdj'!$F$4:$F$76,MATCH(INT(AC165),'C-P-RollAdj'!$E$4:$E$76,FALSE),0)</f>
        <v>0.81</v>
      </c>
      <c r="AE165" s="17">
        <f>+((LeagueRatings!$I$17-E165)*5)+9.5</f>
        <v>4.3143872437063617</v>
      </c>
      <c r="AF165" s="17">
        <f t="shared" si="62"/>
        <v>4.3143872437063617</v>
      </c>
      <c r="AG165" s="17">
        <f t="shared" si="59"/>
        <v>-0.45434711465037636</v>
      </c>
      <c r="AH165" s="4">
        <f t="shared" si="60"/>
        <v>5.3200401290559851</v>
      </c>
      <c r="AI165" s="41" t="s">
        <v>1137</v>
      </c>
      <c r="AJ165" s="58">
        <v>6</v>
      </c>
      <c r="AK165" s="219">
        <f>INDEX('C-P-RollAdj'!$J$4:$J$76,MATCH(INT(Z165),'C-P-RollAdj'!$I$4:$I$76,FALSE),0)</f>
        <v>-21</v>
      </c>
      <c r="AL165" s="219">
        <f>INDEX('C-P-RollAdj'!$J$4:$J$76,MATCH(INT(AC165),'C-P-RollAdj'!$I$4:$I$76,FALSE),0)</f>
        <v>-23</v>
      </c>
      <c r="AM165" s="14">
        <f>+AR165*LeagueRatings!$K$27</f>
        <v>51.111111111111114</v>
      </c>
      <c r="AN165" s="72">
        <f>F165*LeagueRatings!$K$27</f>
        <v>19.444444444444446</v>
      </c>
      <c r="AO165" s="72">
        <f>G165*LeagueRatings!$K$27</f>
        <v>6.666666666666667</v>
      </c>
      <c r="AP165" s="72">
        <f>T165*LeagueRatings!$K$27</f>
        <v>225.55555555555557</v>
      </c>
      <c r="AQ165" s="24"/>
      <c r="AR165" s="14">
        <f t="shared" si="61"/>
        <v>92</v>
      </c>
    </row>
    <row r="166" spans="1:44" s="28" customFormat="1" x14ac:dyDescent="0.2">
      <c r="A166" s="124"/>
      <c r="B166" s="125"/>
      <c r="C166" s="125"/>
      <c r="D166" s="125"/>
      <c r="E166" s="126"/>
      <c r="F166" s="125"/>
      <c r="G166" s="125"/>
      <c r="H166" s="125"/>
      <c r="I166" s="125"/>
      <c r="J166" s="125"/>
      <c r="K166" s="125"/>
      <c r="L166" s="126"/>
      <c r="M166" s="125"/>
      <c r="N166" s="125"/>
      <c r="O166" s="125"/>
      <c r="P166" s="125"/>
      <c r="Q166" s="125"/>
      <c r="R166" s="125"/>
      <c r="S166" s="125"/>
      <c r="T166" s="125"/>
      <c r="U166" s="125"/>
      <c r="V166" s="278"/>
      <c r="W166" s="125"/>
      <c r="X166" s="70"/>
      <c r="Y166" s="52"/>
      <c r="Z166" s="53"/>
      <c r="AA166" s="54"/>
      <c r="AB166" s="54"/>
      <c r="AC166" s="53"/>
      <c r="AD166" s="54"/>
      <c r="AE166" s="55"/>
      <c r="AF166" s="55"/>
      <c r="AG166" s="55"/>
      <c r="AH166" s="56"/>
      <c r="AI166" s="124"/>
      <c r="AJ166" s="129"/>
      <c r="AK166" s="9"/>
      <c r="AL166" s="9"/>
      <c r="AM166" s="14"/>
      <c r="AN166" s="72"/>
      <c r="AO166" s="72"/>
      <c r="AP166" s="72"/>
      <c r="AR166" s="14"/>
    </row>
    <row r="167" spans="1:44" x14ac:dyDescent="0.2">
      <c r="A167" s="69" t="s">
        <v>106</v>
      </c>
      <c r="B167" s="70" t="s">
        <v>157</v>
      </c>
      <c r="C167" s="71" t="s">
        <v>85</v>
      </c>
      <c r="D167" s="70" t="s">
        <v>86</v>
      </c>
      <c r="E167" s="71" t="s">
        <v>87</v>
      </c>
      <c r="F167" s="70" t="s">
        <v>108</v>
      </c>
      <c r="G167" s="70" t="s">
        <v>88</v>
      </c>
      <c r="H167" s="70" t="s">
        <v>89</v>
      </c>
      <c r="I167" s="72" t="s">
        <v>317</v>
      </c>
      <c r="J167" s="72" t="s">
        <v>90</v>
      </c>
      <c r="K167" s="72" t="s">
        <v>158</v>
      </c>
      <c r="L167" s="71" t="s">
        <v>91</v>
      </c>
      <c r="M167" s="70" t="s">
        <v>92</v>
      </c>
      <c r="N167" s="70" t="s">
        <v>93</v>
      </c>
      <c r="O167" s="70" t="s">
        <v>94</v>
      </c>
      <c r="P167" s="70" t="s">
        <v>95</v>
      </c>
      <c r="Q167" s="70" t="s">
        <v>96</v>
      </c>
      <c r="R167" s="70" t="s">
        <v>98</v>
      </c>
      <c r="S167" s="70" t="s">
        <v>97</v>
      </c>
      <c r="T167" s="70" t="s">
        <v>109</v>
      </c>
      <c r="U167" s="196" t="s">
        <v>91</v>
      </c>
      <c r="V167" s="277" t="s">
        <v>1071</v>
      </c>
      <c r="W167" s="196" t="s">
        <v>1072</v>
      </c>
      <c r="X167" s="70"/>
      <c r="Y167" s="115" t="s">
        <v>2</v>
      </c>
      <c r="Z167" s="116" t="s">
        <v>3</v>
      </c>
      <c r="AA167" s="117" t="s">
        <v>4</v>
      </c>
      <c r="AB167" s="118" t="s">
        <v>5</v>
      </c>
      <c r="AC167" s="116" t="s">
        <v>6</v>
      </c>
      <c r="AD167" s="117" t="s">
        <v>7</v>
      </c>
      <c r="AE167" s="119" t="s">
        <v>8</v>
      </c>
      <c r="AF167" s="119" t="s">
        <v>81</v>
      </c>
      <c r="AG167" s="119" t="s">
        <v>9</v>
      </c>
      <c r="AH167" s="130" t="s">
        <v>10</v>
      </c>
      <c r="AI167" s="69" t="s">
        <v>106</v>
      </c>
      <c r="AJ167" s="7" t="s">
        <v>11</v>
      </c>
      <c r="AK167" s="7" t="s">
        <v>12</v>
      </c>
      <c r="AL167" s="7" t="s">
        <v>13</v>
      </c>
      <c r="AN167" s="72"/>
      <c r="AO167" s="72"/>
      <c r="AP167" s="72"/>
      <c r="AQ167" s="122"/>
      <c r="AR167" s="14"/>
    </row>
    <row r="168" spans="1:44" x14ac:dyDescent="0.2">
      <c r="A168" s="69"/>
      <c r="B168" s="70"/>
      <c r="C168" s="71"/>
      <c r="D168" s="70"/>
      <c r="E168" s="71"/>
      <c r="F168" s="70"/>
      <c r="G168" s="70"/>
      <c r="H168" s="70"/>
      <c r="I168" s="72"/>
      <c r="J168" s="72"/>
      <c r="K168" s="72"/>
      <c r="L168" s="71"/>
      <c r="M168" s="70"/>
      <c r="N168" s="70"/>
      <c r="O168" s="70"/>
      <c r="P168" s="70"/>
      <c r="Q168" s="70"/>
      <c r="R168" s="70"/>
      <c r="S168" s="70"/>
      <c r="T168" s="70"/>
      <c r="U168" s="70"/>
      <c r="V168" s="164"/>
      <c r="W168" s="70"/>
      <c r="X168" s="76"/>
      <c r="Y168" s="52"/>
      <c r="Z168" s="53"/>
      <c r="AA168" s="54"/>
      <c r="AB168" s="54"/>
      <c r="AC168" s="53"/>
      <c r="AD168" s="54"/>
      <c r="AE168" s="55"/>
      <c r="AF168" s="55"/>
      <c r="AG168" s="55"/>
      <c r="AH168" s="56"/>
      <c r="AI168" s="69"/>
      <c r="AJ168" s="129"/>
      <c r="AK168" s="9"/>
      <c r="AL168" s="9"/>
      <c r="AN168" s="72"/>
      <c r="AO168" s="72"/>
      <c r="AP168" s="72"/>
      <c r="AQ168" s="28"/>
      <c r="AR168" s="14"/>
    </row>
    <row r="169" spans="1:44" x14ac:dyDescent="0.2">
      <c r="A169" s="41" t="s">
        <v>1143</v>
      </c>
      <c r="B169" s="76" t="s">
        <v>168</v>
      </c>
      <c r="C169" s="76">
        <v>2</v>
      </c>
      <c r="D169" s="76">
        <v>1</v>
      </c>
      <c r="E169" s="97">
        <v>5.6</v>
      </c>
      <c r="F169" s="76">
        <v>32</v>
      </c>
      <c r="G169" s="76">
        <v>0</v>
      </c>
      <c r="H169" s="76">
        <v>0</v>
      </c>
      <c r="I169" s="76">
        <v>0</v>
      </c>
      <c r="J169" s="76">
        <v>0</v>
      </c>
      <c r="K169" s="76">
        <v>1</v>
      </c>
      <c r="L169" s="258">
        <f>INDEX('C-P-RollAdj'!$P$4:$P$900,MATCH((U169),'C-P-RollAdj'!$O$4:$O$900,FALSE),0)</f>
        <v>27.33</v>
      </c>
      <c r="M169" s="76">
        <v>35</v>
      </c>
      <c r="N169" s="76">
        <v>22</v>
      </c>
      <c r="O169" s="76">
        <v>17</v>
      </c>
      <c r="P169" s="76">
        <v>4</v>
      </c>
      <c r="Q169" s="76">
        <v>17</v>
      </c>
      <c r="R169" s="76">
        <v>2</v>
      </c>
      <c r="S169" s="76">
        <v>29</v>
      </c>
      <c r="T169" s="76">
        <v>134</v>
      </c>
      <c r="U169" s="76">
        <v>27.1</v>
      </c>
      <c r="V169" s="100">
        <v>0.313</v>
      </c>
      <c r="W169" s="76">
        <v>1.9</v>
      </c>
      <c r="X169" s="76"/>
      <c r="Y169" s="50">
        <f t="shared" ref="Y169:Y183" si="63">+(Q169-R169)/(T169-R169)*100</f>
        <v>11.363636363636363</v>
      </c>
      <c r="Z169" s="6">
        <f>IF(Y169&lt;LeagueRatings!$K$21,((LeagueRatings!$K$21-Y169)/LeagueRatings!$K$21)*36,(LeagueRatings!$K$21-Y169)*6.48)</f>
        <v>-15.620822657032601</v>
      </c>
      <c r="AA169" s="16">
        <f>INDEX('C-P-RollAdj'!$B$4:$B$76,MATCH(INT(Z169),'C-P-RollAdj'!$A$4:$A$76,FALSE),0)</f>
        <v>1.7799999999999998</v>
      </c>
      <c r="AB169" s="16">
        <f t="shared" ref="AB169:AB183" si="64">(P169/(T169-R169))*100</f>
        <v>3.0303030303030303</v>
      </c>
      <c r="AC169" s="6">
        <f>IF(AB169&lt;LeagueRatings!$K$19,((LeagueRatings!$K$19-AB169)/LeagueRatings!$K$19)*36,(LeagueRatings!$K$19-AB169)/LeagueRatings!$K$22)</f>
        <v>-0.98820399113081903</v>
      </c>
      <c r="AD169" s="16">
        <f>INDEX('C-P-RollAdj'!$F$4:$F$76,MATCH(INT(AC169),'C-P-RollAdj'!$E$4:$E$76,FALSE),0)</f>
        <v>0.08</v>
      </c>
      <c r="AE169" s="17">
        <f>+((LeagueRatings!$I$17-E169)*5)+9.5</f>
        <v>2.3143872437063644</v>
      </c>
      <c r="AF169" s="17">
        <f t="shared" ref="AF169:AF183" si="65">IF(AE169&lt;4,4,AE169)</f>
        <v>4</v>
      </c>
      <c r="AG169" s="17">
        <f t="shared" ref="AG169:AG183" si="66">IF(M169&lt;L169,((1-(M169/L169))*7)-0.07,(1-(M169/L169))*5)</f>
        <v>-1.4032199048664473</v>
      </c>
      <c r="AH169" s="4">
        <f t="shared" ref="AH169:AH183" si="67">+AA169+AD169+AF169+AG169</f>
        <v>4.4567800951335519</v>
      </c>
      <c r="AI169" s="41" t="s">
        <v>1143</v>
      </c>
      <c r="AJ169" s="58">
        <v>5</v>
      </c>
      <c r="AK169" s="219">
        <f>INDEX('C-P-RollAdj'!$J$4:$J$76,MATCH(INT(Z169),'C-P-RollAdj'!$I$4:$I$76,FALSE),0)</f>
        <v>-34</v>
      </c>
      <c r="AL169" s="219">
        <f>INDEX('C-P-RollAdj'!$J$4:$J$76,MATCH(INT(AC169),'C-P-RollAdj'!$I$4:$I$76,FALSE),0)</f>
        <v>-11</v>
      </c>
      <c r="AM169" s="14">
        <f>+AR169*LeagueRatings!$K$27</f>
        <v>15.555555555555557</v>
      </c>
      <c r="AN169" s="72">
        <f>F169*LeagueRatings!$K$27</f>
        <v>17.777777777777779</v>
      </c>
      <c r="AO169" s="72">
        <f>G169*LeagueRatings!$K$27</f>
        <v>0</v>
      </c>
      <c r="AP169" s="72">
        <f>T169*LeagueRatings!$K$27</f>
        <v>74.444444444444443</v>
      </c>
      <c r="AR169" s="14">
        <f t="shared" ref="AR169:AR183" si="68">ROUNDUP(L169,0)</f>
        <v>28</v>
      </c>
    </row>
    <row r="170" spans="1:44" x14ac:dyDescent="0.2">
      <c r="A170" s="41" t="s">
        <v>1469</v>
      </c>
      <c r="B170" s="76" t="s">
        <v>168</v>
      </c>
      <c r="C170" s="76">
        <v>3</v>
      </c>
      <c r="D170" s="76">
        <v>5</v>
      </c>
      <c r="E170" s="97">
        <v>5.54</v>
      </c>
      <c r="F170" s="76">
        <v>11</v>
      </c>
      <c r="G170" s="76">
        <v>11</v>
      </c>
      <c r="H170" s="76">
        <v>2</v>
      </c>
      <c r="I170" s="76">
        <v>1</v>
      </c>
      <c r="J170" s="76">
        <v>0</v>
      </c>
      <c r="K170" s="76">
        <v>0</v>
      </c>
      <c r="L170" s="258">
        <f>INDEX('C-P-RollAdj'!$P$4:$P$900,MATCH((U170),'C-P-RollAdj'!$O$4:$O$900,FALSE),0)</f>
        <v>63.33</v>
      </c>
      <c r="M170" s="76">
        <v>67</v>
      </c>
      <c r="N170" s="76">
        <v>42</v>
      </c>
      <c r="O170" s="76">
        <v>39</v>
      </c>
      <c r="P170" s="76">
        <v>12</v>
      </c>
      <c r="Q170" s="76">
        <v>17</v>
      </c>
      <c r="R170" s="76">
        <v>1</v>
      </c>
      <c r="S170" s="76">
        <v>31</v>
      </c>
      <c r="T170" s="76">
        <v>272</v>
      </c>
      <c r="U170" s="76">
        <v>63.1</v>
      </c>
      <c r="V170" s="100">
        <v>0.26900000000000002</v>
      </c>
      <c r="W170" s="76">
        <v>1.33</v>
      </c>
      <c r="X170" s="76"/>
      <c r="Y170" s="50">
        <f t="shared" si="63"/>
        <v>5.9040590405904059</v>
      </c>
      <c r="Z170" s="6">
        <f>IF(Y170&lt;LeagueRatings!$K$21,((LeagueRatings!$K$21-Y170)/LeagueRatings!$K$21)*36,(LeagueRatings!$K$21-Y170)*6.48)</f>
        <v>12.259828491824033</v>
      </c>
      <c r="AA170" s="16">
        <f>INDEX('C-P-RollAdj'!$B$4:$B$76,MATCH(INT(Z170),'C-P-RollAdj'!$A$4:$A$76,FALSE),0)</f>
        <v>-1.01</v>
      </c>
      <c r="AB170" s="16">
        <f t="shared" si="64"/>
        <v>4.428044280442804</v>
      </c>
      <c r="AC170" s="6">
        <f>IF(AB170&lt;LeagueRatings!$K$19,((LeagueRatings!$K$19-AB170)/LeagueRatings!$K$19)*36,(LeagueRatings!$K$19-AB170)/LeagueRatings!$K$22)</f>
        <v>-12.281926019260188</v>
      </c>
      <c r="AD170" s="16">
        <f>INDEX('C-P-RollAdj'!$F$4:$F$76,MATCH(INT(AC170),'C-P-RollAdj'!$E$4:$E$76,FALSE),0)</f>
        <v>1.2599999999999998</v>
      </c>
      <c r="AE170" s="17">
        <f>+((LeagueRatings!$I$17-E170)*5)+9.5</f>
        <v>2.6143872437063624</v>
      </c>
      <c r="AF170" s="17">
        <f t="shared" si="65"/>
        <v>4</v>
      </c>
      <c r="AG170" s="17">
        <f t="shared" si="66"/>
        <v>-0.28975209221537956</v>
      </c>
      <c r="AH170" s="4">
        <f t="shared" si="67"/>
        <v>3.9602479077846207</v>
      </c>
      <c r="AI170" s="41" t="s">
        <v>1469</v>
      </c>
      <c r="AJ170" s="58">
        <v>4</v>
      </c>
      <c r="AK170" s="219">
        <f>INDEX('C-P-RollAdj'!$J$4:$J$76,MATCH(INT(Z170),'C-P-RollAdj'!$I$4:$I$76,FALSE),0)</f>
        <v>26</v>
      </c>
      <c r="AL170" s="219">
        <f>INDEX('C-P-RollAdj'!$J$4:$J$76,MATCH(INT(AC170),'C-P-RollAdj'!$I$4:$I$76,FALSE),0)</f>
        <v>-31</v>
      </c>
      <c r="AM170" s="14">
        <f>+AR170*LeagueRatings!$K$27</f>
        <v>35.555555555555557</v>
      </c>
      <c r="AN170" s="72">
        <f>F170*LeagueRatings!$K$27</f>
        <v>6.1111111111111116</v>
      </c>
      <c r="AO170" s="72">
        <f>G170*LeagueRatings!$K$27</f>
        <v>6.1111111111111116</v>
      </c>
      <c r="AP170" s="72">
        <f>T170*LeagueRatings!$K$27</f>
        <v>151.11111111111111</v>
      </c>
      <c r="AR170" s="14">
        <f t="shared" si="68"/>
        <v>64</v>
      </c>
    </row>
    <row r="171" spans="1:44" x14ac:dyDescent="0.2">
      <c r="A171" s="41" t="s">
        <v>1142</v>
      </c>
      <c r="B171" s="76" t="s">
        <v>168</v>
      </c>
      <c r="C171" s="76">
        <v>11</v>
      </c>
      <c r="D171" s="76">
        <v>14</v>
      </c>
      <c r="E171" s="97">
        <v>3.65</v>
      </c>
      <c r="F171" s="76">
        <v>33</v>
      </c>
      <c r="G171" s="76">
        <v>33</v>
      </c>
      <c r="H171" s="76">
        <v>0</v>
      </c>
      <c r="I171" s="76">
        <v>0</v>
      </c>
      <c r="J171" s="76">
        <v>0</v>
      </c>
      <c r="K171" s="76">
        <v>0</v>
      </c>
      <c r="L171" s="258">
        <f>INDEX('C-P-RollAdj'!$P$4:$P$900,MATCH((U171),'C-P-RollAdj'!$O$4:$O$900,FALSE),0)</f>
        <v>197.32999999999998</v>
      </c>
      <c r="M171" s="76">
        <v>187</v>
      </c>
      <c r="N171" s="76">
        <v>88</v>
      </c>
      <c r="O171" s="76">
        <v>80</v>
      </c>
      <c r="P171" s="76">
        <v>30</v>
      </c>
      <c r="Q171" s="76">
        <v>42</v>
      </c>
      <c r="R171" s="76">
        <v>2</v>
      </c>
      <c r="S171" s="76">
        <v>167</v>
      </c>
      <c r="T171" s="76">
        <v>811</v>
      </c>
      <c r="U171" s="76">
        <v>197.1</v>
      </c>
      <c r="V171" s="100">
        <v>0.251</v>
      </c>
      <c r="W171" s="76">
        <v>1.1599999999999999</v>
      </c>
      <c r="X171" s="76"/>
      <c r="Y171" s="50">
        <f t="shared" si="63"/>
        <v>4.9443757725587147</v>
      </c>
      <c r="Z171" s="6">
        <f>IF(Y171&lt;LeagueRatings!$K$21,((LeagueRatings!$K$21-Y171)/LeagueRatings!$K$21)*36,(LeagueRatings!$K$21-Y171)*6.48)</f>
        <v>16.118706802485516</v>
      </c>
      <c r="AA171" s="16">
        <f>INDEX('C-P-RollAdj'!$B$4:$B$76,MATCH(INT(Z171),'C-P-RollAdj'!$A$4:$A$76,FALSE),0)</f>
        <v>-1.39</v>
      </c>
      <c r="AB171" s="16">
        <f t="shared" si="64"/>
        <v>3.7082818294190356</v>
      </c>
      <c r="AC171" s="6">
        <f>IF(AB171&lt;LeagueRatings!$K$19,((LeagueRatings!$K$19-AB171)/LeagueRatings!$K$19)*36,(LeagueRatings!$K$19-AB171)/LeagueRatings!$K$22)</f>
        <v>-6.4662594591335258</v>
      </c>
      <c r="AD171" s="16">
        <f>INDEX('C-P-RollAdj'!$F$4:$F$76,MATCH(INT(AC171),'C-P-RollAdj'!$E$4:$E$76,FALSE),0)</f>
        <v>0.61</v>
      </c>
      <c r="AE171" s="17">
        <f>+((LeagueRatings!$I$17-E171)*5)+9.5</f>
        <v>12.064387243706364</v>
      </c>
      <c r="AF171" s="17">
        <f t="shared" si="65"/>
        <v>12.064387243706364</v>
      </c>
      <c r="AG171" s="17">
        <f t="shared" si="66"/>
        <v>0.29644200070947085</v>
      </c>
      <c r="AH171" s="4">
        <f t="shared" si="67"/>
        <v>11.580829244415835</v>
      </c>
      <c r="AI171" s="41" t="s">
        <v>1142</v>
      </c>
      <c r="AJ171" s="58">
        <v>12</v>
      </c>
      <c r="AK171" s="219">
        <f>INDEX('C-P-RollAdj'!$J$4:$J$76,MATCH(INT(Z171),'C-P-RollAdj'!$I$4:$I$76,FALSE),0)</f>
        <v>34</v>
      </c>
      <c r="AL171" s="219">
        <f>INDEX('C-P-RollAdj'!$J$4:$J$76,MATCH(INT(AC171),'C-P-RollAdj'!$I$4:$I$76,FALSE),0)</f>
        <v>-21</v>
      </c>
      <c r="AM171" s="14">
        <f>+AR171*LeagueRatings!$K$27</f>
        <v>110</v>
      </c>
      <c r="AN171" s="72">
        <f>F171*LeagueRatings!$K$27</f>
        <v>18.333333333333336</v>
      </c>
      <c r="AO171" s="72">
        <f>G171*LeagueRatings!$K$27</f>
        <v>18.333333333333336</v>
      </c>
      <c r="AP171" s="72">
        <f>T171*LeagueRatings!$K$27</f>
        <v>450.5555555555556</v>
      </c>
      <c r="AR171" s="14">
        <f t="shared" si="68"/>
        <v>198</v>
      </c>
    </row>
    <row r="172" spans="1:44" x14ac:dyDescent="0.2">
      <c r="A172" s="41" t="s">
        <v>433</v>
      </c>
      <c r="B172" s="76" t="s">
        <v>168</v>
      </c>
      <c r="C172" s="76">
        <v>3</v>
      </c>
      <c r="D172" s="76">
        <v>5</v>
      </c>
      <c r="E172" s="97">
        <v>4.8499999999999996</v>
      </c>
      <c r="F172" s="76">
        <v>70</v>
      </c>
      <c r="G172" s="76">
        <v>0</v>
      </c>
      <c r="H172" s="76">
        <v>0</v>
      </c>
      <c r="I172" s="76">
        <v>0</v>
      </c>
      <c r="J172" s="76">
        <v>37</v>
      </c>
      <c r="K172" s="76">
        <v>43</v>
      </c>
      <c r="L172" s="258">
        <f>INDEX('C-P-RollAdj'!$P$4:$P$900,MATCH((U172),'C-P-RollAdj'!$O$4:$O$900,FALSE),0)</f>
        <v>68.67</v>
      </c>
      <c r="M172" s="76">
        <v>78</v>
      </c>
      <c r="N172" s="76">
        <v>38</v>
      </c>
      <c r="O172" s="76">
        <v>37</v>
      </c>
      <c r="P172" s="76">
        <v>6</v>
      </c>
      <c r="Q172" s="76">
        <v>22</v>
      </c>
      <c r="R172" s="76">
        <v>2</v>
      </c>
      <c r="S172" s="76">
        <v>47</v>
      </c>
      <c r="T172" s="76">
        <v>297</v>
      </c>
      <c r="U172" s="76">
        <v>68.2</v>
      </c>
      <c r="V172" s="100">
        <v>0.28899999999999998</v>
      </c>
      <c r="W172" s="76">
        <v>1.46</v>
      </c>
      <c r="X172" s="76"/>
      <c r="Y172" s="50">
        <f t="shared" si="63"/>
        <v>6.7796610169491522</v>
      </c>
      <c r="Z172" s="6">
        <f>IF(Y172&lt;LeagueRatings!$K$21,((LeagueRatings!$K$21-Y172)/LeagueRatings!$K$21)*36,(LeagueRatings!$K$21-Y172)*6.48)</f>
        <v>8.7390403444250548</v>
      </c>
      <c r="AA172" s="16">
        <f>INDEX('C-P-RollAdj'!$B$4:$B$76,MATCH(INT(Z172),'C-P-RollAdj'!$A$4:$A$76,FALSE),0)</f>
        <v>-0.65</v>
      </c>
      <c r="AB172" s="16">
        <f t="shared" si="64"/>
        <v>2.0338983050847457</v>
      </c>
      <c r="AC172" s="6">
        <f>IF(AB172&lt;LeagueRatings!$K$19,((LeagueRatings!$K$19-AB172)/LeagueRatings!$K$19)*36,(LeagueRatings!$K$19-AB172)/LeagueRatings!$K$22)</f>
        <v>10.821068632667023</v>
      </c>
      <c r="AD172" s="16">
        <f>INDEX('C-P-RollAdj'!$F$4:$F$76,MATCH(INT(AC172),'C-P-RollAdj'!$E$4:$E$76,FALSE),0)</f>
        <v>-0.73</v>
      </c>
      <c r="AE172" s="17">
        <f>+((LeagueRatings!$I$17-E172)*5)+9.5</f>
        <v>6.0643872437063644</v>
      </c>
      <c r="AF172" s="17">
        <f t="shared" si="65"/>
        <v>6.0643872437063644</v>
      </c>
      <c r="AG172" s="17">
        <f t="shared" si="66"/>
        <v>-0.67933595456531215</v>
      </c>
      <c r="AH172" s="4">
        <f t="shared" si="67"/>
        <v>4.0050512891410524</v>
      </c>
      <c r="AI172" s="41" t="s">
        <v>433</v>
      </c>
      <c r="AJ172" s="58">
        <v>5</v>
      </c>
      <c r="AK172" s="219">
        <f>INDEX('C-P-RollAdj'!$J$4:$J$76,MATCH(INT(Z172),'C-P-RollAdj'!$I$4:$I$76,FALSE),0)</f>
        <v>22</v>
      </c>
      <c r="AL172" s="219">
        <f>INDEX('C-P-RollAdj'!$J$4:$J$76,MATCH(INT(AC172),'C-P-RollAdj'!$I$4:$I$76,FALSE),0)</f>
        <v>24</v>
      </c>
      <c r="AM172" s="14">
        <f>+AR172*LeagueRatings!$K$27</f>
        <v>38.333333333333336</v>
      </c>
      <c r="AN172" s="72">
        <f>F172*LeagueRatings!$K$27</f>
        <v>38.888888888888893</v>
      </c>
      <c r="AO172" s="72">
        <f>G172*LeagueRatings!$K$27</f>
        <v>0</v>
      </c>
      <c r="AP172" s="72">
        <f>T172*LeagueRatings!$K$27</f>
        <v>165</v>
      </c>
      <c r="AR172" s="14">
        <f t="shared" si="68"/>
        <v>69</v>
      </c>
    </row>
    <row r="173" spans="1:44" x14ac:dyDescent="0.2">
      <c r="A173" s="41" t="s">
        <v>1148</v>
      </c>
      <c r="B173" s="76" t="s">
        <v>168</v>
      </c>
      <c r="C173" s="76">
        <v>1</v>
      </c>
      <c r="D173" s="76">
        <v>2</v>
      </c>
      <c r="E173" s="97">
        <v>5.6</v>
      </c>
      <c r="F173" s="76">
        <v>27</v>
      </c>
      <c r="G173" s="76">
        <v>0</v>
      </c>
      <c r="H173" s="76">
        <v>0</v>
      </c>
      <c r="I173" s="76">
        <v>0</v>
      </c>
      <c r="J173" s="76">
        <v>0</v>
      </c>
      <c r="K173" s="76">
        <v>0</v>
      </c>
      <c r="L173" s="258">
        <f>INDEX('C-P-RollAdj'!$P$4:$P$900,MATCH((U173),'C-P-RollAdj'!$O$4:$O$900,FALSE),0)</f>
        <v>35.33</v>
      </c>
      <c r="M173" s="76">
        <v>40</v>
      </c>
      <c r="N173" s="76">
        <v>22</v>
      </c>
      <c r="O173" s="76">
        <v>22</v>
      </c>
      <c r="P173" s="76">
        <v>4</v>
      </c>
      <c r="Q173" s="76">
        <v>7</v>
      </c>
      <c r="R173" s="76">
        <v>1</v>
      </c>
      <c r="S173" s="76">
        <v>34</v>
      </c>
      <c r="T173" s="76">
        <v>151</v>
      </c>
      <c r="U173" s="76">
        <v>35.1</v>
      </c>
      <c r="V173" s="100">
        <v>0.28599999999999998</v>
      </c>
      <c r="W173" s="76">
        <v>1.33</v>
      </c>
      <c r="X173" s="76"/>
      <c r="Y173" s="50">
        <f t="shared" si="63"/>
        <v>4</v>
      </c>
      <c r="Z173" s="6">
        <f>IF(Y173&lt;LeagueRatings!$K$21,((LeagueRatings!$K$21-Y173)/LeagueRatings!$K$21)*36,(LeagueRatings!$K$21-Y173)*6.48)</f>
        <v>19.91603380321078</v>
      </c>
      <c r="AA173" s="16">
        <f>INDEX('C-P-RollAdj'!$B$4:$B$76,MATCH(INT(Z173),'C-P-RollAdj'!$A$4:$A$76,FALSE),0)</f>
        <v>-1.69</v>
      </c>
      <c r="AB173" s="16">
        <f t="shared" si="64"/>
        <v>2.666666666666667</v>
      </c>
      <c r="AC173" s="6">
        <f>IF(AB173&lt;LeagueRatings!$K$19,((LeagueRatings!$K$19-AB173)/LeagueRatings!$K$19)*36,(LeagueRatings!$K$19-AB173)/LeagueRatings!$K$22)</f>
        <v>2.9876233183856487</v>
      </c>
      <c r="AD173" s="16">
        <f>INDEX('C-P-RollAdj'!$F$4:$F$76,MATCH(INT(AC173),'C-P-RollAdj'!$E$4:$E$76,FALSE),0)</f>
        <v>-0.14000000000000001</v>
      </c>
      <c r="AE173" s="17">
        <f>+((LeagueRatings!$I$17-E173)*5)+9.5</f>
        <v>2.3143872437063644</v>
      </c>
      <c r="AF173" s="17">
        <f t="shared" si="65"/>
        <v>4</v>
      </c>
      <c r="AG173" s="17">
        <f t="shared" si="66"/>
        <v>-0.66091140673648519</v>
      </c>
      <c r="AH173" s="4">
        <f t="shared" si="67"/>
        <v>1.5090885932635147</v>
      </c>
      <c r="AI173" s="41" t="s">
        <v>1148</v>
      </c>
      <c r="AJ173" s="58">
        <v>2</v>
      </c>
      <c r="AK173" s="219">
        <f>INDEX('C-P-RollAdj'!$J$4:$J$76,MATCH(INT(Z173),'C-P-RollAdj'!$I$4:$I$76,FALSE),0)</f>
        <v>41</v>
      </c>
      <c r="AL173" s="219">
        <f>INDEX('C-P-RollAdj'!$J$4:$J$76,MATCH(INT(AC173),'C-P-RollAdj'!$I$4:$I$76,FALSE),0)</f>
        <v>12</v>
      </c>
      <c r="AM173" s="14">
        <f>+AR173*LeagueRatings!$K$27</f>
        <v>20</v>
      </c>
      <c r="AN173" s="72">
        <f>F173*LeagueRatings!$K$27</f>
        <v>15</v>
      </c>
      <c r="AO173" s="72">
        <f>G173*LeagueRatings!$K$27</f>
        <v>0</v>
      </c>
      <c r="AP173" s="72">
        <f>T173*LeagueRatings!$K$27</f>
        <v>83.888888888888886</v>
      </c>
      <c r="AR173" s="14">
        <f t="shared" si="68"/>
        <v>36</v>
      </c>
    </row>
    <row r="174" spans="1:44" x14ac:dyDescent="0.2">
      <c r="A174" s="41" t="s">
        <v>635</v>
      </c>
      <c r="B174" s="76" t="s">
        <v>168</v>
      </c>
      <c r="C174" s="76">
        <v>12</v>
      </c>
      <c r="D174" s="76">
        <v>10</v>
      </c>
      <c r="E174" s="97">
        <v>3.71</v>
      </c>
      <c r="F174" s="76">
        <v>32</v>
      </c>
      <c r="G174" s="76">
        <v>32</v>
      </c>
      <c r="H174" s="76">
        <v>1</v>
      </c>
      <c r="I174" s="76">
        <v>1</v>
      </c>
      <c r="J174" s="76">
        <v>0</v>
      </c>
      <c r="K174" s="76">
        <v>0</v>
      </c>
      <c r="L174" s="258">
        <f>INDEX('C-P-RollAdj'!$P$4:$P$900,MATCH((U174),'C-P-RollAdj'!$O$4:$O$900,FALSE),0)</f>
        <v>189</v>
      </c>
      <c r="M174" s="76">
        <v>173</v>
      </c>
      <c r="N174" s="76">
        <v>86</v>
      </c>
      <c r="O174" s="76">
        <v>78</v>
      </c>
      <c r="P174" s="76">
        <v>24</v>
      </c>
      <c r="Q174" s="76">
        <v>45</v>
      </c>
      <c r="R174" s="76">
        <v>0</v>
      </c>
      <c r="S174" s="76">
        <v>154</v>
      </c>
      <c r="T174" s="76">
        <v>772</v>
      </c>
      <c r="U174" s="76">
        <v>189</v>
      </c>
      <c r="V174" s="100">
        <v>0.24299999999999999</v>
      </c>
      <c r="W174" s="76">
        <v>1.1499999999999999</v>
      </c>
      <c r="X174" s="76"/>
      <c r="Y174" s="50">
        <f t="shared" si="63"/>
        <v>5.8290155440414511</v>
      </c>
      <c r="Z174" s="6">
        <f>IF(Y174&lt;LeagueRatings!$K$21,((LeagueRatings!$K$21-Y174)/LeagueRatings!$K$21)*36,(LeagueRatings!$K$21-Y174)*6.48)</f>
        <v>12.561577757269596</v>
      </c>
      <c r="AA174" s="16">
        <f>INDEX('C-P-RollAdj'!$B$4:$B$76,MATCH(INT(Z174),'C-P-RollAdj'!$A$4:$A$76,FALSE),0)</f>
        <v>-1.01</v>
      </c>
      <c r="AB174" s="16">
        <f t="shared" si="64"/>
        <v>3.1088082901554404</v>
      </c>
      <c r="AC174" s="6">
        <f>IF(AB174&lt;LeagueRatings!$K$19,((LeagueRatings!$K$19-AB174)/LeagueRatings!$K$19)*36,(LeagueRatings!$K$19-AB174)/LeagueRatings!$K$22)</f>
        <v>-1.6225249589283441</v>
      </c>
      <c r="AD174" s="16">
        <f>INDEX('C-P-RollAdj'!$F$4:$F$76,MATCH(INT(AC174),'C-P-RollAdj'!$E$4:$E$76,FALSE),0)</f>
        <v>0.16</v>
      </c>
      <c r="AE174" s="17">
        <f>+((LeagueRatings!$I$17-E174)*5)+9.5</f>
        <v>11.764387243706363</v>
      </c>
      <c r="AF174" s="17">
        <f t="shared" si="65"/>
        <v>11.764387243706363</v>
      </c>
      <c r="AG174" s="17">
        <f t="shared" si="66"/>
        <v>0.5225925925925925</v>
      </c>
      <c r="AH174" s="4">
        <f t="shared" si="67"/>
        <v>11.436979836298956</v>
      </c>
      <c r="AI174" s="41" t="s">
        <v>635</v>
      </c>
      <c r="AJ174" s="58">
        <v>12</v>
      </c>
      <c r="AK174" s="219">
        <f>INDEX('C-P-RollAdj'!$J$4:$J$76,MATCH(INT(Z174),'C-P-RollAdj'!$I$4:$I$76,FALSE),0)</f>
        <v>26</v>
      </c>
      <c r="AL174" s="219">
        <f>INDEX('C-P-RollAdj'!$J$4:$J$76,MATCH(INT(AC174),'C-P-RollAdj'!$I$4:$I$76,FALSE),0)</f>
        <v>-12</v>
      </c>
      <c r="AM174" s="14">
        <f>+AR174*LeagueRatings!$K$27</f>
        <v>105</v>
      </c>
      <c r="AN174" s="72">
        <f>F174*LeagueRatings!$K$27</f>
        <v>17.777777777777779</v>
      </c>
      <c r="AO174" s="72">
        <f>G174*LeagueRatings!$K$27</f>
        <v>17.777777777777779</v>
      </c>
      <c r="AP174" s="72">
        <f>T174*LeagueRatings!$K$27</f>
        <v>428.88888888888891</v>
      </c>
      <c r="AR174" s="14">
        <f t="shared" si="68"/>
        <v>189</v>
      </c>
    </row>
    <row r="175" spans="1:44" x14ac:dyDescent="0.2">
      <c r="A175" s="41" t="s">
        <v>1086</v>
      </c>
      <c r="B175" s="76" t="s">
        <v>168</v>
      </c>
      <c r="C175" s="76">
        <v>3</v>
      </c>
      <c r="D175" s="76">
        <v>4</v>
      </c>
      <c r="E175" s="97">
        <v>3.84</v>
      </c>
      <c r="F175" s="76">
        <v>70</v>
      </c>
      <c r="G175" s="76">
        <v>0</v>
      </c>
      <c r="H175" s="76">
        <v>0</v>
      </c>
      <c r="I175" s="76">
        <v>0</v>
      </c>
      <c r="J175" s="76">
        <v>1</v>
      </c>
      <c r="K175" s="76">
        <v>3</v>
      </c>
      <c r="L175" s="258">
        <f>INDEX('C-P-RollAdj'!$P$4:$P$900,MATCH((U175),'C-P-RollAdj'!$O$4:$O$900,FALSE),0)</f>
        <v>72.67</v>
      </c>
      <c r="M175" s="76">
        <v>77</v>
      </c>
      <c r="N175" s="76">
        <v>31</v>
      </c>
      <c r="O175" s="76">
        <v>31</v>
      </c>
      <c r="P175" s="76">
        <v>11</v>
      </c>
      <c r="Q175" s="76">
        <v>32</v>
      </c>
      <c r="R175" s="76">
        <v>5</v>
      </c>
      <c r="S175" s="76">
        <v>80</v>
      </c>
      <c r="T175" s="76">
        <v>322</v>
      </c>
      <c r="U175" s="76">
        <v>72.2</v>
      </c>
      <c r="V175" s="100">
        <v>0.27</v>
      </c>
      <c r="W175" s="76">
        <v>1.5</v>
      </c>
      <c r="X175" s="76"/>
      <c r="Y175" s="50">
        <f t="shared" si="63"/>
        <v>8.517350157728707</v>
      </c>
      <c r="Z175" s="6">
        <f>IF(Y175&lt;LeagueRatings!$K$21,((LeagueRatings!$K$21-Y175)/LeagueRatings!$K$21)*36,(LeagueRatings!$K$21-Y175)*6.48)</f>
        <v>1.7518069942185401</v>
      </c>
      <c r="AA175" s="16">
        <f>INDEX('C-P-RollAdj'!$B$4:$B$76,MATCH(INT(Z175),'C-P-RollAdj'!$A$4:$A$76,FALSE),0)</f>
        <v>-0.08</v>
      </c>
      <c r="AB175" s="16">
        <f t="shared" si="64"/>
        <v>3.4700315457413247</v>
      </c>
      <c r="AC175" s="6">
        <f>IF(AB175&lt;LeagueRatings!$K$19,((LeagueRatings!$K$19-AB175)/LeagueRatings!$K$19)*36,(LeagueRatings!$K$19-AB175)/LeagueRatings!$K$22)</f>
        <v>-4.5412018158036442</v>
      </c>
      <c r="AD175" s="16">
        <f>INDEX('C-P-RollAdj'!$F$4:$F$76,MATCH(INT(AC175),'C-P-RollAdj'!$E$4:$E$76,FALSE),0)</f>
        <v>0.42</v>
      </c>
      <c r="AE175" s="17">
        <f>+((LeagueRatings!$I$17-E175)*5)+9.5</f>
        <v>11.114387243706364</v>
      </c>
      <c r="AF175" s="17">
        <f t="shared" si="65"/>
        <v>11.114387243706364</v>
      </c>
      <c r="AG175" s="17">
        <f t="shared" si="66"/>
        <v>-0.29792211366451049</v>
      </c>
      <c r="AH175" s="4">
        <f t="shared" si="67"/>
        <v>11.156465130041854</v>
      </c>
      <c r="AI175" s="41" t="s">
        <v>1086</v>
      </c>
      <c r="AJ175" s="58">
        <v>11</v>
      </c>
      <c r="AK175" s="219">
        <f>INDEX('C-P-RollAdj'!$J$4:$J$76,MATCH(INT(Z175),'C-P-RollAdj'!$I$4:$I$76,FALSE),0)</f>
        <v>11</v>
      </c>
      <c r="AL175" s="219">
        <f>INDEX('C-P-RollAdj'!$J$4:$J$76,MATCH(INT(AC175),'C-P-RollAdj'!$I$4:$I$76,FALSE),0)</f>
        <v>-15</v>
      </c>
      <c r="AM175" s="14">
        <f>+AR175*LeagueRatings!$K$27</f>
        <v>40.555555555555557</v>
      </c>
      <c r="AN175" s="72">
        <f>F175*LeagueRatings!$K$27</f>
        <v>38.888888888888893</v>
      </c>
      <c r="AO175" s="72">
        <f>G175*LeagueRatings!$K$27</f>
        <v>0</v>
      </c>
      <c r="AP175" s="72">
        <f>T175*LeagueRatings!$K$27</f>
        <v>178.88888888888889</v>
      </c>
      <c r="AR175" s="14">
        <f t="shared" si="68"/>
        <v>73</v>
      </c>
    </row>
    <row r="176" spans="1:44" x14ac:dyDescent="0.2">
      <c r="A176" s="41" t="s">
        <v>807</v>
      </c>
      <c r="B176" s="76" t="s">
        <v>168</v>
      </c>
      <c r="C176" s="76">
        <v>1</v>
      </c>
      <c r="D176" s="76">
        <v>0</v>
      </c>
      <c r="E176" s="97">
        <v>5.82</v>
      </c>
      <c r="F176" s="76">
        <v>25</v>
      </c>
      <c r="G176" s="76">
        <v>0</v>
      </c>
      <c r="H176" s="76">
        <v>0</v>
      </c>
      <c r="I176" s="76">
        <v>0</v>
      </c>
      <c r="J176" s="76">
        <v>2</v>
      </c>
      <c r="K176" s="76">
        <v>3</v>
      </c>
      <c r="L176" s="258">
        <f>INDEX('C-P-RollAdj'!$P$4:$P$900,MATCH((U176),'C-P-RollAdj'!$O$4:$O$900,FALSE),0)</f>
        <v>21.67</v>
      </c>
      <c r="M176" s="76">
        <v>18</v>
      </c>
      <c r="N176" s="76">
        <v>14</v>
      </c>
      <c r="O176" s="76">
        <v>14</v>
      </c>
      <c r="P176" s="76">
        <v>5</v>
      </c>
      <c r="Q176" s="76">
        <v>14</v>
      </c>
      <c r="R176" s="76">
        <v>1</v>
      </c>
      <c r="S176" s="76">
        <v>23</v>
      </c>
      <c r="T176" s="76">
        <v>95</v>
      </c>
      <c r="U176" s="76">
        <v>21.2</v>
      </c>
      <c r="V176" s="100">
        <v>0.222</v>
      </c>
      <c r="W176" s="76">
        <v>1.48</v>
      </c>
      <c r="X176" s="76"/>
      <c r="Y176" s="50">
        <f t="shared" si="63"/>
        <v>13.829787234042554</v>
      </c>
      <c r="Z176" s="6">
        <f>IF(Y176&lt;LeagueRatings!$K$21,((LeagueRatings!$K$21-Y176)/LeagueRatings!$K$21)*36,(LeagueRatings!$K$21-Y176)*6.48)</f>
        <v>-31.601480297264718</v>
      </c>
      <c r="AA176" s="16">
        <f>INDEX('C-P-RollAdj'!$B$4:$B$76,MATCH(INT(Z176),'C-P-RollAdj'!$A$4:$A$76,FALSE),0)</f>
        <v>4.5999999999999996</v>
      </c>
      <c r="AB176" s="16">
        <f t="shared" si="64"/>
        <v>5.3191489361702127</v>
      </c>
      <c r="AC176" s="6">
        <f>IF(AB176&lt;LeagueRatings!$K$19,((LeagueRatings!$K$19-AB176)/LeagueRatings!$K$19)*36,(LeagueRatings!$K$19-AB176)/LeagueRatings!$K$22)</f>
        <v>-19.482034250129733</v>
      </c>
      <c r="AD176" s="16">
        <f>INDEX('C-P-RollAdj'!$F$4:$F$76,MATCH(INT(AC176),'C-P-RollAdj'!$E$4:$E$76,FALSE),0)</f>
        <v>2.17</v>
      </c>
      <c r="AE176" s="17">
        <f>+((LeagueRatings!$I$17-E176)*5)+9.5</f>
        <v>1.2143872437063621</v>
      </c>
      <c r="AF176" s="17">
        <f t="shared" si="65"/>
        <v>4</v>
      </c>
      <c r="AG176" s="17">
        <f t="shared" si="66"/>
        <v>1.1155099215505309</v>
      </c>
      <c r="AH176" s="4">
        <f t="shared" si="67"/>
        <v>11.885509921550531</v>
      </c>
      <c r="AI176" s="41" t="s">
        <v>807</v>
      </c>
      <c r="AJ176" s="58">
        <v>12</v>
      </c>
      <c r="AK176" s="219">
        <f>INDEX('C-P-RollAdj'!$J$4:$J$76,MATCH(INT(Z176),'C-P-RollAdj'!$I$4:$I$76,FALSE),0)</f>
        <v>-62</v>
      </c>
      <c r="AL176" s="219">
        <f>INDEX('C-P-RollAdj'!$J$4:$J$76,MATCH(INT(AC176),'C-P-RollAdj'!$I$4:$I$76,FALSE),0)</f>
        <v>-42</v>
      </c>
      <c r="AM176" s="14">
        <f>+AR176*LeagueRatings!$K$27</f>
        <v>12.222222222222223</v>
      </c>
      <c r="AN176" s="72">
        <f>F176*LeagueRatings!$K$27</f>
        <v>13.888888888888889</v>
      </c>
      <c r="AO176" s="72">
        <f>G176*LeagueRatings!$K$27</f>
        <v>0</v>
      </c>
      <c r="AP176" s="72">
        <f>T176*LeagueRatings!$K$27</f>
        <v>52.777777777777779</v>
      </c>
      <c r="AR176" s="14">
        <f t="shared" si="68"/>
        <v>22</v>
      </c>
    </row>
    <row r="177" spans="1:44" x14ac:dyDescent="0.2">
      <c r="A177" s="41" t="s">
        <v>1145</v>
      </c>
      <c r="B177" s="76" t="s">
        <v>168</v>
      </c>
      <c r="C177" s="76">
        <v>2</v>
      </c>
      <c r="D177" s="76">
        <v>11</v>
      </c>
      <c r="E177" s="97">
        <v>6.04</v>
      </c>
      <c r="F177" s="76">
        <v>23</v>
      </c>
      <c r="G177" s="76">
        <v>21</v>
      </c>
      <c r="H177" s="76">
        <v>0</v>
      </c>
      <c r="I177" s="76">
        <v>0</v>
      </c>
      <c r="J177" s="76">
        <v>0</v>
      </c>
      <c r="K177" s="76">
        <v>0</v>
      </c>
      <c r="L177" s="258">
        <f>INDEX('C-P-RollAdj'!$P$4:$P$900,MATCH((U177),'C-P-RollAdj'!$O$4:$O$900,FALSE),0)</f>
        <v>113.33</v>
      </c>
      <c r="M177" s="76">
        <v>141</v>
      </c>
      <c r="N177" s="76">
        <v>81</v>
      </c>
      <c r="O177" s="76">
        <v>76</v>
      </c>
      <c r="P177" s="76">
        <v>23</v>
      </c>
      <c r="Q177" s="76">
        <v>29</v>
      </c>
      <c r="R177" s="76">
        <v>3</v>
      </c>
      <c r="S177" s="76">
        <v>95</v>
      </c>
      <c r="T177" s="76">
        <v>507</v>
      </c>
      <c r="U177" s="76">
        <v>113.1</v>
      </c>
      <c r="V177" s="100">
        <v>0.30199999999999999</v>
      </c>
      <c r="W177" s="76">
        <v>1.5</v>
      </c>
      <c r="X177" s="76"/>
      <c r="Y177" s="50">
        <f t="shared" si="63"/>
        <v>5.1587301587301582</v>
      </c>
      <c r="Z177" s="6">
        <f>IF(Y177&lt;LeagueRatings!$K$21,((LeagueRatings!$K$21-Y177)/LeagueRatings!$K$21)*36,(LeagueRatings!$K$21-Y177)*6.48)</f>
        <v>15.256789627156763</v>
      </c>
      <c r="AA177" s="16">
        <f>INDEX('C-P-RollAdj'!$B$4:$B$76,MATCH(INT(Z177),'C-P-RollAdj'!$A$4:$A$76,FALSE),0)</f>
        <v>-1.29</v>
      </c>
      <c r="AB177" s="16">
        <f t="shared" si="64"/>
        <v>4.5634920634920633</v>
      </c>
      <c r="AC177" s="6">
        <f>IF(AB177&lt;LeagueRatings!$K$19,((LeagueRatings!$K$19-AB177)/LeagueRatings!$K$19)*36,(LeagueRatings!$K$19-AB177)/LeagueRatings!$K$22)</f>
        <v>-13.376341463414631</v>
      </c>
      <c r="AD177" s="16">
        <f>INDEX('C-P-RollAdj'!$F$4:$F$76,MATCH(INT(AC177),'C-P-RollAdj'!$E$4:$E$76,FALSE),0)</f>
        <v>1.38</v>
      </c>
      <c r="AE177" s="17">
        <f>+((LeagueRatings!$I$17-E177)*5)+9.5</f>
        <v>0.11438724370636244</v>
      </c>
      <c r="AF177" s="17">
        <f t="shared" si="65"/>
        <v>4</v>
      </c>
      <c r="AG177" s="17">
        <f t="shared" si="66"/>
        <v>-1.2207711991529169</v>
      </c>
      <c r="AH177" s="4">
        <f t="shared" si="67"/>
        <v>2.869228800847083</v>
      </c>
      <c r="AI177" s="41" t="s">
        <v>1145</v>
      </c>
      <c r="AJ177" s="58">
        <v>3</v>
      </c>
      <c r="AK177" s="219">
        <f>INDEX('C-P-RollAdj'!$J$4:$J$76,MATCH(INT(Z177),'C-P-RollAdj'!$I$4:$I$76,FALSE),0)</f>
        <v>33</v>
      </c>
      <c r="AL177" s="219">
        <f>INDEX('C-P-RollAdj'!$J$4:$J$76,MATCH(INT(AC177),'C-P-RollAdj'!$I$4:$I$76,FALSE),0)</f>
        <v>-32</v>
      </c>
      <c r="AM177" s="14">
        <f>+AR177*LeagueRatings!$K$27</f>
        <v>63.333333333333336</v>
      </c>
      <c r="AN177" s="72">
        <f>F177*LeagueRatings!$K$27</f>
        <v>12.777777777777779</v>
      </c>
      <c r="AO177" s="72">
        <f>G177*LeagueRatings!$K$27</f>
        <v>11.666666666666668</v>
      </c>
      <c r="AP177" s="72">
        <f>T177*LeagueRatings!$K$27</f>
        <v>281.66666666666669</v>
      </c>
      <c r="AR177" s="14">
        <f t="shared" si="68"/>
        <v>114</v>
      </c>
    </row>
    <row r="178" spans="1:44" x14ac:dyDescent="0.2">
      <c r="A178" s="41" t="s">
        <v>1146</v>
      </c>
      <c r="B178" s="76" t="s">
        <v>168</v>
      </c>
      <c r="C178" s="76">
        <v>1</v>
      </c>
      <c r="D178" s="76">
        <v>1</v>
      </c>
      <c r="E178" s="97">
        <v>6.25</v>
      </c>
      <c r="F178" s="76">
        <v>24</v>
      </c>
      <c r="G178" s="76">
        <v>0</v>
      </c>
      <c r="H178" s="76">
        <v>0</v>
      </c>
      <c r="I178" s="76">
        <v>0</v>
      </c>
      <c r="J178" s="76">
        <v>0</v>
      </c>
      <c r="K178" s="76">
        <v>0</v>
      </c>
      <c r="L178" s="258">
        <f>INDEX('C-P-RollAdj'!$P$4:$P$900,MATCH((U178),'C-P-RollAdj'!$O$4:$O$900,FALSE),0)</f>
        <v>31.67</v>
      </c>
      <c r="M178" s="76">
        <v>34</v>
      </c>
      <c r="N178" s="76">
        <v>22</v>
      </c>
      <c r="O178" s="76">
        <v>22</v>
      </c>
      <c r="P178" s="76">
        <v>6</v>
      </c>
      <c r="Q178" s="76">
        <v>13</v>
      </c>
      <c r="R178" s="76">
        <v>1</v>
      </c>
      <c r="S178" s="76">
        <v>31</v>
      </c>
      <c r="T178" s="76">
        <v>142</v>
      </c>
      <c r="U178" s="76">
        <v>31.2</v>
      </c>
      <c r="V178" s="100">
        <v>0.27600000000000002</v>
      </c>
      <c r="W178" s="76">
        <v>1.48</v>
      </c>
      <c r="X178" s="76"/>
      <c r="Y178" s="50">
        <f t="shared" si="63"/>
        <v>8.5106382978723403</v>
      </c>
      <c r="Z178" s="6">
        <f>IF(Y178&lt;LeagueRatings!$K$21,((LeagueRatings!$K$21-Y178)/LeagueRatings!$K$21)*36,(LeagueRatings!$K$21-Y178)*6.48)</f>
        <v>1.7787953259803873</v>
      </c>
      <c r="AA178" s="16">
        <f>INDEX('C-P-RollAdj'!$B$4:$B$76,MATCH(INT(Z178),'C-P-RollAdj'!$A$4:$A$76,FALSE),0)</f>
        <v>-0.08</v>
      </c>
      <c r="AB178" s="16">
        <f t="shared" si="64"/>
        <v>4.2553191489361701</v>
      </c>
      <c r="AC178" s="6">
        <f>IF(AB178&lt;LeagueRatings!$K$19,((LeagueRatings!$K$19-AB178)/LeagueRatings!$K$19)*36,(LeagueRatings!$K$19-AB178)/LeagueRatings!$K$22)</f>
        <v>-10.886310326933055</v>
      </c>
      <c r="AD178" s="16">
        <f>INDEX('C-P-RollAdj'!$F$4:$F$76,MATCH(INT(AC178),'C-P-RollAdj'!$E$4:$E$76,FALSE),0)</f>
        <v>1.03</v>
      </c>
      <c r="AE178" s="17">
        <f>+((LeagueRatings!$I$17-E178)*5)+9.5</f>
        <v>-0.93561275629363649</v>
      </c>
      <c r="AF178" s="17">
        <f t="shared" si="65"/>
        <v>4</v>
      </c>
      <c r="AG178" s="17">
        <f t="shared" si="66"/>
        <v>-0.36785601515629929</v>
      </c>
      <c r="AH178" s="4">
        <f t="shared" si="67"/>
        <v>4.5821439848437011</v>
      </c>
      <c r="AI178" s="41" t="s">
        <v>1146</v>
      </c>
      <c r="AJ178" s="58">
        <v>5</v>
      </c>
      <c r="AK178" s="219">
        <f>INDEX('C-P-RollAdj'!$J$4:$J$76,MATCH(INT(Z178),'C-P-RollAdj'!$I$4:$I$76,FALSE),0)</f>
        <v>11</v>
      </c>
      <c r="AL178" s="219">
        <f>INDEX('C-P-RollAdj'!$J$4:$J$76,MATCH(INT(AC178),'C-P-RollAdj'!$I$4:$I$76,FALSE),0)</f>
        <v>-25</v>
      </c>
      <c r="AM178" s="14">
        <f>+AR178*LeagueRatings!$K$27</f>
        <v>17.777777777777779</v>
      </c>
      <c r="AN178" s="72">
        <f>F178*LeagueRatings!$K$27</f>
        <v>13.333333333333334</v>
      </c>
      <c r="AO178" s="72">
        <f>G178*LeagueRatings!$K$27</f>
        <v>0</v>
      </c>
      <c r="AP178" s="72">
        <f>T178*LeagueRatings!$K$27</f>
        <v>78.888888888888886</v>
      </c>
      <c r="AR178" s="14">
        <f t="shared" si="68"/>
        <v>32</v>
      </c>
    </row>
    <row r="179" spans="1:44" x14ac:dyDescent="0.2">
      <c r="A179" s="41" t="s">
        <v>773</v>
      </c>
      <c r="B179" s="76" t="s">
        <v>168</v>
      </c>
      <c r="C179" s="76">
        <v>4</v>
      </c>
      <c r="D179" s="76">
        <v>4</v>
      </c>
      <c r="E179" s="97">
        <v>2.58</v>
      </c>
      <c r="F179" s="76">
        <v>79</v>
      </c>
      <c r="G179" s="76">
        <v>0</v>
      </c>
      <c r="H179" s="76">
        <v>0</v>
      </c>
      <c r="I179" s="76">
        <v>0</v>
      </c>
      <c r="J179" s="76">
        <v>2</v>
      </c>
      <c r="K179" s="76">
        <v>6</v>
      </c>
      <c r="L179" s="258">
        <f>INDEX('C-P-RollAdj'!$P$4:$P$900,MATCH((U179),'C-P-RollAdj'!$O$4:$O$900,FALSE),0)</f>
        <v>80.33</v>
      </c>
      <c r="M179" s="76">
        <v>59</v>
      </c>
      <c r="N179" s="76">
        <v>26</v>
      </c>
      <c r="O179" s="76">
        <v>23</v>
      </c>
      <c r="P179" s="76">
        <v>9</v>
      </c>
      <c r="Q179" s="76">
        <v>30</v>
      </c>
      <c r="R179" s="76">
        <v>3</v>
      </c>
      <c r="S179" s="76">
        <v>102</v>
      </c>
      <c r="T179" s="76">
        <v>328</v>
      </c>
      <c r="U179" s="76">
        <v>80.099999999999994</v>
      </c>
      <c r="V179" s="100">
        <v>0.20200000000000001</v>
      </c>
      <c r="W179" s="76">
        <v>1.1100000000000001</v>
      </c>
      <c r="X179" s="76"/>
      <c r="Y179" s="50">
        <f t="shared" si="63"/>
        <v>8.3076923076923084</v>
      </c>
      <c r="Z179" s="6">
        <f>IF(Y179&lt;LeagueRatings!$K$21,((LeagueRatings!$K$21-Y179)/LeagueRatings!$K$21)*36,(LeagueRatings!$K$21-Y179)*6.48)</f>
        <v>2.5948394374377748</v>
      </c>
      <c r="AA179" s="16">
        <f>INDEX('C-P-RollAdj'!$B$4:$B$76,MATCH(INT(Z179),'C-P-RollAdj'!$A$4:$A$76,FALSE),0)</f>
        <v>-0.16</v>
      </c>
      <c r="AB179" s="16">
        <f t="shared" si="64"/>
        <v>2.7692307692307692</v>
      </c>
      <c r="AC179" s="6">
        <f>IF(AB179&lt;LeagueRatings!$K$19,((LeagueRatings!$K$19-AB179)/LeagueRatings!$K$19)*36,(LeagueRatings!$K$19-AB179)/LeagueRatings!$K$22)</f>
        <v>1.717916522938947</v>
      </c>
      <c r="AD179" s="16">
        <f>INDEX('C-P-RollAdj'!$F$4:$F$76,MATCH(INT(AC179),'C-P-RollAdj'!$E$4:$E$76,FALSE),0)</f>
        <v>-7.0000000000000007E-2</v>
      </c>
      <c r="AE179" s="17">
        <f>+((LeagueRatings!$I$17-E179)*5)+9.5</f>
        <v>17.414387243706361</v>
      </c>
      <c r="AF179" s="17">
        <f t="shared" si="65"/>
        <v>17.414387243706361</v>
      </c>
      <c r="AG179" s="17">
        <f t="shared" si="66"/>
        <v>1.7887078302004233</v>
      </c>
      <c r="AH179" s="4">
        <f t="shared" si="67"/>
        <v>18.973095073906784</v>
      </c>
      <c r="AI179" s="41" t="s">
        <v>773</v>
      </c>
      <c r="AJ179" s="58">
        <v>19</v>
      </c>
      <c r="AK179" s="219">
        <f>INDEX('C-P-RollAdj'!$J$4:$J$76,MATCH(INT(Z179),'C-P-RollAdj'!$I$4:$I$76,FALSE),0)</f>
        <v>12</v>
      </c>
      <c r="AL179" s="219">
        <f>INDEX('C-P-RollAdj'!$J$4:$J$76,MATCH(INT(AC179),'C-P-RollAdj'!$I$4:$I$76,FALSE),0)</f>
        <v>11</v>
      </c>
      <c r="AM179" s="14">
        <f>+AR179*LeagueRatings!$K$27</f>
        <v>45</v>
      </c>
      <c r="AN179" s="72">
        <f>F179*LeagueRatings!$K$27</f>
        <v>43.888888888888893</v>
      </c>
      <c r="AO179" s="72">
        <f>G179*LeagueRatings!$K$27</f>
        <v>0</v>
      </c>
      <c r="AP179" s="72">
        <f>T179*LeagueRatings!$K$27</f>
        <v>182.22222222222223</v>
      </c>
      <c r="AR179" s="14">
        <f t="shared" si="68"/>
        <v>81</v>
      </c>
    </row>
    <row r="180" spans="1:44" x14ac:dyDescent="0.2">
      <c r="A180" s="41" t="s">
        <v>1144</v>
      </c>
      <c r="B180" s="76" t="s">
        <v>168</v>
      </c>
      <c r="C180" s="76">
        <v>6</v>
      </c>
      <c r="D180" s="76">
        <v>9</v>
      </c>
      <c r="E180" s="97">
        <v>4.78</v>
      </c>
      <c r="F180" s="76">
        <v>20</v>
      </c>
      <c r="G180" s="76">
        <v>20</v>
      </c>
      <c r="H180" s="76">
        <v>0</v>
      </c>
      <c r="I180" s="76">
        <v>0</v>
      </c>
      <c r="J180" s="76">
        <v>0</v>
      </c>
      <c r="K180" s="76">
        <v>0</v>
      </c>
      <c r="L180" s="258">
        <f>INDEX('C-P-RollAdj'!$P$4:$P$900,MATCH((U180),'C-P-RollAdj'!$O$4:$O$900,FALSE),0)</f>
        <v>111</v>
      </c>
      <c r="M180" s="76">
        <v>116</v>
      </c>
      <c r="N180" s="76">
        <v>68</v>
      </c>
      <c r="O180" s="76">
        <v>59</v>
      </c>
      <c r="P180" s="76">
        <v>10</v>
      </c>
      <c r="Q180" s="76">
        <v>29</v>
      </c>
      <c r="R180" s="76">
        <v>3</v>
      </c>
      <c r="S180" s="76">
        <v>121</v>
      </c>
      <c r="T180" s="76">
        <v>483</v>
      </c>
      <c r="U180" s="76">
        <v>111</v>
      </c>
      <c r="V180" s="100">
        <v>0.26400000000000001</v>
      </c>
      <c r="W180" s="76">
        <v>1.31</v>
      </c>
      <c r="X180" s="76"/>
      <c r="Y180" s="50">
        <f t="shared" si="63"/>
        <v>5.416666666666667</v>
      </c>
      <c r="Z180" s="6">
        <f>IF(Y180&lt;LeagueRatings!$K$21,((LeagueRatings!$K$21-Y180)/LeagueRatings!$K$21)*36,(LeagueRatings!$K$21-Y180)*6.48)</f>
        <v>14.219629108514599</v>
      </c>
      <c r="AA180" s="16">
        <f>INDEX('C-P-RollAdj'!$B$4:$B$76,MATCH(INT(Z180),'C-P-RollAdj'!$A$4:$A$76,FALSE),0)</f>
        <v>-1.19</v>
      </c>
      <c r="AB180" s="16">
        <f t="shared" si="64"/>
        <v>2.083333333333333</v>
      </c>
      <c r="AC180" s="6">
        <f>IF(AB180&lt;LeagueRatings!$K$19,((LeagueRatings!$K$19-AB180)/LeagueRatings!$K$19)*36,(LeagueRatings!$K$19-AB180)/LeagueRatings!$K$22)</f>
        <v>10.209080717488794</v>
      </c>
      <c r="AD180" s="16">
        <f>INDEX('C-P-RollAdj'!$F$4:$F$76,MATCH(INT(AC180),'C-P-RollAdj'!$E$4:$E$76,FALSE),0)</f>
        <v>-0.73</v>
      </c>
      <c r="AE180" s="17">
        <f>+((LeagueRatings!$I$17-E180)*5)+9.5</f>
        <v>6.4143872437063614</v>
      </c>
      <c r="AF180" s="17">
        <f t="shared" si="65"/>
        <v>6.4143872437063614</v>
      </c>
      <c r="AG180" s="17">
        <f t="shared" si="66"/>
        <v>-0.22522522522522515</v>
      </c>
      <c r="AH180" s="4">
        <f t="shared" si="67"/>
        <v>4.2691620184811363</v>
      </c>
      <c r="AI180" s="41" t="s">
        <v>1144</v>
      </c>
      <c r="AJ180" s="58">
        <v>5</v>
      </c>
      <c r="AK180" s="219">
        <f>INDEX('C-P-RollAdj'!$J$4:$J$76,MATCH(INT(Z180),'C-P-RollAdj'!$I$4:$I$76,FALSE),0)</f>
        <v>32</v>
      </c>
      <c r="AL180" s="219">
        <f>INDEX('C-P-RollAdj'!$J$4:$J$76,MATCH(INT(AC180),'C-P-RollAdj'!$I$4:$I$76,FALSE),0)</f>
        <v>24</v>
      </c>
      <c r="AM180" s="14">
        <f>+AR180*LeagueRatings!$K$27</f>
        <v>61.666666666666671</v>
      </c>
      <c r="AN180" s="72">
        <f>F180*LeagueRatings!$K$27</f>
        <v>11.111111111111111</v>
      </c>
      <c r="AO180" s="72">
        <f>G180*LeagueRatings!$K$27</f>
        <v>11.111111111111111</v>
      </c>
      <c r="AP180" s="72">
        <f>T180*LeagueRatings!$K$27</f>
        <v>268.33333333333337</v>
      </c>
      <c r="AR180" s="14">
        <f t="shared" si="68"/>
        <v>111</v>
      </c>
    </row>
    <row r="181" spans="1:44" x14ac:dyDescent="0.2">
      <c r="A181" s="41" t="s">
        <v>1468</v>
      </c>
      <c r="B181" s="76" t="s">
        <v>168</v>
      </c>
      <c r="C181" s="76">
        <v>1</v>
      </c>
      <c r="D181" s="76">
        <v>3</v>
      </c>
      <c r="E181" s="97">
        <v>3.83</v>
      </c>
      <c r="F181" s="76">
        <v>42</v>
      </c>
      <c r="G181" s="76">
        <v>0</v>
      </c>
      <c r="H181" s="76">
        <v>0</v>
      </c>
      <c r="I181" s="76">
        <v>0</v>
      </c>
      <c r="J181" s="76">
        <v>0</v>
      </c>
      <c r="K181" s="76">
        <v>2</v>
      </c>
      <c r="L181" s="258">
        <f>INDEX('C-P-RollAdj'!$P$4:$P$900,MATCH((U181),'C-P-RollAdj'!$O$4:$O$900,FALSE),0)</f>
        <v>40</v>
      </c>
      <c r="M181" s="76">
        <v>36</v>
      </c>
      <c r="N181" s="76">
        <v>18</v>
      </c>
      <c r="O181" s="76">
        <v>17</v>
      </c>
      <c r="P181" s="76">
        <v>5</v>
      </c>
      <c r="Q181" s="76">
        <v>11</v>
      </c>
      <c r="R181" s="76">
        <v>1</v>
      </c>
      <c r="S181" s="76">
        <v>40</v>
      </c>
      <c r="T181" s="76">
        <v>160</v>
      </c>
      <c r="U181" s="76">
        <v>40</v>
      </c>
      <c r="V181" s="100">
        <v>0.24299999999999999</v>
      </c>
      <c r="W181" s="76">
        <v>1.18</v>
      </c>
      <c r="X181" s="76"/>
      <c r="Y181" s="50">
        <f t="shared" si="63"/>
        <v>6.2893081761006293</v>
      </c>
      <c r="Z181" s="6">
        <f>IF(Y181&lt;LeagueRatings!$K$21,((LeagueRatings!$K$21-Y181)/LeagueRatings!$K$21)*36,(LeagueRatings!$K$21-Y181)*6.48)</f>
        <v>10.710744973601857</v>
      </c>
      <c r="AA181" s="16">
        <f>INDEX('C-P-RollAdj'!$B$4:$B$76,MATCH(INT(Z181),'C-P-RollAdj'!$A$4:$A$76,FALSE),0)</f>
        <v>-0.83000000000000007</v>
      </c>
      <c r="AB181" s="16">
        <f t="shared" si="64"/>
        <v>3.1446540880503147</v>
      </c>
      <c r="AC181" s="6">
        <f>IF(AB181&lt;LeagueRatings!$K$19,((LeagueRatings!$K$19-AB181)/LeagueRatings!$K$19)*36,(LeagueRatings!$K$19-AB181)/LeagueRatings!$K$22)</f>
        <v>-1.9121583064887258</v>
      </c>
      <c r="AD181" s="16">
        <f>INDEX('C-P-RollAdj'!$F$4:$F$76,MATCH(INT(AC181),'C-P-RollAdj'!$E$4:$E$76,FALSE),0)</f>
        <v>0.16</v>
      </c>
      <c r="AE181" s="17">
        <f>+((LeagueRatings!$I$17-E181)*5)+9.5</f>
        <v>11.164387243706361</v>
      </c>
      <c r="AF181" s="17">
        <f t="shared" si="65"/>
        <v>11.164387243706361</v>
      </c>
      <c r="AG181" s="17">
        <f t="shared" si="66"/>
        <v>0.62999999999999989</v>
      </c>
      <c r="AH181" s="4">
        <f t="shared" si="67"/>
        <v>11.124387243706362</v>
      </c>
      <c r="AI181" s="41" t="s">
        <v>1468</v>
      </c>
      <c r="AJ181" s="58">
        <v>11</v>
      </c>
      <c r="AK181" s="219">
        <f>INDEX('C-P-RollAdj'!$J$4:$J$76,MATCH(INT(Z181),'C-P-RollAdj'!$I$4:$I$76,FALSE),0)</f>
        <v>24</v>
      </c>
      <c r="AL181" s="219">
        <f>INDEX('C-P-RollAdj'!$J$4:$J$76,MATCH(INT(AC181),'C-P-RollAdj'!$I$4:$I$76,FALSE),0)</f>
        <v>-12</v>
      </c>
      <c r="AM181" s="14">
        <f>+AR181*LeagueRatings!$K$27</f>
        <v>22.222222222222221</v>
      </c>
      <c r="AN181" s="72">
        <f>F181*LeagueRatings!$K$27</f>
        <v>23.333333333333336</v>
      </c>
      <c r="AO181" s="72">
        <f>G181*LeagueRatings!$K$27</f>
        <v>0</v>
      </c>
      <c r="AP181" s="72">
        <f>T181*LeagueRatings!$K$27</f>
        <v>88.888888888888886</v>
      </c>
      <c r="AR181" s="14">
        <f t="shared" si="68"/>
        <v>40</v>
      </c>
    </row>
    <row r="182" spans="1:44" x14ac:dyDescent="0.2">
      <c r="A182" s="41" t="s">
        <v>1470</v>
      </c>
      <c r="B182" s="76" t="s">
        <v>168</v>
      </c>
      <c r="C182" s="76">
        <v>3</v>
      </c>
      <c r="D182" s="76">
        <v>6</v>
      </c>
      <c r="E182" s="97">
        <v>5.7</v>
      </c>
      <c r="F182" s="76">
        <v>10</v>
      </c>
      <c r="G182" s="76">
        <v>10</v>
      </c>
      <c r="H182" s="76">
        <v>0</v>
      </c>
      <c r="I182" s="76">
        <v>0</v>
      </c>
      <c r="J182" s="76">
        <v>0</v>
      </c>
      <c r="K182" s="76">
        <v>0</v>
      </c>
      <c r="L182" s="258">
        <f>INDEX('C-P-RollAdj'!$P$4:$P$900,MATCH((U182),'C-P-RollAdj'!$O$4:$O$900,FALSE),0)</f>
        <v>53.67</v>
      </c>
      <c r="M182" s="76">
        <v>53</v>
      </c>
      <c r="N182" s="76">
        <v>34</v>
      </c>
      <c r="O182" s="76">
        <v>34</v>
      </c>
      <c r="P182" s="76">
        <v>10</v>
      </c>
      <c r="Q182" s="76">
        <v>28</v>
      </c>
      <c r="R182" s="76">
        <v>1</v>
      </c>
      <c r="S182" s="76">
        <v>32</v>
      </c>
      <c r="T182" s="76">
        <v>237</v>
      </c>
      <c r="U182" s="76">
        <v>53.2</v>
      </c>
      <c r="V182" s="100">
        <v>0.26500000000000001</v>
      </c>
      <c r="W182" s="76">
        <v>1.51</v>
      </c>
      <c r="X182" s="76"/>
      <c r="Y182" s="50">
        <f t="shared" si="63"/>
        <v>11.440677966101696</v>
      </c>
      <c r="Z182" s="6">
        <f>IF(Y182&lt;LeagueRatings!$K$21,((LeagueRatings!$K$21-Y182)/LeagueRatings!$K$21)*36,(LeagueRatings!$K$21-Y182)*6.48)</f>
        <v>-16.120052241007954</v>
      </c>
      <c r="AA182" s="16">
        <f>INDEX('C-P-RollAdj'!$B$4:$B$76,MATCH(INT(Z182),'C-P-RollAdj'!$A$4:$A$76,FALSE),0)</f>
        <v>1.93</v>
      </c>
      <c r="AB182" s="16">
        <f t="shared" si="64"/>
        <v>4.2372881355932197</v>
      </c>
      <c r="AC182" s="6">
        <f>IF(AB182&lt;LeagueRatings!$K$19,((LeagueRatings!$K$19-AB182)/LeagueRatings!$K$19)*36,(LeagueRatings!$K$19-AB182)/LeagueRatings!$K$22)</f>
        <v>-10.740620090946667</v>
      </c>
      <c r="AD182" s="16">
        <f>INDEX('C-P-RollAdj'!$F$4:$F$76,MATCH(INT(AC182),'C-P-RollAdj'!$E$4:$E$76,FALSE),0)</f>
        <v>1.03</v>
      </c>
      <c r="AE182" s="17">
        <f>+((LeagueRatings!$I$17-E182)*5)+9.5</f>
        <v>1.8143872437063617</v>
      </c>
      <c r="AF182" s="17">
        <f t="shared" si="65"/>
        <v>4</v>
      </c>
      <c r="AG182" s="17">
        <f t="shared" si="66"/>
        <v>1.7385876653623955E-2</v>
      </c>
      <c r="AH182" s="4">
        <f t="shared" si="67"/>
        <v>6.9773858766536243</v>
      </c>
      <c r="AI182" s="41" t="s">
        <v>1470</v>
      </c>
      <c r="AJ182" s="58">
        <v>7</v>
      </c>
      <c r="AK182" s="219">
        <f>INDEX('C-P-RollAdj'!$J$4:$J$76,MATCH(INT(Z182),'C-P-RollAdj'!$I$4:$I$76,FALSE),0)</f>
        <v>-35</v>
      </c>
      <c r="AL182" s="219">
        <f>INDEX('C-P-RollAdj'!$J$4:$J$76,MATCH(INT(AC182),'C-P-RollAdj'!$I$4:$I$76,FALSE),0)</f>
        <v>-25</v>
      </c>
      <c r="AM182" s="14">
        <f>+AR182*LeagueRatings!$K$27</f>
        <v>30</v>
      </c>
      <c r="AN182" s="72">
        <f>F182*LeagueRatings!$K$27</f>
        <v>5.5555555555555554</v>
      </c>
      <c r="AO182" s="72">
        <f>G182*LeagueRatings!$K$27</f>
        <v>5.5555555555555554</v>
      </c>
      <c r="AP182" s="72">
        <f>T182*LeagueRatings!$K$27</f>
        <v>131.66666666666669</v>
      </c>
      <c r="AR182" s="14">
        <f t="shared" si="68"/>
        <v>54</v>
      </c>
    </row>
    <row r="183" spans="1:44" s="122" customFormat="1" x14ac:dyDescent="0.2">
      <c r="A183" s="41" t="s">
        <v>1184</v>
      </c>
      <c r="B183" s="76" t="s">
        <v>168</v>
      </c>
      <c r="C183" s="76">
        <v>8</v>
      </c>
      <c r="D183" s="76">
        <v>6</v>
      </c>
      <c r="E183" s="97">
        <v>4.12</v>
      </c>
      <c r="F183" s="76">
        <v>24</v>
      </c>
      <c r="G183" s="76">
        <v>24</v>
      </c>
      <c r="H183" s="76">
        <v>1</v>
      </c>
      <c r="I183" s="76">
        <v>1</v>
      </c>
      <c r="J183" s="76">
        <v>0</v>
      </c>
      <c r="K183" s="76">
        <v>0</v>
      </c>
      <c r="L183" s="258">
        <f>INDEX('C-P-RollAdj'!$P$4:$P$900,MATCH((U183),'C-P-RollAdj'!$O$4:$O$900,FALSE),0)</f>
        <v>131</v>
      </c>
      <c r="M183" s="76">
        <v>129</v>
      </c>
      <c r="N183" s="76">
        <v>64</v>
      </c>
      <c r="O183" s="76">
        <v>60</v>
      </c>
      <c r="P183" s="76">
        <v>21</v>
      </c>
      <c r="Q183" s="76">
        <v>45</v>
      </c>
      <c r="R183" s="76">
        <v>1</v>
      </c>
      <c r="S183" s="76">
        <v>152</v>
      </c>
      <c r="T183" s="76">
        <v>551</v>
      </c>
      <c r="U183" s="76">
        <v>131</v>
      </c>
      <c r="V183" s="100">
        <v>0.26300000000000001</v>
      </c>
      <c r="W183" s="76">
        <v>1.33</v>
      </c>
      <c r="X183" s="76"/>
      <c r="Y183" s="50">
        <f t="shared" si="63"/>
        <v>8</v>
      </c>
      <c r="Z183" s="6">
        <f>IF(Y183&lt;LeagueRatings!$K$21,((LeagueRatings!$K$21-Y183)/LeagueRatings!$K$21)*36,(LeagueRatings!$K$21-Y183)*6.48)</f>
        <v>3.8320676064215631</v>
      </c>
      <c r="AA183" s="16">
        <f>INDEX('C-P-RollAdj'!$B$4:$B$76,MATCH(INT(Z183),'C-P-RollAdj'!$A$4:$A$76,FALSE),0)</f>
        <v>-0.24</v>
      </c>
      <c r="AB183" s="16">
        <f t="shared" si="64"/>
        <v>3.8181818181818183</v>
      </c>
      <c r="AC183" s="6">
        <f>IF(AB183&lt;LeagueRatings!$K$19,((LeagueRatings!$K$19-AB183)/LeagueRatings!$K$19)*36,(LeagueRatings!$K$19-AB183)/LeagueRatings!$K$22)</f>
        <v>-7.3542492239467849</v>
      </c>
      <c r="AD183" s="16">
        <f>INDEX('C-P-RollAdj'!$F$4:$F$76,MATCH(INT(AC183),'C-P-RollAdj'!$E$4:$E$76,FALSE),0)</f>
        <v>0.71</v>
      </c>
      <c r="AE183" s="17">
        <f>+((LeagueRatings!$I$17-E183)*5)+9.5</f>
        <v>9.7143872437063621</v>
      </c>
      <c r="AF183" s="17">
        <f t="shared" si="65"/>
        <v>9.7143872437063621</v>
      </c>
      <c r="AG183" s="17">
        <f t="shared" si="66"/>
        <v>3.6870229007633759E-2</v>
      </c>
      <c r="AH183" s="4">
        <f t="shared" si="67"/>
        <v>10.221257472713997</v>
      </c>
      <c r="AI183" s="41" t="s">
        <v>1184</v>
      </c>
      <c r="AJ183" s="58">
        <v>11</v>
      </c>
      <c r="AK183" s="219">
        <f>INDEX('C-P-RollAdj'!$J$4:$J$76,MATCH(INT(Z183),'C-P-RollAdj'!$I$4:$I$76,FALSE),0)</f>
        <v>13</v>
      </c>
      <c r="AL183" s="219">
        <f>INDEX('C-P-RollAdj'!$J$4:$J$76,MATCH(INT(AC183),'C-P-RollAdj'!$I$4:$I$76,FALSE),0)</f>
        <v>-22</v>
      </c>
      <c r="AM183" s="14">
        <f>+AR183*LeagueRatings!$K$27</f>
        <v>72.777777777777786</v>
      </c>
      <c r="AN183" s="72">
        <f>F183*LeagueRatings!$K$27</f>
        <v>13.333333333333334</v>
      </c>
      <c r="AO183" s="72">
        <f>G183*LeagueRatings!$K$27</f>
        <v>13.333333333333334</v>
      </c>
      <c r="AP183" s="72">
        <f>T183*LeagueRatings!$K$27</f>
        <v>306.11111111111114</v>
      </c>
      <c r="AQ183" s="24"/>
      <c r="AR183" s="14">
        <f t="shared" si="68"/>
        <v>131</v>
      </c>
    </row>
    <row r="184" spans="1:44" s="28" customFormat="1" x14ac:dyDescent="0.2">
      <c r="A184" s="124"/>
      <c r="B184" s="125"/>
      <c r="C184" s="125"/>
      <c r="D184" s="125"/>
      <c r="E184" s="126"/>
      <c r="F184" s="125"/>
      <c r="G184" s="125"/>
      <c r="H184" s="8"/>
      <c r="I184" s="8"/>
      <c r="J184" s="125"/>
      <c r="K184" s="125"/>
      <c r="L184" s="126"/>
      <c r="M184" s="125"/>
      <c r="N184" s="125"/>
      <c r="O184" s="125"/>
      <c r="P184" s="125"/>
      <c r="Q184" s="125"/>
      <c r="R184" s="8"/>
      <c r="S184" s="125"/>
      <c r="T184" s="8"/>
      <c r="U184" s="8"/>
      <c r="V184" s="274"/>
      <c r="W184" s="8"/>
      <c r="X184" s="70"/>
      <c r="Y184" s="52"/>
      <c r="Z184" s="53"/>
      <c r="AA184" s="54"/>
      <c r="AB184" s="54"/>
      <c r="AC184" s="53"/>
      <c r="AD184" s="54"/>
      <c r="AE184" s="55"/>
      <c r="AF184" s="55"/>
      <c r="AG184" s="55"/>
      <c r="AH184" s="56"/>
      <c r="AI184" s="124"/>
      <c r="AJ184" s="129"/>
      <c r="AK184" s="9"/>
      <c r="AL184" s="9"/>
      <c r="AM184" s="14"/>
      <c r="AN184" s="72"/>
      <c r="AO184" s="72"/>
      <c r="AP184" s="72"/>
      <c r="AR184" s="14"/>
    </row>
    <row r="185" spans="1:44" x14ac:dyDescent="0.2">
      <c r="A185" s="69" t="s">
        <v>106</v>
      </c>
      <c r="B185" s="70" t="s">
        <v>157</v>
      </c>
      <c r="C185" s="71" t="s">
        <v>85</v>
      </c>
      <c r="D185" s="70" t="s">
        <v>86</v>
      </c>
      <c r="E185" s="71" t="s">
        <v>87</v>
      </c>
      <c r="F185" s="70" t="s">
        <v>108</v>
      </c>
      <c r="G185" s="70" t="s">
        <v>88</v>
      </c>
      <c r="H185" s="70" t="s">
        <v>89</v>
      </c>
      <c r="I185" s="72" t="s">
        <v>317</v>
      </c>
      <c r="J185" s="72" t="s">
        <v>90</v>
      </c>
      <c r="K185" s="72" t="s">
        <v>158</v>
      </c>
      <c r="L185" s="71" t="s">
        <v>91</v>
      </c>
      <c r="M185" s="70" t="s">
        <v>92</v>
      </c>
      <c r="N185" s="70" t="s">
        <v>93</v>
      </c>
      <c r="O185" s="70" t="s">
        <v>94</v>
      </c>
      <c r="P185" s="70" t="s">
        <v>95</v>
      </c>
      <c r="Q185" s="70" t="s">
        <v>96</v>
      </c>
      <c r="R185" s="70" t="s">
        <v>98</v>
      </c>
      <c r="S185" s="70" t="s">
        <v>97</v>
      </c>
      <c r="T185" s="70" t="s">
        <v>109</v>
      </c>
      <c r="U185" s="196" t="s">
        <v>91</v>
      </c>
      <c r="V185" s="277" t="s">
        <v>1071</v>
      </c>
      <c r="W185" s="196" t="s">
        <v>1072</v>
      </c>
      <c r="X185" s="70"/>
      <c r="Y185" s="115" t="s">
        <v>2</v>
      </c>
      <c r="Z185" s="116" t="s">
        <v>3</v>
      </c>
      <c r="AA185" s="117" t="s">
        <v>4</v>
      </c>
      <c r="AB185" s="118" t="s">
        <v>5</v>
      </c>
      <c r="AC185" s="116" t="s">
        <v>6</v>
      </c>
      <c r="AD185" s="117" t="s">
        <v>7</v>
      </c>
      <c r="AE185" s="119" t="s">
        <v>8</v>
      </c>
      <c r="AF185" s="119" t="s">
        <v>81</v>
      </c>
      <c r="AG185" s="119" t="s">
        <v>9</v>
      </c>
      <c r="AH185" s="130" t="s">
        <v>10</v>
      </c>
      <c r="AI185" s="69" t="s">
        <v>106</v>
      </c>
      <c r="AJ185" s="7" t="s">
        <v>11</v>
      </c>
      <c r="AK185" s="7" t="s">
        <v>12</v>
      </c>
      <c r="AL185" s="7" t="s">
        <v>13</v>
      </c>
      <c r="AN185" s="72"/>
      <c r="AO185" s="72"/>
      <c r="AP185" s="72"/>
      <c r="AQ185" s="122"/>
      <c r="AR185" s="14"/>
    </row>
    <row r="186" spans="1:44" x14ac:dyDescent="0.2">
      <c r="A186" s="69"/>
      <c r="B186" s="70"/>
      <c r="C186" s="71"/>
      <c r="D186" s="70"/>
      <c r="E186" s="71"/>
      <c r="F186" s="70"/>
      <c r="G186" s="70"/>
      <c r="H186" s="70"/>
      <c r="I186" s="72"/>
      <c r="J186" s="72"/>
      <c r="K186" s="72"/>
      <c r="L186" s="71"/>
      <c r="M186" s="70"/>
      <c r="N186" s="70"/>
      <c r="O186" s="70"/>
      <c r="P186" s="70"/>
      <c r="Q186" s="70"/>
      <c r="R186" s="70"/>
      <c r="S186" s="70"/>
      <c r="T186" s="70"/>
      <c r="U186" s="70"/>
      <c r="V186" s="164"/>
      <c r="W186" s="70"/>
      <c r="X186" s="76"/>
      <c r="Y186" s="52"/>
      <c r="Z186" s="53"/>
      <c r="AA186" s="54"/>
      <c r="AB186" s="54"/>
      <c r="AC186" s="53"/>
      <c r="AD186" s="54"/>
      <c r="AE186" s="55"/>
      <c r="AF186" s="55"/>
      <c r="AG186" s="55"/>
      <c r="AH186" s="56"/>
      <c r="AI186" s="69"/>
      <c r="AJ186" s="129"/>
      <c r="AK186" s="9"/>
      <c r="AL186" s="9"/>
      <c r="AN186" s="72"/>
      <c r="AO186" s="72"/>
      <c r="AP186" s="72"/>
      <c r="AQ186" s="28"/>
      <c r="AR186" s="14"/>
    </row>
    <row r="187" spans="1:44" x14ac:dyDescent="0.2">
      <c r="A187" s="41" t="s">
        <v>418</v>
      </c>
      <c r="B187" s="76" t="s">
        <v>169</v>
      </c>
      <c r="C187" s="76">
        <v>3</v>
      </c>
      <c r="D187" s="76">
        <v>0</v>
      </c>
      <c r="E187" s="97">
        <v>4.13</v>
      </c>
      <c r="F187" s="76">
        <v>28</v>
      </c>
      <c r="G187" s="76">
        <v>0</v>
      </c>
      <c r="H187" s="76">
        <v>0</v>
      </c>
      <c r="I187" s="76">
        <v>0</v>
      </c>
      <c r="J187" s="76">
        <v>0</v>
      </c>
      <c r="K187" s="76">
        <v>1</v>
      </c>
      <c r="L187" s="258">
        <f>INDEX('C-P-RollAdj'!$P$4:$P$900,MATCH((U187),'C-P-RollAdj'!$O$4:$O$900,FALSE),0)</f>
        <v>24</v>
      </c>
      <c r="M187" s="76">
        <v>19</v>
      </c>
      <c r="N187" s="76">
        <v>13</v>
      </c>
      <c r="O187" s="76">
        <v>11</v>
      </c>
      <c r="P187" s="76">
        <v>3</v>
      </c>
      <c r="Q187" s="76">
        <v>11</v>
      </c>
      <c r="R187" s="76">
        <v>1</v>
      </c>
      <c r="S187" s="76">
        <v>28</v>
      </c>
      <c r="T187" s="76">
        <v>102</v>
      </c>
      <c r="U187" s="76">
        <v>24</v>
      </c>
      <c r="V187" s="100">
        <v>0.216</v>
      </c>
      <c r="W187" s="76">
        <v>1.25</v>
      </c>
      <c r="X187" s="76"/>
      <c r="Y187" s="50">
        <f t="shared" ref="Y187:Y201" si="69">+(Q187-R187)/(T187-R187)*100</f>
        <v>9.9009900990099009</v>
      </c>
      <c r="Z187" s="6">
        <f>IF(Y187&lt;LeagueRatings!$K$21,((LeagueRatings!$K$21-Y187)/LeagueRatings!$K$21)*36,(LeagueRatings!$K$21-Y187)*6.48)</f>
        <v>-6.1428748622531248</v>
      </c>
      <c r="AA187" s="16">
        <f>INDEX('C-P-RollAdj'!$B$4:$B$76,MATCH(INT(Z187),'C-P-RollAdj'!$A$4:$A$76,FALSE),0)</f>
        <v>0.65</v>
      </c>
      <c r="AB187" s="16">
        <f t="shared" ref="AB187:AB201" si="70">(P187/(T187-R187))*100</f>
        <v>2.9702970297029703</v>
      </c>
      <c r="AC187" s="6">
        <f>IF(AB187&lt;LeagueRatings!$K$19,((LeagueRatings!$K$19-AB187)/LeagueRatings!$K$19)*36,(LeagueRatings!$K$19-AB187)/LeagueRatings!$K$22)</f>
        <v>-0.50335667713112642</v>
      </c>
      <c r="AD187" s="16">
        <f>INDEX('C-P-RollAdj'!$F$4:$F$76,MATCH(INT(AC187),'C-P-RollAdj'!$E$4:$E$76,FALSE),0)</f>
        <v>0.08</v>
      </c>
      <c r="AE187" s="17">
        <f>+((LeagueRatings!$I$17-E187)*5)+9.5</f>
        <v>9.6643872437063632</v>
      </c>
      <c r="AF187" s="17">
        <f>IF(AE187&lt;4,4,AE187)</f>
        <v>9.6643872437063632</v>
      </c>
      <c r="AG187" s="17">
        <f t="shared" ref="AG187:AG201" si="71">IF(M187&lt;L187,((1-(M187/L187))*7)-0.07,(1-(M187/L187))*5)</f>
        <v>1.3883333333333334</v>
      </c>
      <c r="AH187" s="4">
        <f>+AA187+AD187+AF187+AG187</f>
        <v>11.782720577039697</v>
      </c>
      <c r="AI187" s="41" t="s">
        <v>418</v>
      </c>
      <c r="AJ187" s="58">
        <v>12</v>
      </c>
      <c r="AK187" s="219">
        <f>INDEX('C-P-RollAdj'!$J$4:$J$76,MATCH(INT(Z187),'C-P-RollAdj'!$I$4:$I$76,FALSE),0)</f>
        <v>-21</v>
      </c>
      <c r="AL187" s="219">
        <f>INDEX('C-P-RollAdj'!$J$4:$J$76,MATCH(INT(AC187),'C-P-RollAdj'!$I$4:$I$76,FALSE),0)</f>
        <v>-11</v>
      </c>
      <c r="AM187" s="14">
        <f>+AR187*LeagueRatings!$K$27</f>
        <v>13.333333333333334</v>
      </c>
      <c r="AN187" s="72">
        <f>F187*LeagueRatings!$K$27</f>
        <v>15.555555555555557</v>
      </c>
      <c r="AO187" s="72">
        <f>G187*LeagueRatings!$K$27</f>
        <v>0</v>
      </c>
      <c r="AP187" s="72">
        <f>T187*LeagueRatings!$K$27</f>
        <v>56.666666666666671</v>
      </c>
      <c r="AR187" s="14">
        <f t="shared" ref="AR187:AR201" si="72">ROUNDUP(L187,0)</f>
        <v>24</v>
      </c>
    </row>
    <row r="188" spans="1:44" x14ac:dyDescent="0.2">
      <c r="A188" s="41" t="s">
        <v>1478</v>
      </c>
      <c r="B188" s="76" t="s">
        <v>169</v>
      </c>
      <c r="C188" s="76">
        <v>0</v>
      </c>
      <c r="D188" s="76">
        <v>3</v>
      </c>
      <c r="E188" s="97">
        <v>4.8600000000000003</v>
      </c>
      <c r="F188" s="76">
        <v>8</v>
      </c>
      <c r="G188" s="76">
        <v>7</v>
      </c>
      <c r="H188" s="76">
        <v>0</v>
      </c>
      <c r="I188" s="76">
        <v>0</v>
      </c>
      <c r="J188" s="76">
        <v>0</v>
      </c>
      <c r="K188" s="76">
        <v>0</v>
      </c>
      <c r="L188" s="258">
        <f>INDEX('C-P-RollAdj'!$P$4:$P$900,MATCH((U188),'C-P-RollAdj'!$O$4:$O$900,FALSE),0)</f>
        <v>33.33</v>
      </c>
      <c r="M188" s="76">
        <v>45</v>
      </c>
      <c r="N188" s="76">
        <v>26</v>
      </c>
      <c r="O188" s="76">
        <v>18</v>
      </c>
      <c r="P188" s="76">
        <v>5</v>
      </c>
      <c r="Q188" s="76">
        <v>17</v>
      </c>
      <c r="R188" s="76">
        <v>1</v>
      </c>
      <c r="S188" s="76">
        <v>29</v>
      </c>
      <c r="T188" s="76">
        <v>166</v>
      </c>
      <c r="U188" s="76">
        <v>33.1</v>
      </c>
      <c r="V188" s="100">
        <v>0.313</v>
      </c>
      <c r="W188" s="76">
        <v>1.86</v>
      </c>
      <c r="X188" s="76"/>
      <c r="Y188" s="50">
        <f t="shared" si="69"/>
        <v>9.6969696969696972</v>
      </c>
      <c r="Z188" s="6">
        <f>IF(Y188&lt;LeagueRatings!$K$21,((LeagueRatings!$K$21-Y188)/LeagueRatings!$K$21)*36,(LeagueRatings!$K$21-Y188)*6.48)</f>
        <v>-4.8208226570326049</v>
      </c>
      <c r="AA188" s="16">
        <f>INDEX('C-P-RollAdj'!$B$4:$B$76,MATCH(INT(Z188),'C-P-RollAdj'!$A$4:$A$76,FALSE),0)</f>
        <v>0.44999999999999996</v>
      </c>
      <c r="AB188" s="16">
        <f t="shared" si="70"/>
        <v>3.0303030303030303</v>
      </c>
      <c r="AC188" s="6">
        <f>IF(AB188&lt;LeagueRatings!$K$19,((LeagueRatings!$K$19-AB188)/LeagueRatings!$K$19)*36,(LeagueRatings!$K$19-AB188)/LeagueRatings!$K$22)</f>
        <v>-0.98820399113081903</v>
      </c>
      <c r="AD188" s="16">
        <f>INDEX('C-P-RollAdj'!$F$4:$F$76,MATCH(INT(AC188),'C-P-RollAdj'!$E$4:$E$76,FALSE),0)</f>
        <v>0.08</v>
      </c>
      <c r="AE188" s="17">
        <f>+((LeagueRatings!$I$17-E188)*5)+9.5</f>
        <v>6.014387243706361</v>
      </c>
      <c r="AF188" s="17">
        <f t="shared" ref="AF188:AF200" si="73">IF(AE188&lt;4,4,AE188)</f>
        <v>6.014387243706361</v>
      </c>
      <c r="AG188" s="17">
        <f t="shared" si="71"/>
        <v>-1.7506750675067506</v>
      </c>
      <c r="AH188" s="4">
        <f t="shared" ref="AH188:AH200" si="74">+AA188+AD188+AF188+AG188</f>
        <v>4.7937121761996107</v>
      </c>
      <c r="AI188" s="41" t="s">
        <v>1478</v>
      </c>
      <c r="AJ188" s="58">
        <v>5</v>
      </c>
      <c r="AK188" s="219">
        <f>INDEX('C-P-RollAdj'!$J$4:$J$76,MATCH(INT(Z188),'C-P-RollAdj'!$I$4:$I$76,FALSE),0)</f>
        <v>-15</v>
      </c>
      <c r="AL188" s="219">
        <f>INDEX('C-P-RollAdj'!$J$4:$J$76,MATCH(INT(AC188),'C-P-RollAdj'!$I$4:$I$76,FALSE),0)</f>
        <v>-11</v>
      </c>
      <c r="AM188" s="14">
        <f>+AR188*LeagueRatings!$K$27</f>
        <v>18.888888888888889</v>
      </c>
      <c r="AN188" s="72">
        <f>F188*LeagueRatings!$K$27</f>
        <v>4.4444444444444446</v>
      </c>
      <c r="AO188" s="72">
        <f>G188*LeagueRatings!$K$27</f>
        <v>3.8888888888888893</v>
      </c>
      <c r="AP188" s="72">
        <f>T188*LeagueRatings!$K$27</f>
        <v>92.222222222222229</v>
      </c>
      <c r="AR188" s="14">
        <f t="shared" si="72"/>
        <v>34</v>
      </c>
    </row>
    <row r="189" spans="1:44" x14ac:dyDescent="0.2">
      <c r="A189" s="41" t="s">
        <v>431</v>
      </c>
      <c r="B189" s="76" t="s">
        <v>169</v>
      </c>
      <c r="C189" s="76">
        <v>7</v>
      </c>
      <c r="D189" s="76">
        <v>10</v>
      </c>
      <c r="E189" s="97">
        <v>3.88</v>
      </c>
      <c r="F189" s="76">
        <v>21</v>
      </c>
      <c r="G189" s="76">
        <v>21</v>
      </c>
      <c r="H189" s="76">
        <v>1</v>
      </c>
      <c r="I189" s="76">
        <v>0</v>
      </c>
      <c r="J189" s="76">
        <v>0</v>
      </c>
      <c r="K189" s="76">
        <v>0</v>
      </c>
      <c r="L189" s="258">
        <f>INDEX('C-P-RollAdj'!$P$4:$P$900,MATCH((U189),'C-P-RollAdj'!$O$4:$O$900,FALSE),0)</f>
        <v>116</v>
      </c>
      <c r="M189" s="76">
        <v>131</v>
      </c>
      <c r="N189" s="76">
        <v>57</v>
      </c>
      <c r="O189" s="76">
        <v>50</v>
      </c>
      <c r="P189" s="76">
        <v>7</v>
      </c>
      <c r="Q189" s="76">
        <v>36</v>
      </c>
      <c r="R189" s="76">
        <v>3</v>
      </c>
      <c r="S189" s="76">
        <v>98</v>
      </c>
      <c r="T189" s="76">
        <v>506</v>
      </c>
      <c r="U189" s="76">
        <v>116</v>
      </c>
      <c r="V189" s="100">
        <v>0.28899999999999998</v>
      </c>
      <c r="W189" s="76">
        <v>1.44</v>
      </c>
      <c r="X189" s="76"/>
      <c r="Y189" s="50">
        <f t="shared" si="69"/>
        <v>6.5606361829025852</v>
      </c>
      <c r="Z189" s="6">
        <f>IF(Y189&lt;LeagueRatings!$K$21,((LeagueRatings!$K$21-Y189)/LeagueRatings!$K$21)*36,(LeagueRatings!$K$21-Y189)*6.48)</f>
        <v>9.6197373511906434</v>
      </c>
      <c r="AA189" s="16">
        <f>INDEX('C-P-RollAdj'!$B$4:$B$76,MATCH(INT(Z189),'C-P-RollAdj'!$A$4:$A$76,FALSE),0)</f>
        <v>-0.74</v>
      </c>
      <c r="AB189" s="16">
        <f t="shared" si="70"/>
        <v>1.3916500994035785</v>
      </c>
      <c r="AC189" s="6">
        <f>IF(AB189&lt;LeagueRatings!$K$19,((LeagueRatings!$K$19-AB189)/LeagueRatings!$K$19)*36,(LeagueRatings!$K$19-AB189)/LeagueRatings!$K$22)</f>
        <v>18.771871016056132</v>
      </c>
      <c r="AD189" s="16">
        <f>INDEX('C-P-RollAdj'!$F$4:$F$76,MATCH(INT(AC189),'C-P-RollAdj'!$E$4:$E$76,FALSE),0)</f>
        <v>-1.4100000000000001</v>
      </c>
      <c r="AE189" s="17">
        <f>+((LeagueRatings!$I$17-E189)*5)+9.5</f>
        <v>10.914387243706363</v>
      </c>
      <c r="AF189" s="17">
        <f t="shared" si="73"/>
        <v>10.914387243706363</v>
      </c>
      <c r="AG189" s="17">
        <f t="shared" si="71"/>
        <v>-0.64655172413793149</v>
      </c>
      <c r="AH189" s="4">
        <f t="shared" si="74"/>
        <v>8.1178355195684304</v>
      </c>
      <c r="AI189" s="41" t="s">
        <v>431</v>
      </c>
      <c r="AJ189" s="58">
        <v>8</v>
      </c>
      <c r="AK189" s="219">
        <f>INDEX('C-P-RollAdj'!$J$4:$J$76,MATCH(INT(Z189),'C-P-RollAdj'!$I$4:$I$76,FALSE),0)</f>
        <v>23</v>
      </c>
      <c r="AL189" s="219">
        <f>INDEX('C-P-RollAdj'!$J$4:$J$76,MATCH(INT(AC189),'C-P-RollAdj'!$I$4:$I$76,FALSE),0)</f>
        <v>36</v>
      </c>
      <c r="AM189" s="14">
        <f>+AR189*LeagueRatings!$K$27</f>
        <v>64.444444444444443</v>
      </c>
      <c r="AN189" s="72">
        <f>F189*LeagueRatings!$K$27</f>
        <v>11.666666666666668</v>
      </c>
      <c r="AO189" s="72">
        <f>G189*LeagueRatings!$K$27</f>
        <v>11.666666666666668</v>
      </c>
      <c r="AP189" s="72">
        <f>T189*LeagueRatings!$K$27</f>
        <v>281.11111111111114</v>
      </c>
      <c r="AR189" s="14">
        <f t="shared" si="72"/>
        <v>116</v>
      </c>
    </row>
    <row r="190" spans="1:44" x14ac:dyDescent="0.2">
      <c r="A190" s="41" t="s">
        <v>636</v>
      </c>
      <c r="B190" s="76" t="s">
        <v>169</v>
      </c>
      <c r="C190" s="76">
        <v>4</v>
      </c>
      <c r="D190" s="76">
        <v>2</v>
      </c>
      <c r="E190" s="97">
        <v>3.52</v>
      </c>
      <c r="F190" s="76">
        <v>62</v>
      </c>
      <c r="G190" s="76">
        <v>0</v>
      </c>
      <c r="H190" s="76">
        <v>0</v>
      </c>
      <c r="I190" s="76">
        <v>0</v>
      </c>
      <c r="J190" s="76">
        <v>2</v>
      </c>
      <c r="K190" s="76">
        <v>4</v>
      </c>
      <c r="L190" s="258">
        <f>INDEX('C-P-RollAdj'!$P$4:$P$900,MATCH((U190),'C-P-RollAdj'!$O$4:$O$900,FALSE),0)</f>
        <v>53.67</v>
      </c>
      <c r="M190" s="76">
        <v>40</v>
      </c>
      <c r="N190" s="76">
        <v>21</v>
      </c>
      <c r="O190" s="76">
        <v>21</v>
      </c>
      <c r="P190" s="76">
        <v>10</v>
      </c>
      <c r="Q190" s="76">
        <v>21</v>
      </c>
      <c r="R190" s="76">
        <v>1</v>
      </c>
      <c r="S190" s="76">
        <v>61</v>
      </c>
      <c r="T190" s="76">
        <v>218</v>
      </c>
      <c r="U190" s="76">
        <v>53.2</v>
      </c>
      <c r="V190" s="100">
        <v>0.20699999999999999</v>
      </c>
      <c r="W190" s="76">
        <v>1.1399999999999999</v>
      </c>
      <c r="X190" s="76"/>
      <c r="Y190" s="50">
        <f t="shared" si="69"/>
        <v>9.216589861751153</v>
      </c>
      <c r="Z190" s="6">
        <f>IF(Y190&lt;LeagueRatings!$K$21,((LeagueRatings!$K$21-Y190)/LeagueRatings!$K$21)*36,(LeagueRatings!$K$21-Y190)*6.48)</f>
        <v>-1.7079613248164385</v>
      </c>
      <c r="AA190" s="16">
        <f>INDEX('C-P-RollAdj'!$B$4:$B$76,MATCH(INT(Z190),'C-P-RollAdj'!$A$4:$A$76,FALSE),0)</f>
        <v>0.18</v>
      </c>
      <c r="AB190" s="16">
        <f t="shared" si="70"/>
        <v>4.6082949308755765</v>
      </c>
      <c r="AC190" s="6">
        <f>IF(AB190&lt;LeagueRatings!$K$19,((LeagueRatings!$K$19-AB190)/LeagueRatings!$K$19)*36,(LeagueRatings!$K$19-AB190)/LeagueRatings!$K$22)</f>
        <v>-13.738347757671129</v>
      </c>
      <c r="AD190" s="16">
        <f>INDEX('C-P-RollAdj'!$F$4:$F$76,MATCH(INT(AC190),'C-P-RollAdj'!$E$4:$E$76,FALSE),0)</f>
        <v>1.38</v>
      </c>
      <c r="AE190" s="17">
        <f>+((LeagueRatings!$I$17-E190)*5)+9.5</f>
        <v>12.714387243706362</v>
      </c>
      <c r="AF190" s="17">
        <f t="shared" si="73"/>
        <v>12.714387243706362</v>
      </c>
      <c r="AG190" s="17">
        <f t="shared" si="71"/>
        <v>1.7129327370970748</v>
      </c>
      <c r="AH190" s="4">
        <f t="shared" si="74"/>
        <v>15.987319980803438</v>
      </c>
      <c r="AI190" s="41" t="s">
        <v>636</v>
      </c>
      <c r="AJ190" s="58">
        <v>16</v>
      </c>
      <c r="AK190" s="219">
        <f>INDEX('C-P-RollAdj'!$J$4:$J$76,MATCH(INT(Z190),'C-P-RollAdj'!$I$4:$I$76,FALSE),0)</f>
        <v>-12</v>
      </c>
      <c r="AL190" s="219">
        <f>INDEX('C-P-RollAdj'!$J$4:$J$76,MATCH(INT(AC190),'C-P-RollAdj'!$I$4:$I$76,FALSE),0)</f>
        <v>-32</v>
      </c>
      <c r="AM190" s="14">
        <f>+AR190*LeagueRatings!$K$27</f>
        <v>30</v>
      </c>
      <c r="AN190" s="72">
        <f>F190*LeagueRatings!$K$27</f>
        <v>34.444444444444443</v>
      </c>
      <c r="AO190" s="72">
        <f>G190*LeagueRatings!$K$27</f>
        <v>0</v>
      </c>
      <c r="AP190" s="72">
        <f>T190*LeagueRatings!$K$27</f>
        <v>121.11111111111111</v>
      </c>
      <c r="AR190" s="14">
        <f t="shared" si="72"/>
        <v>54</v>
      </c>
    </row>
    <row r="191" spans="1:44" x14ac:dyDescent="0.2">
      <c r="A191" s="41" t="s">
        <v>436</v>
      </c>
      <c r="B191" s="76" t="s">
        <v>169</v>
      </c>
      <c r="C191" s="76">
        <v>1</v>
      </c>
      <c r="D191" s="76">
        <v>1</v>
      </c>
      <c r="E191" s="97">
        <v>3.03</v>
      </c>
      <c r="F191" s="76">
        <v>67</v>
      </c>
      <c r="G191" s="76">
        <v>0</v>
      </c>
      <c r="H191" s="76">
        <v>0</v>
      </c>
      <c r="I191" s="76">
        <v>0</v>
      </c>
      <c r="J191" s="76">
        <v>1</v>
      </c>
      <c r="K191" s="76">
        <v>3</v>
      </c>
      <c r="L191" s="258">
        <f>INDEX('C-P-RollAdj'!$P$4:$P$900,MATCH((U191),'C-P-RollAdj'!$O$4:$O$900,FALSE),0)</f>
        <v>59.33</v>
      </c>
      <c r="M191" s="76">
        <v>62</v>
      </c>
      <c r="N191" s="76">
        <v>24</v>
      </c>
      <c r="O191" s="76">
        <v>20</v>
      </c>
      <c r="P191" s="76">
        <v>6</v>
      </c>
      <c r="Q191" s="76">
        <v>22</v>
      </c>
      <c r="R191" s="76">
        <v>3</v>
      </c>
      <c r="S191" s="76">
        <v>34</v>
      </c>
      <c r="T191" s="76">
        <v>257</v>
      </c>
      <c r="U191" s="76">
        <v>59.1</v>
      </c>
      <c r="V191" s="100">
        <v>0.27700000000000002</v>
      </c>
      <c r="W191" s="76">
        <v>1.42</v>
      </c>
      <c r="X191" s="76"/>
      <c r="Y191" s="50">
        <f t="shared" si="69"/>
        <v>7.4803149606299222</v>
      </c>
      <c r="Z191" s="6">
        <f>IF(Y191&lt;LeagueRatings!$K$21,((LeagueRatings!$K$21-Y191)/LeagueRatings!$K$21)*36,(LeagueRatings!$K$21-Y191)*6.48)</f>
        <v>5.9217167579729146</v>
      </c>
      <c r="AA191" s="16">
        <f>INDEX('C-P-RollAdj'!$B$4:$B$76,MATCH(INT(Z191),'C-P-RollAdj'!$A$4:$A$76,FALSE),0)</f>
        <v>-0.4</v>
      </c>
      <c r="AB191" s="16">
        <f t="shared" si="70"/>
        <v>2.3622047244094486</v>
      </c>
      <c r="AC191" s="6">
        <f>IF(AB191&lt;LeagueRatings!$K$19,((LeagueRatings!$K$19-AB191)/LeagueRatings!$K$19)*36,(LeagueRatings!$K$19-AB191)/LeagueRatings!$K$22)</f>
        <v>6.7567529395148522</v>
      </c>
      <c r="AD191" s="16">
        <f>INDEX('C-P-RollAdj'!$F$4:$F$76,MATCH(INT(AC191),'C-P-RollAdj'!$E$4:$E$76,FALSE),0)</f>
        <v>-0.42000000000000004</v>
      </c>
      <c r="AE191" s="17">
        <f>+((LeagueRatings!$I$17-E191)*5)+9.5</f>
        <v>15.164387243706363</v>
      </c>
      <c r="AF191" s="17">
        <f t="shared" si="73"/>
        <v>15.164387243706363</v>
      </c>
      <c r="AG191" s="17">
        <f t="shared" si="71"/>
        <v>-0.22501264115961539</v>
      </c>
      <c r="AH191" s="4">
        <f t="shared" si="74"/>
        <v>14.119374602546747</v>
      </c>
      <c r="AI191" s="41" t="s">
        <v>436</v>
      </c>
      <c r="AJ191" s="58">
        <v>14</v>
      </c>
      <c r="AK191" s="219">
        <f>INDEX('C-P-RollAdj'!$J$4:$J$76,MATCH(INT(Z191),'C-P-RollAdj'!$I$4:$I$76,FALSE),0)</f>
        <v>15</v>
      </c>
      <c r="AL191" s="219">
        <f>INDEX('C-P-RollAdj'!$J$4:$J$76,MATCH(INT(AC191),'C-P-RollAdj'!$I$4:$I$76,FALSE),0)</f>
        <v>16</v>
      </c>
      <c r="AM191" s="14">
        <f>+AR191*LeagueRatings!$K$27</f>
        <v>33.333333333333336</v>
      </c>
      <c r="AN191" s="72">
        <f>F191*LeagueRatings!$K$27</f>
        <v>37.222222222222221</v>
      </c>
      <c r="AO191" s="72">
        <f>G191*LeagueRatings!$K$27</f>
        <v>0</v>
      </c>
      <c r="AP191" s="72">
        <f>T191*LeagueRatings!$K$27</f>
        <v>142.77777777777777</v>
      </c>
      <c r="AR191" s="14">
        <f t="shared" si="72"/>
        <v>60</v>
      </c>
    </row>
    <row r="192" spans="1:44" x14ac:dyDescent="0.2">
      <c r="A192" s="41" t="s">
        <v>1476</v>
      </c>
      <c r="B192" s="76" t="s">
        <v>169</v>
      </c>
      <c r="C192" s="76">
        <v>5</v>
      </c>
      <c r="D192" s="76">
        <v>4</v>
      </c>
      <c r="E192" s="97">
        <v>4.2</v>
      </c>
      <c r="F192" s="76">
        <v>14</v>
      </c>
      <c r="G192" s="76">
        <v>14</v>
      </c>
      <c r="H192" s="76">
        <v>0</v>
      </c>
      <c r="I192" s="76">
        <v>0</v>
      </c>
      <c r="J192" s="76">
        <v>0</v>
      </c>
      <c r="K192" s="76">
        <v>0</v>
      </c>
      <c r="L192" s="258">
        <f>INDEX('C-P-RollAdj'!$P$4:$P$900,MATCH((U192),'C-P-RollAdj'!$O$4:$O$900,FALSE),0)</f>
        <v>70.67</v>
      </c>
      <c r="M192" s="76">
        <v>73</v>
      </c>
      <c r="N192" s="76">
        <v>34</v>
      </c>
      <c r="O192" s="76">
        <v>33</v>
      </c>
      <c r="P192" s="76">
        <v>7</v>
      </c>
      <c r="Q192" s="76">
        <v>20</v>
      </c>
      <c r="R192" s="76">
        <v>0</v>
      </c>
      <c r="S192" s="76">
        <v>53</v>
      </c>
      <c r="T192" s="76">
        <v>301</v>
      </c>
      <c r="U192" s="76">
        <v>70.2</v>
      </c>
      <c r="V192" s="100">
        <v>0.26700000000000002</v>
      </c>
      <c r="W192" s="76">
        <v>1.32</v>
      </c>
      <c r="X192" s="76"/>
      <c r="Y192" s="50">
        <f t="shared" si="69"/>
        <v>6.6445182724252501</v>
      </c>
      <c r="Z192" s="6">
        <f>IF(Y192&lt;LeagueRatings!$K$21,((LeagueRatings!$K$21-Y192)/LeagueRatings!$K$21)*36,(LeagueRatings!$K$21-Y192)*6.48)</f>
        <v>9.2824481780909966</v>
      </c>
      <c r="AA192" s="16">
        <f>INDEX('C-P-RollAdj'!$B$4:$B$76,MATCH(INT(Z192),'C-P-RollAdj'!$A$4:$A$76,FALSE),0)</f>
        <v>-0.74</v>
      </c>
      <c r="AB192" s="16">
        <f t="shared" si="70"/>
        <v>2.3255813953488373</v>
      </c>
      <c r="AC192" s="6">
        <f>IF(AB192&lt;LeagueRatings!$K$19,((LeagueRatings!$K$19-AB192)/LeagueRatings!$K$19)*36,(LeagueRatings!$K$19-AB192)/LeagueRatings!$K$22)</f>
        <v>7.2101366148712067</v>
      </c>
      <c r="AD192" s="16">
        <f>INDEX('C-P-RollAdj'!$F$4:$F$76,MATCH(INT(AC192),'C-P-RollAdj'!$E$4:$E$76,FALSE),0)</f>
        <v>-0.49000000000000005</v>
      </c>
      <c r="AE192" s="17">
        <f>+((LeagueRatings!$I$17-E192)*5)+9.5</f>
        <v>9.3143872437063617</v>
      </c>
      <c r="AF192" s="17">
        <f t="shared" si="73"/>
        <v>9.3143872437063617</v>
      </c>
      <c r="AG192" s="17">
        <f t="shared" si="71"/>
        <v>-0.16485071458893441</v>
      </c>
      <c r="AH192" s="4">
        <f t="shared" si="74"/>
        <v>7.9195365291174271</v>
      </c>
      <c r="AI192" s="41" t="s">
        <v>1476</v>
      </c>
      <c r="AJ192" s="58">
        <v>8</v>
      </c>
      <c r="AK192" s="219">
        <f>INDEX('C-P-RollAdj'!$J$4:$J$76,MATCH(INT(Z192),'C-P-RollAdj'!$I$4:$I$76,FALSE),0)</f>
        <v>23</v>
      </c>
      <c r="AL192" s="219">
        <f>INDEX('C-P-RollAdj'!$J$4:$J$76,MATCH(INT(AC192),'C-P-RollAdj'!$I$4:$I$76,FALSE),0)</f>
        <v>21</v>
      </c>
      <c r="AM192" s="14">
        <f>+AR192*LeagueRatings!$K$27</f>
        <v>39.444444444444443</v>
      </c>
      <c r="AN192" s="72">
        <f>F192*LeagueRatings!$K$27</f>
        <v>7.7777777777777786</v>
      </c>
      <c r="AO192" s="72">
        <f>G192*LeagueRatings!$K$27</f>
        <v>7.7777777777777786</v>
      </c>
      <c r="AP192" s="72">
        <f>T192*LeagueRatings!$K$27</f>
        <v>167.22222222222223</v>
      </c>
      <c r="AR192" s="14">
        <f t="shared" si="72"/>
        <v>71</v>
      </c>
    </row>
    <row r="193" spans="1:44" x14ac:dyDescent="0.2">
      <c r="A193" s="41" t="s">
        <v>797</v>
      </c>
      <c r="B193" s="76" t="s">
        <v>169</v>
      </c>
      <c r="C193" s="76">
        <v>2</v>
      </c>
      <c r="D193" s="76">
        <v>0</v>
      </c>
      <c r="E193" s="97">
        <v>3.96</v>
      </c>
      <c r="F193" s="76">
        <v>14</v>
      </c>
      <c r="G193" s="76">
        <v>0</v>
      </c>
      <c r="H193" s="76">
        <v>0</v>
      </c>
      <c r="I193" s="76">
        <v>0</v>
      </c>
      <c r="J193" s="76">
        <v>0</v>
      </c>
      <c r="K193" s="76">
        <v>0</v>
      </c>
      <c r="L193" s="258">
        <f>INDEX('C-P-RollAdj'!$P$4:$P$900,MATCH((U193),'C-P-RollAdj'!$O$4:$O$900,FALSE),0)</f>
        <v>25</v>
      </c>
      <c r="M193" s="76">
        <v>25</v>
      </c>
      <c r="N193" s="76">
        <v>11</v>
      </c>
      <c r="O193" s="76">
        <v>11</v>
      </c>
      <c r="P193" s="76">
        <v>2</v>
      </c>
      <c r="Q193" s="76">
        <v>12</v>
      </c>
      <c r="R193" s="76">
        <v>1</v>
      </c>
      <c r="S193" s="76">
        <v>15</v>
      </c>
      <c r="T193" s="76">
        <v>110</v>
      </c>
      <c r="U193" s="76">
        <v>25</v>
      </c>
      <c r="V193" s="100">
        <v>0.26300000000000001</v>
      </c>
      <c r="W193" s="76">
        <v>1.48</v>
      </c>
      <c r="X193" s="76"/>
      <c r="Y193" s="50">
        <f t="shared" si="69"/>
        <v>10.091743119266056</v>
      </c>
      <c r="Z193" s="6">
        <f>IF(Y193&lt;LeagueRatings!$K$21,((LeagueRatings!$K$21-Y193)/LeagueRatings!$K$21)*36,(LeagueRatings!$K$21-Y193)*6.48)</f>
        <v>-7.3789544335130088</v>
      </c>
      <c r="AA193" s="16">
        <f>INDEX('C-P-RollAdj'!$B$4:$B$76,MATCH(INT(Z193),'C-P-RollAdj'!$A$4:$A$76,FALSE),0)</f>
        <v>0.76</v>
      </c>
      <c r="AB193" s="16">
        <f t="shared" si="70"/>
        <v>1.834862385321101</v>
      </c>
      <c r="AC193" s="6">
        <f>IF(AB193&lt;LeagueRatings!$K$19,((LeagueRatings!$K$19-AB193)/LeagueRatings!$K$19)*36,(LeagueRatings!$K$19-AB193)/LeagueRatings!$K$22)</f>
        <v>13.285061916320402</v>
      </c>
      <c r="AD193" s="16">
        <f>INDEX('C-P-RollAdj'!$F$4:$F$76,MATCH(INT(AC193),'C-P-RollAdj'!$E$4:$E$76,FALSE),0)</f>
        <v>-0.97</v>
      </c>
      <c r="AE193" s="17">
        <f>+((LeagueRatings!$I$17-E193)*5)+9.5</f>
        <v>10.514387243706363</v>
      </c>
      <c r="AF193" s="17">
        <f t="shared" si="73"/>
        <v>10.514387243706363</v>
      </c>
      <c r="AG193" s="17">
        <f t="shared" si="71"/>
        <v>0</v>
      </c>
      <c r="AH193" s="4">
        <f t="shared" si="74"/>
        <v>10.304387243706362</v>
      </c>
      <c r="AI193" s="41" t="s">
        <v>797</v>
      </c>
      <c r="AJ193" s="58">
        <v>11</v>
      </c>
      <c r="AK193" s="219">
        <f>INDEX('C-P-RollAdj'!$J$4:$J$76,MATCH(INT(Z193),'C-P-RollAdj'!$I$4:$I$76,FALSE),0)</f>
        <v>-22</v>
      </c>
      <c r="AL193" s="219">
        <f>INDEX('C-P-RollAdj'!$J$4:$J$76,MATCH(INT(AC193),'C-P-RollAdj'!$I$4:$I$76,FALSE),0)</f>
        <v>31</v>
      </c>
      <c r="AM193" s="14">
        <f>+AR193*LeagueRatings!$K$27</f>
        <v>13.888888888888889</v>
      </c>
      <c r="AN193" s="72">
        <f>F193*LeagueRatings!$K$27</f>
        <v>7.7777777777777786</v>
      </c>
      <c r="AO193" s="72">
        <f>G193*LeagueRatings!$K$27</f>
        <v>0</v>
      </c>
      <c r="AP193" s="72">
        <f>T193*LeagueRatings!$K$27</f>
        <v>61.111111111111114</v>
      </c>
      <c r="AR193" s="14">
        <f t="shared" si="72"/>
        <v>25</v>
      </c>
    </row>
    <row r="194" spans="1:44" x14ac:dyDescent="0.2">
      <c r="A194" s="41" t="s">
        <v>435</v>
      </c>
      <c r="B194" s="76" t="s">
        <v>169</v>
      </c>
      <c r="C194" s="76">
        <v>9</v>
      </c>
      <c r="D194" s="76">
        <v>8</v>
      </c>
      <c r="E194" s="97">
        <v>5.44</v>
      </c>
      <c r="F194" s="76">
        <v>30</v>
      </c>
      <c r="G194" s="76">
        <v>19</v>
      </c>
      <c r="H194" s="76">
        <v>1</v>
      </c>
      <c r="I194" s="76">
        <v>1</v>
      </c>
      <c r="J194" s="76">
        <v>0</v>
      </c>
      <c r="K194" s="76">
        <v>0</v>
      </c>
      <c r="L194" s="258">
        <f>INDEX('C-P-RollAdj'!$P$4:$P$900,MATCH((U194),'C-P-RollAdj'!$O$4:$O$900,FALSE),0)</f>
        <v>127.33</v>
      </c>
      <c r="M194" s="76">
        <v>151</v>
      </c>
      <c r="N194" s="76">
        <v>81</v>
      </c>
      <c r="O194" s="76">
        <v>77</v>
      </c>
      <c r="P194" s="76">
        <v>17</v>
      </c>
      <c r="Q194" s="76">
        <v>44</v>
      </c>
      <c r="R194" s="76">
        <v>4</v>
      </c>
      <c r="S194" s="76">
        <v>73</v>
      </c>
      <c r="T194" s="76">
        <v>564</v>
      </c>
      <c r="U194" s="76">
        <v>127.1</v>
      </c>
      <c r="V194" s="100">
        <v>0.29799999999999999</v>
      </c>
      <c r="W194" s="76">
        <v>1.53</v>
      </c>
      <c r="X194" s="76"/>
      <c r="Y194" s="50">
        <f t="shared" si="69"/>
        <v>7.1428571428571423</v>
      </c>
      <c r="Z194" s="6">
        <f>IF(Y194&lt;LeagueRatings!$K$21,((LeagueRatings!$K$21-Y194)/LeagueRatings!$K$21)*36,(LeagueRatings!$K$21-Y194)*6.48)</f>
        <v>7.2786317914478262</v>
      </c>
      <c r="AA194" s="16">
        <f>INDEX('C-P-RollAdj'!$B$4:$B$76,MATCH(INT(Z194),'C-P-RollAdj'!$A$4:$A$76,FALSE),0)</f>
        <v>-0.56000000000000005</v>
      </c>
      <c r="AB194" s="16">
        <f t="shared" si="70"/>
        <v>3.0357142857142856</v>
      </c>
      <c r="AC194" s="6">
        <f>IF(AB194&lt;LeagueRatings!$K$19,((LeagueRatings!$K$19-AB194)/LeagueRatings!$K$19)*36,(LeagueRatings!$K$19-AB194)/LeagueRatings!$K$22)</f>
        <v>-1.0319268292682906</v>
      </c>
      <c r="AD194" s="16">
        <f>INDEX('C-P-RollAdj'!$F$4:$F$76,MATCH(INT(AC194),'C-P-RollAdj'!$E$4:$E$76,FALSE),0)</f>
        <v>0.16</v>
      </c>
      <c r="AE194" s="17">
        <f>+((LeagueRatings!$I$17-E194)*5)+9.5</f>
        <v>3.1143872437063607</v>
      </c>
      <c r="AF194" s="17">
        <f t="shared" si="73"/>
        <v>4</v>
      </c>
      <c r="AG194" s="17">
        <f t="shared" si="71"/>
        <v>-0.92947459357574869</v>
      </c>
      <c r="AH194" s="4">
        <f t="shared" si="74"/>
        <v>2.6705254064242512</v>
      </c>
      <c r="AI194" s="41" t="s">
        <v>435</v>
      </c>
      <c r="AJ194" s="58">
        <v>3</v>
      </c>
      <c r="AK194" s="219">
        <f>INDEX('C-P-RollAdj'!$J$4:$J$76,MATCH(INT(Z194),'C-P-RollAdj'!$I$4:$I$76,FALSE),0)</f>
        <v>21</v>
      </c>
      <c r="AL194" s="219">
        <f>INDEX('C-P-RollAdj'!$J$4:$J$76,MATCH(INT(AC194),'C-P-RollAdj'!$I$4:$I$76,FALSE),0)</f>
        <v>-12</v>
      </c>
      <c r="AM194" s="14">
        <f>+AR194*LeagueRatings!$K$27</f>
        <v>71.111111111111114</v>
      </c>
      <c r="AN194" s="72">
        <f>F194*LeagueRatings!$K$27</f>
        <v>16.666666666666668</v>
      </c>
      <c r="AO194" s="72">
        <f>G194*LeagueRatings!$K$27</f>
        <v>10.555555555555555</v>
      </c>
      <c r="AP194" s="72">
        <f>T194*LeagueRatings!$K$27</f>
        <v>313.33333333333337</v>
      </c>
      <c r="AR194" s="14">
        <f t="shared" si="72"/>
        <v>128</v>
      </c>
    </row>
    <row r="195" spans="1:44" x14ac:dyDescent="0.2">
      <c r="A195" s="41" t="s">
        <v>370</v>
      </c>
      <c r="B195" s="76" t="s">
        <v>169</v>
      </c>
      <c r="C195" s="76">
        <v>10</v>
      </c>
      <c r="D195" s="76">
        <v>7</v>
      </c>
      <c r="E195" s="97">
        <v>4.5</v>
      </c>
      <c r="F195" s="76">
        <v>52</v>
      </c>
      <c r="G195" s="76">
        <v>12</v>
      </c>
      <c r="H195" s="76">
        <v>0</v>
      </c>
      <c r="I195" s="76">
        <v>0</v>
      </c>
      <c r="J195" s="76">
        <v>0</v>
      </c>
      <c r="K195" s="76">
        <v>2</v>
      </c>
      <c r="L195" s="258">
        <f>INDEX('C-P-RollAdj'!$P$4:$P$900,MATCH((U195),'C-P-RollAdj'!$O$4:$O$900,FALSE),0)</f>
        <v>118</v>
      </c>
      <c r="M195" s="76">
        <v>117</v>
      </c>
      <c r="N195" s="76">
        <v>64</v>
      </c>
      <c r="O195" s="76">
        <v>59</v>
      </c>
      <c r="P195" s="76">
        <v>15</v>
      </c>
      <c r="Q195" s="76">
        <v>45</v>
      </c>
      <c r="R195" s="76">
        <v>3</v>
      </c>
      <c r="S195" s="76">
        <v>138</v>
      </c>
      <c r="T195" s="76">
        <v>513</v>
      </c>
      <c r="U195" s="76">
        <v>118</v>
      </c>
      <c r="V195" s="100">
        <v>0.26100000000000001</v>
      </c>
      <c r="W195" s="76">
        <v>1.37</v>
      </c>
      <c r="X195" s="76"/>
      <c r="Y195" s="50">
        <f t="shared" si="69"/>
        <v>8.235294117647058</v>
      </c>
      <c r="Z195" s="6">
        <f>IF(Y195&lt;LeagueRatings!$K$21,((LeagueRatings!$K$21-Y195)/LeagueRatings!$K$21)*36,(LeagueRatings!$K$21-Y195)*6.48)</f>
        <v>2.8859519477869067</v>
      </c>
      <c r="AA195" s="16">
        <f>INDEX('C-P-RollAdj'!$B$4:$B$76,MATCH(INT(Z195),'C-P-RollAdj'!$A$4:$A$76,FALSE),0)</f>
        <v>-0.16</v>
      </c>
      <c r="AB195" s="16">
        <f t="shared" si="70"/>
        <v>2.9411764705882351</v>
      </c>
      <c r="AC195" s="6">
        <f>IF(AB195&lt;LeagueRatings!$K$19,((LeagueRatings!$K$19-AB195)/LeagueRatings!$K$19)*36,(LeagueRatings!$K$19-AB195)/LeagueRatings!$K$22)</f>
        <v>-0.26806312769009738</v>
      </c>
      <c r="AD195" s="16">
        <f>INDEX('C-P-RollAdj'!$F$4:$F$76,MATCH(INT(AC195),'C-P-RollAdj'!$E$4:$E$76,FALSE),0)</f>
        <v>0.08</v>
      </c>
      <c r="AE195" s="17">
        <f>+((LeagueRatings!$I$17-E195)*5)+9.5</f>
        <v>7.8143872437063626</v>
      </c>
      <c r="AF195" s="17">
        <f t="shared" si="73"/>
        <v>7.8143872437063626</v>
      </c>
      <c r="AG195" s="17">
        <f t="shared" si="71"/>
        <v>-1.067796610169508E-2</v>
      </c>
      <c r="AH195" s="4">
        <f t="shared" si="74"/>
        <v>7.7237092776046676</v>
      </c>
      <c r="AI195" s="41" t="s">
        <v>370</v>
      </c>
      <c r="AJ195" s="58">
        <v>8</v>
      </c>
      <c r="AK195" s="219">
        <f>INDEX('C-P-RollAdj'!$J$4:$J$76,MATCH(INT(Z195),'C-P-RollAdj'!$I$4:$I$76,FALSE),0)</f>
        <v>12</v>
      </c>
      <c r="AL195" s="219">
        <f>INDEX('C-P-RollAdj'!$J$4:$J$76,MATCH(INT(AC195),'C-P-RollAdj'!$I$4:$I$76,FALSE),0)</f>
        <v>-11</v>
      </c>
      <c r="AM195" s="14">
        <f>+AR195*LeagueRatings!$K$27</f>
        <v>65.555555555555557</v>
      </c>
      <c r="AN195" s="72">
        <f>F195*LeagueRatings!$K$27</f>
        <v>28.888888888888889</v>
      </c>
      <c r="AO195" s="72">
        <f>G195*LeagueRatings!$K$27</f>
        <v>6.666666666666667</v>
      </c>
      <c r="AP195" s="72">
        <f>T195*LeagueRatings!$K$27</f>
        <v>285</v>
      </c>
      <c r="AR195" s="14">
        <f t="shared" si="72"/>
        <v>118</v>
      </c>
    </row>
    <row r="196" spans="1:44" x14ac:dyDescent="0.2">
      <c r="A196" s="41" t="s">
        <v>584</v>
      </c>
      <c r="B196" s="76" t="s">
        <v>169</v>
      </c>
      <c r="C196" s="76">
        <v>5</v>
      </c>
      <c r="D196" s="76">
        <v>2</v>
      </c>
      <c r="E196" s="97">
        <v>3.06</v>
      </c>
      <c r="F196" s="76">
        <v>11</v>
      </c>
      <c r="G196" s="76">
        <v>11</v>
      </c>
      <c r="H196" s="76">
        <v>3</v>
      </c>
      <c r="I196" s="76">
        <v>0</v>
      </c>
      <c r="J196" s="76">
        <v>0</v>
      </c>
      <c r="K196" s="76">
        <v>0</v>
      </c>
      <c r="L196" s="258">
        <f>INDEX('C-P-RollAdj'!$P$4:$P$900,MATCH((U196),'C-P-RollAdj'!$O$4:$O$900,FALSE),0)</f>
        <v>64.67</v>
      </c>
      <c r="M196" s="76">
        <v>68</v>
      </c>
      <c r="N196" s="76">
        <v>27</v>
      </c>
      <c r="O196" s="76">
        <v>22</v>
      </c>
      <c r="P196" s="76">
        <v>4</v>
      </c>
      <c r="Q196" s="76">
        <v>3</v>
      </c>
      <c r="R196" s="76">
        <v>0</v>
      </c>
      <c r="S196" s="76">
        <v>52</v>
      </c>
      <c r="T196" s="76">
        <v>263</v>
      </c>
      <c r="U196" s="76">
        <v>64.2</v>
      </c>
      <c r="V196" s="100">
        <v>0.27300000000000002</v>
      </c>
      <c r="W196" s="76">
        <v>1.1000000000000001</v>
      </c>
      <c r="X196" s="76"/>
      <c r="Y196" s="50">
        <f t="shared" si="69"/>
        <v>1.1406844106463878</v>
      </c>
      <c r="Z196" s="6">
        <f>IF(Y196&lt;LeagueRatings!$K$21,((LeagueRatings!$K$21-Y196)/LeagueRatings!$K$21)*36,(LeagueRatings!$K$21-Y196)*6.48)</f>
        <v>31.413317624489764</v>
      </c>
      <c r="AA196" s="16">
        <f>INDEX('C-P-RollAdj'!$B$4:$B$76,MATCH(INT(Z196),'C-P-RollAdj'!$A$4:$A$76,FALSE),0)</f>
        <v>-3.02</v>
      </c>
      <c r="AB196" s="16">
        <f t="shared" si="70"/>
        <v>1.520912547528517</v>
      </c>
      <c r="AC196" s="6">
        <f>IF(AB196&lt;LeagueRatings!$K$19,((LeagueRatings!$K$19-AB196)/LeagueRatings!$K$19)*36,(LeagueRatings!$K$19-AB196)/LeagueRatings!$K$22)</f>
        <v>17.171648280448093</v>
      </c>
      <c r="AD196" s="16">
        <f>INDEX('C-P-RollAdj'!$F$4:$F$76,MATCH(INT(AC196),'C-P-RollAdj'!$E$4:$E$76,FALSE),0)</f>
        <v>-1.32</v>
      </c>
      <c r="AE196" s="17">
        <f>+((LeagueRatings!$I$17-E196)*5)+9.5</f>
        <v>15.014387243706363</v>
      </c>
      <c r="AF196" s="17">
        <f t="shared" si="73"/>
        <v>15.014387243706363</v>
      </c>
      <c r="AG196" s="17">
        <f t="shared" si="71"/>
        <v>-0.25746095562084403</v>
      </c>
      <c r="AH196" s="4">
        <f t="shared" si="74"/>
        <v>10.416926288085518</v>
      </c>
      <c r="AI196" s="41" t="s">
        <v>584</v>
      </c>
      <c r="AJ196" s="58">
        <v>11</v>
      </c>
      <c r="AK196" s="219">
        <f>INDEX('C-P-RollAdj'!$J$4:$J$76,MATCH(INT(Z196),'C-P-RollAdj'!$I$4:$I$76,FALSE),0)</f>
        <v>61</v>
      </c>
      <c r="AL196" s="219">
        <f>INDEX('C-P-RollAdj'!$J$4:$J$76,MATCH(INT(AC196),'C-P-RollAdj'!$I$4:$I$76,FALSE),0)</f>
        <v>35</v>
      </c>
      <c r="AM196" s="14">
        <f>+AR196*LeagueRatings!$K$27</f>
        <v>36.111111111111114</v>
      </c>
      <c r="AN196" s="72">
        <f>F196*LeagueRatings!$K$27</f>
        <v>6.1111111111111116</v>
      </c>
      <c r="AO196" s="72">
        <f>G196*LeagueRatings!$K$27</f>
        <v>6.1111111111111116</v>
      </c>
      <c r="AP196" s="72">
        <f>T196*LeagueRatings!$K$27</f>
        <v>146.11111111111111</v>
      </c>
      <c r="AR196" s="14">
        <f t="shared" si="72"/>
        <v>65</v>
      </c>
    </row>
    <row r="197" spans="1:44" x14ac:dyDescent="0.2">
      <c r="A197" s="41" t="s">
        <v>1161</v>
      </c>
      <c r="B197" s="76" t="s">
        <v>169</v>
      </c>
      <c r="C197" s="76">
        <v>1</v>
      </c>
      <c r="D197" s="76">
        <v>3</v>
      </c>
      <c r="E197" s="97">
        <v>3.29</v>
      </c>
      <c r="F197" s="76">
        <v>28</v>
      </c>
      <c r="G197" s="76">
        <v>0</v>
      </c>
      <c r="H197" s="76">
        <v>0</v>
      </c>
      <c r="I197" s="76">
        <v>0</v>
      </c>
      <c r="J197" s="76">
        <v>0</v>
      </c>
      <c r="K197" s="76">
        <v>2</v>
      </c>
      <c r="L197" s="258">
        <f>INDEX('C-P-RollAdj'!$P$4:$P$900,MATCH((U197),'C-P-RollAdj'!$O$4:$O$900,FALSE),0)</f>
        <v>27.33</v>
      </c>
      <c r="M197" s="76">
        <v>23</v>
      </c>
      <c r="N197" s="76">
        <v>13</v>
      </c>
      <c r="O197" s="76">
        <v>10</v>
      </c>
      <c r="P197" s="76">
        <v>3</v>
      </c>
      <c r="Q197" s="76">
        <v>18</v>
      </c>
      <c r="R197" s="76">
        <v>1</v>
      </c>
      <c r="S197" s="76">
        <v>39</v>
      </c>
      <c r="T197" s="76">
        <v>124</v>
      </c>
      <c r="U197" s="76">
        <v>27.1</v>
      </c>
      <c r="V197" s="100">
        <v>0.221</v>
      </c>
      <c r="W197" s="76">
        <v>1.5</v>
      </c>
      <c r="X197" s="76"/>
      <c r="Y197" s="50">
        <f t="shared" si="69"/>
        <v>13.821138211382115</v>
      </c>
      <c r="Z197" s="6">
        <f>IF(Y197&lt;LeagueRatings!$K$21,((LeagueRatings!$K$21-Y197)/LeagueRatings!$K$21)*36,(LeagueRatings!$K$21-Y197)*6.48)</f>
        <v>-31.545434630425074</v>
      </c>
      <c r="AA197" s="16">
        <f>INDEX('C-P-RollAdj'!$B$4:$B$76,MATCH(INT(Z197),'C-P-RollAdj'!$A$4:$A$76,FALSE),0)</f>
        <v>4.5999999999999996</v>
      </c>
      <c r="AB197" s="16">
        <f t="shared" si="70"/>
        <v>2.4390243902439024</v>
      </c>
      <c r="AC197" s="6">
        <f>IF(AB197&lt;LeagueRatings!$K$19,((LeagueRatings!$K$19-AB197)/LeagueRatings!$K$19)*36,(LeagueRatings!$K$19-AB197)/LeagueRatings!$K$22)</f>
        <v>5.805753035108828</v>
      </c>
      <c r="AD197" s="16">
        <f>INDEX('C-P-RollAdj'!$F$4:$F$76,MATCH(INT(AC197),'C-P-RollAdj'!$E$4:$E$76,FALSE),0)</f>
        <v>-0.35000000000000003</v>
      </c>
      <c r="AE197" s="17">
        <f>+((LeagueRatings!$I$17-E197)*5)+9.5</f>
        <v>13.864387243706362</v>
      </c>
      <c r="AF197" s="17">
        <f t="shared" si="73"/>
        <v>13.864387243706362</v>
      </c>
      <c r="AG197" s="17">
        <f t="shared" si="71"/>
        <v>1.039037687522868</v>
      </c>
      <c r="AH197" s="4">
        <f t="shared" si="74"/>
        <v>19.153424931229228</v>
      </c>
      <c r="AI197" s="41" t="s">
        <v>1161</v>
      </c>
      <c r="AJ197" s="58">
        <v>19</v>
      </c>
      <c r="AK197" s="219">
        <f>INDEX('C-P-RollAdj'!$J$4:$J$76,MATCH(INT(Z197),'C-P-RollAdj'!$I$4:$I$76,FALSE),0)</f>
        <v>-62</v>
      </c>
      <c r="AL197" s="219">
        <f>INDEX('C-P-RollAdj'!$J$4:$J$76,MATCH(INT(AC197),'C-P-RollAdj'!$I$4:$I$76,FALSE),0)</f>
        <v>15</v>
      </c>
      <c r="AM197" s="14">
        <f>+AR197*LeagueRatings!$K$27</f>
        <v>15.555555555555557</v>
      </c>
      <c r="AN197" s="72">
        <f>F197*LeagueRatings!$K$27</f>
        <v>15.555555555555557</v>
      </c>
      <c r="AO197" s="72">
        <f>G197*LeagueRatings!$K$27</f>
        <v>0</v>
      </c>
      <c r="AP197" s="72">
        <f>T197*LeagueRatings!$K$27</f>
        <v>68.888888888888886</v>
      </c>
      <c r="AR197" s="14">
        <f t="shared" si="72"/>
        <v>28</v>
      </c>
    </row>
    <row r="198" spans="1:44" x14ac:dyDescent="0.2">
      <c r="A198" s="41" t="s">
        <v>1089</v>
      </c>
      <c r="B198" s="76" t="s">
        <v>169</v>
      </c>
      <c r="C198" s="76">
        <v>2</v>
      </c>
      <c r="D198" s="76">
        <v>2</v>
      </c>
      <c r="E198" s="97">
        <v>3.63</v>
      </c>
      <c r="F198" s="76">
        <v>36</v>
      </c>
      <c r="G198" s="76">
        <v>0</v>
      </c>
      <c r="H198" s="76">
        <v>0</v>
      </c>
      <c r="I198" s="76">
        <v>0</v>
      </c>
      <c r="J198" s="76">
        <v>1</v>
      </c>
      <c r="K198" s="76">
        <v>2</v>
      </c>
      <c r="L198" s="258">
        <f>INDEX('C-P-RollAdj'!$P$4:$P$900,MATCH((U198),'C-P-RollAdj'!$O$4:$O$900,FALSE),0)</f>
        <v>52</v>
      </c>
      <c r="M198" s="76">
        <v>41</v>
      </c>
      <c r="N198" s="76">
        <v>22</v>
      </c>
      <c r="O198" s="76">
        <v>21</v>
      </c>
      <c r="P198" s="76">
        <v>4</v>
      </c>
      <c r="Q198" s="76">
        <v>13</v>
      </c>
      <c r="R198" s="76">
        <v>0</v>
      </c>
      <c r="S198" s="76">
        <v>46</v>
      </c>
      <c r="T198" s="76">
        <v>204</v>
      </c>
      <c r="U198" s="76">
        <v>52</v>
      </c>
      <c r="V198" s="100">
        <v>0.216</v>
      </c>
      <c r="W198" s="76">
        <v>1.04</v>
      </c>
      <c r="X198" s="76"/>
      <c r="Y198" s="50">
        <f t="shared" si="69"/>
        <v>6.3725490196078427</v>
      </c>
      <c r="Z198" s="6">
        <f>IF(Y198&lt;LeagueRatings!$K$21,((LeagueRatings!$K$21-Y198)/LeagueRatings!$K$21)*36,(LeagueRatings!$K$21-Y198)*6.48)</f>
        <v>10.376034245311295</v>
      </c>
      <c r="AA198" s="16">
        <f>INDEX('C-P-RollAdj'!$B$4:$B$76,MATCH(INT(Z198),'C-P-RollAdj'!$A$4:$A$76,FALSE),0)</f>
        <v>-0.83000000000000007</v>
      </c>
      <c r="AB198" s="16">
        <f t="shared" si="70"/>
        <v>1.9607843137254901</v>
      </c>
      <c r="AC198" s="6">
        <f>IF(AB198&lt;LeagueRatings!$K$19,((LeagueRatings!$K$19-AB198)/LeagueRatings!$K$19)*36,(LeagueRatings!$K$19-AB198)/LeagueRatings!$K$22)</f>
        <v>11.726193616460039</v>
      </c>
      <c r="AD198" s="16">
        <f>INDEX('C-P-RollAdj'!$F$4:$F$76,MATCH(INT(AC198),'C-P-RollAdj'!$E$4:$E$76,FALSE),0)</f>
        <v>-0.81</v>
      </c>
      <c r="AE198" s="17">
        <f>+((LeagueRatings!$I$17-E198)*5)+9.5</f>
        <v>12.164387243706363</v>
      </c>
      <c r="AF198" s="17">
        <f t="shared" si="73"/>
        <v>12.164387243706363</v>
      </c>
      <c r="AG198" s="17">
        <f t="shared" si="71"/>
        <v>1.4107692307692308</v>
      </c>
      <c r="AH198" s="4">
        <f t="shared" si="74"/>
        <v>11.935156474475594</v>
      </c>
      <c r="AI198" s="41" t="s">
        <v>1089</v>
      </c>
      <c r="AJ198" s="58">
        <v>12</v>
      </c>
      <c r="AK198" s="219">
        <f>INDEX('C-P-RollAdj'!$J$4:$J$76,MATCH(INT(Z198),'C-P-RollAdj'!$I$4:$I$76,FALSE),0)</f>
        <v>24</v>
      </c>
      <c r="AL198" s="219">
        <f>INDEX('C-P-RollAdj'!$J$4:$J$76,MATCH(INT(AC198),'C-P-RollAdj'!$I$4:$I$76,FALSE),0)</f>
        <v>25</v>
      </c>
      <c r="AM198" s="14">
        <f>+AR198*LeagueRatings!$K$27</f>
        <v>28.888888888888889</v>
      </c>
      <c r="AN198" s="72">
        <f>F198*LeagueRatings!$K$27</f>
        <v>20</v>
      </c>
      <c r="AO198" s="72">
        <f>G198*LeagueRatings!$K$27</f>
        <v>0</v>
      </c>
      <c r="AP198" s="72">
        <f>T198*LeagueRatings!$K$27</f>
        <v>113.33333333333334</v>
      </c>
      <c r="AR198" s="14">
        <f t="shared" si="72"/>
        <v>52</v>
      </c>
    </row>
    <row r="199" spans="1:44" x14ac:dyDescent="0.2">
      <c r="A199" s="41" t="s">
        <v>1475</v>
      </c>
      <c r="B199" s="76" t="s">
        <v>169</v>
      </c>
      <c r="C199" s="76">
        <v>5</v>
      </c>
      <c r="D199" s="76">
        <v>4</v>
      </c>
      <c r="E199" s="97">
        <v>3.38</v>
      </c>
      <c r="F199" s="76">
        <v>18</v>
      </c>
      <c r="G199" s="76">
        <v>18</v>
      </c>
      <c r="H199" s="76">
        <v>0</v>
      </c>
      <c r="I199" s="76">
        <v>0</v>
      </c>
      <c r="J199" s="76">
        <v>0</v>
      </c>
      <c r="K199" s="76">
        <v>0</v>
      </c>
      <c r="L199" s="258">
        <f>INDEX('C-P-RollAdj'!$P$4:$P$900,MATCH((U199),'C-P-RollAdj'!$O$4:$O$900,FALSE),0)</f>
        <v>104</v>
      </c>
      <c r="M199" s="76">
        <v>99</v>
      </c>
      <c r="N199" s="76">
        <v>40</v>
      </c>
      <c r="O199" s="76">
        <v>39</v>
      </c>
      <c r="P199" s="76">
        <v>13</v>
      </c>
      <c r="Q199" s="76">
        <v>17</v>
      </c>
      <c r="R199" s="76">
        <v>1</v>
      </c>
      <c r="S199" s="76">
        <v>85</v>
      </c>
      <c r="T199" s="76">
        <v>418</v>
      </c>
      <c r="U199" s="76">
        <v>104</v>
      </c>
      <c r="V199" s="100">
        <v>0.252</v>
      </c>
      <c r="W199" s="76">
        <v>1.1200000000000001</v>
      </c>
      <c r="X199" s="76"/>
      <c r="Y199" s="50">
        <f t="shared" si="69"/>
        <v>3.8369304556354913</v>
      </c>
      <c r="Z199" s="6">
        <f>IF(Y199&lt;LeagueRatings!$K$21,((LeagueRatings!$K$21-Y199)/LeagueRatings!$K$21)*36,(LeagueRatings!$K$21-Y199)*6.48)</f>
        <v>20.571735063031927</v>
      </c>
      <c r="AA199" s="16">
        <f>INDEX('C-P-RollAdj'!$B$4:$B$76,MATCH(INT(Z199),'C-P-RollAdj'!$A$4:$A$76,FALSE),0)</f>
        <v>-1.79</v>
      </c>
      <c r="AB199" s="16">
        <f t="shared" si="70"/>
        <v>3.1175059952038371</v>
      </c>
      <c r="AC199" s="6">
        <f>IF(AB199&lt;LeagueRatings!$K$19,((LeagueRatings!$K$19-AB199)/LeagueRatings!$K$19)*36,(LeagueRatings!$K$19-AB199)/LeagueRatings!$K$22)</f>
        <v>-1.6928022460080718</v>
      </c>
      <c r="AD199" s="16">
        <f>INDEX('C-P-RollAdj'!$F$4:$F$76,MATCH(INT(AC199),'C-P-RollAdj'!$E$4:$E$76,FALSE),0)</f>
        <v>0.16</v>
      </c>
      <c r="AE199" s="17">
        <f>+((LeagueRatings!$I$17-E199)*5)+9.5</f>
        <v>13.414387243706363</v>
      </c>
      <c r="AF199" s="17">
        <f t="shared" si="73"/>
        <v>13.414387243706363</v>
      </c>
      <c r="AG199" s="17">
        <f t="shared" si="71"/>
        <v>0.26653846153846189</v>
      </c>
      <c r="AH199" s="4">
        <f t="shared" si="74"/>
        <v>12.050925705244824</v>
      </c>
      <c r="AI199" s="41" t="s">
        <v>1475</v>
      </c>
      <c r="AJ199" s="58">
        <v>12</v>
      </c>
      <c r="AK199" s="219">
        <f>INDEX('C-P-RollAdj'!$J$4:$J$76,MATCH(INT(Z199),'C-P-RollAdj'!$I$4:$I$76,FALSE),0)</f>
        <v>42</v>
      </c>
      <c r="AL199" s="219">
        <f>INDEX('C-P-RollAdj'!$J$4:$J$76,MATCH(INT(AC199),'C-P-RollAdj'!$I$4:$I$76,FALSE),0)</f>
        <v>-12</v>
      </c>
      <c r="AM199" s="14">
        <f>+AR199*LeagueRatings!$K$27</f>
        <v>57.777777777777779</v>
      </c>
      <c r="AN199" s="72">
        <f>F199*LeagueRatings!$K$27</f>
        <v>10</v>
      </c>
      <c r="AO199" s="72">
        <f>G199*LeagueRatings!$K$27</f>
        <v>10</v>
      </c>
      <c r="AP199" s="72">
        <f>T199*LeagueRatings!$K$27</f>
        <v>232.22222222222223</v>
      </c>
      <c r="AR199" s="14">
        <f t="shared" si="72"/>
        <v>104</v>
      </c>
    </row>
    <row r="200" spans="1:44" s="28" customFormat="1" x14ac:dyDescent="0.2">
      <c r="A200" s="41" t="s">
        <v>457</v>
      </c>
      <c r="B200" s="76" t="s">
        <v>169</v>
      </c>
      <c r="C200" s="76">
        <v>3</v>
      </c>
      <c r="D200" s="76">
        <v>7</v>
      </c>
      <c r="E200" s="97">
        <v>4.8099999999999996</v>
      </c>
      <c r="F200" s="76">
        <v>24</v>
      </c>
      <c r="G200" s="76">
        <v>14</v>
      </c>
      <c r="H200" s="76">
        <v>0</v>
      </c>
      <c r="I200" s="76">
        <v>0</v>
      </c>
      <c r="J200" s="76">
        <v>0</v>
      </c>
      <c r="K200" s="76">
        <v>0</v>
      </c>
      <c r="L200" s="258">
        <f>INDEX('C-P-RollAdj'!$P$4:$P$900,MATCH((U200),'C-P-RollAdj'!$O$4:$O$900,FALSE),0)</f>
        <v>82.33</v>
      </c>
      <c r="M200" s="76">
        <v>80</v>
      </c>
      <c r="N200" s="76">
        <v>51</v>
      </c>
      <c r="O200" s="76">
        <v>44</v>
      </c>
      <c r="P200" s="76">
        <v>11</v>
      </c>
      <c r="Q200" s="76">
        <v>40</v>
      </c>
      <c r="R200" s="76">
        <v>2</v>
      </c>
      <c r="S200" s="76">
        <v>61</v>
      </c>
      <c r="T200" s="76">
        <v>366</v>
      </c>
      <c r="U200" s="76">
        <v>82.1</v>
      </c>
      <c r="V200" s="100">
        <v>0.254</v>
      </c>
      <c r="W200" s="76">
        <v>1.46</v>
      </c>
      <c r="X200" s="76"/>
      <c r="Y200" s="50">
        <f t="shared" si="69"/>
        <v>10.43956043956044</v>
      </c>
      <c r="Z200" s="6">
        <f>IF(Y200&lt;LeagueRatings!$K$21,((LeagueRatings!$K$21-Y200)/LeagueRatings!$K$21)*36,(LeagueRatings!$K$21-Y200)*6.48)</f>
        <v>-9.6328106690206177</v>
      </c>
      <c r="AA200" s="16">
        <f>INDEX('C-P-RollAdj'!$B$4:$B$76,MATCH(INT(Z200),'C-P-RollAdj'!$A$4:$A$76,FALSE),0)</f>
        <v>0.98</v>
      </c>
      <c r="AB200" s="16">
        <f t="shared" si="70"/>
        <v>3.0219780219780219</v>
      </c>
      <c r="AC200" s="6">
        <f>IF(AB200&lt;LeagueRatings!$K$19,((LeagueRatings!$K$19-AB200)/LeagueRatings!$K$19)*36,(LeagueRatings!$K$19-AB200)/LeagueRatings!$K$22)</f>
        <v>-0.92093808630393825</v>
      </c>
      <c r="AD200" s="16">
        <f>INDEX('C-P-RollAdj'!$F$4:$F$76,MATCH(INT(AC200),'C-P-RollAdj'!$E$4:$E$76,FALSE),0)</f>
        <v>0.08</v>
      </c>
      <c r="AE200" s="17">
        <f>+((LeagueRatings!$I$17-E200)*5)+9.5</f>
        <v>6.2643872437063646</v>
      </c>
      <c r="AF200" s="17">
        <f t="shared" si="73"/>
        <v>6.2643872437063646</v>
      </c>
      <c r="AG200" s="17">
        <f t="shared" si="71"/>
        <v>0.12810518644479513</v>
      </c>
      <c r="AH200" s="4">
        <f t="shared" si="74"/>
        <v>7.4524924301511604</v>
      </c>
      <c r="AI200" s="41" t="s">
        <v>457</v>
      </c>
      <c r="AJ200" s="58">
        <v>8</v>
      </c>
      <c r="AK200" s="219">
        <f>INDEX('C-P-RollAdj'!$J$4:$J$76,MATCH(INT(Z200),'C-P-RollAdj'!$I$4:$I$76,FALSE),0)</f>
        <v>-24</v>
      </c>
      <c r="AL200" s="219">
        <f>INDEX('C-P-RollAdj'!$J$4:$J$76,MATCH(INT(AC200),'C-P-RollAdj'!$I$4:$I$76,FALSE),0)</f>
        <v>-11</v>
      </c>
      <c r="AM200" s="14">
        <f>+AR200*LeagueRatings!$K$27</f>
        <v>46.111111111111114</v>
      </c>
      <c r="AN200" s="72">
        <f>F200*LeagueRatings!$K$27</f>
        <v>13.333333333333334</v>
      </c>
      <c r="AO200" s="72">
        <f>G200*LeagueRatings!$K$27</f>
        <v>7.7777777777777786</v>
      </c>
      <c r="AP200" s="72">
        <f>T200*LeagueRatings!$K$27</f>
        <v>203.33333333333334</v>
      </c>
      <c r="AQ200" s="24"/>
      <c r="AR200" s="14">
        <f t="shared" si="72"/>
        <v>83</v>
      </c>
    </row>
    <row r="201" spans="1:44" s="122" customFormat="1" x14ac:dyDescent="0.2">
      <c r="A201" s="41" t="s">
        <v>427</v>
      </c>
      <c r="B201" s="76" t="s">
        <v>169</v>
      </c>
      <c r="C201" s="76">
        <v>2</v>
      </c>
      <c r="D201" s="76">
        <v>5</v>
      </c>
      <c r="E201" s="97">
        <v>3.06</v>
      </c>
      <c r="F201" s="76">
        <v>70</v>
      </c>
      <c r="G201" s="76">
        <v>0</v>
      </c>
      <c r="H201" s="76">
        <v>0</v>
      </c>
      <c r="I201" s="76">
        <v>0</v>
      </c>
      <c r="J201" s="76">
        <v>15</v>
      </c>
      <c r="K201" s="76">
        <v>20</v>
      </c>
      <c r="L201" s="258">
        <f>INDEX('C-P-RollAdj'!$P$4:$P$900,MATCH((U201),'C-P-RollAdj'!$O$4:$O$900,FALSE),0)</f>
        <v>67.67</v>
      </c>
      <c r="M201" s="76">
        <v>52</v>
      </c>
      <c r="N201" s="76">
        <v>26</v>
      </c>
      <c r="O201" s="76">
        <v>23</v>
      </c>
      <c r="P201" s="76">
        <v>10</v>
      </c>
      <c r="Q201" s="76">
        <v>20</v>
      </c>
      <c r="R201" s="76">
        <v>1</v>
      </c>
      <c r="S201" s="76">
        <v>58</v>
      </c>
      <c r="T201" s="76">
        <v>272</v>
      </c>
      <c r="U201" s="76">
        <v>67.2</v>
      </c>
      <c r="V201" s="100">
        <v>0.215</v>
      </c>
      <c r="W201" s="76">
        <v>1.06</v>
      </c>
      <c r="X201" s="125"/>
      <c r="Y201" s="50">
        <f t="shared" si="69"/>
        <v>7.0110701107011062</v>
      </c>
      <c r="Z201" s="6">
        <f>IF(Y201&lt;LeagueRatings!$K$21,((LeagueRatings!$K$21-Y201)/LeagueRatings!$K$21)*36,(LeagueRatings!$K$21-Y201)*6.48)</f>
        <v>7.8085463340410408</v>
      </c>
      <c r="AA201" s="16">
        <f>INDEX('C-P-RollAdj'!$B$4:$B$76,MATCH(INT(Z201),'C-P-RollAdj'!$A$4:$A$76,FALSE),0)</f>
        <v>-0.56000000000000005</v>
      </c>
      <c r="AB201" s="16">
        <f t="shared" si="70"/>
        <v>3.6900369003690034</v>
      </c>
      <c r="AC201" s="6">
        <f>IF(AB201&lt;LeagueRatings!$K$19,((LeagueRatings!$K$19-AB201)/LeagueRatings!$K$19)*36,(LeagueRatings!$K$19-AB201)/LeagueRatings!$K$22)</f>
        <v>-6.318840788407881</v>
      </c>
      <c r="AD201" s="16">
        <f>INDEX('C-P-RollAdj'!$F$4:$F$76,MATCH(INT(AC201),'C-P-RollAdj'!$E$4:$E$76,FALSE),0)</f>
        <v>0.61</v>
      </c>
      <c r="AE201" s="17">
        <f>+((LeagueRatings!$I$17-E201)*5)+9.5</f>
        <v>15.014387243706363</v>
      </c>
      <c r="AF201" s="17">
        <f>IF(AE201&lt;4,4,AE201)</f>
        <v>15.014387243706363</v>
      </c>
      <c r="AG201" s="17">
        <f t="shared" si="71"/>
        <v>1.5509546327767103</v>
      </c>
      <c r="AH201" s="4">
        <f>+AA201+AD201+AF201+AG201</f>
        <v>16.615341876483075</v>
      </c>
      <c r="AI201" s="41" t="s">
        <v>427</v>
      </c>
      <c r="AJ201" s="58">
        <v>17</v>
      </c>
      <c r="AK201" s="219">
        <f>INDEX('C-P-RollAdj'!$J$4:$J$76,MATCH(INT(Z201),'C-P-RollAdj'!$I$4:$I$76,FALSE),0)</f>
        <v>21</v>
      </c>
      <c r="AL201" s="219">
        <f>INDEX('C-P-RollAdj'!$J$4:$J$76,MATCH(INT(AC201),'C-P-RollAdj'!$I$4:$I$76,FALSE),0)</f>
        <v>-21</v>
      </c>
      <c r="AM201" s="14">
        <f>+AR201*LeagueRatings!$K$27</f>
        <v>37.777777777777779</v>
      </c>
      <c r="AN201" s="72">
        <f>F201*LeagueRatings!$K$27</f>
        <v>38.888888888888893</v>
      </c>
      <c r="AO201" s="72">
        <f>G201*LeagueRatings!$K$27</f>
        <v>0</v>
      </c>
      <c r="AP201" s="72">
        <f>T201*LeagueRatings!$K$27</f>
        <v>151.11111111111111</v>
      </c>
      <c r="AQ201" s="24"/>
      <c r="AR201" s="14">
        <f t="shared" si="72"/>
        <v>68</v>
      </c>
    </row>
    <row r="202" spans="1:44" s="28" customFormat="1" x14ac:dyDescent="0.2">
      <c r="A202" s="124"/>
      <c r="B202" s="125"/>
      <c r="C202" s="125"/>
      <c r="D202" s="125"/>
      <c r="E202" s="126"/>
      <c r="F202" s="125"/>
      <c r="G202" s="125"/>
      <c r="H202" s="125"/>
      <c r="I202" s="125"/>
      <c r="J202" s="125"/>
      <c r="K202" s="125"/>
      <c r="L202" s="126"/>
      <c r="M202" s="125"/>
      <c r="N202" s="125"/>
      <c r="O202" s="125"/>
      <c r="P202" s="125"/>
      <c r="Q202" s="125"/>
      <c r="R202" s="125"/>
      <c r="S202" s="125"/>
      <c r="T202" s="125"/>
      <c r="U202" s="125"/>
      <c r="V202" s="278"/>
      <c r="W202" s="125"/>
      <c r="X202" s="70"/>
      <c r="Y202" s="52"/>
      <c r="Z202" s="53"/>
      <c r="AA202" s="54"/>
      <c r="AB202" s="54"/>
      <c r="AC202" s="53"/>
      <c r="AD202" s="54"/>
      <c r="AE202" s="55"/>
      <c r="AF202" s="55"/>
      <c r="AG202" s="55"/>
      <c r="AH202" s="56"/>
      <c r="AI202" s="124"/>
      <c r="AJ202" s="129"/>
      <c r="AK202" s="9"/>
      <c r="AL202" s="9"/>
      <c r="AM202" s="14"/>
      <c r="AN202" s="72"/>
      <c r="AO202" s="72"/>
      <c r="AP202" s="72"/>
      <c r="AR202" s="14"/>
    </row>
    <row r="203" spans="1:44" x14ac:dyDescent="0.2">
      <c r="A203" s="69" t="s">
        <v>106</v>
      </c>
      <c r="B203" s="70" t="s">
        <v>157</v>
      </c>
      <c r="C203" s="71" t="s">
        <v>85</v>
      </c>
      <c r="D203" s="70" t="s">
        <v>86</v>
      </c>
      <c r="E203" s="71" t="s">
        <v>87</v>
      </c>
      <c r="F203" s="70" t="s">
        <v>108</v>
      </c>
      <c r="G203" s="70" t="s">
        <v>88</v>
      </c>
      <c r="H203" s="70" t="s">
        <v>89</v>
      </c>
      <c r="I203" s="72" t="s">
        <v>317</v>
      </c>
      <c r="J203" s="72" t="s">
        <v>90</v>
      </c>
      <c r="K203" s="72" t="s">
        <v>158</v>
      </c>
      <c r="L203" s="71" t="s">
        <v>91</v>
      </c>
      <c r="M203" s="70" t="s">
        <v>92</v>
      </c>
      <c r="N203" s="70" t="s">
        <v>93</v>
      </c>
      <c r="O203" s="70" t="s">
        <v>94</v>
      </c>
      <c r="P203" s="70" t="s">
        <v>95</v>
      </c>
      <c r="Q203" s="70" t="s">
        <v>96</v>
      </c>
      <c r="R203" s="70" t="s">
        <v>98</v>
      </c>
      <c r="S203" s="70" t="s">
        <v>97</v>
      </c>
      <c r="T203" s="70" t="s">
        <v>109</v>
      </c>
      <c r="U203" s="196" t="s">
        <v>91</v>
      </c>
      <c r="V203" s="277" t="s">
        <v>1071</v>
      </c>
      <c r="W203" s="196" t="s">
        <v>1072</v>
      </c>
      <c r="X203" s="70"/>
      <c r="Y203" s="115" t="s">
        <v>2</v>
      </c>
      <c r="Z203" s="116" t="s">
        <v>3</v>
      </c>
      <c r="AA203" s="117" t="s">
        <v>4</v>
      </c>
      <c r="AB203" s="118" t="s">
        <v>5</v>
      </c>
      <c r="AC203" s="116" t="s">
        <v>6</v>
      </c>
      <c r="AD203" s="117" t="s">
        <v>7</v>
      </c>
      <c r="AE203" s="119" t="s">
        <v>8</v>
      </c>
      <c r="AF203" s="119" t="s">
        <v>81</v>
      </c>
      <c r="AG203" s="119" t="s">
        <v>9</v>
      </c>
      <c r="AH203" s="130" t="s">
        <v>10</v>
      </c>
      <c r="AI203" s="69" t="s">
        <v>106</v>
      </c>
      <c r="AJ203" s="7" t="s">
        <v>11</v>
      </c>
      <c r="AK203" s="7" t="s">
        <v>12</v>
      </c>
      <c r="AL203" s="7" t="s">
        <v>13</v>
      </c>
      <c r="AN203" s="72"/>
      <c r="AO203" s="72"/>
      <c r="AP203" s="72"/>
      <c r="AQ203" s="122"/>
      <c r="AR203" s="14"/>
    </row>
    <row r="204" spans="1:44" x14ac:dyDescent="0.2">
      <c r="A204" s="69"/>
      <c r="B204" s="70"/>
      <c r="C204" s="71"/>
      <c r="D204" s="70"/>
      <c r="E204" s="71"/>
      <c r="F204" s="70"/>
      <c r="G204" s="70"/>
      <c r="H204" s="70"/>
      <c r="I204" s="72"/>
      <c r="J204" s="72"/>
      <c r="K204" s="72"/>
      <c r="L204" s="71"/>
      <c r="M204" s="70"/>
      <c r="N204" s="70"/>
      <c r="O204" s="70"/>
      <c r="P204" s="70"/>
      <c r="Q204" s="70"/>
      <c r="R204" s="70"/>
      <c r="S204" s="70"/>
      <c r="T204" s="70"/>
      <c r="U204" s="70"/>
      <c r="V204" s="164"/>
      <c r="W204" s="70"/>
      <c r="X204" s="76"/>
      <c r="Y204" s="52"/>
      <c r="Z204" s="53"/>
      <c r="AA204" s="54"/>
      <c r="AB204" s="54"/>
      <c r="AC204" s="53"/>
      <c r="AD204" s="54"/>
      <c r="AE204" s="55"/>
      <c r="AF204" s="55"/>
      <c r="AG204" s="55"/>
      <c r="AH204" s="56"/>
      <c r="AI204" s="69"/>
      <c r="AJ204" s="129"/>
      <c r="AK204" s="9"/>
      <c r="AL204" s="9"/>
      <c r="AN204" s="72"/>
      <c r="AO204" s="72"/>
      <c r="AP204" s="72"/>
      <c r="AQ204" s="28"/>
      <c r="AR204" s="14"/>
    </row>
    <row r="205" spans="1:44" x14ac:dyDescent="0.2">
      <c r="A205" s="41" t="s">
        <v>1485</v>
      </c>
      <c r="B205" s="76" t="s">
        <v>170</v>
      </c>
      <c r="C205" s="76">
        <v>3</v>
      </c>
      <c r="D205" s="76">
        <v>0</v>
      </c>
      <c r="E205" s="97">
        <v>2.86</v>
      </c>
      <c r="F205" s="76">
        <v>67</v>
      </c>
      <c r="G205" s="76">
        <v>0</v>
      </c>
      <c r="H205" s="76">
        <v>0</v>
      </c>
      <c r="I205" s="76">
        <v>0</v>
      </c>
      <c r="J205" s="76">
        <v>1</v>
      </c>
      <c r="K205" s="76">
        <v>2</v>
      </c>
      <c r="L205" s="258">
        <f>INDEX('C-P-RollAdj'!$P$4:$P$900,MATCH((U205),'C-P-RollAdj'!$O$4:$O$900,FALSE),0)</f>
        <v>63</v>
      </c>
      <c r="M205" s="76">
        <v>34</v>
      </c>
      <c r="N205" s="76">
        <v>20</v>
      </c>
      <c r="O205" s="76">
        <v>20</v>
      </c>
      <c r="P205" s="76">
        <v>4</v>
      </c>
      <c r="Q205" s="76">
        <v>31</v>
      </c>
      <c r="R205" s="76">
        <v>3</v>
      </c>
      <c r="S205" s="76">
        <v>78</v>
      </c>
      <c r="T205" s="76">
        <v>247</v>
      </c>
      <c r="U205" s="76">
        <v>63</v>
      </c>
      <c r="V205" s="100">
        <v>0.16</v>
      </c>
      <c r="W205" s="76">
        <v>1.03</v>
      </c>
      <c r="X205" s="76"/>
      <c r="Y205" s="50">
        <f t="shared" ref="Y205:Y220" si="75">+(Q205-R205)/(T205-R205)*100</f>
        <v>11.475409836065573</v>
      </c>
      <c r="Z205" s="6">
        <f>IF(Y205&lt;LeagueRatings!$K$21,((LeagueRatings!$K$21-Y205)/LeagueRatings!$K$21)*36,(LeagueRatings!$K$21-Y205)*6.48)</f>
        <v>-16.345114758373882</v>
      </c>
      <c r="AA205" s="16">
        <f>INDEX('C-P-RollAdj'!$B$4:$B$76,MATCH(INT(Z205),'C-P-RollAdj'!$A$4:$A$76,FALSE),0)</f>
        <v>1.93</v>
      </c>
      <c r="AB205" s="16">
        <f t="shared" ref="AB205:AB220" si="76">(P205/(T205-R205))*100</f>
        <v>1.639344262295082</v>
      </c>
      <c r="AC205" s="6">
        <f>IF(AB205&lt;LeagueRatings!$K$19,((LeagueRatings!$K$19-AB205)/LeagueRatings!$K$19)*36,(LeagueRatings!$K$19-AB205)/LeagueRatings!$K$22)</f>
        <v>15.705506138351835</v>
      </c>
      <c r="AD205" s="16">
        <f>INDEX('C-P-RollAdj'!$F$4:$F$76,MATCH(INT(AC205),'C-P-RollAdj'!$E$4:$E$76,FALSE),0)</f>
        <v>-1.1400000000000001</v>
      </c>
      <c r="AE205" s="17">
        <f>+((LeagueRatings!$I$17-E205)*5)+9.5</f>
        <v>16.014387243706363</v>
      </c>
      <c r="AF205" s="17">
        <f>IF(AE205&lt;4,4,AE205)</f>
        <v>16.014387243706363</v>
      </c>
      <c r="AG205" s="17">
        <f t="shared" ref="AG205:AG220" si="77">IF(M205&lt;L205,((1-(M205/L205))*7)-0.07,(1-(M205/L205))*5)</f>
        <v>3.1522222222222225</v>
      </c>
      <c r="AH205" s="4">
        <f>+AA205+AD205+AF205+AG205</f>
        <v>19.956609465928583</v>
      </c>
      <c r="AI205" s="41" t="s">
        <v>1485</v>
      </c>
      <c r="AJ205" s="58">
        <v>20</v>
      </c>
      <c r="AK205" s="219">
        <f>INDEX('C-P-RollAdj'!$J$4:$J$76,MATCH(INT(Z205),'C-P-RollAdj'!$I$4:$I$76,FALSE),0)</f>
        <v>-35</v>
      </c>
      <c r="AL205" s="219">
        <f>INDEX('C-P-RollAdj'!$J$4:$J$76,MATCH(INT(AC205),'C-P-RollAdj'!$I$4:$I$76,FALSE),0)</f>
        <v>33</v>
      </c>
      <c r="AM205" s="14">
        <f>+AR205*LeagueRatings!$K$27</f>
        <v>35</v>
      </c>
      <c r="AN205" s="72">
        <f>F205*LeagueRatings!$K$27</f>
        <v>37.222222222222221</v>
      </c>
      <c r="AO205" s="72">
        <f>G205*LeagueRatings!$K$27</f>
        <v>0</v>
      </c>
      <c r="AP205" s="72">
        <f>T205*LeagueRatings!$K$27</f>
        <v>137.22222222222223</v>
      </c>
      <c r="AR205" s="14">
        <f t="shared" ref="AR205:AR220" si="78">ROUNDUP(L205,0)</f>
        <v>63</v>
      </c>
    </row>
    <row r="206" spans="1:44" x14ac:dyDescent="0.2">
      <c r="A206" s="41" t="s">
        <v>780</v>
      </c>
      <c r="B206" s="76" t="s">
        <v>170</v>
      </c>
      <c r="C206" s="76">
        <v>1</v>
      </c>
      <c r="D206" s="76">
        <v>0</v>
      </c>
      <c r="E206" s="97">
        <v>5.73</v>
      </c>
      <c r="F206" s="76">
        <v>18</v>
      </c>
      <c r="G206" s="76">
        <v>0</v>
      </c>
      <c r="H206" s="76">
        <v>0</v>
      </c>
      <c r="I206" s="76">
        <v>0</v>
      </c>
      <c r="J206" s="76">
        <v>0</v>
      </c>
      <c r="K206" s="76">
        <v>0</v>
      </c>
      <c r="L206" s="258">
        <f>INDEX('C-P-RollAdj'!$P$4:$P$900,MATCH((U206),'C-P-RollAdj'!$O$4:$O$900,FALSE),0)</f>
        <v>22</v>
      </c>
      <c r="M206" s="76">
        <v>18</v>
      </c>
      <c r="N206" s="76">
        <v>16</v>
      </c>
      <c r="O206" s="76">
        <v>14</v>
      </c>
      <c r="P206" s="76">
        <v>3</v>
      </c>
      <c r="Q206" s="76">
        <v>14</v>
      </c>
      <c r="R206" s="76">
        <v>2</v>
      </c>
      <c r="S206" s="76">
        <v>24</v>
      </c>
      <c r="T206" s="76">
        <v>98</v>
      </c>
      <c r="U206" s="76">
        <v>22</v>
      </c>
      <c r="V206" s="100">
        <v>0.222</v>
      </c>
      <c r="W206" s="76">
        <v>1.45</v>
      </c>
      <c r="X206" s="76"/>
      <c r="Y206" s="50">
        <f t="shared" si="75"/>
        <v>12.5</v>
      </c>
      <c r="Z206" s="6">
        <f>IF(Y206&lt;LeagueRatings!$K$21,((LeagueRatings!$K$21-Y206)/LeagueRatings!$K$21)*36,(LeagueRatings!$K$21-Y206)*6.48)</f>
        <v>-22.984459020668968</v>
      </c>
      <c r="AA206" s="16">
        <f>INDEX('C-P-RollAdj'!$B$4:$B$76,MATCH(INT(Z206),'C-P-RollAdj'!$A$4:$A$76,FALSE),0)</f>
        <v>2.8899999999999997</v>
      </c>
      <c r="AB206" s="16">
        <f t="shared" si="76"/>
        <v>3.125</v>
      </c>
      <c r="AC206" s="6">
        <f>IF(AB206&lt;LeagueRatings!$K$19,((LeagueRatings!$K$19-AB206)/LeagueRatings!$K$19)*36,(LeagueRatings!$K$19-AB206)/LeagueRatings!$K$22)</f>
        <v>-1.7533536585365843</v>
      </c>
      <c r="AD206" s="16">
        <f>INDEX('C-P-RollAdj'!$F$4:$F$76,MATCH(INT(AC206),'C-P-RollAdj'!$E$4:$E$76,FALSE),0)</f>
        <v>0.16</v>
      </c>
      <c r="AE206" s="17">
        <f>+((LeagueRatings!$I$17-E206)*5)+9.5</f>
        <v>1.6643872437063605</v>
      </c>
      <c r="AF206" s="17">
        <f t="shared" ref="AF206:AF220" si="79">IF(AE206&lt;4,4,AE206)</f>
        <v>4</v>
      </c>
      <c r="AG206" s="17">
        <f t="shared" si="77"/>
        <v>1.2027272727272724</v>
      </c>
      <c r="AH206" s="4">
        <f t="shared" ref="AH206:AH220" si="80">+AA206+AD206+AF206+AG206</f>
        <v>8.252727272727272</v>
      </c>
      <c r="AI206" s="41" t="s">
        <v>780</v>
      </c>
      <c r="AJ206" s="58">
        <v>9</v>
      </c>
      <c r="AK206" s="219">
        <f>INDEX('C-P-RollAdj'!$J$4:$J$76,MATCH(INT(Z206),'C-P-RollAdj'!$I$4:$I$76,FALSE),0)</f>
        <v>-45</v>
      </c>
      <c r="AL206" s="219">
        <f>INDEX('C-P-RollAdj'!$J$4:$J$76,MATCH(INT(AC206),'C-P-RollAdj'!$I$4:$I$76,FALSE),0)</f>
        <v>-12</v>
      </c>
      <c r="AM206" s="14">
        <f>+AR206*LeagueRatings!$K$27</f>
        <v>12.222222222222223</v>
      </c>
      <c r="AN206" s="72">
        <f>F206*LeagueRatings!$K$27</f>
        <v>10</v>
      </c>
      <c r="AO206" s="72">
        <f>G206*LeagueRatings!$K$27</f>
        <v>0</v>
      </c>
      <c r="AP206" s="72">
        <f>T206*LeagueRatings!$K$27</f>
        <v>54.44444444444445</v>
      </c>
      <c r="AR206" s="14">
        <f t="shared" si="78"/>
        <v>22</v>
      </c>
    </row>
    <row r="207" spans="1:44" x14ac:dyDescent="0.2">
      <c r="A207" s="41" t="s">
        <v>1454</v>
      </c>
      <c r="B207" s="76" t="s">
        <v>170</v>
      </c>
      <c r="C207" s="76">
        <v>3</v>
      </c>
      <c r="D207" s="76">
        <v>5</v>
      </c>
      <c r="E207" s="97">
        <v>3.67</v>
      </c>
      <c r="F207" s="76">
        <v>16</v>
      </c>
      <c r="G207" s="76">
        <v>12</v>
      </c>
      <c r="H207" s="76">
        <v>0</v>
      </c>
      <c r="I207" s="76">
        <v>0</v>
      </c>
      <c r="J207" s="76">
        <v>0</v>
      </c>
      <c r="K207" s="76">
        <v>1</v>
      </c>
      <c r="L207" s="258">
        <f>INDEX('C-P-RollAdj'!$P$4:$P$900,MATCH((U207),'C-P-RollAdj'!$O$4:$O$900,FALSE),0)</f>
        <v>61.33</v>
      </c>
      <c r="M207" s="76">
        <v>61</v>
      </c>
      <c r="N207" s="76">
        <v>32</v>
      </c>
      <c r="O207" s="76">
        <v>25</v>
      </c>
      <c r="P207" s="76">
        <v>9</v>
      </c>
      <c r="Q207" s="76">
        <v>23</v>
      </c>
      <c r="R207" s="76">
        <v>0</v>
      </c>
      <c r="S207" s="76">
        <v>47</v>
      </c>
      <c r="T207" s="76">
        <v>267</v>
      </c>
      <c r="U207" s="76">
        <v>61.1</v>
      </c>
      <c r="V207" s="100">
        <v>0.25700000000000001</v>
      </c>
      <c r="W207" s="76">
        <v>1.37</v>
      </c>
      <c r="X207" s="76"/>
      <c r="Y207" s="50">
        <f t="shared" si="75"/>
        <v>8.6142322097378283</v>
      </c>
      <c r="Z207" s="6">
        <f>IF(Y207&lt;LeagueRatings!$K$21,((LeagueRatings!$K$21-Y207)/LeagueRatings!$K$21)*36,(LeagueRatings!$K$21-Y207)*6.48)</f>
        <v>1.3622450818209693</v>
      </c>
      <c r="AA207" s="16">
        <f>INDEX('C-P-RollAdj'!$B$4:$B$76,MATCH(INT(Z207),'C-P-RollAdj'!$A$4:$A$76,FALSE),0)</f>
        <v>-0.08</v>
      </c>
      <c r="AB207" s="16">
        <f t="shared" si="76"/>
        <v>3.3707865168539324</v>
      </c>
      <c r="AC207" s="6">
        <f>IF(AB207&lt;LeagueRatings!$K$19,((LeagueRatings!$K$19-AB207)/LeagueRatings!$K$19)*36,(LeagueRatings!$K$19-AB207)/LeagueRatings!$K$22)</f>
        <v>-3.7393039188818826</v>
      </c>
      <c r="AD207" s="16">
        <f>INDEX('C-P-RollAdj'!$F$4:$F$76,MATCH(INT(AC207),'C-P-RollAdj'!$E$4:$E$76,FALSE),0)</f>
        <v>0.32999999999999996</v>
      </c>
      <c r="AE207" s="17">
        <f>+((LeagueRatings!$I$17-E207)*5)+9.5</f>
        <v>11.964387243706362</v>
      </c>
      <c r="AF207" s="17">
        <f t="shared" si="79"/>
        <v>11.964387243706362</v>
      </c>
      <c r="AG207" s="17">
        <f t="shared" si="77"/>
        <v>-3.2334909505951359E-2</v>
      </c>
      <c r="AH207" s="4">
        <f t="shared" si="80"/>
        <v>12.18205233420041</v>
      </c>
      <c r="AI207" s="41" t="s">
        <v>1454</v>
      </c>
      <c r="AJ207" s="58">
        <v>13</v>
      </c>
      <c r="AK207" s="219">
        <f>INDEX('C-P-RollAdj'!$J$4:$J$76,MATCH(INT(Z207),'C-P-RollAdj'!$I$4:$I$76,FALSE),0)</f>
        <v>11</v>
      </c>
      <c r="AL207" s="219">
        <f>INDEX('C-P-RollAdj'!$J$4:$J$76,MATCH(INT(AC207),'C-P-RollAdj'!$I$4:$I$76,FALSE),0)</f>
        <v>-14</v>
      </c>
      <c r="AM207" s="14">
        <f>+AR207*LeagueRatings!$K$27</f>
        <v>34.444444444444443</v>
      </c>
      <c r="AN207" s="72">
        <f>F207*LeagueRatings!$K$27</f>
        <v>8.8888888888888893</v>
      </c>
      <c r="AO207" s="72">
        <f>G207*LeagueRatings!$K$27</f>
        <v>6.666666666666667</v>
      </c>
      <c r="AP207" s="72">
        <f>T207*LeagueRatings!$K$27</f>
        <v>148.33333333333334</v>
      </c>
      <c r="AR207" s="14">
        <f t="shared" si="78"/>
        <v>62</v>
      </c>
    </row>
    <row r="208" spans="1:44" x14ac:dyDescent="0.2">
      <c r="A208" s="41" t="s">
        <v>547</v>
      </c>
      <c r="B208" s="76" t="s">
        <v>170</v>
      </c>
      <c r="C208" s="76">
        <v>0</v>
      </c>
      <c r="D208" s="76">
        <v>3</v>
      </c>
      <c r="E208" s="97">
        <v>6.03</v>
      </c>
      <c r="F208" s="76">
        <v>9</v>
      </c>
      <c r="G208" s="76">
        <v>9</v>
      </c>
      <c r="H208" s="76">
        <v>0</v>
      </c>
      <c r="I208" s="76">
        <v>0</v>
      </c>
      <c r="J208" s="76">
        <v>0</v>
      </c>
      <c r="K208" s="76">
        <v>0</v>
      </c>
      <c r="L208" s="258">
        <f>INDEX('C-P-RollAdj'!$P$4:$P$900,MATCH((U208),'C-P-RollAdj'!$O$4:$O$900,FALSE),0)</f>
        <v>37.33</v>
      </c>
      <c r="M208" s="76">
        <v>42</v>
      </c>
      <c r="N208" s="76">
        <v>27</v>
      </c>
      <c r="O208" s="76">
        <v>25</v>
      </c>
      <c r="P208" s="76">
        <v>4</v>
      </c>
      <c r="Q208" s="76">
        <v>23</v>
      </c>
      <c r="R208" s="76">
        <v>0</v>
      </c>
      <c r="S208" s="76">
        <v>27</v>
      </c>
      <c r="T208" s="76">
        <v>176</v>
      </c>
      <c r="U208" s="76">
        <v>37.1</v>
      </c>
      <c r="V208" s="100">
        <v>0.27800000000000002</v>
      </c>
      <c r="W208" s="76">
        <v>1.74</v>
      </c>
      <c r="X208" s="76"/>
      <c r="Y208" s="50">
        <f t="shared" si="75"/>
        <v>13.068181818181818</v>
      </c>
      <c r="Z208" s="6">
        <f>IF(Y208&lt;LeagueRatings!$K$21,((LeagueRatings!$K$21-Y208)/LeagueRatings!$K$21)*36,(LeagueRatings!$K$21-Y208)*6.48)</f>
        <v>-26.666277202487151</v>
      </c>
      <c r="AA208" s="16">
        <f>INDEX('C-P-RollAdj'!$B$4:$B$76,MATCH(INT(Z208),'C-P-RollAdj'!$A$4:$A$76,FALSE),0)</f>
        <v>3.61</v>
      </c>
      <c r="AB208" s="16">
        <f t="shared" si="76"/>
        <v>2.2727272727272729</v>
      </c>
      <c r="AC208" s="6">
        <f>IF(AB208&lt;LeagueRatings!$K$19,((LeagueRatings!$K$19-AB208)/LeagueRatings!$K$19)*36,(LeagueRatings!$K$19-AB208)/LeagueRatings!$K$22)</f>
        <v>7.8644516918059511</v>
      </c>
      <c r="AD208" s="16">
        <f>INDEX('C-P-RollAdj'!$F$4:$F$76,MATCH(INT(AC208),'C-P-RollAdj'!$E$4:$E$76,FALSE),0)</f>
        <v>-0.49000000000000005</v>
      </c>
      <c r="AE208" s="17">
        <f>+((LeagueRatings!$I$17-E208)*5)+9.5</f>
        <v>0.16438724370636137</v>
      </c>
      <c r="AF208" s="17">
        <f t="shared" si="79"/>
        <v>4</v>
      </c>
      <c r="AG208" s="17">
        <f t="shared" si="77"/>
        <v>-0.62550227698901728</v>
      </c>
      <c r="AH208" s="4">
        <f t="shared" si="80"/>
        <v>6.4944977230109817</v>
      </c>
      <c r="AI208" s="41" t="s">
        <v>547</v>
      </c>
      <c r="AJ208" s="58">
        <v>7</v>
      </c>
      <c r="AK208" s="219">
        <f>INDEX('C-P-RollAdj'!$J$4:$J$76,MATCH(INT(Z208),'C-P-RollAdj'!$I$4:$I$76,FALSE),0)</f>
        <v>-53</v>
      </c>
      <c r="AL208" s="219">
        <f>INDEX('C-P-RollAdj'!$J$4:$J$76,MATCH(INT(AC208),'C-P-RollAdj'!$I$4:$I$76,FALSE),0)</f>
        <v>21</v>
      </c>
      <c r="AM208" s="14">
        <f>+AR208*LeagueRatings!$K$27</f>
        <v>21.111111111111111</v>
      </c>
      <c r="AN208" s="72">
        <f>F208*LeagueRatings!$K$27</f>
        <v>5</v>
      </c>
      <c r="AO208" s="72">
        <f>G208*LeagueRatings!$K$27</f>
        <v>5</v>
      </c>
      <c r="AP208" s="72">
        <f>T208*LeagueRatings!$K$27</f>
        <v>97.777777777777786</v>
      </c>
      <c r="AR208" s="14">
        <f t="shared" si="78"/>
        <v>38</v>
      </c>
    </row>
    <row r="209" spans="1:44" x14ac:dyDescent="0.2">
      <c r="A209" s="41" t="s">
        <v>378</v>
      </c>
      <c r="B209" s="76" t="s">
        <v>170</v>
      </c>
      <c r="C209" s="76">
        <v>1</v>
      </c>
      <c r="D209" s="76">
        <v>0</v>
      </c>
      <c r="E209" s="97">
        <v>5.05</v>
      </c>
      <c r="F209" s="76">
        <v>34</v>
      </c>
      <c r="G209" s="76">
        <v>0</v>
      </c>
      <c r="H209" s="76">
        <v>0</v>
      </c>
      <c r="I209" s="76">
        <v>0</v>
      </c>
      <c r="J209" s="76">
        <v>0</v>
      </c>
      <c r="K209" s="76">
        <v>1</v>
      </c>
      <c r="L209" s="258">
        <f>INDEX('C-P-RollAdj'!$P$4:$P$900,MATCH((U209),'C-P-RollAdj'!$O$4:$O$900,FALSE),0)</f>
        <v>35.67</v>
      </c>
      <c r="M209" s="76">
        <v>34</v>
      </c>
      <c r="N209" s="76">
        <v>23</v>
      </c>
      <c r="O209" s="76">
        <v>20</v>
      </c>
      <c r="P209" s="76">
        <v>5</v>
      </c>
      <c r="Q209" s="76">
        <v>17</v>
      </c>
      <c r="R209" s="76">
        <v>1</v>
      </c>
      <c r="S209" s="76">
        <v>20</v>
      </c>
      <c r="T209" s="76">
        <v>155</v>
      </c>
      <c r="U209" s="76">
        <v>35.200000000000003</v>
      </c>
      <c r="V209" s="100">
        <v>0.25800000000000001</v>
      </c>
      <c r="W209" s="76">
        <v>1.43</v>
      </c>
      <c r="X209" s="76"/>
      <c r="Y209" s="50">
        <f t="shared" si="75"/>
        <v>10.38961038961039</v>
      </c>
      <c r="Z209" s="6">
        <f>IF(Y209&lt;LeagueRatings!$K$21,((LeagueRatings!$K$21-Y209)/LeagueRatings!$K$21)*36,(LeagueRatings!$K$21-Y209)*6.48)</f>
        <v>-9.3091343453442921</v>
      </c>
      <c r="AA209" s="16">
        <f>INDEX('C-P-RollAdj'!$B$4:$B$76,MATCH(INT(Z209),'C-P-RollAdj'!$A$4:$A$76,FALSE),0)</f>
        <v>0.98</v>
      </c>
      <c r="AB209" s="16">
        <f t="shared" si="76"/>
        <v>3.2467532467532463</v>
      </c>
      <c r="AC209" s="6">
        <f>IF(AB209&lt;LeagueRatings!$K$19,((LeagueRatings!$K$19-AB209)/LeagueRatings!$K$19)*36,(LeagueRatings!$K$19-AB209)/LeagueRatings!$K$22)</f>
        <v>-2.737117516629707</v>
      </c>
      <c r="AD209" s="16">
        <f>INDEX('C-P-RollAdj'!$F$4:$F$76,MATCH(INT(AC209),'C-P-RollAdj'!$E$4:$E$76,FALSE),0)</f>
        <v>0.24</v>
      </c>
      <c r="AE209" s="17">
        <f>+((LeagueRatings!$I$17-E209)*5)+9.5</f>
        <v>5.0643872437063635</v>
      </c>
      <c r="AF209" s="17">
        <f t="shared" si="79"/>
        <v>5.0643872437063635</v>
      </c>
      <c r="AG209" s="17">
        <f t="shared" si="77"/>
        <v>0.25772638071208326</v>
      </c>
      <c r="AH209" s="4">
        <f t="shared" si="80"/>
        <v>6.5421136244184463</v>
      </c>
      <c r="AI209" s="41" t="s">
        <v>378</v>
      </c>
      <c r="AJ209" s="58">
        <v>7</v>
      </c>
      <c r="AK209" s="219">
        <f>INDEX('C-P-RollAdj'!$J$4:$J$76,MATCH(INT(Z209),'C-P-RollAdj'!$I$4:$I$76,FALSE),0)</f>
        <v>-24</v>
      </c>
      <c r="AL209" s="219">
        <f>INDEX('C-P-RollAdj'!$J$4:$J$76,MATCH(INT(AC209),'C-P-RollAdj'!$I$4:$I$76,FALSE),0)</f>
        <v>-13</v>
      </c>
      <c r="AM209" s="14">
        <f>+AR209*LeagueRatings!$K$27</f>
        <v>20</v>
      </c>
      <c r="AN209" s="72">
        <f>F209*LeagueRatings!$K$27</f>
        <v>18.888888888888889</v>
      </c>
      <c r="AO209" s="72">
        <f>G209*LeagueRatings!$K$27</f>
        <v>0</v>
      </c>
      <c r="AP209" s="72">
        <f>T209*LeagueRatings!$K$27</f>
        <v>86.111111111111114</v>
      </c>
      <c r="AR209" s="14">
        <f t="shared" si="78"/>
        <v>36</v>
      </c>
    </row>
    <row r="210" spans="1:44" x14ac:dyDescent="0.2">
      <c r="A210" s="41" t="s">
        <v>758</v>
      </c>
      <c r="B210" s="76" t="s">
        <v>170</v>
      </c>
      <c r="C210" s="76">
        <v>5</v>
      </c>
      <c r="D210" s="76">
        <v>12</v>
      </c>
      <c r="E210" s="97">
        <v>4.8</v>
      </c>
      <c r="F210" s="76">
        <v>24</v>
      </c>
      <c r="G210" s="76">
        <v>23</v>
      </c>
      <c r="H210" s="76">
        <v>0</v>
      </c>
      <c r="I210" s="76">
        <v>0</v>
      </c>
      <c r="J210" s="76">
        <v>0</v>
      </c>
      <c r="K210" s="76">
        <v>0</v>
      </c>
      <c r="L210" s="258">
        <f>INDEX('C-P-RollAdj'!$P$4:$P$900,MATCH((U210),'C-P-RollAdj'!$O$4:$O$900,FALSE),0)</f>
        <v>129.32999999999998</v>
      </c>
      <c r="M210" s="76">
        <v>131</v>
      </c>
      <c r="N210" s="76">
        <v>74</v>
      </c>
      <c r="O210" s="76">
        <v>69</v>
      </c>
      <c r="P210" s="76">
        <v>13</v>
      </c>
      <c r="Q210" s="76">
        <v>52</v>
      </c>
      <c r="R210" s="76">
        <v>2</v>
      </c>
      <c r="S210" s="76">
        <v>100</v>
      </c>
      <c r="T210" s="76">
        <v>567</v>
      </c>
      <c r="U210" s="76">
        <v>129.1</v>
      </c>
      <c r="V210" s="100">
        <v>0.25900000000000001</v>
      </c>
      <c r="W210" s="76">
        <v>1.41</v>
      </c>
      <c r="X210" s="76"/>
      <c r="Y210" s="50">
        <f t="shared" si="75"/>
        <v>8.8495575221238933</v>
      </c>
      <c r="Z210" s="6">
        <f>IF(Y210&lt;LeagueRatings!$K$21,((LeagueRatings!$K$21-Y210)/LeagueRatings!$K$21)*36,(LeagueRatings!$K$21-Y210)*6.48)</f>
        <v>0.41600398940438615</v>
      </c>
      <c r="AA210" s="16">
        <f>INDEX('C-P-RollAdj'!$B$4:$B$76,MATCH(INT(Z210),'C-P-RollAdj'!$A$4:$A$76,FALSE),0)</f>
        <v>0</v>
      </c>
      <c r="AB210" s="16">
        <f t="shared" si="76"/>
        <v>2.3008849557522124</v>
      </c>
      <c r="AC210" s="6">
        <f>IF(AB210&lt;LeagueRatings!$K$19,((LeagueRatings!$K$19-AB210)/LeagueRatings!$K$19)*36,(LeagueRatings!$K$19-AB210)/LeagueRatings!$K$22)</f>
        <v>7.5158696773681513</v>
      </c>
      <c r="AD210" s="16">
        <f>INDEX('C-P-RollAdj'!$F$4:$F$76,MATCH(INT(AC210),'C-P-RollAdj'!$E$4:$E$76,FALSE),0)</f>
        <v>-0.49000000000000005</v>
      </c>
      <c r="AE210" s="17">
        <f>+((LeagueRatings!$I$17-E210)*5)+9.5</f>
        <v>6.3143872437063635</v>
      </c>
      <c r="AF210" s="17">
        <f t="shared" si="79"/>
        <v>6.3143872437063635</v>
      </c>
      <c r="AG210" s="17">
        <f t="shared" si="77"/>
        <v>-6.4563519678343395E-2</v>
      </c>
      <c r="AH210" s="4">
        <f t="shared" si="80"/>
        <v>5.7598237240280197</v>
      </c>
      <c r="AI210" s="41" t="s">
        <v>758</v>
      </c>
      <c r="AJ210" s="58">
        <v>6</v>
      </c>
      <c r="AK210" s="219">
        <f>INDEX('C-P-RollAdj'!$J$4:$J$76,MATCH(INT(Z210),'C-P-RollAdj'!$I$4:$I$76,FALSE),0)</f>
        <v>0</v>
      </c>
      <c r="AL210" s="219">
        <f>INDEX('C-P-RollAdj'!$J$4:$J$76,MATCH(INT(AC210),'C-P-RollAdj'!$I$4:$I$76,FALSE),0)</f>
        <v>21</v>
      </c>
      <c r="AM210" s="14">
        <f>+AR210*LeagueRatings!$K$27</f>
        <v>72.222222222222229</v>
      </c>
      <c r="AN210" s="72">
        <f>F210*LeagueRatings!$K$27</f>
        <v>13.333333333333334</v>
      </c>
      <c r="AO210" s="72">
        <f>G210*LeagueRatings!$K$27</f>
        <v>12.777777777777779</v>
      </c>
      <c r="AP210" s="72">
        <f>T210*LeagueRatings!$K$27</f>
        <v>315</v>
      </c>
      <c r="AR210" s="14">
        <f t="shared" si="78"/>
        <v>130</v>
      </c>
    </row>
    <row r="211" spans="1:44" x14ac:dyDescent="0.2">
      <c r="A211" s="41" t="s">
        <v>391</v>
      </c>
      <c r="B211" s="76" t="s">
        <v>170</v>
      </c>
      <c r="C211" s="76">
        <v>4</v>
      </c>
      <c r="D211" s="76">
        <v>4</v>
      </c>
      <c r="E211" s="97">
        <v>2.92</v>
      </c>
      <c r="F211" s="76">
        <v>82</v>
      </c>
      <c r="G211" s="76">
        <v>0</v>
      </c>
      <c r="H211" s="76">
        <v>0</v>
      </c>
      <c r="I211" s="76">
        <v>0</v>
      </c>
      <c r="J211" s="76">
        <v>1</v>
      </c>
      <c r="K211" s="76">
        <v>7</v>
      </c>
      <c r="L211" s="258">
        <f>INDEX('C-P-RollAdj'!$P$4:$P$900,MATCH((U211),'C-P-RollAdj'!$O$4:$O$900,FALSE),0)</f>
        <v>89.33</v>
      </c>
      <c r="M211" s="76">
        <v>63</v>
      </c>
      <c r="N211" s="76">
        <v>32</v>
      </c>
      <c r="O211" s="76">
        <v>29</v>
      </c>
      <c r="P211" s="76">
        <v>8</v>
      </c>
      <c r="Q211" s="76">
        <v>36</v>
      </c>
      <c r="R211" s="76">
        <v>4</v>
      </c>
      <c r="S211" s="76">
        <v>111</v>
      </c>
      <c r="T211" s="76">
        <v>364</v>
      </c>
      <c r="U211" s="76">
        <v>89.1</v>
      </c>
      <c r="V211" s="100">
        <v>0.19500000000000001</v>
      </c>
      <c r="W211" s="76">
        <v>1.1100000000000001</v>
      </c>
      <c r="X211" s="76"/>
      <c r="Y211" s="50">
        <f t="shared" si="75"/>
        <v>8.8888888888888893</v>
      </c>
      <c r="Z211" s="6">
        <f>IF(Y211&lt;LeagueRatings!$K$21,((LeagueRatings!$K$21-Y211)/LeagueRatings!$K$21)*36,(LeagueRatings!$K$21-Y211)*6.48)</f>
        <v>0.25785289602395772</v>
      </c>
      <c r="AA211" s="16">
        <f>INDEX('C-P-RollAdj'!$B$4:$B$76,MATCH(INT(Z211),'C-P-RollAdj'!$A$4:$A$76,FALSE),0)</f>
        <v>0</v>
      </c>
      <c r="AB211" s="16">
        <f t="shared" si="76"/>
        <v>2.2222222222222223</v>
      </c>
      <c r="AC211" s="6">
        <f>IF(AB211&lt;LeagueRatings!$K$19,((LeagueRatings!$K$19-AB211)/LeagueRatings!$K$19)*36,(LeagueRatings!$K$19-AB211)/LeagueRatings!$K$22)</f>
        <v>8.4896860986547082</v>
      </c>
      <c r="AD211" s="16">
        <f>INDEX('C-P-RollAdj'!$F$4:$F$76,MATCH(INT(AC211),'C-P-RollAdj'!$E$4:$E$76,FALSE),0)</f>
        <v>-0.56999999999999995</v>
      </c>
      <c r="AE211" s="17">
        <f>+((LeagueRatings!$I$17-E211)*5)+9.5</f>
        <v>15.714387243706362</v>
      </c>
      <c r="AF211" s="17">
        <f t="shared" si="79"/>
        <v>15.714387243706362</v>
      </c>
      <c r="AG211" s="17">
        <f t="shared" si="77"/>
        <v>1.9932486286801743</v>
      </c>
      <c r="AH211" s="4">
        <f t="shared" si="80"/>
        <v>17.137635872386536</v>
      </c>
      <c r="AI211" s="41" t="s">
        <v>391</v>
      </c>
      <c r="AJ211" s="58">
        <v>17</v>
      </c>
      <c r="AK211" s="219">
        <f>INDEX('C-P-RollAdj'!$J$4:$J$76,MATCH(INT(Z211),'C-P-RollAdj'!$I$4:$I$76,FALSE),0)</f>
        <v>0</v>
      </c>
      <c r="AL211" s="219">
        <f>INDEX('C-P-RollAdj'!$J$4:$J$76,MATCH(INT(AC211),'C-P-RollAdj'!$I$4:$I$76,FALSE),0)</f>
        <v>22</v>
      </c>
      <c r="AM211" s="14">
        <f>+AR211*LeagueRatings!$K$27</f>
        <v>50</v>
      </c>
      <c r="AN211" s="72">
        <f>F211*LeagueRatings!$K$27</f>
        <v>45.555555555555557</v>
      </c>
      <c r="AO211" s="72">
        <f>G211*LeagueRatings!$K$27</f>
        <v>0</v>
      </c>
      <c r="AP211" s="72">
        <f>T211*LeagueRatings!$K$27</f>
        <v>202.22222222222223</v>
      </c>
      <c r="AR211" s="14">
        <f t="shared" si="78"/>
        <v>90</v>
      </c>
    </row>
    <row r="212" spans="1:44" x14ac:dyDescent="0.2">
      <c r="A212" s="41" t="s">
        <v>1091</v>
      </c>
      <c r="B212" s="76" t="s">
        <v>170</v>
      </c>
      <c r="C212" s="76">
        <v>1</v>
      </c>
      <c r="D212" s="76">
        <v>0</v>
      </c>
      <c r="E212" s="97">
        <v>3.38</v>
      </c>
      <c r="F212" s="76">
        <v>15</v>
      </c>
      <c r="G212" s="76">
        <v>0</v>
      </c>
      <c r="H212" s="76">
        <v>0</v>
      </c>
      <c r="I212" s="76">
        <v>0</v>
      </c>
      <c r="J212" s="76">
        <v>0</v>
      </c>
      <c r="K212" s="76">
        <v>0</v>
      </c>
      <c r="L212" s="258">
        <f>INDEX('C-P-RollAdj'!$P$4:$P$900,MATCH((U212),'C-P-RollAdj'!$O$4:$O$900,FALSE),0)</f>
        <v>18.670000000000002</v>
      </c>
      <c r="M212" s="76">
        <v>19</v>
      </c>
      <c r="N212" s="76">
        <v>7</v>
      </c>
      <c r="O212" s="76">
        <v>7</v>
      </c>
      <c r="P212" s="76">
        <v>2</v>
      </c>
      <c r="Q212" s="76">
        <v>11</v>
      </c>
      <c r="R212" s="76">
        <v>2</v>
      </c>
      <c r="S212" s="76">
        <v>9</v>
      </c>
      <c r="T212" s="76">
        <v>86</v>
      </c>
      <c r="U212" s="76">
        <v>18.2</v>
      </c>
      <c r="V212" s="100">
        <v>0.25700000000000001</v>
      </c>
      <c r="W212" s="76">
        <v>1.61</v>
      </c>
      <c r="X212" s="76"/>
      <c r="Y212" s="50">
        <f t="shared" si="75"/>
        <v>10.714285714285714</v>
      </c>
      <c r="Z212" s="6">
        <f>IF(Y212&lt;LeagueRatings!$K$21,((LeagueRatings!$K$21-Y212)/LeagueRatings!$K$21)*36,(LeagueRatings!$K$21-Y212)*6.48)</f>
        <v>-11.413030449240392</v>
      </c>
      <c r="AA212" s="16">
        <f>INDEX('C-P-RollAdj'!$B$4:$B$76,MATCH(INT(Z212),'C-P-RollAdj'!$A$4:$A$76,FALSE),0)</f>
        <v>1.24</v>
      </c>
      <c r="AB212" s="16">
        <f t="shared" si="76"/>
        <v>2.3809523809523809</v>
      </c>
      <c r="AC212" s="6">
        <f>IF(AB212&lt;LeagueRatings!$K$19,((LeagueRatings!$K$19-AB212)/LeagueRatings!$K$19)*36,(LeagueRatings!$K$19-AB212)/LeagueRatings!$K$22)</f>
        <v>6.5246636771300466</v>
      </c>
      <c r="AD212" s="16">
        <f>INDEX('C-P-RollAdj'!$F$4:$F$76,MATCH(INT(AC212),'C-P-RollAdj'!$E$4:$E$76,FALSE),0)</f>
        <v>-0.42000000000000004</v>
      </c>
      <c r="AE212" s="17">
        <f>+((LeagueRatings!$I$17-E212)*5)+9.5</f>
        <v>13.414387243706363</v>
      </c>
      <c r="AF212" s="17">
        <f t="shared" si="79"/>
        <v>13.414387243706363</v>
      </c>
      <c r="AG212" s="17">
        <f t="shared" si="77"/>
        <v>-8.8377075522227955E-2</v>
      </c>
      <c r="AH212" s="4">
        <f t="shared" si="80"/>
        <v>14.146010168184135</v>
      </c>
      <c r="AI212" s="41" t="s">
        <v>1091</v>
      </c>
      <c r="AJ212" s="58">
        <v>14</v>
      </c>
      <c r="AK212" s="219">
        <f>INDEX('C-P-RollAdj'!$J$4:$J$76,MATCH(INT(Z212),'C-P-RollAdj'!$I$4:$I$76,FALSE),0)</f>
        <v>-26</v>
      </c>
      <c r="AL212" s="219">
        <f>INDEX('C-P-RollAdj'!$J$4:$J$76,MATCH(INT(AC212),'C-P-RollAdj'!$I$4:$I$76,FALSE),0)</f>
        <v>16</v>
      </c>
      <c r="AM212" s="14">
        <f>+AR212*LeagueRatings!$K$27</f>
        <v>10.555555555555555</v>
      </c>
      <c r="AN212" s="72">
        <f>F212*LeagueRatings!$K$27</f>
        <v>8.3333333333333339</v>
      </c>
      <c r="AO212" s="72">
        <f>G212*LeagueRatings!$K$27</f>
        <v>0</v>
      </c>
      <c r="AP212" s="72">
        <f>T212*LeagueRatings!$K$27</f>
        <v>47.777777777777779</v>
      </c>
      <c r="AR212" s="14">
        <f t="shared" si="78"/>
        <v>19</v>
      </c>
    </row>
    <row r="213" spans="1:44" x14ac:dyDescent="0.2">
      <c r="A213" s="41" t="s">
        <v>352</v>
      </c>
      <c r="B213" s="76" t="s">
        <v>170</v>
      </c>
      <c r="C213" s="76">
        <v>5</v>
      </c>
      <c r="D213" s="76">
        <v>6</v>
      </c>
      <c r="E213" s="97">
        <v>5.89</v>
      </c>
      <c r="F213" s="76">
        <v>13</v>
      </c>
      <c r="G213" s="76">
        <v>13</v>
      </c>
      <c r="H213" s="76">
        <v>0</v>
      </c>
      <c r="I213" s="76">
        <v>0</v>
      </c>
      <c r="J213" s="76">
        <v>0</v>
      </c>
      <c r="K213" s="76">
        <v>0</v>
      </c>
      <c r="L213" s="258">
        <f>INDEX('C-P-RollAdj'!$P$4:$P$900,MATCH((U213),'C-P-RollAdj'!$O$4:$O$900,FALSE),0)</f>
        <v>73.33</v>
      </c>
      <c r="M213" s="76">
        <v>79</v>
      </c>
      <c r="N213" s="76">
        <v>49</v>
      </c>
      <c r="O213" s="76">
        <v>48</v>
      </c>
      <c r="P213" s="76">
        <v>12</v>
      </c>
      <c r="Q213" s="76">
        <v>35</v>
      </c>
      <c r="R213" s="76">
        <v>2</v>
      </c>
      <c r="S213" s="76">
        <v>54</v>
      </c>
      <c r="T213" s="76">
        <v>326</v>
      </c>
      <c r="U213" s="76">
        <v>73.099999999999994</v>
      </c>
      <c r="V213" s="100">
        <v>0.27800000000000002</v>
      </c>
      <c r="W213" s="76">
        <v>1.55</v>
      </c>
      <c r="X213" s="76"/>
      <c r="Y213" s="50">
        <f t="shared" si="75"/>
        <v>10.185185185185185</v>
      </c>
      <c r="Z213" s="6">
        <f>IF(Y213&lt;LeagueRatings!$K$21,((LeagueRatings!$K$21-Y213)/LeagueRatings!$K$21)*36,(LeagueRatings!$K$21-Y213)*6.48)</f>
        <v>-7.9844590206689672</v>
      </c>
      <c r="AA213" s="16">
        <f>INDEX('C-P-RollAdj'!$B$4:$B$76,MATCH(INT(Z213),'C-P-RollAdj'!$A$4:$A$76,FALSE),0)</f>
        <v>0.76</v>
      </c>
      <c r="AB213" s="16">
        <f t="shared" si="76"/>
        <v>3.7037037037037033</v>
      </c>
      <c r="AC213" s="6">
        <f>IF(AB213&lt;LeagueRatings!$K$19,((LeagueRatings!$K$19-AB213)/LeagueRatings!$K$19)*36,(LeagueRatings!$K$19-AB213)/LeagueRatings!$K$22)</f>
        <v>-6.4292682926829228</v>
      </c>
      <c r="AD213" s="16">
        <f>INDEX('C-P-RollAdj'!$F$4:$F$76,MATCH(INT(AC213),'C-P-RollAdj'!$E$4:$E$76,FALSE),0)</f>
        <v>0.61</v>
      </c>
      <c r="AE213" s="17">
        <f>+((LeagueRatings!$I$17-E213)*5)+9.5</f>
        <v>0.86438724370636422</v>
      </c>
      <c r="AF213" s="17">
        <f t="shared" si="79"/>
        <v>4</v>
      </c>
      <c r="AG213" s="17">
        <f t="shared" si="77"/>
        <v>-0.38660848220373634</v>
      </c>
      <c r="AH213" s="4">
        <f t="shared" si="80"/>
        <v>4.9833915177962638</v>
      </c>
      <c r="AI213" s="41" t="s">
        <v>352</v>
      </c>
      <c r="AJ213" s="58">
        <v>5</v>
      </c>
      <c r="AK213" s="219">
        <f>INDEX('C-P-RollAdj'!$J$4:$J$76,MATCH(INT(Z213),'C-P-RollAdj'!$I$4:$I$76,FALSE),0)</f>
        <v>-22</v>
      </c>
      <c r="AL213" s="219">
        <f>INDEX('C-P-RollAdj'!$J$4:$J$76,MATCH(INT(AC213),'C-P-RollAdj'!$I$4:$I$76,FALSE),0)</f>
        <v>-21</v>
      </c>
      <c r="AM213" s="14">
        <f>+AR213*LeagueRatings!$K$27</f>
        <v>41.111111111111114</v>
      </c>
      <c r="AN213" s="72">
        <f>F213*LeagueRatings!$K$27</f>
        <v>7.2222222222222223</v>
      </c>
      <c r="AO213" s="72">
        <f>G213*LeagueRatings!$K$27</f>
        <v>7.2222222222222223</v>
      </c>
      <c r="AP213" s="72">
        <f>T213*LeagueRatings!$K$27</f>
        <v>181.11111111111111</v>
      </c>
      <c r="AR213" s="14">
        <f t="shared" si="78"/>
        <v>74</v>
      </c>
    </row>
    <row r="214" spans="1:44" x14ac:dyDescent="0.2">
      <c r="A214" s="41" t="s">
        <v>613</v>
      </c>
      <c r="B214" s="76" t="s">
        <v>170</v>
      </c>
      <c r="C214" s="76">
        <v>0</v>
      </c>
      <c r="D214" s="76">
        <v>5</v>
      </c>
      <c r="E214" s="97">
        <v>4.5199999999999996</v>
      </c>
      <c r="F214" s="76">
        <v>71</v>
      </c>
      <c r="G214" s="76">
        <v>0</v>
      </c>
      <c r="H214" s="76">
        <v>0</v>
      </c>
      <c r="I214" s="76">
        <v>0</v>
      </c>
      <c r="J214" s="76">
        <v>13</v>
      </c>
      <c r="K214" s="76">
        <v>19</v>
      </c>
      <c r="L214" s="258">
        <f>INDEX('C-P-RollAdj'!$P$4:$P$900,MATCH((U214),'C-P-RollAdj'!$O$4:$O$900,FALSE),0)</f>
        <v>69.67</v>
      </c>
      <c r="M214" s="76">
        <v>65</v>
      </c>
      <c r="N214" s="76">
        <v>37</v>
      </c>
      <c r="O214" s="76">
        <v>35</v>
      </c>
      <c r="P214" s="76">
        <v>7</v>
      </c>
      <c r="Q214" s="76">
        <v>23</v>
      </c>
      <c r="R214" s="76">
        <v>5</v>
      </c>
      <c r="S214" s="76">
        <v>72</v>
      </c>
      <c r="T214" s="76">
        <v>300</v>
      </c>
      <c r="U214" s="76">
        <v>69.2</v>
      </c>
      <c r="V214" s="100">
        <v>0.23799999999999999</v>
      </c>
      <c r="W214" s="76">
        <v>1.26</v>
      </c>
      <c r="X214" s="76"/>
      <c r="Y214" s="50">
        <f t="shared" si="75"/>
        <v>6.1016949152542379</v>
      </c>
      <c r="Z214" s="6">
        <f>IF(Y214&lt;LeagueRatings!$K$21,((LeagueRatings!$K$21-Y214)/LeagueRatings!$K$21)*36,(LeagueRatings!$K$21-Y214)*6.48)</f>
        <v>11.465136309982546</v>
      </c>
      <c r="AA214" s="16">
        <f>INDEX('C-P-RollAdj'!$B$4:$B$76,MATCH(INT(Z214),'C-P-RollAdj'!$A$4:$A$76,FALSE),0)</f>
        <v>-0.92</v>
      </c>
      <c r="AB214" s="16">
        <f t="shared" si="76"/>
        <v>2.3728813559322033</v>
      </c>
      <c r="AC214" s="6">
        <f>IF(AB214&lt;LeagueRatings!$K$19,((LeagueRatings!$K$19-AB214)/LeagueRatings!$K$19)*36,(LeagueRatings!$K$19-AB214)/LeagueRatings!$K$22)</f>
        <v>6.6245800714448606</v>
      </c>
      <c r="AD214" s="16">
        <f>INDEX('C-P-RollAdj'!$F$4:$F$76,MATCH(INT(AC214),'C-P-RollAdj'!$E$4:$E$76,FALSE),0)</f>
        <v>-0.42000000000000004</v>
      </c>
      <c r="AE214" s="17">
        <f>+((LeagueRatings!$I$17-E214)*5)+9.5</f>
        <v>7.7143872437063647</v>
      </c>
      <c r="AF214" s="17">
        <f t="shared" si="79"/>
        <v>7.7143872437063647</v>
      </c>
      <c r="AG214" s="17">
        <f t="shared" si="77"/>
        <v>0.39921199942586499</v>
      </c>
      <c r="AH214" s="4">
        <f t="shared" si="80"/>
        <v>6.7735992431322298</v>
      </c>
      <c r="AI214" s="41" t="s">
        <v>613</v>
      </c>
      <c r="AJ214" s="58">
        <v>7</v>
      </c>
      <c r="AK214" s="219">
        <f>INDEX('C-P-RollAdj'!$J$4:$J$76,MATCH(INT(Z214),'C-P-RollAdj'!$I$4:$I$76,FALSE),0)</f>
        <v>25</v>
      </c>
      <c r="AL214" s="219">
        <f>INDEX('C-P-RollAdj'!$J$4:$J$76,MATCH(INT(AC214),'C-P-RollAdj'!$I$4:$I$76,FALSE),0)</f>
        <v>16</v>
      </c>
      <c r="AM214" s="14">
        <f>+AR214*LeagueRatings!$K$27</f>
        <v>38.888888888888893</v>
      </c>
      <c r="AN214" s="72">
        <f>F214*LeagueRatings!$K$27</f>
        <v>39.444444444444443</v>
      </c>
      <c r="AO214" s="72">
        <f>G214*LeagueRatings!$K$27</f>
        <v>0</v>
      </c>
      <c r="AP214" s="72">
        <f>T214*LeagueRatings!$K$27</f>
        <v>166.66666666666669</v>
      </c>
      <c r="AR214" s="14">
        <f t="shared" si="78"/>
        <v>70</v>
      </c>
    </row>
    <row r="215" spans="1:44" x14ac:dyDescent="0.2">
      <c r="A215" s="41" t="s">
        <v>623</v>
      </c>
      <c r="B215" s="76" t="s">
        <v>170</v>
      </c>
      <c r="C215" s="76">
        <v>1</v>
      </c>
      <c r="D215" s="76">
        <v>0</v>
      </c>
      <c r="E215" s="97">
        <v>1.69</v>
      </c>
      <c r="F215" s="76">
        <v>18</v>
      </c>
      <c r="G215" s="76">
        <v>0</v>
      </c>
      <c r="H215" s="76">
        <v>0</v>
      </c>
      <c r="I215" s="76">
        <v>0</v>
      </c>
      <c r="J215" s="76">
        <v>0</v>
      </c>
      <c r="K215" s="76">
        <v>1</v>
      </c>
      <c r="L215" s="258">
        <f>INDEX('C-P-RollAdj'!$P$4:$P$900,MATCH((U215),'C-P-RollAdj'!$O$4:$O$900,FALSE),0)</f>
        <v>16</v>
      </c>
      <c r="M215" s="76">
        <v>19</v>
      </c>
      <c r="N215" s="76">
        <v>4</v>
      </c>
      <c r="O215" s="76">
        <v>3</v>
      </c>
      <c r="P215" s="76">
        <v>2</v>
      </c>
      <c r="Q215" s="76">
        <v>3</v>
      </c>
      <c r="R215" s="76">
        <v>1</v>
      </c>
      <c r="S215" s="76">
        <v>8</v>
      </c>
      <c r="T215" s="76">
        <v>68</v>
      </c>
      <c r="U215" s="76">
        <v>16</v>
      </c>
      <c r="V215" s="100">
        <v>0.30599999999999999</v>
      </c>
      <c r="W215" s="76">
        <v>1.38</v>
      </c>
      <c r="X215" s="76"/>
      <c r="Y215" s="50">
        <f t="shared" si="75"/>
        <v>2.9850746268656714</v>
      </c>
      <c r="Z215" s="6">
        <f>IF(Y215&lt;LeagueRatings!$K$21,((LeagueRatings!$K$21-Y215)/LeagueRatings!$K$21)*36,(LeagueRatings!$K$21-Y215)*6.48)</f>
        <v>23.997040151649841</v>
      </c>
      <c r="AA215" s="16">
        <f>INDEX('C-P-RollAdj'!$B$4:$B$76,MATCH(INT(Z215),'C-P-RollAdj'!$A$4:$A$76,FALSE),0)</f>
        <v>-2.11</v>
      </c>
      <c r="AB215" s="16">
        <f t="shared" si="76"/>
        <v>2.9850746268656714</v>
      </c>
      <c r="AC215" s="6">
        <f>IF(AB215&lt;LeagueRatings!$K$19,((LeagueRatings!$K$19-AB215)/LeagueRatings!$K$19)*36,(LeagueRatings!$K$19-AB215)/LeagueRatings!$K$22)</f>
        <v>-0.62275937386239211</v>
      </c>
      <c r="AD215" s="16">
        <f>INDEX('C-P-RollAdj'!$F$4:$F$76,MATCH(INT(AC215),'C-P-RollAdj'!$E$4:$E$76,FALSE),0)</f>
        <v>0.08</v>
      </c>
      <c r="AE215" s="17">
        <f>+((LeagueRatings!$I$17-E215)*5)+9.5</f>
        <v>21.864387243706361</v>
      </c>
      <c r="AF215" s="17">
        <f t="shared" si="79"/>
        <v>21.864387243706361</v>
      </c>
      <c r="AG215" s="17">
        <f t="shared" si="77"/>
        <v>-0.9375</v>
      </c>
      <c r="AH215" s="4">
        <f t="shared" si="80"/>
        <v>18.89688724370636</v>
      </c>
      <c r="AI215" s="41" t="s">
        <v>623</v>
      </c>
      <c r="AJ215" s="58">
        <v>19</v>
      </c>
      <c r="AK215" s="219">
        <f>INDEX('C-P-RollAdj'!$J$4:$J$76,MATCH(INT(Z215),'C-P-RollAdj'!$I$4:$I$76,FALSE),0)</f>
        <v>45</v>
      </c>
      <c r="AL215" s="219">
        <f>INDEX('C-P-RollAdj'!$J$4:$J$76,MATCH(INT(AC215),'C-P-RollAdj'!$I$4:$I$76,FALSE),0)</f>
        <v>-11</v>
      </c>
      <c r="AM215" s="14">
        <f>+AR215*LeagueRatings!$K$27</f>
        <v>8.8888888888888893</v>
      </c>
      <c r="AN215" s="72">
        <f>F215*LeagueRatings!$K$27</f>
        <v>10</v>
      </c>
      <c r="AO215" s="72">
        <f>G215*LeagueRatings!$K$27</f>
        <v>0</v>
      </c>
      <c r="AP215" s="72">
        <f>T215*LeagueRatings!$K$27</f>
        <v>37.777777777777779</v>
      </c>
      <c r="AR215" s="14">
        <f t="shared" si="78"/>
        <v>16</v>
      </c>
    </row>
    <row r="216" spans="1:44" x14ac:dyDescent="0.2">
      <c r="A216" s="41" t="s">
        <v>1489</v>
      </c>
      <c r="B216" s="76" t="s">
        <v>170</v>
      </c>
      <c r="C216" s="76">
        <v>9</v>
      </c>
      <c r="D216" s="76">
        <v>10</v>
      </c>
      <c r="E216" s="97">
        <v>5.71</v>
      </c>
      <c r="F216" s="76">
        <v>35</v>
      </c>
      <c r="G216" s="76">
        <v>20</v>
      </c>
      <c r="H216" s="76">
        <v>1</v>
      </c>
      <c r="I216" s="76">
        <v>0</v>
      </c>
      <c r="J216" s="76">
        <v>0</v>
      </c>
      <c r="K216" s="76">
        <v>0</v>
      </c>
      <c r="L216" s="258">
        <f>INDEX('C-P-RollAdj'!$P$4:$P$900,MATCH((U216),'C-P-RollAdj'!$O$4:$O$900,FALSE),0)</f>
        <v>146.67000000000002</v>
      </c>
      <c r="M216" s="76">
        <v>187</v>
      </c>
      <c r="N216" s="76">
        <v>99</v>
      </c>
      <c r="O216" s="76">
        <v>93</v>
      </c>
      <c r="P216" s="76">
        <v>23</v>
      </c>
      <c r="Q216" s="76">
        <v>46</v>
      </c>
      <c r="R216" s="76">
        <v>7</v>
      </c>
      <c r="S216" s="76">
        <v>105</v>
      </c>
      <c r="T216" s="76">
        <v>662</v>
      </c>
      <c r="U216" s="76">
        <v>146.19999999999999</v>
      </c>
      <c r="V216" s="100">
        <v>0.31</v>
      </c>
      <c r="W216" s="76">
        <v>1.59</v>
      </c>
      <c r="X216" s="76"/>
      <c r="Y216" s="50">
        <f t="shared" si="75"/>
        <v>5.9541984732824424</v>
      </c>
      <c r="Z216" s="6">
        <f>IF(Y216&lt;LeagueRatings!$K$21,((LeagueRatings!$K$21-Y216)/LeagueRatings!$K$21)*36,(LeagueRatings!$K$21-Y216)*6.48)</f>
        <v>12.058218256687807</v>
      </c>
      <c r="AA216" s="16">
        <f>INDEX('C-P-RollAdj'!$B$4:$B$76,MATCH(INT(Z216),'C-P-RollAdj'!$A$4:$A$76,FALSE),0)</f>
        <v>-1.01</v>
      </c>
      <c r="AB216" s="16">
        <f t="shared" si="76"/>
        <v>3.5114503816793894</v>
      </c>
      <c r="AC216" s="6">
        <f>IF(AB216&lt;LeagueRatings!$K$19,((LeagueRatings!$K$19-AB216)/LeagueRatings!$K$19)*36,(LeagueRatings!$K$19-AB216)/LeagueRatings!$K$22)</f>
        <v>-4.8758652020107984</v>
      </c>
      <c r="AD216" s="16">
        <f>INDEX('C-P-RollAdj'!$F$4:$F$76,MATCH(INT(AC216),'C-P-RollAdj'!$E$4:$E$76,FALSE),0)</f>
        <v>0.42</v>
      </c>
      <c r="AE216" s="17">
        <f>+((LeagueRatings!$I$17-E216)*5)+9.5</f>
        <v>1.7643872437063628</v>
      </c>
      <c r="AF216" s="17">
        <f t="shared" si="79"/>
        <v>4</v>
      </c>
      <c r="AG216" s="17">
        <f t="shared" si="77"/>
        <v>-1.3748551169291601</v>
      </c>
      <c r="AH216" s="4">
        <f t="shared" si="80"/>
        <v>2.0351448830708403</v>
      </c>
      <c r="AI216" s="41" t="s">
        <v>1489</v>
      </c>
      <c r="AJ216" s="58">
        <v>3</v>
      </c>
      <c r="AK216" s="219">
        <f>INDEX('C-P-RollAdj'!$J$4:$J$76,MATCH(INT(Z216),'C-P-RollAdj'!$I$4:$I$76,FALSE),0)</f>
        <v>26</v>
      </c>
      <c r="AL216" s="219">
        <f>INDEX('C-P-RollAdj'!$J$4:$J$76,MATCH(INT(AC216),'C-P-RollAdj'!$I$4:$I$76,FALSE),0)</f>
        <v>-15</v>
      </c>
      <c r="AM216" s="14">
        <f>+AR216*LeagueRatings!$K$27</f>
        <v>81.666666666666671</v>
      </c>
      <c r="AN216" s="72">
        <f>F216*LeagueRatings!$K$27</f>
        <v>19.444444444444446</v>
      </c>
      <c r="AO216" s="72">
        <f>G216*LeagueRatings!$K$27</f>
        <v>11.111111111111111</v>
      </c>
      <c r="AP216" s="72">
        <f>T216*LeagueRatings!$K$27</f>
        <v>367.77777777777777</v>
      </c>
      <c r="AR216" s="14">
        <f t="shared" si="78"/>
        <v>147</v>
      </c>
    </row>
    <row r="217" spans="1:44" x14ac:dyDescent="0.2">
      <c r="A217" s="41" t="s">
        <v>775</v>
      </c>
      <c r="B217" s="76" t="s">
        <v>170</v>
      </c>
      <c r="C217" s="76">
        <v>7</v>
      </c>
      <c r="D217" s="76">
        <v>7</v>
      </c>
      <c r="E217" s="97">
        <v>3.92</v>
      </c>
      <c r="F217" s="76">
        <v>60</v>
      </c>
      <c r="G217" s="76">
        <v>0</v>
      </c>
      <c r="H217" s="76">
        <v>0</v>
      </c>
      <c r="I217" s="76">
        <v>0</v>
      </c>
      <c r="J217" s="76">
        <v>2</v>
      </c>
      <c r="K217" s="76">
        <v>3</v>
      </c>
      <c r="L217" s="258">
        <f>INDEX('C-P-RollAdj'!$P$4:$P$900,MATCH((U217),'C-P-RollAdj'!$O$4:$O$900,FALSE),0)</f>
        <v>59.67</v>
      </c>
      <c r="M217" s="76">
        <v>55</v>
      </c>
      <c r="N217" s="76">
        <v>27</v>
      </c>
      <c r="O217" s="76">
        <v>26</v>
      </c>
      <c r="P217" s="76">
        <v>8</v>
      </c>
      <c r="Q217" s="76">
        <v>22</v>
      </c>
      <c r="R217" s="76">
        <v>2</v>
      </c>
      <c r="S217" s="76">
        <v>42</v>
      </c>
      <c r="T217" s="76">
        <v>253</v>
      </c>
      <c r="U217" s="76">
        <v>59.2</v>
      </c>
      <c r="V217" s="100">
        <v>0.24199999999999999</v>
      </c>
      <c r="W217" s="76">
        <v>1.29</v>
      </c>
      <c r="X217" s="76"/>
      <c r="Y217" s="50">
        <f t="shared" si="75"/>
        <v>7.9681274900398407</v>
      </c>
      <c r="Z217" s="6">
        <f>IF(Y217&lt;LeagueRatings!$K$21,((LeagueRatings!$K$21-Y217)/LeagueRatings!$K$21)*36,(LeagueRatings!$K$21-Y217)*6.48)</f>
        <v>3.9602266996230706</v>
      </c>
      <c r="AA217" s="16">
        <f>INDEX('C-P-RollAdj'!$B$4:$B$76,MATCH(INT(Z217),'C-P-RollAdj'!$A$4:$A$76,FALSE),0)</f>
        <v>-0.24</v>
      </c>
      <c r="AB217" s="16">
        <f t="shared" si="76"/>
        <v>3.1872509960159361</v>
      </c>
      <c r="AC217" s="6">
        <f>IF(AB217&lt;LeagueRatings!$K$19,((LeagueRatings!$K$19-AB217)/LeagueRatings!$K$19)*36,(LeagueRatings!$K$19-AB217)/LeagueRatings!$K$22)</f>
        <v>-2.2563404916917671</v>
      </c>
      <c r="AD217" s="16">
        <f>INDEX('C-P-RollAdj'!$F$4:$F$76,MATCH(INT(AC217),'C-P-RollAdj'!$E$4:$E$76,FALSE),0)</f>
        <v>0.24</v>
      </c>
      <c r="AE217" s="17">
        <f>+((LeagueRatings!$I$17-E217)*5)+9.5</f>
        <v>10.714387243706362</v>
      </c>
      <c r="AF217" s="17">
        <f t="shared" si="79"/>
        <v>10.714387243706362</v>
      </c>
      <c r="AG217" s="17">
        <f t="shared" si="77"/>
        <v>0.47784648902295973</v>
      </c>
      <c r="AH217" s="4">
        <f t="shared" si="80"/>
        <v>11.192233732729322</v>
      </c>
      <c r="AI217" s="41" t="s">
        <v>775</v>
      </c>
      <c r="AJ217" s="58">
        <v>12</v>
      </c>
      <c r="AK217" s="219">
        <f>INDEX('C-P-RollAdj'!$J$4:$J$76,MATCH(INT(Z217),'C-P-RollAdj'!$I$4:$I$76,FALSE),0)</f>
        <v>13</v>
      </c>
      <c r="AL217" s="219">
        <f>INDEX('C-P-RollAdj'!$J$4:$J$76,MATCH(INT(AC217),'C-P-RollAdj'!$I$4:$I$76,FALSE),0)</f>
        <v>-13</v>
      </c>
      <c r="AM217" s="14">
        <f>+AR217*LeagueRatings!$K$27</f>
        <v>33.333333333333336</v>
      </c>
      <c r="AN217" s="72">
        <f>F217*LeagueRatings!$K$27</f>
        <v>33.333333333333336</v>
      </c>
      <c r="AO217" s="72">
        <f>G217*LeagueRatings!$K$27</f>
        <v>0</v>
      </c>
      <c r="AP217" s="72">
        <f>T217*LeagueRatings!$K$27</f>
        <v>140.55555555555557</v>
      </c>
      <c r="AR217" s="14">
        <f t="shared" si="78"/>
        <v>60</v>
      </c>
    </row>
    <row r="218" spans="1:44" s="28" customFormat="1" x14ac:dyDescent="0.2">
      <c r="A218" s="41" t="s">
        <v>1154</v>
      </c>
      <c r="B218" s="76" t="s">
        <v>170</v>
      </c>
      <c r="C218" s="76">
        <v>5</v>
      </c>
      <c r="D218" s="76">
        <v>5</v>
      </c>
      <c r="E218" s="97">
        <v>4.9800000000000004</v>
      </c>
      <c r="F218" s="76">
        <v>19</v>
      </c>
      <c r="G218" s="76">
        <v>18</v>
      </c>
      <c r="H218" s="76">
        <v>0</v>
      </c>
      <c r="I218" s="76">
        <v>0</v>
      </c>
      <c r="J218" s="76">
        <v>0</v>
      </c>
      <c r="K218" s="76">
        <v>0</v>
      </c>
      <c r="L218" s="258">
        <f>INDEX('C-P-RollAdj'!$P$4:$P$900,MATCH((U218),'C-P-RollAdj'!$O$4:$O$900,FALSE),0)</f>
        <v>99.33</v>
      </c>
      <c r="M218" s="76">
        <v>101</v>
      </c>
      <c r="N218" s="76">
        <v>63</v>
      </c>
      <c r="O218" s="76">
        <v>55</v>
      </c>
      <c r="P218" s="76">
        <v>12</v>
      </c>
      <c r="Q218" s="76">
        <v>44</v>
      </c>
      <c r="R218" s="76">
        <v>4</v>
      </c>
      <c r="S218" s="76">
        <v>76</v>
      </c>
      <c r="T218" s="76">
        <v>443</v>
      </c>
      <c r="U218" s="76">
        <v>99.1</v>
      </c>
      <c r="V218" s="100">
        <v>0.26200000000000001</v>
      </c>
      <c r="W218" s="76">
        <v>1.46</v>
      </c>
      <c r="X218" s="76"/>
      <c r="Y218" s="50">
        <f t="shared" si="75"/>
        <v>9.1116173120728927</v>
      </c>
      <c r="Z218" s="6">
        <f>IF(Y218&lt;LeagueRatings!$K$21,((LeagueRatings!$K$21-Y218)/LeagueRatings!$K$21)*36,(LeagueRatings!$K$21-Y218)*6.48)</f>
        <v>-1.0277392029013117</v>
      </c>
      <c r="AA218" s="16">
        <f>INDEX('C-P-RollAdj'!$B$4:$B$76,MATCH(INT(Z218),'C-P-RollAdj'!$A$4:$A$76,FALSE),0)</f>
        <v>0.18</v>
      </c>
      <c r="AB218" s="16">
        <f t="shared" si="76"/>
        <v>2.7334851936218678</v>
      </c>
      <c r="AC218" s="6">
        <f>IF(AB218&lt;LeagueRatings!$K$19,((LeagueRatings!$K$19-AB218)/LeagueRatings!$K$19)*36,(LeagueRatings!$K$19-AB218)/LeagueRatings!$K$22)</f>
        <v>2.1604339254522635</v>
      </c>
      <c r="AD218" s="16">
        <f>INDEX('C-P-RollAdj'!$F$4:$F$76,MATCH(INT(AC218),'C-P-RollAdj'!$E$4:$E$76,FALSE),0)</f>
        <v>-0.14000000000000001</v>
      </c>
      <c r="AE218" s="17">
        <f>+((LeagueRatings!$I$17-E218)*5)+9.5</f>
        <v>5.4143872437063605</v>
      </c>
      <c r="AF218" s="17">
        <f>IF(AE218&lt;4,4,AE218)</f>
        <v>5.4143872437063605</v>
      </c>
      <c r="AG218" s="17">
        <f t="shared" si="77"/>
        <v>-8.4063223598107584E-2</v>
      </c>
      <c r="AH218" s="4">
        <f>+AA218+AD218+AF218+AG218</f>
        <v>5.3703240201082529</v>
      </c>
      <c r="AI218" s="41" t="s">
        <v>1154</v>
      </c>
      <c r="AJ218" s="58">
        <v>6</v>
      </c>
      <c r="AK218" s="219">
        <f>INDEX('C-P-RollAdj'!$J$4:$J$76,MATCH(INT(Z218),'C-P-RollAdj'!$I$4:$I$76,FALSE),0)</f>
        <v>-12</v>
      </c>
      <c r="AL218" s="219">
        <f>INDEX('C-P-RollAdj'!$J$4:$J$76,MATCH(INT(AC218),'C-P-RollAdj'!$I$4:$I$76,FALSE),0)</f>
        <v>12</v>
      </c>
      <c r="AM218" s="14">
        <f>+AR218*LeagueRatings!$K$27</f>
        <v>55.555555555555557</v>
      </c>
      <c r="AN218" s="72">
        <f>F218*LeagueRatings!$K$27</f>
        <v>10.555555555555555</v>
      </c>
      <c r="AO218" s="72">
        <f>G218*LeagueRatings!$K$27</f>
        <v>10</v>
      </c>
      <c r="AP218" s="72">
        <f>T218*LeagueRatings!$K$27</f>
        <v>246.11111111111111</v>
      </c>
      <c r="AQ218" s="24"/>
      <c r="AR218" s="14">
        <f t="shared" si="78"/>
        <v>100</v>
      </c>
    </row>
    <row r="219" spans="1:44" s="28" customFormat="1" x14ac:dyDescent="0.2">
      <c r="A219" s="41" t="s">
        <v>1104</v>
      </c>
      <c r="B219" s="76" t="s">
        <v>170</v>
      </c>
      <c r="C219" s="76">
        <v>3</v>
      </c>
      <c r="D219" s="76">
        <v>3</v>
      </c>
      <c r="E219" s="97">
        <v>2.52</v>
      </c>
      <c r="F219" s="76">
        <v>11</v>
      </c>
      <c r="G219" s="76">
        <v>9</v>
      </c>
      <c r="H219" s="76">
        <v>0</v>
      </c>
      <c r="I219" s="76">
        <v>0</v>
      </c>
      <c r="J219" s="76">
        <v>0</v>
      </c>
      <c r="K219" s="76">
        <v>0</v>
      </c>
      <c r="L219" s="258">
        <f>INDEX('C-P-RollAdj'!$P$4:$P$900,MATCH((U219),'C-P-RollAdj'!$O$4:$O$900,FALSE),0)</f>
        <v>53.67</v>
      </c>
      <c r="M219" s="76">
        <v>58</v>
      </c>
      <c r="N219" s="76">
        <v>21</v>
      </c>
      <c r="O219" s="76">
        <v>15</v>
      </c>
      <c r="P219" s="76">
        <v>4</v>
      </c>
      <c r="Q219" s="76">
        <v>24</v>
      </c>
      <c r="R219" s="76">
        <v>0</v>
      </c>
      <c r="S219" s="76">
        <v>34</v>
      </c>
      <c r="T219" s="76">
        <v>234</v>
      </c>
      <c r="U219" s="76">
        <v>53.2</v>
      </c>
      <c r="V219" s="100">
        <v>0.27800000000000002</v>
      </c>
      <c r="W219" s="76">
        <v>1.53</v>
      </c>
      <c r="X219" s="125"/>
      <c r="Y219" s="50">
        <f t="shared" si="75"/>
        <v>10.256410256410255</v>
      </c>
      <c r="Z219" s="6">
        <f>IF(Y219&lt;LeagueRatings!$K$21,((LeagueRatings!$K$21-Y219)/LeagueRatings!$K$21)*36,(LeagueRatings!$K$21-Y219)*6.48)</f>
        <v>-8.4459974822074226</v>
      </c>
      <c r="AA219" s="16">
        <f>INDEX('C-P-RollAdj'!$B$4:$B$76,MATCH(INT(Z219),'C-P-RollAdj'!$A$4:$A$76,FALSE),0)</f>
        <v>0.87000000000000011</v>
      </c>
      <c r="AB219" s="16">
        <f t="shared" si="76"/>
        <v>1.7094017094017095</v>
      </c>
      <c r="AC219" s="6">
        <f>IF(AB219&lt;LeagueRatings!$K$19,((LeagueRatings!$K$19-AB219)/LeagueRatings!$K$19)*36,(LeagueRatings!$K$19-AB219)/LeagueRatings!$K$22)</f>
        <v>14.838220075888236</v>
      </c>
      <c r="AD219" s="16">
        <f>INDEX('C-P-RollAdj'!$F$4:$F$76,MATCH(INT(AC219),'C-P-RollAdj'!$E$4:$E$76,FALSE),0)</f>
        <v>-1.05</v>
      </c>
      <c r="AE219" s="17">
        <f>+((LeagueRatings!$I$17-E219)*5)+9.5</f>
        <v>17.714387243706362</v>
      </c>
      <c r="AF219" s="17">
        <f>IF(AE219&lt;4,4,AE219)</f>
        <v>17.714387243706362</v>
      </c>
      <c r="AG219" s="17">
        <f t="shared" si="77"/>
        <v>-0.40339109372088622</v>
      </c>
      <c r="AH219" s="4">
        <f>+AA219+AD219+AF219+AG219</f>
        <v>17.130996149985478</v>
      </c>
      <c r="AI219" s="41" t="s">
        <v>1104</v>
      </c>
      <c r="AJ219" s="58">
        <v>17</v>
      </c>
      <c r="AK219" s="219">
        <f>INDEX('C-P-RollAdj'!$J$4:$J$76,MATCH(INT(Z219),'C-P-RollAdj'!$I$4:$I$76,FALSE),0)</f>
        <v>-23</v>
      </c>
      <c r="AL219" s="219">
        <f>INDEX('C-P-RollAdj'!$J$4:$J$76,MATCH(INT(AC219),'C-P-RollAdj'!$I$4:$I$76,FALSE),0)</f>
        <v>32</v>
      </c>
      <c r="AM219" s="14">
        <f>+AR219*LeagueRatings!$K$27</f>
        <v>30</v>
      </c>
      <c r="AN219" s="72">
        <f>F219*LeagueRatings!$K$27</f>
        <v>6.1111111111111116</v>
      </c>
      <c r="AO219" s="72">
        <f>G219*LeagueRatings!$K$27</f>
        <v>5</v>
      </c>
      <c r="AP219" s="72">
        <f>T219*LeagueRatings!$K$27</f>
        <v>130</v>
      </c>
      <c r="AQ219" s="24"/>
      <c r="AR219" s="14">
        <f t="shared" si="78"/>
        <v>54</v>
      </c>
    </row>
    <row r="220" spans="1:44" s="122" customFormat="1" x14ac:dyDescent="0.2">
      <c r="A220" s="41" t="s">
        <v>349</v>
      </c>
      <c r="B220" s="76" t="s">
        <v>170</v>
      </c>
      <c r="C220" s="76">
        <v>2</v>
      </c>
      <c r="D220" s="76">
        <v>2</v>
      </c>
      <c r="E220" s="97">
        <v>5.96</v>
      </c>
      <c r="F220" s="76">
        <v>51</v>
      </c>
      <c r="G220" s="76">
        <v>0</v>
      </c>
      <c r="H220" s="76">
        <v>0</v>
      </c>
      <c r="I220" s="76">
        <v>0</v>
      </c>
      <c r="J220" s="76">
        <v>1</v>
      </c>
      <c r="K220" s="76">
        <v>2</v>
      </c>
      <c r="L220" s="258">
        <f>INDEX('C-P-RollAdj'!$P$4:$P$900,MATCH((U220),'C-P-RollAdj'!$O$4:$O$900,FALSE),0)</f>
        <v>74</v>
      </c>
      <c r="M220" s="76">
        <v>89</v>
      </c>
      <c r="N220" s="76">
        <v>50</v>
      </c>
      <c r="O220" s="76">
        <v>49</v>
      </c>
      <c r="P220" s="76">
        <v>17</v>
      </c>
      <c r="Q220" s="76">
        <v>14</v>
      </c>
      <c r="R220" s="76">
        <v>4</v>
      </c>
      <c r="S220" s="76">
        <v>61</v>
      </c>
      <c r="T220" s="76">
        <v>321</v>
      </c>
      <c r="U220" s="76">
        <v>74</v>
      </c>
      <c r="V220" s="100">
        <v>0.29699999999999999</v>
      </c>
      <c r="W220" s="76">
        <v>1.39</v>
      </c>
      <c r="X220" s="125"/>
      <c r="Y220" s="50">
        <f t="shared" si="75"/>
        <v>3.1545741324921135</v>
      </c>
      <c r="Z220" s="6">
        <f>IF(Y220&lt;LeagueRatings!$K$21,((LeagueRatings!$K$21-Y220)/LeagueRatings!$K$21)*36,(LeagueRatings!$K$21-Y220)*6.48)</f>
        <v>23.315484071932794</v>
      </c>
      <c r="AA220" s="16">
        <f>INDEX('C-P-RollAdj'!$B$4:$B$76,MATCH(INT(Z220),'C-P-RollAdj'!$A$4:$A$76,FALSE),0)</f>
        <v>-2.11</v>
      </c>
      <c r="AB220" s="16">
        <f t="shared" si="76"/>
        <v>5.3627760252365935</v>
      </c>
      <c r="AC220" s="6">
        <f>IF(AB220&lt;LeagueRatings!$K$19,((LeagueRatings!$K$19-AB220)/LeagueRatings!$K$19)*36,(LeagueRatings!$K$19-AB220)/LeagueRatings!$K$22)</f>
        <v>-19.834540278525818</v>
      </c>
      <c r="AD220" s="16">
        <f>INDEX('C-P-RollAdj'!$F$4:$F$76,MATCH(INT(AC220),'C-P-RollAdj'!$E$4:$E$76,FALSE),0)</f>
        <v>2.17</v>
      </c>
      <c r="AE220" s="17">
        <f>+((LeagueRatings!$I$17-E220)*5)+9.5</f>
        <v>0.5143872437063628</v>
      </c>
      <c r="AF220" s="17">
        <f t="shared" si="79"/>
        <v>4</v>
      </c>
      <c r="AG220" s="17">
        <f t="shared" si="77"/>
        <v>-1.0135135135135132</v>
      </c>
      <c r="AH220" s="4">
        <f t="shared" si="80"/>
        <v>3.0464864864864873</v>
      </c>
      <c r="AI220" s="41" t="s">
        <v>349</v>
      </c>
      <c r="AJ220" s="58">
        <v>4</v>
      </c>
      <c r="AK220" s="219">
        <f>INDEX('C-P-RollAdj'!$J$4:$J$76,MATCH(INT(Z220),'C-P-RollAdj'!$I$4:$I$76,FALSE),0)</f>
        <v>45</v>
      </c>
      <c r="AL220" s="219">
        <f>INDEX('C-P-RollAdj'!$J$4:$J$76,MATCH(INT(AC220),'C-P-RollAdj'!$I$4:$I$76,FALSE),0)</f>
        <v>-42</v>
      </c>
      <c r="AM220" s="14">
        <f>+AR220*LeagueRatings!$K$27</f>
        <v>41.111111111111114</v>
      </c>
      <c r="AN220" s="72">
        <f>F220*LeagueRatings!$K$27</f>
        <v>28.333333333333336</v>
      </c>
      <c r="AO220" s="72">
        <f>G220*LeagueRatings!$K$27</f>
        <v>0</v>
      </c>
      <c r="AP220" s="72">
        <f>T220*LeagueRatings!$K$27</f>
        <v>178.33333333333334</v>
      </c>
      <c r="AQ220" s="24"/>
      <c r="AR220" s="14">
        <f t="shared" si="78"/>
        <v>74</v>
      </c>
    </row>
    <row r="221" spans="1:44" s="28" customFormat="1" x14ac:dyDescent="0.2">
      <c r="A221" s="124"/>
      <c r="B221" s="125"/>
      <c r="C221" s="125"/>
      <c r="D221" s="125"/>
      <c r="E221" s="126"/>
      <c r="F221" s="125"/>
      <c r="G221" s="125"/>
      <c r="H221" s="125"/>
      <c r="I221" s="125"/>
      <c r="J221" s="125"/>
      <c r="K221" s="125"/>
      <c r="L221" s="126"/>
      <c r="M221" s="125"/>
      <c r="N221" s="125"/>
      <c r="O221" s="125"/>
      <c r="P221" s="125"/>
      <c r="Q221" s="125"/>
      <c r="R221" s="125"/>
      <c r="S221" s="125"/>
      <c r="T221" s="125"/>
      <c r="U221" s="125"/>
      <c r="V221" s="278"/>
      <c r="W221" s="125"/>
      <c r="X221" s="70"/>
      <c r="Y221" s="52"/>
      <c r="Z221" s="53"/>
      <c r="AA221" s="54"/>
      <c r="AB221" s="54"/>
      <c r="AC221" s="53"/>
      <c r="AD221" s="54"/>
      <c r="AE221" s="55"/>
      <c r="AF221" s="55"/>
      <c r="AG221" s="55"/>
      <c r="AH221" s="56"/>
      <c r="AI221" s="124"/>
      <c r="AJ221" s="129"/>
      <c r="AK221" s="9"/>
      <c r="AL221" s="9"/>
      <c r="AM221" s="14"/>
      <c r="AN221" s="72"/>
      <c r="AO221" s="72"/>
      <c r="AP221" s="72"/>
      <c r="AR221" s="14"/>
    </row>
    <row r="222" spans="1:44" x14ac:dyDescent="0.2">
      <c r="A222" s="69" t="s">
        <v>106</v>
      </c>
      <c r="B222" s="70" t="s">
        <v>157</v>
      </c>
      <c r="C222" s="71" t="s">
        <v>85</v>
      </c>
      <c r="D222" s="70" t="s">
        <v>86</v>
      </c>
      <c r="E222" s="71" t="s">
        <v>87</v>
      </c>
      <c r="F222" s="70" t="s">
        <v>108</v>
      </c>
      <c r="G222" s="70" t="s">
        <v>88</v>
      </c>
      <c r="H222" s="70" t="s">
        <v>89</v>
      </c>
      <c r="I222" s="72" t="s">
        <v>317</v>
      </c>
      <c r="J222" s="72" t="s">
        <v>90</v>
      </c>
      <c r="K222" s="72" t="s">
        <v>158</v>
      </c>
      <c r="L222" s="71" t="s">
        <v>91</v>
      </c>
      <c r="M222" s="70" t="s">
        <v>92</v>
      </c>
      <c r="N222" s="70" t="s">
        <v>93</v>
      </c>
      <c r="O222" s="70" t="s">
        <v>94</v>
      </c>
      <c r="P222" s="70" t="s">
        <v>95</v>
      </c>
      <c r="Q222" s="70" t="s">
        <v>96</v>
      </c>
      <c r="R222" s="70" t="s">
        <v>98</v>
      </c>
      <c r="S222" s="70" t="s">
        <v>97</v>
      </c>
      <c r="T222" s="70" t="s">
        <v>109</v>
      </c>
      <c r="U222" s="196" t="s">
        <v>91</v>
      </c>
      <c r="V222" s="277" t="s">
        <v>1071</v>
      </c>
      <c r="W222" s="196" t="s">
        <v>1072</v>
      </c>
      <c r="X222" s="70"/>
      <c r="Y222" s="115" t="s">
        <v>2</v>
      </c>
      <c r="Z222" s="116" t="s">
        <v>3</v>
      </c>
      <c r="AA222" s="117" t="s">
        <v>4</v>
      </c>
      <c r="AB222" s="118" t="s">
        <v>5</v>
      </c>
      <c r="AC222" s="116" t="s">
        <v>6</v>
      </c>
      <c r="AD222" s="117" t="s">
        <v>7</v>
      </c>
      <c r="AE222" s="119" t="s">
        <v>8</v>
      </c>
      <c r="AF222" s="119" t="s">
        <v>81</v>
      </c>
      <c r="AG222" s="119" t="s">
        <v>9</v>
      </c>
      <c r="AH222" s="130" t="s">
        <v>10</v>
      </c>
      <c r="AI222" s="69" t="s">
        <v>106</v>
      </c>
      <c r="AJ222" s="7" t="s">
        <v>11</v>
      </c>
      <c r="AK222" s="7" t="s">
        <v>12</v>
      </c>
      <c r="AL222" s="7" t="s">
        <v>13</v>
      </c>
      <c r="AN222" s="72"/>
      <c r="AO222" s="72"/>
      <c r="AP222" s="72"/>
      <c r="AQ222" s="122"/>
      <c r="AR222" s="14"/>
    </row>
    <row r="223" spans="1:44" x14ac:dyDescent="0.2">
      <c r="A223" s="69"/>
      <c r="B223" s="70"/>
      <c r="C223" s="71"/>
      <c r="D223" s="70"/>
      <c r="E223" s="71"/>
      <c r="F223" s="70"/>
      <c r="G223" s="70"/>
      <c r="H223" s="70"/>
      <c r="I223" s="72"/>
      <c r="J223" s="72"/>
      <c r="K223" s="72"/>
      <c r="L223" s="71"/>
      <c r="M223" s="70"/>
      <c r="N223" s="70"/>
      <c r="O223" s="70"/>
      <c r="P223" s="70"/>
      <c r="Q223" s="70"/>
      <c r="R223" s="70"/>
      <c r="S223" s="70"/>
      <c r="T223" s="70"/>
      <c r="U223" s="70"/>
      <c r="V223" s="164"/>
      <c r="W223" s="70"/>
      <c r="X223" s="76"/>
      <c r="Y223" s="52"/>
      <c r="Z223" s="53"/>
      <c r="AA223" s="54"/>
      <c r="AB223" s="54"/>
      <c r="AC223" s="53"/>
      <c r="AD223" s="54"/>
      <c r="AE223" s="55"/>
      <c r="AF223" s="55"/>
      <c r="AG223" s="55"/>
      <c r="AH223" s="56"/>
      <c r="AI223" s="69"/>
      <c r="AJ223" s="129"/>
      <c r="AK223" s="9"/>
      <c r="AL223" s="9"/>
      <c r="AN223" s="72"/>
      <c r="AO223" s="72"/>
      <c r="AP223" s="72"/>
      <c r="AQ223" s="28"/>
      <c r="AR223" s="14"/>
    </row>
    <row r="224" spans="1:44" x14ac:dyDescent="0.2">
      <c r="A224" s="41" t="s">
        <v>452</v>
      </c>
      <c r="B224" s="76" t="s">
        <v>171</v>
      </c>
      <c r="C224" s="76">
        <v>15</v>
      </c>
      <c r="D224" s="76">
        <v>9</v>
      </c>
      <c r="E224" s="97">
        <v>2.74</v>
      </c>
      <c r="F224" s="76">
        <v>34</v>
      </c>
      <c r="G224" s="76">
        <v>34</v>
      </c>
      <c r="H224" s="76">
        <v>4</v>
      </c>
      <c r="I224" s="76">
        <v>1</v>
      </c>
      <c r="J224" s="76">
        <v>0</v>
      </c>
      <c r="K224" s="76">
        <v>0</v>
      </c>
      <c r="L224" s="258">
        <f>INDEX('C-P-RollAdj'!$P$4:$P$900,MATCH((U224),'C-P-RollAdj'!$O$4:$O$900,FALSE),0)</f>
        <v>226.67000000000002</v>
      </c>
      <c r="M224" s="76">
        <v>179</v>
      </c>
      <c r="N224" s="76">
        <v>79</v>
      </c>
      <c r="O224" s="76">
        <v>69</v>
      </c>
      <c r="P224" s="76">
        <v>26</v>
      </c>
      <c r="Q224" s="76">
        <v>54</v>
      </c>
      <c r="R224" s="76">
        <v>0</v>
      </c>
      <c r="S224" s="76">
        <v>251</v>
      </c>
      <c r="T224" s="76">
        <v>912</v>
      </c>
      <c r="U224" s="76">
        <v>226.2</v>
      </c>
      <c r="V224" s="100">
        <v>0.21299999999999999</v>
      </c>
      <c r="W224" s="76">
        <v>1.03</v>
      </c>
      <c r="X224" s="76"/>
      <c r="Y224" s="50">
        <f t="shared" ref="Y224:Y239" si="81">+(Q224-R224)/(T224-R224)*100</f>
        <v>5.9210526315789469</v>
      </c>
      <c r="Z224" s="6">
        <f>IF(Y224&lt;LeagueRatings!$K$21,((LeagueRatings!$K$21-Y224)/LeagueRatings!$K$21)*36,(LeagueRatings!$K$21-Y224)*6.48)</f>
        <v>12.191497406068594</v>
      </c>
      <c r="AA224" s="16">
        <f>INDEX('C-P-RollAdj'!$B$4:$B$76,MATCH(INT(Z224),'C-P-RollAdj'!$A$4:$A$76,FALSE),0)</f>
        <v>-1.01</v>
      </c>
      <c r="AB224" s="16">
        <f t="shared" ref="AB224:AB239" si="82">(P224/(T224-R224))*100</f>
        <v>2.8508771929824559</v>
      </c>
      <c r="AC224" s="6">
        <f>IF(AB224&lt;LeagueRatings!$K$19,((LeagueRatings!$K$19-AB224)/LeagueRatings!$K$19)*36,(LeagueRatings!$K$19-AB224)/LeagueRatings!$K$22)</f>
        <v>0.70716308708992692</v>
      </c>
      <c r="AD224" s="16">
        <f>INDEX('C-P-RollAdj'!$F$4:$F$76,MATCH(INT(AC224),'C-P-RollAdj'!$E$4:$E$76,FALSE),0)</f>
        <v>0</v>
      </c>
      <c r="AE224" s="17">
        <f>+((LeagueRatings!$I$17-E224)*5)+9.5</f>
        <v>16.614387243706361</v>
      </c>
      <c r="AF224" s="17">
        <f>IF(AE224&lt;4,4,AE224)</f>
        <v>16.614387243706361</v>
      </c>
      <c r="AG224" s="17">
        <f t="shared" ref="AG224:AG239" si="83">IF(M224&lt;L224,((1-(M224/L224))*7)-0.07,(1-(M224/L224))*5)</f>
        <v>1.4021401155865358</v>
      </c>
      <c r="AH224" s="4">
        <f>+AA224+AD224+AF224+AG224</f>
        <v>17.006527359292896</v>
      </c>
      <c r="AI224" s="41" t="s">
        <v>452</v>
      </c>
      <c r="AJ224" s="58">
        <v>17</v>
      </c>
      <c r="AK224" s="219">
        <f>INDEX('C-P-RollAdj'!$J$4:$J$76,MATCH(INT(Z224),'C-P-RollAdj'!$I$4:$I$76,FALSE),0)</f>
        <v>26</v>
      </c>
      <c r="AL224" s="219">
        <f>INDEX('C-P-RollAdj'!$J$4:$J$76,MATCH(INT(AC224),'C-P-RollAdj'!$I$4:$I$76,FALSE),0)</f>
        <v>0</v>
      </c>
      <c r="AM224" s="14">
        <f>+AR224*LeagueRatings!$K$27</f>
        <v>126.11111111111111</v>
      </c>
      <c r="AN224" s="72">
        <f>F224*LeagueRatings!$K$27</f>
        <v>18.888888888888889</v>
      </c>
      <c r="AO224" s="72">
        <f>G224*LeagueRatings!$K$27</f>
        <v>18.888888888888889</v>
      </c>
      <c r="AP224" s="72">
        <f>T224*LeagueRatings!$K$27</f>
        <v>506.66666666666669</v>
      </c>
      <c r="AR224" s="14">
        <f t="shared" ref="AR224:AR239" si="84">ROUNDUP(L224,0)</f>
        <v>227</v>
      </c>
    </row>
    <row r="225" spans="1:44" x14ac:dyDescent="0.2">
      <c r="A225" s="41" t="s">
        <v>454</v>
      </c>
      <c r="B225" s="76" t="s">
        <v>171</v>
      </c>
      <c r="C225" s="76">
        <v>4</v>
      </c>
      <c r="D225" s="76">
        <v>8</v>
      </c>
      <c r="E225" s="97">
        <v>5.64</v>
      </c>
      <c r="F225" s="76">
        <v>21</v>
      </c>
      <c r="G225" s="76">
        <v>17</v>
      </c>
      <c r="H225" s="76">
        <v>0</v>
      </c>
      <c r="I225" s="76">
        <v>0</v>
      </c>
      <c r="J225" s="76">
        <v>0</v>
      </c>
      <c r="K225" s="76">
        <v>0</v>
      </c>
      <c r="L225" s="258">
        <f>INDEX('C-P-RollAdj'!$P$4:$P$900,MATCH((U225),'C-P-RollAdj'!$O$4:$O$900,FALSE),0)</f>
        <v>89.33</v>
      </c>
      <c r="M225" s="76">
        <v>103</v>
      </c>
      <c r="N225" s="76">
        <v>58</v>
      </c>
      <c r="O225" s="76">
        <v>56</v>
      </c>
      <c r="P225" s="76">
        <v>16</v>
      </c>
      <c r="Q225" s="76">
        <v>32</v>
      </c>
      <c r="R225" s="76">
        <v>1</v>
      </c>
      <c r="S225" s="76">
        <v>72</v>
      </c>
      <c r="T225" s="76">
        <v>397</v>
      </c>
      <c r="U225" s="76">
        <v>89.1</v>
      </c>
      <c r="V225" s="100">
        <v>0.29899999999999999</v>
      </c>
      <c r="W225" s="76">
        <v>1.51</v>
      </c>
      <c r="X225" s="76"/>
      <c r="Y225" s="50">
        <f t="shared" si="81"/>
        <v>7.8282828282828287</v>
      </c>
      <c r="Z225" s="6">
        <f>IF(Y225&lt;LeagueRatings!$K$21,((LeagueRatings!$K$21-Y225)/LeagueRatings!$K$21)*36,(LeagueRatings!$K$21-Y225)*6.48)</f>
        <v>4.5225409027483714</v>
      </c>
      <c r="AA225" s="16">
        <f>INDEX('C-P-RollAdj'!$B$4:$B$76,MATCH(INT(Z225),'C-P-RollAdj'!$A$4:$A$76,FALSE),0)</f>
        <v>-0.32</v>
      </c>
      <c r="AB225" s="16">
        <f t="shared" si="82"/>
        <v>4.0404040404040407</v>
      </c>
      <c r="AC225" s="6">
        <f>IF(AB225&lt;LeagueRatings!$K$19,((LeagueRatings!$K$19-AB225)/LeagueRatings!$K$19)*36,(LeagueRatings!$K$19-AB225)/LeagueRatings!$K$22)</f>
        <v>-9.1498004434589806</v>
      </c>
      <c r="AD225" s="16">
        <f>INDEX('C-P-RollAdj'!$F$4:$F$76,MATCH(INT(AC225),'C-P-RollAdj'!$E$4:$E$76,FALSE),0)</f>
        <v>0.92</v>
      </c>
      <c r="AE225" s="17">
        <f>+((LeagueRatings!$I$17-E225)*5)+9.5</f>
        <v>2.1143872437063642</v>
      </c>
      <c r="AF225" s="17">
        <f t="shared" ref="AF225:AF236" si="85">IF(AE225&lt;4,4,AE225)</f>
        <v>4</v>
      </c>
      <c r="AG225" s="17">
        <f t="shared" si="83"/>
        <v>-0.76514049031680242</v>
      </c>
      <c r="AH225" s="4">
        <f t="shared" ref="AH225:AH236" si="86">+AA225+AD225+AF225+AG225</f>
        <v>3.8348595096831972</v>
      </c>
      <c r="AI225" s="41" t="s">
        <v>454</v>
      </c>
      <c r="AJ225" s="58">
        <v>4</v>
      </c>
      <c r="AK225" s="219">
        <f>INDEX('C-P-RollAdj'!$J$4:$J$76,MATCH(INT(Z225),'C-P-RollAdj'!$I$4:$I$76,FALSE),0)</f>
        <v>14</v>
      </c>
      <c r="AL225" s="219">
        <f>INDEX('C-P-RollAdj'!$J$4:$J$76,MATCH(INT(AC225),'C-P-RollAdj'!$I$4:$I$76,FALSE),0)</f>
        <v>-24</v>
      </c>
      <c r="AM225" s="14">
        <f>+AR225*LeagueRatings!$K$27</f>
        <v>50</v>
      </c>
      <c r="AN225" s="72">
        <f>F225*LeagueRatings!$K$27</f>
        <v>11.666666666666668</v>
      </c>
      <c r="AO225" s="72">
        <f>G225*LeagueRatings!$K$27</f>
        <v>9.4444444444444446</v>
      </c>
      <c r="AP225" s="72">
        <f>T225*LeagueRatings!$K$27</f>
        <v>220.55555555555557</v>
      </c>
      <c r="AR225" s="14">
        <f t="shared" si="84"/>
        <v>90</v>
      </c>
    </row>
    <row r="226" spans="1:44" x14ac:dyDescent="0.2">
      <c r="A226" s="41" t="s">
        <v>449</v>
      </c>
      <c r="B226" s="76" t="s">
        <v>171</v>
      </c>
      <c r="C226" s="76">
        <v>2</v>
      </c>
      <c r="D226" s="76">
        <v>5</v>
      </c>
      <c r="E226" s="97">
        <v>3.57</v>
      </c>
      <c r="F226" s="76">
        <v>62</v>
      </c>
      <c r="G226" s="76">
        <v>0</v>
      </c>
      <c r="H226" s="76">
        <v>0</v>
      </c>
      <c r="I226" s="76">
        <v>0</v>
      </c>
      <c r="J226" s="76">
        <v>31</v>
      </c>
      <c r="K226" s="76">
        <v>40</v>
      </c>
      <c r="L226" s="258">
        <f>INDEX('C-P-RollAdj'!$P$4:$P$900,MATCH((U226),'C-P-RollAdj'!$O$4:$O$900,FALSE),0)</f>
        <v>58</v>
      </c>
      <c r="M226" s="76">
        <v>50</v>
      </c>
      <c r="N226" s="76">
        <v>23</v>
      </c>
      <c r="O226" s="76">
        <v>23</v>
      </c>
      <c r="P226" s="76">
        <v>8</v>
      </c>
      <c r="Q226" s="76">
        <v>19</v>
      </c>
      <c r="R226" s="76">
        <v>2</v>
      </c>
      <c r="S226" s="76">
        <v>65</v>
      </c>
      <c r="T226" s="76">
        <v>241</v>
      </c>
      <c r="U226" s="76">
        <v>58</v>
      </c>
      <c r="V226" s="100">
        <v>0.23499999999999999</v>
      </c>
      <c r="W226" s="76">
        <v>1.19</v>
      </c>
      <c r="X226" s="76"/>
      <c r="Y226" s="50">
        <f t="shared" si="81"/>
        <v>7.1129707112970717</v>
      </c>
      <c r="Z226" s="6">
        <f>IF(Y226&lt;LeagueRatings!$K$21,((LeagueRatings!$K$21-Y226)/LeagueRatings!$K$21)*36,(LeagueRatings!$K$21-Y226)*6.48)</f>
        <v>7.3988048801865336</v>
      </c>
      <c r="AA226" s="16">
        <f>INDEX('C-P-RollAdj'!$B$4:$B$76,MATCH(INT(Z226),'C-P-RollAdj'!$A$4:$A$76,FALSE),0)</f>
        <v>-0.56000000000000005</v>
      </c>
      <c r="AB226" s="16">
        <f t="shared" si="82"/>
        <v>3.3472803347280333</v>
      </c>
      <c r="AC226" s="6">
        <f>IF(AB226&lt;LeagueRatings!$K$19,((LeagueRatings!$K$19-AB226)/LeagueRatings!$K$19)*36,(LeagueRatings!$K$19-AB226)/LeagueRatings!$K$22)</f>
        <v>-3.5493744259618305</v>
      </c>
      <c r="AD226" s="16">
        <f>INDEX('C-P-RollAdj'!$F$4:$F$76,MATCH(INT(AC226),'C-P-RollAdj'!$E$4:$E$76,FALSE),0)</f>
        <v>0.32999999999999996</v>
      </c>
      <c r="AE226" s="17">
        <f>+((LeagueRatings!$I$17-E226)*5)+9.5</f>
        <v>12.464387243706364</v>
      </c>
      <c r="AF226" s="17">
        <f t="shared" si="85"/>
        <v>12.464387243706364</v>
      </c>
      <c r="AG226" s="17">
        <f t="shared" si="83"/>
        <v>0.89551724137931066</v>
      </c>
      <c r="AH226" s="4">
        <f t="shared" si="86"/>
        <v>13.129904485085675</v>
      </c>
      <c r="AI226" s="41" t="s">
        <v>449</v>
      </c>
      <c r="AJ226" s="58">
        <v>13</v>
      </c>
      <c r="AK226" s="219">
        <f>INDEX('C-P-RollAdj'!$J$4:$J$76,MATCH(INT(Z226),'C-P-RollAdj'!$I$4:$I$76,FALSE),0)</f>
        <v>21</v>
      </c>
      <c r="AL226" s="219">
        <f>INDEX('C-P-RollAdj'!$J$4:$J$76,MATCH(INT(AC226),'C-P-RollAdj'!$I$4:$I$76,FALSE),0)</f>
        <v>-14</v>
      </c>
      <c r="AM226" s="14">
        <f>+AR226*LeagueRatings!$K$27</f>
        <v>32.222222222222221</v>
      </c>
      <c r="AN226" s="72">
        <f>F226*LeagueRatings!$K$27</f>
        <v>34.444444444444443</v>
      </c>
      <c r="AO226" s="72">
        <f>G226*LeagueRatings!$K$27</f>
        <v>0</v>
      </c>
      <c r="AP226" s="72">
        <f>T226*LeagueRatings!$K$27</f>
        <v>133.88888888888889</v>
      </c>
      <c r="AR226" s="14">
        <f t="shared" si="84"/>
        <v>58</v>
      </c>
    </row>
    <row r="227" spans="1:44" x14ac:dyDescent="0.2">
      <c r="A227" s="41" t="s">
        <v>356</v>
      </c>
      <c r="B227" s="76" t="s">
        <v>171</v>
      </c>
      <c r="C227" s="76">
        <v>18</v>
      </c>
      <c r="D227" s="76">
        <v>5</v>
      </c>
      <c r="E227" s="97">
        <v>2.79</v>
      </c>
      <c r="F227" s="76">
        <v>32</v>
      </c>
      <c r="G227" s="76">
        <v>32</v>
      </c>
      <c r="H227" s="76">
        <v>5</v>
      </c>
      <c r="I227" s="76">
        <v>2</v>
      </c>
      <c r="J227" s="76">
        <v>0</v>
      </c>
      <c r="K227" s="76">
        <v>0</v>
      </c>
      <c r="L227" s="258">
        <f>INDEX('C-P-RollAdj'!$P$4:$P$900,MATCH((U227),'C-P-RollAdj'!$O$4:$O$900,FALSE),0)</f>
        <v>219.67000000000002</v>
      </c>
      <c r="M227" s="76">
        <v>195</v>
      </c>
      <c r="N227" s="76">
        <v>71</v>
      </c>
      <c r="O227" s="76">
        <v>68</v>
      </c>
      <c r="P227" s="76">
        <v>15</v>
      </c>
      <c r="Q227" s="76">
        <v>45</v>
      </c>
      <c r="R227" s="76">
        <v>1</v>
      </c>
      <c r="S227" s="76">
        <v>198</v>
      </c>
      <c r="T227" s="76">
        <v>881</v>
      </c>
      <c r="U227" s="76">
        <v>219.2</v>
      </c>
      <c r="V227" s="100">
        <v>0.23799999999999999</v>
      </c>
      <c r="W227" s="76">
        <v>1.0900000000000001</v>
      </c>
      <c r="X227" s="76"/>
      <c r="Y227" s="50">
        <f t="shared" si="81"/>
        <v>5</v>
      </c>
      <c r="Z227" s="6">
        <f>IF(Y227&lt;LeagueRatings!$K$21,((LeagueRatings!$K$21-Y227)/LeagueRatings!$K$21)*36,(LeagueRatings!$K$21-Y227)*6.48)</f>
        <v>15.895042254013477</v>
      </c>
      <c r="AA227" s="16">
        <f>INDEX('C-P-RollAdj'!$B$4:$B$76,MATCH(INT(Z227),'C-P-RollAdj'!$A$4:$A$76,FALSE),0)</f>
        <v>-1.29</v>
      </c>
      <c r="AB227" s="16">
        <f t="shared" si="82"/>
        <v>1.7045454545454544</v>
      </c>
      <c r="AC227" s="6">
        <f>IF(AB227&lt;LeagueRatings!$K$19,((LeagueRatings!$K$19-AB227)/LeagueRatings!$K$19)*36,(LeagueRatings!$K$19-AB227)/LeagueRatings!$K$22)</f>
        <v>14.898338768854467</v>
      </c>
      <c r="AD227" s="16">
        <f>INDEX('C-P-RollAdj'!$F$4:$F$76,MATCH(INT(AC227),'C-P-RollAdj'!$E$4:$E$76,FALSE),0)</f>
        <v>-1.05</v>
      </c>
      <c r="AE227" s="17">
        <f>+((LeagueRatings!$I$17-E227)*5)+9.5</f>
        <v>16.364387243706361</v>
      </c>
      <c r="AF227" s="17">
        <f t="shared" si="85"/>
        <v>16.364387243706361</v>
      </c>
      <c r="AG227" s="17">
        <f t="shared" si="83"/>
        <v>0.71613374607365676</v>
      </c>
      <c r="AH227" s="4">
        <f t="shared" si="86"/>
        <v>14.740520989780018</v>
      </c>
      <c r="AI227" s="41" t="s">
        <v>356</v>
      </c>
      <c r="AJ227" s="58">
        <v>15</v>
      </c>
      <c r="AK227" s="219">
        <f>INDEX('C-P-RollAdj'!$J$4:$J$76,MATCH(INT(Z227),'C-P-RollAdj'!$I$4:$I$76,FALSE),0)</f>
        <v>33</v>
      </c>
      <c r="AL227" s="219">
        <f>INDEX('C-P-RollAdj'!$J$4:$J$76,MATCH(INT(AC227),'C-P-RollAdj'!$I$4:$I$76,FALSE),0)</f>
        <v>32</v>
      </c>
      <c r="AM227" s="14">
        <f>+AR227*LeagueRatings!$K$27</f>
        <v>122.22222222222223</v>
      </c>
      <c r="AN227" s="72">
        <f>F227*LeagueRatings!$K$27</f>
        <v>17.777777777777779</v>
      </c>
      <c r="AO227" s="72">
        <f>G227*LeagueRatings!$K$27</f>
        <v>17.777777777777779</v>
      </c>
      <c r="AP227" s="72">
        <f>T227*LeagueRatings!$K$27</f>
        <v>489.44444444444446</v>
      </c>
      <c r="AR227" s="14">
        <f t="shared" si="84"/>
        <v>220</v>
      </c>
    </row>
    <row r="228" spans="1:44" x14ac:dyDescent="0.2">
      <c r="A228" s="41" t="s">
        <v>1157</v>
      </c>
      <c r="B228" s="76" t="s">
        <v>171</v>
      </c>
      <c r="C228" s="76">
        <v>3</v>
      </c>
      <c r="D228" s="76">
        <v>2</v>
      </c>
      <c r="E228" s="97">
        <v>4.28</v>
      </c>
      <c r="F228" s="76">
        <v>56</v>
      </c>
      <c r="G228" s="76">
        <v>0</v>
      </c>
      <c r="H228" s="76">
        <v>0</v>
      </c>
      <c r="I228" s="76">
        <v>0</v>
      </c>
      <c r="J228" s="76">
        <v>3</v>
      </c>
      <c r="K228" s="76">
        <v>7</v>
      </c>
      <c r="L228" s="258">
        <f>INDEX('C-P-RollAdj'!$P$4:$P$900,MATCH((U228),'C-P-RollAdj'!$O$4:$O$900,FALSE),0)</f>
        <v>48.33</v>
      </c>
      <c r="M228" s="76">
        <v>42</v>
      </c>
      <c r="N228" s="76">
        <v>24</v>
      </c>
      <c r="O228" s="76">
        <v>23</v>
      </c>
      <c r="P228" s="76">
        <v>4</v>
      </c>
      <c r="Q228" s="76">
        <v>14</v>
      </c>
      <c r="R228" s="76">
        <v>2</v>
      </c>
      <c r="S228" s="76">
        <v>45</v>
      </c>
      <c r="T228" s="76">
        <v>197</v>
      </c>
      <c r="U228" s="76">
        <v>48.1</v>
      </c>
      <c r="V228" s="100">
        <v>0.23300000000000001</v>
      </c>
      <c r="W228" s="76">
        <v>1.1599999999999999</v>
      </c>
      <c r="X228" s="76"/>
      <c r="Y228" s="50">
        <f t="shared" si="81"/>
        <v>6.1538461538461542</v>
      </c>
      <c r="Z228" s="6">
        <f>IF(Y228&lt;LeagueRatings!$K$21,((LeagueRatings!$K$21-Y228)/LeagueRatings!$K$21)*36,(LeagueRatings!$K$21-Y228)*6.48)</f>
        <v>11.255436620324279</v>
      </c>
      <c r="AA228" s="16">
        <f>INDEX('C-P-RollAdj'!$B$4:$B$76,MATCH(INT(Z228),'C-P-RollAdj'!$A$4:$A$76,FALSE),0)</f>
        <v>-0.92</v>
      </c>
      <c r="AB228" s="16">
        <f t="shared" si="82"/>
        <v>2.0512820512820511</v>
      </c>
      <c r="AC228" s="6">
        <f>IF(AB228&lt;LeagueRatings!$K$19,((LeagueRatings!$K$19-AB228)/LeagueRatings!$K$19)*36,(LeagueRatings!$K$19-AB228)/LeagueRatings!$K$22)</f>
        <v>10.605864091065889</v>
      </c>
      <c r="AD228" s="16">
        <f>INDEX('C-P-RollAdj'!$F$4:$F$76,MATCH(INT(AC228),'C-P-RollAdj'!$E$4:$E$76,FALSE),0)</f>
        <v>-0.73</v>
      </c>
      <c r="AE228" s="17">
        <f>+((LeagueRatings!$I$17-E228)*5)+9.5</f>
        <v>8.9143872437063614</v>
      </c>
      <c r="AF228" s="17">
        <f t="shared" si="85"/>
        <v>8.9143872437063614</v>
      </c>
      <c r="AG228" s="17">
        <f t="shared" si="83"/>
        <v>0.84682184978274311</v>
      </c>
      <c r="AH228" s="4">
        <f t="shared" si="86"/>
        <v>8.111209093489105</v>
      </c>
      <c r="AI228" s="41" t="s">
        <v>1157</v>
      </c>
      <c r="AJ228" s="58">
        <v>8</v>
      </c>
      <c r="AK228" s="219">
        <f>INDEX('C-P-RollAdj'!$J$4:$J$76,MATCH(INT(Z228),'C-P-RollAdj'!$I$4:$I$76,FALSE),0)</f>
        <v>25</v>
      </c>
      <c r="AL228" s="219">
        <f>INDEX('C-P-RollAdj'!$J$4:$J$76,MATCH(INT(AC228),'C-P-RollAdj'!$I$4:$I$76,FALSE),0)</f>
        <v>24</v>
      </c>
      <c r="AM228" s="14">
        <f>+AR228*LeagueRatings!$K$27</f>
        <v>27.222222222222225</v>
      </c>
      <c r="AN228" s="72">
        <f>F228*LeagueRatings!$K$27</f>
        <v>31.111111111111114</v>
      </c>
      <c r="AO228" s="72">
        <f>G228*LeagueRatings!$K$27</f>
        <v>0</v>
      </c>
      <c r="AP228" s="72">
        <f>T228*LeagueRatings!$K$27</f>
        <v>109.44444444444444</v>
      </c>
      <c r="AR228" s="14">
        <f t="shared" si="84"/>
        <v>49</v>
      </c>
    </row>
    <row r="229" spans="1:44" x14ac:dyDescent="0.2">
      <c r="A229" s="41" t="s">
        <v>456</v>
      </c>
      <c r="B229" s="76" t="s">
        <v>171</v>
      </c>
      <c r="C229" s="76">
        <v>3</v>
      </c>
      <c r="D229" s="76">
        <v>2</v>
      </c>
      <c r="E229" s="97">
        <v>2.5299999999999998</v>
      </c>
      <c r="F229" s="76">
        <v>57</v>
      </c>
      <c r="G229" s="76">
        <v>0</v>
      </c>
      <c r="H229" s="76">
        <v>0</v>
      </c>
      <c r="I229" s="76">
        <v>0</v>
      </c>
      <c r="J229" s="76">
        <v>0</v>
      </c>
      <c r="K229" s="76">
        <v>2</v>
      </c>
      <c r="L229" s="258">
        <f>INDEX('C-P-RollAdj'!$P$4:$P$900,MATCH((U229),'C-P-RollAdj'!$O$4:$O$900,FALSE),0)</f>
        <v>53.33</v>
      </c>
      <c r="M229" s="76">
        <v>42</v>
      </c>
      <c r="N229" s="76">
        <v>19</v>
      </c>
      <c r="O229" s="76">
        <v>15</v>
      </c>
      <c r="P229" s="76">
        <v>3</v>
      </c>
      <c r="Q229" s="76">
        <v>20</v>
      </c>
      <c r="R229" s="76">
        <v>3</v>
      </c>
      <c r="S229" s="76">
        <v>35</v>
      </c>
      <c r="T229" s="76">
        <v>216</v>
      </c>
      <c r="U229" s="76">
        <v>53.1</v>
      </c>
      <c r="V229" s="100">
        <v>0.219</v>
      </c>
      <c r="W229" s="76">
        <v>1.1599999999999999</v>
      </c>
      <c r="X229" s="76"/>
      <c r="Y229" s="50">
        <f t="shared" si="81"/>
        <v>7.981220657276995</v>
      </c>
      <c r="Z229" s="6">
        <f>IF(Y229&lt;LeagueRatings!$K$21,((LeagueRatings!$K$21-Y229)/LeagueRatings!$K$21)*36,(LeagueRatings!$K$21-Y229)*6.48)</f>
        <v>3.9075791848102464</v>
      </c>
      <c r="AA229" s="16">
        <f>INDEX('C-P-RollAdj'!$B$4:$B$76,MATCH(INT(Z229),'C-P-RollAdj'!$A$4:$A$76,FALSE),0)</f>
        <v>-0.24</v>
      </c>
      <c r="AB229" s="16">
        <f t="shared" si="82"/>
        <v>1.4084507042253522</v>
      </c>
      <c r="AC229" s="6">
        <f>IF(AB229&lt;LeagueRatings!$K$19,((LeagueRatings!$K$19-AB229)/LeagueRatings!$K$19)*36,(LeagueRatings!$K$19-AB229)/LeagueRatings!$K$22)</f>
        <v>18.563885555485378</v>
      </c>
      <c r="AD229" s="16">
        <f>INDEX('C-P-RollAdj'!$F$4:$F$76,MATCH(INT(AC229),'C-P-RollAdj'!$E$4:$E$76,FALSE),0)</f>
        <v>-1.4100000000000001</v>
      </c>
      <c r="AE229" s="17">
        <f>+((LeagueRatings!$I$17-E229)*5)+9.5</f>
        <v>17.664387243706365</v>
      </c>
      <c r="AF229" s="17">
        <f t="shared" si="85"/>
        <v>17.664387243706365</v>
      </c>
      <c r="AG229" s="17">
        <f t="shared" si="83"/>
        <v>1.4171554472154504</v>
      </c>
      <c r="AH229" s="4">
        <f t="shared" si="86"/>
        <v>17.431542690921816</v>
      </c>
      <c r="AI229" s="41" t="s">
        <v>456</v>
      </c>
      <c r="AJ229" s="58">
        <v>17</v>
      </c>
      <c r="AK229" s="219">
        <f>INDEX('C-P-RollAdj'!$J$4:$J$76,MATCH(INT(Z229),'C-P-RollAdj'!$I$4:$I$76,FALSE),0)</f>
        <v>13</v>
      </c>
      <c r="AL229" s="219">
        <f>INDEX('C-P-RollAdj'!$J$4:$J$76,MATCH(INT(AC229),'C-P-RollAdj'!$I$4:$I$76,FALSE),0)</f>
        <v>36</v>
      </c>
      <c r="AM229" s="14">
        <f>+AR229*LeagueRatings!$K$27</f>
        <v>30</v>
      </c>
      <c r="AN229" s="72">
        <f>F229*LeagueRatings!$K$27</f>
        <v>31.666666666666668</v>
      </c>
      <c r="AO229" s="72">
        <f>G229*LeagueRatings!$K$27</f>
        <v>0</v>
      </c>
      <c r="AP229" s="72">
        <f>T229*LeagueRatings!$K$27</f>
        <v>120</v>
      </c>
      <c r="AR229" s="14">
        <f t="shared" si="84"/>
        <v>54</v>
      </c>
    </row>
    <row r="230" spans="1:44" x14ac:dyDescent="0.2">
      <c r="A230" s="41" t="s">
        <v>1491</v>
      </c>
      <c r="B230" s="76" t="s">
        <v>171</v>
      </c>
      <c r="C230" s="76">
        <v>4</v>
      </c>
      <c r="D230" s="76">
        <v>2</v>
      </c>
      <c r="E230" s="97">
        <v>2.13</v>
      </c>
      <c r="F230" s="76">
        <v>61</v>
      </c>
      <c r="G230" s="76">
        <v>0</v>
      </c>
      <c r="H230" s="76">
        <v>0</v>
      </c>
      <c r="I230" s="76">
        <v>0</v>
      </c>
      <c r="J230" s="76">
        <v>1</v>
      </c>
      <c r="K230" s="76">
        <v>2</v>
      </c>
      <c r="L230" s="258">
        <f>INDEX('C-P-RollAdj'!$P$4:$P$900,MATCH((U230),'C-P-RollAdj'!$O$4:$O$900,FALSE),0)</f>
        <v>55</v>
      </c>
      <c r="M230" s="76">
        <v>44</v>
      </c>
      <c r="N230" s="76">
        <v>13</v>
      </c>
      <c r="O230" s="76">
        <v>13</v>
      </c>
      <c r="P230" s="76">
        <v>3</v>
      </c>
      <c r="Q230" s="76">
        <v>9</v>
      </c>
      <c r="R230" s="76">
        <v>0</v>
      </c>
      <c r="S230" s="76">
        <v>50</v>
      </c>
      <c r="T230" s="76">
        <v>214</v>
      </c>
      <c r="U230" s="76">
        <v>55</v>
      </c>
      <c r="V230" s="100">
        <v>0.215</v>
      </c>
      <c r="W230" s="76">
        <v>0.96</v>
      </c>
      <c r="X230" s="76"/>
      <c r="Y230" s="50">
        <f t="shared" si="81"/>
        <v>4.2056074766355138</v>
      </c>
      <c r="Z230" s="6">
        <f>IF(Y230&lt;LeagueRatings!$K$21,((LeagueRatings!$K$21-Y230)/LeagueRatings!$K$21)*36,(LeagueRatings!$K$21-Y230)*6.48)</f>
        <v>19.0892878772076</v>
      </c>
      <c r="AA230" s="16">
        <f>INDEX('C-P-RollAdj'!$B$4:$B$76,MATCH(INT(Z230),'C-P-RollAdj'!$A$4:$A$76,FALSE),0)</f>
        <v>-1.69</v>
      </c>
      <c r="AB230" s="16">
        <f t="shared" si="82"/>
        <v>1.4018691588785046</v>
      </c>
      <c r="AC230" s="6">
        <f>IF(AB230&lt;LeagueRatings!$K$19,((LeagueRatings!$K$19-AB230)/LeagueRatings!$K$19)*36,(LeagueRatings!$K$19-AB230)/LeagueRatings!$K$22)</f>
        <v>18.645362725786853</v>
      </c>
      <c r="AD230" s="16">
        <f>INDEX('C-P-RollAdj'!$F$4:$F$76,MATCH(INT(AC230),'C-P-RollAdj'!$E$4:$E$76,FALSE),0)</f>
        <v>-1.4100000000000001</v>
      </c>
      <c r="AE230" s="17">
        <f>+((LeagueRatings!$I$17-E230)*5)+9.5</f>
        <v>19.664387243706365</v>
      </c>
      <c r="AF230" s="17">
        <f t="shared" si="85"/>
        <v>19.664387243706365</v>
      </c>
      <c r="AG230" s="17">
        <f t="shared" si="83"/>
        <v>1.3299999999999996</v>
      </c>
      <c r="AH230" s="4">
        <f t="shared" si="86"/>
        <v>17.894387243706362</v>
      </c>
      <c r="AI230" s="41" t="s">
        <v>1491</v>
      </c>
      <c r="AJ230" s="58">
        <v>18</v>
      </c>
      <c r="AK230" s="219">
        <f>INDEX('C-P-RollAdj'!$J$4:$J$76,MATCH(INT(Z230),'C-P-RollAdj'!$I$4:$I$76,FALSE),0)</f>
        <v>41</v>
      </c>
      <c r="AL230" s="219">
        <f>INDEX('C-P-RollAdj'!$J$4:$J$76,MATCH(INT(AC230),'C-P-RollAdj'!$I$4:$I$76,FALSE),0)</f>
        <v>36</v>
      </c>
      <c r="AM230" s="14">
        <f>+AR230*LeagueRatings!$K$27</f>
        <v>30.555555555555557</v>
      </c>
      <c r="AN230" s="72">
        <f>F230*LeagueRatings!$K$27</f>
        <v>33.888888888888893</v>
      </c>
      <c r="AO230" s="72">
        <f>G230*LeagueRatings!$K$27</f>
        <v>0</v>
      </c>
      <c r="AP230" s="72">
        <f>T230*LeagueRatings!$K$27</f>
        <v>118.8888888888889</v>
      </c>
      <c r="AR230" s="14">
        <f t="shared" si="84"/>
        <v>55</v>
      </c>
    </row>
    <row r="231" spans="1:44" x14ac:dyDescent="0.2">
      <c r="A231" s="41" t="s">
        <v>448</v>
      </c>
      <c r="B231" s="76" t="s">
        <v>171</v>
      </c>
      <c r="C231" s="76">
        <v>1</v>
      </c>
      <c r="D231" s="76">
        <v>3</v>
      </c>
      <c r="E231" s="97">
        <v>4.05</v>
      </c>
      <c r="F231" s="76">
        <v>68</v>
      </c>
      <c r="G231" s="76">
        <v>0</v>
      </c>
      <c r="H231" s="76">
        <v>0</v>
      </c>
      <c r="I231" s="76">
        <v>0</v>
      </c>
      <c r="J231" s="76">
        <v>1</v>
      </c>
      <c r="K231" s="76">
        <v>3</v>
      </c>
      <c r="L231" s="258">
        <f>INDEX('C-P-RollAdj'!$P$4:$P$900,MATCH((U231),'C-P-RollAdj'!$O$4:$O$900,FALSE),0)</f>
        <v>26.67</v>
      </c>
      <c r="M231" s="76">
        <v>24</v>
      </c>
      <c r="N231" s="76">
        <v>13</v>
      </c>
      <c r="O231" s="76">
        <v>12</v>
      </c>
      <c r="P231" s="76">
        <v>3</v>
      </c>
      <c r="Q231" s="76">
        <v>15</v>
      </c>
      <c r="R231" s="76">
        <v>0</v>
      </c>
      <c r="S231" s="76">
        <v>15</v>
      </c>
      <c r="T231" s="76">
        <v>118</v>
      </c>
      <c r="U231" s="76">
        <v>26.2</v>
      </c>
      <c r="V231" s="100">
        <v>0.24</v>
      </c>
      <c r="W231" s="76">
        <v>1.46</v>
      </c>
      <c r="X231" s="76"/>
      <c r="Y231" s="50">
        <f t="shared" si="81"/>
        <v>12.711864406779661</v>
      </c>
      <c r="Z231" s="6">
        <f>IF(Y231&lt;LeagueRatings!$K$21,((LeagueRatings!$K$21-Y231)/LeagueRatings!$K$21)*36,(LeagueRatings!$K$21-Y231)*6.48)</f>
        <v>-24.357340376601172</v>
      </c>
      <c r="AA231" s="16">
        <f>INDEX('C-P-RollAdj'!$B$4:$B$76,MATCH(INT(Z231),'C-P-RollAdj'!$A$4:$A$76,FALSE),0)</f>
        <v>3.23</v>
      </c>
      <c r="AB231" s="16">
        <f t="shared" si="82"/>
        <v>2.5423728813559325</v>
      </c>
      <c r="AC231" s="6">
        <f>IF(AB231&lt;LeagueRatings!$K$19,((LeagueRatings!$K$19-AB231)/LeagueRatings!$K$19)*36,(LeagueRatings!$K$19-AB231)/LeagueRatings!$K$22)</f>
        <v>4.526335790833774</v>
      </c>
      <c r="AD231" s="16">
        <f>INDEX('C-P-RollAdj'!$F$4:$F$76,MATCH(INT(AC231),'C-P-RollAdj'!$E$4:$E$76,FALSE),0)</f>
        <v>-0.28000000000000003</v>
      </c>
      <c r="AE231" s="17">
        <f>+((LeagueRatings!$I$17-E231)*5)+9.5</f>
        <v>10.064387243706364</v>
      </c>
      <c r="AF231" s="17">
        <f t="shared" si="85"/>
        <v>10.064387243706364</v>
      </c>
      <c r="AG231" s="17">
        <f t="shared" si="83"/>
        <v>0.63078740157480384</v>
      </c>
      <c r="AH231" s="4">
        <f t="shared" si="86"/>
        <v>13.645174645281166</v>
      </c>
      <c r="AI231" s="41" t="s">
        <v>448</v>
      </c>
      <c r="AJ231" s="58">
        <v>14</v>
      </c>
      <c r="AK231" s="219">
        <f>INDEX('C-P-RollAdj'!$J$4:$J$76,MATCH(INT(Z231),'C-P-RollAdj'!$I$4:$I$76,FALSE),0)</f>
        <v>-51</v>
      </c>
      <c r="AL231" s="219">
        <f>INDEX('C-P-RollAdj'!$J$4:$J$76,MATCH(INT(AC231),'C-P-RollAdj'!$I$4:$I$76,FALSE),0)</f>
        <v>14</v>
      </c>
      <c r="AM231" s="14">
        <f>+AR231*LeagueRatings!$K$27</f>
        <v>15</v>
      </c>
      <c r="AN231" s="72">
        <f>F231*LeagueRatings!$K$27</f>
        <v>37.777777777777779</v>
      </c>
      <c r="AO231" s="72">
        <f>G231*LeagueRatings!$K$27</f>
        <v>0</v>
      </c>
      <c r="AP231" s="72">
        <f>T231*LeagueRatings!$K$27</f>
        <v>65.555555555555557</v>
      </c>
      <c r="AR231" s="14">
        <f t="shared" si="84"/>
        <v>27</v>
      </c>
    </row>
    <row r="232" spans="1:44" x14ac:dyDescent="0.2">
      <c r="A232" s="41" t="s">
        <v>627</v>
      </c>
      <c r="B232" s="76" t="s">
        <v>171</v>
      </c>
      <c r="C232" s="76">
        <v>6</v>
      </c>
      <c r="D232" s="76">
        <v>5</v>
      </c>
      <c r="E232" s="97">
        <v>4.08</v>
      </c>
      <c r="F232" s="76">
        <v>12</v>
      </c>
      <c r="G232" s="76">
        <v>12</v>
      </c>
      <c r="H232" s="76">
        <v>0</v>
      </c>
      <c r="I232" s="76">
        <v>0</v>
      </c>
      <c r="J232" s="76">
        <v>0</v>
      </c>
      <c r="K232" s="76">
        <v>0</v>
      </c>
      <c r="L232" s="258">
        <f>INDEX('C-P-RollAdj'!$P$4:$P$900,MATCH((U232),'C-P-RollAdj'!$O$4:$O$900,FALSE),0)</f>
        <v>68.33</v>
      </c>
      <c r="M232" s="76">
        <v>59</v>
      </c>
      <c r="N232" s="76">
        <v>31</v>
      </c>
      <c r="O232" s="76">
        <v>31</v>
      </c>
      <c r="P232" s="76">
        <v>5</v>
      </c>
      <c r="Q232" s="76">
        <v>32</v>
      </c>
      <c r="R232" s="76">
        <v>1</v>
      </c>
      <c r="S232" s="76">
        <v>69</v>
      </c>
      <c r="T232" s="76">
        <v>289</v>
      </c>
      <c r="U232" s="76">
        <v>68.099999999999994</v>
      </c>
      <c r="V232" s="100">
        <v>0.23300000000000001</v>
      </c>
      <c r="W232" s="76">
        <v>1.33</v>
      </c>
      <c r="X232" s="76"/>
      <c r="Y232" s="50">
        <f t="shared" si="81"/>
        <v>10.763888888888889</v>
      </c>
      <c r="Z232" s="6">
        <f>IF(Y232&lt;LeagueRatings!$K$21,((LeagueRatings!$K$21-Y232)/LeagueRatings!$K$21)*36,(LeagueRatings!$K$21-Y232)*6.48)</f>
        <v>-11.73445902066897</v>
      </c>
      <c r="AA232" s="16">
        <f>INDEX('C-P-RollAdj'!$B$4:$B$76,MATCH(INT(Z232),'C-P-RollAdj'!$A$4:$A$76,FALSE),0)</f>
        <v>1.24</v>
      </c>
      <c r="AB232" s="16">
        <f t="shared" si="82"/>
        <v>1.7361111111111112</v>
      </c>
      <c r="AC232" s="6">
        <f>IF(AB232&lt;LeagueRatings!$K$19,((LeagueRatings!$K$19-AB232)/LeagueRatings!$K$19)*36,(LeagueRatings!$K$19-AB232)/LeagueRatings!$K$22)</f>
        <v>14.507567264573993</v>
      </c>
      <c r="AD232" s="16">
        <f>INDEX('C-P-RollAdj'!$F$4:$F$76,MATCH(INT(AC232),'C-P-RollAdj'!$E$4:$E$76,FALSE),0)</f>
        <v>-1.05</v>
      </c>
      <c r="AE232" s="17">
        <f>+((LeagueRatings!$I$17-E232)*5)+9.5</f>
        <v>9.9143872437063614</v>
      </c>
      <c r="AF232" s="17">
        <f t="shared" si="85"/>
        <v>9.9143872437063614</v>
      </c>
      <c r="AG232" s="17">
        <f t="shared" si="83"/>
        <v>0.88580272208400368</v>
      </c>
      <c r="AH232" s="4">
        <f t="shared" si="86"/>
        <v>10.990189965790364</v>
      </c>
      <c r="AI232" s="41" t="s">
        <v>627</v>
      </c>
      <c r="AJ232" s="58">
        <v>11</v>
      </c>
      <c r="AK232" s="219">
        <f>INDEX('C-P-RollAdj'!$J$4:$J$76,MATCH(INT(Z232),'C-P-RollAdj'!$I$4:$I$76,FALSE),0)</f>
        <v>-26</v>
      </c>
      <c r="AL232" s="219">
        <f>INDEX('C-P-RollAdj'!$J$4:$J$76,MATCH(INT(AC232),'C-P-RollAdj'!$I$4:$I$76,FALSE),0)</f>
        <v>32</v>
      </c>
      <c r="AM232" s="14">
        <f>+AR232*LeagueRatings!$K$27</f>
        <v>38.333333333333336</v>
      </c>
      <c r="AN232" s="72">
        <f>F232*LeagueRatings!$K$27</f>
        <v>6.666666666666667</v>
      </c>
      <c r="AO232" s="72">
        <f>G232*LeagueRatings!$K$27</f>
        <v>6.666666666666667</v>
      </c>
      <c r="AP232" s="72">
        <f>T232*LeagueRatings!$K$27</f>
        <v>160.55555555555557</v>
      </c>
      <c r="AR232" s="14">
        <f t="shared" si="84"/>
        <v>69</v>
      </c>
    </row>
    <row r="233" spans="1:44" x14ac:dyDescent="0.2">
      <c r="A233" s="41" t="s">
        <v>1156</v>
      </c>
      <c r="B233" s="76" t="s">
        <v>171</v>
      </c>
      <c r="C233" s="76">
        <v>1</v>
      </c>
      <c r="D233" s="76">
        <v>3</v>
      </c>
      <c r="E233" s="97">
        <v>4.71</v>
      </c>
      <c r="F233" s="76">
        <v>59</v>
      </c>
      <c r="G233" s="76">
        <v>0</v>
      </c>
      <c r="H233" s="76">
        <v>0</v>
      </c>
      <c r="I233" s="76">
        <v>0</v>
      </c>
      <c r="J233" s="76">
        <v>0</v>
      </c>
      <c r="K233" s="76">
        <v>3</v>
      </c>
      <c r="L233" s="258">
        <f>INDEX('C-P-RollAdj'!$P$4:$P$900,MATCH((U233),'C-P-RollAdj'!$O$4:$O$900,FALSE),0)</f>
        <v>36.33</v>
      </c>
      <c r="M233" s="76">
        <v>31</v>
      </c>
      <c r="N233" s="76">
        <v>20</v>
      </c>
      <c r="O233" s="76">
        <v>19</v>
      </c>
      <c r="P233" s="76">
        <v>7</v>
      </c>
      <c r="Q233" s="76">
        <v>19</v>
      </c>
      <c r="R233" s="76">
        <v>1</v>
      </c>
      <c r="S233" s="76">
        <v>25</v>
      </c>
      <c r="T233" s="76">
        <v>159</v>
      </c>
      <c r="U233" s="76">
        <v>36.1</v>
      </c>
      <c r="V233" s="100">
        <v>0.22800000000000001</v>
      </c>
      <c r="W233" s="76">
        <v>1.38</v>
      </c>
      <c r="X233" s="76"/>
      <c r="Y233" s="50">
        <f t="shared" si="81"/>
        <v>11.39240506329114</v>
      </c>
      <c r="Z233" s="6">
        <f>IF(Y233&lt;LeagueRatings!$K$21,((LeagueRatings!$K$21-Y233)/LeagueRatings!$K$21)*36,(LeagueRatings!$K$21-Y233)*6.48)</f>
        <v>-15.807243830795553</v>
      </c>
      <c r="AA233" s="16">
        <f>INDEX('C-P-RollAdj'!$B$4:$B$76,MATCH(INT(Z233),'C-P-RollAdj'!$A$4:$A$76,FALSE),0)</f>
        <v>1.7799999999999998</v>
      </c>
      <c r="AB233" s="16">
        <f t="shared" si="82"/>
        <v>4.4303797468354427</v>
      </c>
      <c r="AC233" s="6">
        <f>IF(AB233&lt;LeagueRatings!$K$19,((LeagueRatings!$K$19-AB233)/LeagueRatings!$K$19)*36,(LeagueRatings!$K$19-AB233)/LeagueRatings!$K$22)</f>
        <v>-12.300796542142633</v>
      </c>
      <c r="AD233" s="16">
        <f>INDEX('C-P-RollAdj'!$F$4:$F$76,MATCH(INT(AC233),'C-P-RollAdj'!$E$4:$E$76,FALSE),0)</f>
        <v>1.2599999999999998</v>
      </c>
      <c r="AE233" s="17">
        <f>+((LeagueRatings!$I$17-E233)*5)+9.5</f>
        <v>6.7643872437063628</v>
      </c>
      <c r="AF233" s="17">
        <f t="shared" si="85"/>
        <v>6.7643872437063628</v>
      </c>
      <c r="AG233" s="17">
        <f t="shared" si="83"/>
        <v>0.9569749518304429</v>
      </c>
      <c r="AH233" s="4">
        <f t="shared" si="86"/>
        <v>10.761362195536805</v>
      </c>
      <c r="AI233" s="41" t="s">
        <v>1156</v>
      </c>
      <c r="AJ233" s="58">
        <v>11</v>
      </c>
      <c r="AK233" s="219">
        <f>INDEX('C-P-RollAdj'!$J$4:$J$76,MATCH(INT(Z233),'C-P-RollAdj'!$I$4:$I$76,FALSE),0)</f>
        <v>-34</v>
      </c>
      <c r="AL233" s="219">
        <f>INDEX('C-P-RollAdj'!$J$4:$J$76,MATCH(INT(AC233),'C-P-RollAdj'!$I$4:$I$76,FALSE),0)</f>
        <v>-31</v>
      </c>
      <c r="AM233" s="14">
        <f>+AR233*LeagueRatings!$K$27</f>
        <v>20.555555555555557</v>
      </c>
      <c r="AN233" s="72">
        <f>F233*LeagueRatings!$K$27</f>
        <v>32.777777777777779</v>
      </c>
      <c r="AO233" s="72">
        <f>G233*LeagueRatings!$K$27</f>
        <v>0</v>
      </c>
      <c r="AP233" s="72">
        <f>T233*LeagueRatings!$K$27</f>
        <v>88.333333333333343</v>
      </c>
      <c r="AR233" s="14">
        <f t="shared" si="84"/>
        <v>37</v>
      </c>
    </row>
    <row r="234" spans="1:44" x14ac:dyDescent="0.2">
      <c r="A234" s="41" t="s">
        <v>504</v>
      </c>
      <c r="B234" s="76" t="s">
        <v>171</v>
      </c>
      <c r="C234" s="76">
        <v>5</v>
      </c>
      <c r="D234" s="76">
        <v>9</v>
      </c>
      <c r="E234" s="97">
        <v>5.54</v>
      </c>
      <c r="F234" s="76">
        <v>31</v>
      </c>
      <c r="G234" s="76">
        <v>21</v>
      </c>
      <c r="H234" s="76">
        <v>0</v>
      </c>
      <c r="I234" s="76">
        <v>0</v>
      </c>
      <c r="J234" s="76">
        <v>0</v>
      </c>
      <c r="K234" s="76">
        <v>0</v>
      </c>
      <c r="L234" s="258">
        <f>INDEX('C-P-RollAdj'!$P$4:$P$900,MATCH((U234),'C-P-RollAdj'!$O$4:$O$900,FALSE),0)</f>
        <v>118.67</v>
      </c>
      <c r="M234" s="76">
        <v>134</v>
      </c>
      <c r="N234" s="76">
        <v>76</v>
      </c>
      <c r="O234" s="76">
        <v>73</v>
      </c>
      <c r="P234" s="76">
        <v>18</v>
      </c>
      <c r="Q234" s="76">
        <v>36</v>
      </c>
      <c r="R234" s="76">
        <v>1</v>
      </c>
      <c r="S234" s="76">
        <v>102</v>
      </c>
      <c r="T234" s="76">
        <v>520</v>
      </c>
      <c r="U234" s="76">
        <v>118.2</v>
      </c>
      <c r="V234" s="100">
        <v>0.28199999999999997</v>
      </c>
      <c r="W234" s="76">
        <v>1.43</v>
      </c>
      <c r="X234" s="76"/>
      <c r="Y234" s="50">
        <f t="shared" si="81"/>
        <v>6.7437379576107901</v>
      </c>
      <c r="Z234" s="6">
        <f>IF(Y234&lt;LeagueRatings!$K$21,((LeagueRatings!$K$21-Y234)/LeagueRatings!$K$21)*36,(LeagueRatings!$K$21-Y234)*6.48)</f>
        <v>8.8834866624459217</v>
      </c>
      <c r="AA234" s="16">
        <f>INDEX('C-P-RollAdj'!$B$4:$B$76,MATCH(INT(Z234),'C-P-RollAdj'!$A$4:$A$76,FALSE),0)</f>
        <v>-0.65</v>
      </c>
      <c r="AB234" s="16">
        <f t="shared" si="82"/>
        <v>3.4682080924855487</v>
      </c>
      <c r="AC234" s="6">
        <f>IF(AB234&lt;LeagueRatings!$K$19,((LeagueRatings!$K$19-AB234)/LeagueRatings!$K$19)*36,(LeagueRatings!$K$19-AB234)/LeagueRatings!$K$22)</f>
        <v>-4.5264683490765503</v>
      </c>
      <c r="AD234" s="16">
        <f>INDEX('C-P-RollAdj'!$F$4:$F$76,MATCH(INT(AC234),'C-P-RollAdj'!$E$4:$E$76,FALSE),0)</f>
        <v>0.42</v>
      </c>
      <c r="AE234" s="17">
        <f>+((LeagueRatings!$I$17-E234)*5)+9.5</f>
        <v>2.6143872437063624</v>
      </c>
      <c r="AF234" s="17">
        <f t="shared" si="85"/>
        <v>4</v>
      </c>
      <c r="AG234" s="17">
        <f t="shared" si="83"/>
        <v>-0.64590882278587669</v>
      </c>
      <c r="AH234" s="4">
        <f t="shared" si="86"/>
        <v>3.1240911772141233</v>
      </c>
      <c r="AI234" s="41" t="s">
        <v>504</v>
      </c>
      <c r="AJ234" s="58">
        <v>4</v>
      </c>
      <c r="AK234" s="219">
        <f>INDEX('C-P-RollAdj'!$J$4:$J$76,MATCH(INT(Z234),'C-P-RollAdj'!$I$4:$I$76,FALSE),0)</f>
        <v>22</v>
      </c>
      <c r="AL234" s="219">
        <f>INDEX('C-P-RollAdj'!$J$4:$J$76,MATCH(INT(AC234),'C-P-RollAdj'!$I$4:$I$76,FALSE),0)</f>
        <v>-15</v>
      </c>
      <c r="AM234" s="14">
        <f>+AR234*LeagueRatings!$K$27</f>
        <v>66.111111111111114</v>
      </c>
      <c r="AN234" s="72">
        <f>F234*LeagueRatings!$K$27</f>
        <v>17.222222222222221</v>
      </c>
      <c r="AO234" s="72">
        <f>G234*LeagueRatings!$K$27</f>
        <v>11.666666666666668</v>
      </c>
      <c r="AP234" s="72">
        <f>T234*LeagueRatings!$K$27</f>
        <v>288.88888888888891</v>
      </c>
      <c r="AR234" s="14">
        <f t="shared" si="84"/>
        <v>119</v>
      </c>
    </row>
    <row r="235" spans="1:44" x14ac:dyDescent="0.2">
      <c r="A235" s="41" t="s">
        <v>451</v>
      </c>
      <c r="B235" s="76" t="s">
        <v>171</v>
      </c>
      <c r="C235" s="76">
        <v>1</v>
      </c>
      <c r="D235" s="76">
        <v>0</v>
      </c>
      <c r="E235" s="97">
        <v>2.64</v>
      </c>
      <c r="F235" s="76">
        <v>40</v>
      </c>
      <c r="G235" s="76">
        <v>0</v>
      </c>
      <c r="H235" s="76">
        <v>0</v>
      </c>
      <c r="I235" s="76">
        <v>0</v>
      </c>
      <c r="J235" s="76">
        <v>4</v>
      </c>
      <c r="K235" s="76">
        <v>4</v>
      </c>
      <c r="L235" s="258">
        <f>INDEX('C-P-RollAdj'!$P$4:$P$900,MATCH((U235),'C-P-RollAdj'!$O$4:$O$900,FALSE),0)</f>
        <v>30.67</v>
      </c>
      <c r="M235" s="76">
        <v>26</v>
      </c>
      <c r="N235" s="76">
        <v>9</v>
      </c>
      <c r="O235" s="76">
        <v>9</v>
      </c>
      <c r="P235" s="76">
        <v>5</v>
      </c>
      <c r="Q235" s="76">
        <v>7</v>
      </c>
      <c r="R235" s="76">
        <v>1</v>
      </c>
      <c r="S235" s="76">
        <v>33</v>
      </c>
      <c r="T235" s="76">
        <v>117</v>
      </c>
      <c r="U235" s="76">
        <v>30.2</v>
      </c>
      <c r="V235" s="100">
        <v>0.23599999999999999</v>
      </c>
      <c r="W235" s="76">
        <v>1.08</v>
      </c>
      <c r="X235" s="76"/>
      <c r="Y235" s="50">
        <f t="shared" si="81"/>
        <v>5.1724137931034484</v>
      </c>
      <c r="Z235" s="6">
        <f>IF(Y235&lt;LeagueRatings!$K$21,((LeagueRatings!$K$21-Y235)/LeagueRatings!$K$21)*36,(LeagueRatings!$K$21-Y235)*6.48)</f>
        <v>15.201767848979458</v>
      </c>
      <c r="AA235" s="16">
        <f>INDEX('C-P-RollAdj'!$B$4:$B$76,MATCH(INT(Z235),'C-P-RollAdj'!$A$4:$A$76,FALSE),0)</f>
        <v>-1.29</v>
      </c>
      <c r="AB235" s="16">
        <f t="shared" si="82"/>
        <v>4.3103448275862073</v>
      </c>
      <c r="AC235" s="6">
        <f>IF(AB235&lt;LeagueRatings!$K$19,((LeagueRatings!$K$19-AB235)/LeagueRatings!$K$19)*36,(LeagueRatings!$K$19-AB235)/LeagueRatings!$K$22)</f>
        <v>-11.330916736753577</v>
      </c>
      <c r="AD235" s="16">
        <f>INDEX('C-P-RollAdj'!$F$4:$F$76,MATCH(INT(AC235),'C-P-RollAdj'!$E$4:$E$76,FALSE),0)</f>
        <v>1.1400000000000001</v>
      </c>
      <c r="AE235" s="17">
        <f>+((LeagueRatings!$I$17-E235)*5)+9.5</f>
        <v>17.114387243706361</v>
      </c>
      <c r="AF235" s="17">
        <f t="shared" si="85"/>
        <v>17.114387243706361</v>
      </c>
      <c r="AG235" s="17">
        <f t="shared" si="83"/>
        <v>0.99586240626018974</v>
      </c>
      <c r="AH235" s="4">
        <f t="shared" si="86"/>
        <v>17.960249649966553</v>
      </c>
      <c r="AI235" s="41" t="s">
        <v>451</v>
      </c>
      <c r="AJ235" s="58">
        <v>18</v>
      </c>
      <c r="AK235" s="219">
        <f>INDEX('C-P-RollAdj'!$J$4:$J$76,MATCH(INT(Z235),'C-P-RollAdj'!$I$4:$I$76,FALSE),0)</f>
        <v>33</v>
      </c>
      <c r="AL235" s="219">
        <f>INDEX('C-P-RollAdj'!$J$4:$J$76,MATCH(INT(AC235),'C-P-RollAdj'!$I$4:$I$76,FALSE),0)</f>
        <v>-26</v>
      </c>
      <c r="AM235" s="14">
        <f>+AR235*LeagueRatings!$K$27</f>
        <v>17.222222222222221</v>
      </c>
      <c r="AN235" s="72">
        <f>F235*LeagueRatings!$K$27</f>
        <v>22.222222222222221</v>
      </c>
      <c r="AO235" s="72">
        <f>G235*LeagueRatings!$K$27</f>
        <v>0</v>
      </c>
      <c r="AP235" s="72">
        <f>T235*LeagueRatings!$K$27</f>
        <v>65</v>
      </c>
      <c r="AR235" s="14">
        <f t="shared" si="84"/>
        <v>31</v>
      </c>
    </row>
    <row r="236" spans="1:44" x14ac:dyDescent="0.2">
      <c r="A236" s="41" t="s">
        <v>350</v>
      </c>
      <c r="B236" s="76" t="s">
        <v>171</v>
      </c>
      <c r="C236" s="76">
        <v>12</v>
      </c>
      <c r="D236" s="76">
        <v>11</v>
      </c>
      <c r="E236" s="97">
        <v>3.81</v>
      </c>
      <c r="F236" s="76">
        <v>32</v>
      </c>
      <c r="G236" s="76">
        <v>32</v>
      </c>
      <c r="H236" s="76">
        <v>1</v>
      </c>
      <c r="I236" s="76">
        <v>0</v>
      </c>
      <c r="J236" s="76">
        <v>0</v>
      </c>
      <c r="K236" s="76">
        <v>0</v>
      </c>
      <c r="L236" s="258">
        <f>INDEX('C-P-RollAdj'!$P$4:$P$900,MATCH((U236),'C-P-RollAdj'!$O$4:$O$900,FALSE),0)</f>
        <v>203.32999999999998</v>
      </c>
      <c r="M236" s="76">
        <v>190</v>
      </c>
      <c r="N236" s="76">
        <v>88</v>
      </c>
      <c r="O236" s="76">
        <v>86</v>
      </c>
      <c r="P236" s="76">
        <v>24</v>
      </c>
      <c r="Q236" s="76">
        <v>54</v>
      </c>
      <c r="R236" s="76">
        <v>4</v>
      </c>
      <c r="S236" s="76">
        <v>167</v>
      </c>
      <c r="T236" s="76">
        <v>829</v>
      </c>
      <c r="U236" s="76">
        <v>203.1</v>
      </c>
      <c r="V236" s="100">
        <v>0.249</v>
      </c>
      <c r="W236" s="76">
        <v>1.2</v>
      </c>
      <c r="X236" s="76"/>
      <c r="Y236" s="50">
        <f t="shared" si="81"/>
        <v>6.0606060606060606</v>
      </c>
      <c r="Z236" s="6">
        <f>IF(Y236&lt;LeagueRatings!$K$21,((LeagueRatings!$K$21-Y236)/LeagueRatings!$K$21)*36,(LeagueRatings!$K$21-Y236)*6.48)</f>
        <v>11.630354247289064</v>
      </c>
      <c r="AA236" s="16">
        <f>INDEX('C-P-RollAdj'!$B$4:$B$76,MATCH(INT(Z236),'C-P-RollAdj'!$A$4:$A$76,FALSE),0)</f>
        <v>-0.92</v>
      </c>
      <c r="AB236" s="16">
        <f t="shared" si="82"/>
        <v>2.9090909090909092</v>
      </c>
      <c r="AC236" s="6">
        <f>IF(AB236&lt;LeagueRatings!$K$19,((LeagueRatings!$K$19-AB236)/LeagueRatings!$K$19)*36,(LeagueRatings!$K$19-AB236)/LeagueRatings!$K$22)</f>
        <v>-8.8124168514407304E-3</v>
      </c>
      <c r="AD236" s="16">
        <f>INDEX('C-P-RollAdj'!$F$4:$F$76,MATCH(INT(AC236),'C-P-RollAdj'!$E$4:$E$76,FALSE),0)</f>
        <v>0.08</v>
      </c>
      <c r="AE236" s="17">
        <f>+((LeagueRatings!$I$17-E236)*5)+9.5</f>
        <v>11.264387243706363</v>
      </c>
      <c r="AF236" s="17">
        <f t="shared" si="85"/>
        <v>11.264387243706363</v>
      </c>
      <c r="AG236" s="17">
        <f t="shared" si="83"/>
        <v>0.38890916244528512</v>
      </c>
      <c r="AH236" s="4">
        <f t="shared" si="86"/>
        <v>10.813296406151649</v>
      </c>
      <c r="AI236" s="41" t="s">
        <v>350</v>
      </c>
      <c r="AJ236" s="58">
        <v>11</v>
      </c>
      <c r="AK236" s="219">
        <f>INDEX('C-P-RollAdj'!$J$4:$J$76,MATCH(INT(Z236),'C-P-RollAdj'!$I$4:$I$76,FALSE),0)</f>
        <v>25</v>
      </c>
      <c r="AL236" s="219">
        <f>INDEX('C-P-RollAdj'!$J$4:$J$76,MATCH(INT(AC236),'C-P-RollAdj'!$I$4:$I$76,FALSE),0)</f>
        <v>-11</v>
      </c>
      <c r="AM236" s="14">
        <f>+AR236*LeagueRatings!$K$27</f>
        <v>113.33333333333334</v>
      </c>
      <c r="AN236" s="72">
        <f>F236*LeagueRatings!$K$27</f>
        <v>17.777777777777779</v>
      </c>
      <c r="AO236" s="72">
        <f>G236*LeagueRatings!$K$27</f>
        <v>17.777777777777779</v>
      </c>
      <c r="AP236" s="72">
        <f>T236*LeagueRatings!$K$27</f>
        <v>460.5555555555556</v>
      </c>
      <c r="AR236" s="14">
        <f t="shared" si="84"/>
        <v>204</v>
      </c>
    </row>
    <row r="237" spans="1:44" x14ac:dyDescent="0.2">
      <c r="A237" s="41" t="s">
        <v>557</v>
      </c>
      <c r="B237" s="76" t="s">
        <v>171</v>
      </c>
      <c r="C237" s="76">
        <v>1</v>
      </c>
      <c r="D237" s="76">
        <v>1</v>
      </c>
      <c r="E237" s="97">
        <v>2.95</v>
      </c>
      <c r="F237" s="76">
        <v>26</v>
      </c>
      <c r="G237" s="76">
        <v>0</v>
      </c>
      <c r="H237" s="76">
        <v>0</v>
      </c>
      <c r="I237" s="76">
        <v>0</v>
      </c>
      <c r="J237" s="76">
        <v>0</v>
      </c>
      <c r="K237" s="76">
        <v>1</v>
      </c>
      <c r="L237" s="258">
        <f>INDEX('C-P-RollAdj'!$P$4:$P$900,MATCH((U237),'C-P-RollAdj'!$O$4:$O$900,FALSE),0)</f>
        <v>18.329999999999998</v>
      </c>
      <c r="M237" s="76">
        <v>13</v>
      </c>
      <c r="N237" s="76">
        <v>6</v>
      </c>
      <c r="O237" s="76">
        <v>6</v>
      </c>
      <c r="P237" s="76">
        <v>0</v>
      </c>
      <c r="Q237" s="76">
        <v>9</v>
      </c>
      <c r="R237" s="76">
        <v>0</v>
      </c>
      <c r="S237" s="76">
        <v>26</v>
      </c>
      <c r="T237" s="76">
        <v>75</v>
      </c>
      <c r="U237" s="76">
        <v>18.100000000000001</v>
      </c>
      <c r="V237" s="100">
        <v>0.19700000000000001</v>
      </c>
      <c r="W237" s="76">
        <v>1.2</v>
      </c>
      <c r="X237" s="76"/>
      <c r="Y237" s="50">
        <f t="shared" si="81"/>
        <v>12</v>
      </c>
      <c r="Z237" s="6">
        <f>IF(Y237&lt;LeagueRatings!$K$21,((LeagueRatings!$K$21-Y237)/LeagueRatings!$K$21)*36,(LeagueRatings!$K$21-Y237)*6.48)</f>
        <v>-19.74445902066897</v>
      </c>
      <c r="AA237" s="16">
        <f>INDEX('C-P-RollAdj'!$B$4:$B$76,MATCH(INT(Z237),'C-P-RollAdj'!$A$4:$A$76,FALSE),0)</f>
        <v>2.38</v>
      </c>
      <c r="AB237" s="16">
        <f t="shared" si="82"/>
        <v>0</v>
      </c>
      <c r="AC237" s="6">
        <f>IF(AB237&lt;LeagueRatings!$K$19,((LeagueRatings!$K$19-AB237)/LeagueRatings!$K$19)*36,(LeagueRatings!$K$19-AB237)/LeagueRatings!$K$22)</f>
        <v>36</v>
      </c>
      <c r="AD237" s="16">
        <f>INDEX('C-P-RollAdj'!$F$4:$F$76,MATCH(INT(AC237),'C-P-RollAdj'!$E$4:$E$76,FALSE),0)</f>
        <v>-3.26</v>
      </c>
      <c r="AE237" s="17">
        <f>+((LeagueRatings!$I$17-E237)*5)+9.5</f>
        <v>15.564387243706362</v>
      </c>
      <c r="AF237" s="17">
        <f>IF(AE237&lt;4,4,AE237)</f>
        <v>15.564387243706362</v>
      </c>
      <c r="AG237" s="17">
        <f t="shared" si="83"/>
        <v>1.9654609929078013</v>
      </c>
      <c r="AH237" s="4">
        <f>+AA237+AD237+AF237+AG237</f>
        <v>16.649848236614162</v>
      </c>
      <c r="AI237" s="41" t="s">
        <v>557</v>
      </c>
      <c r="AJ237" s="58">
        <v>17</v>
      </c>
      <c r="AK237" s="219">
        <f>INDEX('C-P-RollAdj'!$J$4:$J$76,MATCH(INT(Z237),'C-P-RollAdj'!$I$4:$I$76,FALSE),0)</f>
        <v>-42</v>
      </c>
      <c r="AL237" s="219">
        <f>INDEX('C-P-RollAdj'!$J$4:$J$76,MATCH(INT(AC237),'C-P-RollAdj'!$I$4:$I$76,FALSE),0)</f>
        <v>66</v>
      </c>
      <c r="AM237" s="14">
        <f>+AR237*LeagueRatings!$K$27</f>
        <v>10.555555555555555</v>
      </c>
      <c r="AN237" s="72">
        <f>F237*LeagueRatings!$K$27</f>
        <v>14.444444444444445</v>
      </c>
      <c r="AO237" s="72">
        <f>G237*LeagueRatings!$K$27</f>
        <v>0</v>
      </c>
      <c r="AP237" s="72">
        <f>T237*LeagueRatings!$K$27</f>
        <v>41.666666666666671</v>
      </c>
      <c r="AR237" s="14">
        <f t="shared" si="84"/>
        <v>19</v>
      </c>
    </row>
    <row r="238" spans="1:44" x14ac:dyDescent="0.2">
      <c r="A238" s="41" t="s">
        <v>782</v>
      </c>
      <c r="B238" s="76" t="s">
        <v>171</v>
      </c>
      <c r="C238" s="76">
        <v>3</v>
      </c>
      <c r="D238" s="76">
        <v>3</v>
      </c>
      <c r="E238" s="97">
        <v>3.1</v>
      </c>
      <c r="F238" s="76">
        <v>72</v>
      </c>
      <c r="G238" s="76">
        <v>0</v>
      </c>
      <c r="H238" s="76">
        <v>0</v>
      </c>
      <c r="I238" s="76">
        <v>0</v>
      </c>
      <c r="J238" s="76">
        <v>3</v>
      </c>
      <c r="K238" s="76">
        <v>8</v>
      </c>
      <c r="L238" s="258">
        <f>INDEX('C-P-RollAdj'!$P$4:$P$900,MATCH((U238),'C-P-RollAdj'!$O$4:$O$900,FALSE),0)</f>
        <v>61</v>
      </c>
      <c r="M238" s="76">
        <v>50</v>
      </c>
      <c r="N238" s="76">
        <v>21</v>
      </c>
      <c r="O238" s="76">
        <v>21</v>
      </c>
      <c r="P238" s="76">
        <v>4</v>
      </c>
      <c r="Q238" s="76">
        <v>19</v>
      </c>
      <c r="R238" s="76">
        <v>3</v>
      </c>
      <c r="S238" s="76">
        <v>57</v>
      </c>
      <c r="T238" s="76">
        <v>250</v>
      </c>
      <c r="U238" s="76">
        <v>61</v>
      </c>
      <c r="V238" s="100">
        <v>0.221</v>
      </c>
      <c r="W238" s="76">
        <v>1.1299999999999999</v>
      </c>
      <c r="X238" s="76"/>
      <c r="Y238" s="50">
        <f t="shared" si="81"/>
        <v>6.4777327935222671</v>
      </c>
      <c r="Z238" s="6">
        <f>IF(Y238&lt;LeagueRatings!$K$21,((LeagueRatings!$K$21-Y238)/LeagueRatings!$K$21)*36,(LeagueRatings!$K$21-Y238)*6.48)</f>
        <v>9.953091179288716</v>
      </c>
      <c r="AA238" s="16">
        <f>INDEX('C-P-RollAdj'!$B$4:$B$76,MATCH(INT(Z238),'C-P-RollAdj'!$A$4:$A$76,FALSE),0)</f>
        <v>-0.74</v>
      </c>
      <c r="AB238" s="16">
        <f t="shared" si="82"/>
        <v>1.6194331983805668</v>
      </c>
      <c r="AC238" s="6">
        <f>IF(AB238&lt;LeagueRatings!$K$19,((LeagueRatings!$K$19-AB238)/LeagueRatings!$K$19)*36,(LeagueRatings!$K$19-AB238)/LeagueRatings!$K$22)</f>
        <v>15.951997966630962</v>
      </c>
      <c r="AD238" s="16">
        <f>INDEX('C-P-RollAdj'!$F$4:$F$76,MATCH(INT(AC238),'C-P-RollAdj'!$E$4:$E$76,FALSE),0)</f>
        <v>-1.1400000000000001</v>
      </c>
      <c r="AE238" s="17">
        <f>+((LeagueRatings!$I$17-E238)*5)+9.5</f>
        <v>14.814387243706362</v>
      </c>
      <c r="AF238" s="17">
        <f>IF(AE238&lt;4,4,AE238)</f>
        <v>14.814387243706362</v>
      </c>
      <c r="AG238" s="17">
        <f t="shared" si="83"/>
        <v>1.1922950819672129</v>
      </c>
      <c r="AH238" s="4">
        <f>+AA238+AD238+AF238+AG238</f>
        <v>14.126682325673574</v>
      </c>
      <c r="AI238" s="41" t="s">
        <v>782</v>
      </c>
      <c r="AJ238" s="58">
        <v>14</v>
      </c>
      <c r="AK238" s="219">
        <f>INDEX('C-P-RollAdj'!$J$4:$J$76,MATCH(INT(Z238),'C-P-RollAdj'!$I$4:$I$76,FALSE),0)</f>
        <v>23</v>
      </c>
      <c r="AL238" s="219">
        <f>INDEX('C-P-RollAdj'!$J$4:$J$76,MATCH(INT(AC238),'C-P-RollAdj'!$I$4:$I$76,FALSE),0)</f>
        <v>33</v>
      </c>
      <c r="AM238" s="14">
        <f>+AR238*LeagueRatings!$K$27</f>
        <v>33.888888888888893</v>
      </c>
      <c r="AN238" s="72">
        <f>F238*LeagueRatings!$K$27</f>
        <v>40</v>
      </c>
      <c r="AO238" s="72">
        <f>G238*LeagueRatings!$K$27</f>
        <v>0</v>
      </c>
      <c r="AP238" s="72">
        <f>T238*LeagueRatings!$K$27</f>
        <v>138.88888888888889</v>
      </c>
      <c r="AR238" s="14">
        <f t="shared" si="84"/>
        <v>61</v>
      </c>
    </row>
    <row r="239" spans="1:44" s="122" customFormat="1" x14ac:dyDescent="0.2">
      <c r="A239" s="41" t="s">
        <v>1494</v>
      </c>
      <c r="B239" s="76" t="s">
        <v>171</v>
      </c>
      <c r="C239" s="76">
        <v>3</v>
      </c>
      <c r="D239" s="76">
        <v>5</v>
      </c>
      <c r="E239" s="97">
        <v>4.29</v>
      </c>
      <c r="F239" s="76">
        <v>22</v>
      </c>
      <c r="G239" s="76">
        <v>12</v>
      </c>
      <c r="H239" s="76">
        <v>0</v>
      </c>
      <c r="I239" s="76">
        <v>0</v>
      </c>
      <c r="J239" s="76">
        <v>0</v>
      </c>
      <c r="K239" s="76">
        <v>0</v>
      </c>
      <c r="L239" s="258">
        <f>INDEX('C-P-RollAdj'!$P$4:$P$900,MATCH((U239),'C-P-RollAdj'!$O$4:$O$900,FALSE),0)</f>
        <v>84</v>
      </c>
      <c r="M239" s="76">
        <v>84</v>
      </c>
      <c r="N239" s="76">
        <v>42</v>
      </c>
      <c r="O239" s="76">
        <v>40</v>
      </c>
      <c r="P239" s="76">
        <v>11</v>
      </c>
      <c r="Q239" s="76">
        <v>26</v>
      </c>
      <c r="R239" s="76">
        <v>5</v>
      </c>
      <c r="S239" s="76">
        <v>54</v>
      </c>
      <c r="T239" s="76">
        <v>355</v>
      </c>
      <c r="U239" s="76">
        <v>84</v>
      </c>
      <c r="V239" s="100">
        <v>0.26400000000000001</v>
      </c>
      <c r="W239" s="76">
        <v>1.31</v>
      </c>
      <c r="X239" s="76"/>
      <c r="Y239" s="50">
        <f t="shared" si="81"/>
        <v>6</v>
      </c>
      <c r="Z239" s="6">
        <f>IF(Y239&lt;LeagueRatings!$K$21,((LeagueRatings!$K$21-Y239)/LeagueRatings!$K$21)*36,(LeagueRatings!$K$21-Y239)*6.48)</f>
        <v>11.874050704816174</v>
      </c>
      <c r="AA239" s="16">
        <f>INDEX('C-P-RollAdj'!$B$4:$B$76,MATCH(INT(Z239),'C-P-RollAdj'!$A$4:$A$76,FALSE),0)</f>
        <v>-0.92</v>
      </c>
      <c r="AB239" s="16">
        <f t="shared" si="82"/>
        <v>3.1428571428571432</v>
      </c>
      <c r="AC239" s="6">
        <f>IF(AB239&lt;LeagueRatings!$K$19,((LeagueRatings!$K$19-AB239)/LeagueRatings!$K$19)*36,(LeagueRatings!$K$19-AB239)/LeagueRatings!$K$22)</f>
        <v>-1.8976390243902459</v>
      </c>
      <c r="AD239" s="16">
        <f>INDEX('C-P-RollAdj'!$F$4:$F$76,MATCH(INT(AC239),'C-P-RollAdj'!$E$4:$E$76,FALSE),0)</f>
        <v>0.16</v>
      </c>
      <c r="AE239" s="17">
        <f>+((LeagueRatings!$I$17-E239)*5)+9.5</f>
        <v>8.8643872437063624</v>
      </c>
      <c r="AF239" s="17">
        <f>IF(AE239&lt;4,4,AE239)</f>
        <v>8.8643872437063624</v>
      </c>
      <c r="AG239" s="17">
        <f t="shared" si="83"/>
        <v>0</v>
      </c>
      <c r="AH239" s="4">
        <f>+AA239+AD239+AF239+AG239</f>
        <v>8.1043872437063627</v>
      </c>
      <c r="AI239" s="41" t="s">
        <v>1494</v>
      </c>
      <c r="AJ239" s="58">
        <v>8</v>
      </c>
      <c r="AK239" s="219">
        <f>INDEX('C-P-RollAdj'!$J$4:$J$76,MATCH(INT(Z239),'C-P-RollAdj'!$I$4:$I$76,FALSE),0)</f>
        <v>25</v>
      </c>
      <c r="AL239" s="219">
        <f>INDEX('C-P-RollAdj'!$J$4:$J$76,MATCH(INT(AC239),'C-P-RollAdj'!$I$4:$I$76,FALSE),0)</f>
        <v>-12</v>
      </c>
      <c r="AM239" s="14">
        <f>+AR239*LeagueRatings!$K$27</f>
        <v>46.666666666666671</v>
      </c>
      <c r="AN239" s="72">
        <f>F239*LeagueRatings!$K$27</f>
        <v>12.222222222222223</v>
      </c>
      <c r="AO239" s="72">
        <f>G239*LeagueRatings!$K$27</f>
        <v>6.666666666666667</v>
      </c>
      <c r="AP239" s="72">
        <f>T239*LeagueRatings!$K$27</f>
        <v>197.22222222222223</v>
      </c>
      <c r="AQ239" s="24"/>
      <c r="AR239" s="14">
        <f t="shared" si="84"/>
        <v>84</v>
      </c>
    </row>
    <row r="240" spans="1:44" s="28" customFormat="1" x14ac:dyDescent="0.2">
      <c r="A240" s="24"/>
      <c r="B240" s="24"/>
      <c r="C240" s="24"/>
      <c r="D240" s="24"/>
      <c r="E240" s="25"/>
      <c r="F240" s="24"/>
      <c r="G240" s="24"/>
      <c r="H240" s="24"/>
      <c r="I240" s="24"/>
      <c r="J240" s="24"/>
      <c r="K240" s="24"/>
      <c r="L240" s="24"/>
      <c r="M240" s="24"/>
      <c r="N240" s="24"/>
      <c r="O240" s="24"/>
      <c r="P240" s="24"/>
      <c r="Q240" s="24"/>
      <c r="R240" s="24"/>
      <c r="S240" s="24"/>
      <c r="T240" s="24"/>
      <c r="U240" s="24"/>
      <c r="V240" s="279"/>
      <c r="W240" s="24"/>
      <c r="X240" s="70"/>
      <c r="Y240" s="50"/>
      <c r="Z240" s="6"/>
      <c r="AA240" s="16"/>
      <c r="AB240" s="16"/>
      <c r="AC240" s="6"/>
      <c r="AD240" s="16"/>
      <c r="AE240" s="17"/>
      <c r="AF240" s="17"/>
      <c r="AG240" s="17"/>
      <c r="AH240" s="4"/>
      <c r="AI240" s="24"/>
      <c r="AJ240" s="58"/>
      <c r="AK240" s="5"/>
      <c r="AL240" s="5"/>
      <c r="AM240" s="14"/>
      <c r="AN240" s="72"/>
      <c r="AO240" s="72"/>
      <c r="AP240" s="72"/>
      <c r="AQ240" s="24"/>
      <c r="AR240" s="14"/>
    </row>
    <row r="241" spans="1:44" x14ac:dyDescent="0.2">
      <c r="A241" s="69" t="s">
        <v>106</v>
      </c>
      <c r="B241" s="70" t="s">
        <v>157</v>
      </c>
      <c r="C241" s="71" t="s">
        <v>85</v>
      </c>
      <c r="D241" s="70" t="s">
        <v>86</v>
      </c>
      <c r="E241" s="71" t="s">
        <v>87</v>
      </c>
      <c r="F241" s="70" t="s">
        <v>108</v>
      </c>
      <c r="G241" s="70" t="s">
        <v>88</v>
      </c>
      <c r="H241" s="70" t="s">
        <v>89</v>
      </c>
      <c r="I241" s="72" t="s">
        <v>317</v>
      </c>
      <c r="J241" s="72" t="s">
        <v>90</v>
      </c>
      <c r="K241" s="72" t="s">
        <v>158</v>
      </c>
      <c r="L241" s="71" t="s">
        <v>91</v>
      </c>
      <c r="M241" s="70" t="s">
        <v>92</v>
      </c>
      <c r="N241" s="70" t="s">
        <v>93</v>
      </c>
      <c r="O241" s="70" t="s">
        <v>94</v>
      </c>
      <c r="P241" s="70" t="s">
        <v>95</v>
      </c>
      <c r="Q241" s="70" t="s">
        <v>96</v>
      </c>
      <c r="R241" s="70" t="s">
        <v>98</v>
      </c>
      <c r="S241" s="70" t="s">
        <v>97</v>
      </c>
      <c r="T241" s="70" t="s">
        <v>109</v>
      </c>
      <c r="U241" s="196" t="s">
        <v>91</v>
      </c>
      <c r="V241" s="277" t="s">
        <v>1071</v>
      </c>
      <c r="W241" s="196" t="s">
        <v>1072</v>
      </c>
      <c r="X241" s="70"/>
      <c r="Y241" s="115" t="s">
        <v>2</v>
      </c>
      <c r="Z241" s="116" t="s">
        <v>3</v>
      </c>
      <c r="AA241" s="117" t="s">
        <v>4</v>
      </c>
      <c r="AB241" s="118" t="s">
        <v>5</v>
      </c>
      <c r="AC241" s="116" t="s">
        <v>6</v>
      </c>
      <c r="AD241" s="117" t="s">
        <v>7</v>
      </c>
      <c r="AE241" s="119" t="s">
        <v>8</v>
      </c>
      <c r="AF241" s="119" t="s">
        <v>81</v>
      </c>
      <c r="AG241" s="119" t="s">
        <v>9</v>
      </c>
      <c r="AH241" s="130" t="s">
        <v>10</v>
      </c>
      <c r="AI241" s="69" t="s">
        <v>106</v>
      </c>
      <c r="AJ241" s="7" t="s">
        <v>11</v>
      </c>
      <c r="AK241" s="7" t="s">
        <v>12</v>
      </c>
      <c r="AL241" s="7" t="s">
        <v>13</v>
      </c>
      <c r="AN241" s="72"/>
      <c r="AO241" s="72"/>
      <c r="AP241" s="72"/>
      <c r="AQ241" s="122"/>
      <c r="AR241" s="14"/>
    </row>
    <row r="242" spans="1:44" x14ac:dyDescent="0.2">
      <c r="A242" s="69"/>
      <c r="B242" s="70"/>
      <c r="C242" s="71"/>
      <c r="D242" s="70"/>
      <c r="E242" s="71"/>
      <c r="F242" s="70"/>
      <c r="G242" s="70"/>
      <c r="H242" s="70"/>
      <c r="I242" s="72"/>
      <c r="J242" s="72"/>
      <c r="K242" s="72"/>
      <c r="L242" s="71"/>
      <c r="M242" s="70"/>
      <c r="N242" s="70"/>
      <c r="O242" s="70"/>
      <c r="P242" s="70"/>
      <c r="Q242" s="70"/>
      <c r="R242" s="70"/>
      <c r="S242" s="70"/>
      <c r="T242" s="70"/>
      <c r="U242" s="70"/>
      <c r="V242" s="164"/>
      <c r="W242" s="70"/>
      <c r="X242" s="76"/>
      <c r="Y242" s="52"/>
      <c r="Z242" s="53"/>
      <c r="AA242" s="54"/>
      <c r="AB242" s="54"/>
      <c r="AC242" s="53"/>
      <c r="AD242" s="54"/>
      <c r="AE242" s="55"/>
      <c r="AF242" s="55"/>
      <c r="AG242" s="55"/>
      <c r="AH242" s="56"/>
      <c r="AI242" s="69"/>
      <c r="AJ242" s="129"/>
      <c r="AK242" s="9"/>
      <c r="AL242" s="9"/>
      <c r="AN242" s="72"/>
      <c r="AO242" s="72"/>
      <c r="AP242" s="72"/>
      <c r="AQ242" s="28"/>
      <c r="AR242" s="14"/>
    </row>
    <row r="243" spans="1:44" x14ac:dyDescent="0.2">
      <c r="A243" s="41" t="s">
        <v>1497</v>
      </c>
      <c r="B243" s="76" t="s">
        <v>172</v>
      </c>
      <c r="C243" s="76">
        <v>2</v>
      </c>
      <c r="D243" s="76">
        <v>5</v>
      </c>
      <c r="E243" s="97">
        <v>3.46</v>
      </c>
      <c r="F243" s="76">
        <v>59</v>
      </c>
      <c r="G243" s="76">
        <v>0</v>
      </c>
      <c r="H243" s="76">
        <v>0</v>
      </c>
      <c r="I243" s="76">
        <v>0</v>
      </c>
      <c r="J243" s="76">
        <v>0</v>
      </c>
      <c r="K243" s="76">
        <v>1</v>
      </c>
      <c r="L243" s="258">
        <f>INDEX('C-P-RollAdj'!$P$4:$P$900,MATCH((U243),'C-P-RollAdj'!$O$4:$O$900,FALSE),0)</f>
        <v>67.67</v>
      </c>
      <c r="M243" s="76">
        <v>59</v>
      </c>
      <c r="N243" s="76">
        <v>31</v>
      </c>
      <c r="O243" s="76">
        <v>26</v>
      </c>
      <c r="P243" s="76">
        <v>4</v>
      </c>
      <c r="Q243" s="76">
        <v>20</v>
      </c>
      <c r="R243" s="76">
        <v>2</v>
      </c>
      <c r="S243" s="76">
        <v>52</v>
      </c>
      <c r="T243" s="76">
        <v>281</v>
      </c>
      <c r="U243" s="76">
        <v>67.2</v>
      </c>
      <c r="V243" s="100">
        <v>0.22900000000000001</v>
      </c>
      <c r="W243" s="76">
        <v>1.17</v>
      </c>
      <c r="X243" s="76"/>
      <c r="Y243" s="50">
        <f t="shared" ref="Y243:Y257" si="87">+(Q243-R243)/(T243-R243)*100</f>
        <v>6.4516129032258061</v>
      </c>
      <c r="Z243" s="6">
        <f>IF(Y243&lt;LeagueRatings!$K$21,((LeagueRatings!$K$21-Y243)/LeagueRatings!$K$21)*36,(LeagueRatings!$K$21-Y243)*6.48)</f>
        <v>10.058119037436747</v>
      </c>
      <c r="AA243" s="16">
        <f>INDEX('C-P-RollAdj'!$B$4:$B$76,MATCH(INT(Z243),'C-P-RollAdj'!$A$4:$A$76,FALSE),0)</f>
        <v>-0.83000000000000007</v>
      </c>
      <c r="AB243" s="16">
        <f t="shared" ref="AB243:AB257" si="88">(P243/(T243-R243))*100</f>
        <v>1.4336917562724014</v>
      </c>
      <c r="AC243" s="6">
        <f>IF(AB243&lt;LeagueRatings!$K$19,((LeagueRatings!$K$19-AB243)/LeagueRatings!$K$19)*36,(LeagueRatings!$K$19-AB243)/LeagueRatings!$K$22)</f>
        <v>18.251410386228844</v>
      </c>
      <c r="AD243" s="16">
        <f>INDEX('C-P-RollAdj'!$F$4:$F$76,MATCH(INT(AC243),'C-P-RollAdj'!$E$4:$E$76,FALSE),0)</f>
        <v>-1.4100000000000001</v>
      </c>
      <c r="AE243" s="17">
        <f>+((LeagueRatings!$I$17-E243)*5)+9.5</f>
        <v>13.014387243706363</v>
      </c>
      <c r="AF243" s="17">
        <f>IF(AE243&lt;4,4,AE243)</f>
        <v>13.014387243706363</v>
      </c>
      <c r="AG243" s="17">
        <f t="shared" ref="AG243:AG257" si="89">IF(M243&lt;L243,((1-(M243/L243))*7)-0.07,(1-(M243/L243))*5)</f>
        <v>0.82685237180434457</v>
      </c>
      <c r="AH243" s="4">
        <f>+AA243+AD243+AF243+AG243</f>
        <v>11.601239615510707</v>
      </c>
      <c r="AI243" s="41" t="s">
        <v>1497</v>
      </c>
      <c r="AJ243" s="58">
        <v>12</v>
      </c>
      <c r="AK243" s="219">
        <f>INDEX('C-P-RollAdj'!$J$4:$J$76,MATCH(INT(Z243),'C-P-RollAdj'!$I$4:$I$76,FALSE),0)</f>
        <v>24</v>
      </c>
      <c r="AL243" s="219">
        <f>INDEX('C-P-RollAdj'!$J$4:$J$76,MATCH(INT(AC243),'C-P-RollAdj'!$I$4:$I$76,FALSE),0)</f>
        <v>36</v>
      </c>
      <c r="AM243" s="14">
        <f>+AR243*LeagueRatings!$K$27</f>
        <v>37.777777777777779</v>
      </c>
      <c r="AN243" s="72">
        <f>F243*LeagueRatings!$K$27</f>
        <v>32.777777777777779</v>
      </c>
      <c r="AO243" s="72">
        <f>G243*LeagueRatings!$K$27</f>
        <v>0</v>
      </c>
      <c r="AP243" s="72">
        <f>T243*LeagueRatings!$K$27</f>
        <v>156.11111111111111</v>
      </c>
      <c r="AR243" s="14">
        <f t="shared" ref="AR243:AR257" si="90">ROUNDUP(L243,0)</f>
        <v>68</v>
      </c>
    </row>
    <row r="244" spans="1:44" x14ac:dyDescent="0.2">
      <c r="A244" s="41" t="s">
        <v>363</v>
      </c>
      <c r="B244" s="76" t="s">
        <v>172</v>
      </c>
      <c r="C244" s="76">
        <v>4</v>
      </c>
      <c r="D244" s="76">
        <v>2</v>
      </c>
      <c r="E244" s="97">
        <v>4.3</v>
      </c>
      <c r="F244" s="76">
        <v>66</v>
      </c>
      <c r="G244" s="76">
        <v>0</v>
      </c>
      <c r="H244" s="76">
        <v>0</v>
      </c>
      <c r="I244" s="76">
        <v>0</v>
      </c>
      <c r="J244" s="76">
        <v>0</v>
      </c>
      <c r="K244" s="76">
        <v>3</v>
      </c>
      <c r="L244" s="258">
        <f>INDEX('C-P-RollAdj'!$P$4:$P$900,MATCH((U244),'C-P-RollAdj'!$O$4:$O$900,FALSE),0)</f>
        <v>60.67</v>
      </c>
      <c r="M244" s="76">
        <v>52</v>
      </c>
      <c r="N244" s="76">
        <v>32</v>
      </c>
      <c r="O244" s="76">
        <v>29</v>
      </c>
      <c r="P244" s="76">
        <v>7</v>
      </c>
      <c r="Q244" s="76">
        <v>24</v>
      </c>
      <c r="R244" s="76">
        <v>5</v>
      </c>
      <c r="S244" s="76">
        <v>57</v>
      </c>
      <c r="T244" s="76">
        <v>259</v>
      </c>
      <c r="U244" s="76">
        <v>60.2</v>
      </c>
      <c r="V244" s="100">
        <v>0.22900000000000001</v>
      </c>
      <c r="W244" s="76">
        <v>1.25</v>
      </c>
      <c r="X244" s="76"/>
      <c r="Y244" s="50">
        <f t="shared" si="87"/>
        <v>7.4803149606299222</v>
      </c>
      <c r="Z244" s="6">
        <f>IF(Y244&lt;LeagueRatings!$K$21,((LeagueRatings!$K$21-Y244)/LeagueRatings!$K$21)*36,(LeagueRatings!$K$21-Y244)*6.48)</f>
        <v>5.9217167579729146</v>
      </c>
      <c r="AA244" s="16">
        <f>INDEX('C-P-RollAdj'!$B$4:$B$76,MATCH(INT(Z244),'C-P-RollAdj'!$A$4:$A$76,FALSE),0)</f>
        <v>-0.4</v>
      </c>
      <c r="AB244" s="16">
        <f t="shared" si="88"/>
        <v>2.7559055118110236</v>
      </c>
      <c r="AC244" s="6">
        <f>IF(AB244&lt;LeagueRatings!$K$19,((LeagueRatings!$K$19-AB244)/LeagueRatings!$K$19)*36,(LeagueRatings!$K$19-AB244)/LeagueRatings!$K$22)</f>
        <v>1.8828784294339909</v>
      </c>
      <c r="AD244" s="16">
        <f>INDEX('C-P-RollAdj'!$F$4:$F$76,MATCH(INT(AC244),'C-P-RollAdj'!$E$4:$E$76,FALSE),0)</f>
        <v>-7.0000000000000007E-2</v>
      </c>
      <c r="AE244" s="17">
        <f>+((LeagueRatings!$I$17-E244)*5)+9.5</f>
        <v>8.8143872437063635</v>
      </c>
      <c r="AF244" s="17">
        <f t="shared" ref="AF244:AF256" si="91">IF(AE244&lt;4,4,AE244)</f>
        <v>8.8143872437063635</v>
      </c>
      <c r="AG244" s="17">
        <f t="shared" si="89"/>
        <v>0.93032965221691133</v>
      </c>
      <c r="AH244" s="4">
        <f t="shared" ref="AH244:AH256" si="92">+AA244+AD244+AF244+AG244</f>
        <v>9.2747168959232749</v>
      </c>
      <c r="AI244" s="41" t="s">
        <v>363</v>
      </c>
      <c r="AJ244" s="58">
        <v>10</v>
      </c>
      <c r="AK244" s="219">
        <f>INDEX('C-P-RollAdj'!$J$4:$J$76,MATCH(INT(Z244),'C-P-RollAdj'!$I$4:$I$76,FALSE),0)</f>
        <v>15</v>
      </c>
      <c r="AL244" s="219">
        <f>INDEX('C-P-RollAdj'!$J$4:$J$76,MATCH(INT(AC244),'C-P-RollAdj'!$I$4:$I$76,FALSE),0)</f>
        <v>11</v>
      </c>
      <c r="AM244" s="14">
        <f>+AR244*LeagueRatings!$K$27</f>
        <v>33.888888888888893</v>
      </c>
      <c r="AN244" s="72">
        <f>F244*LeagueRatings!$K$27</f>
        <v>36.666666666666671</v>
      </c>
      <c r="AO244" s="72">
        <f>G244*LeagueRatings!$K$27</f>
        <v>0</v>
      </c>
      <c r="AP244" s="72">
        <f>T244*LeagueRatings!$K$27</f>
        <v>143.88888888888889</v>
      </c>
      <c r="AR244" s="14">
        <f t="shared" si="90"/>
        <v>61</v>
      </c>
    </row>
    <row r="245" spans="1:44" x14ac:dyDescent="0.2">
      <c r="A245" s="41" t="s">
        <v>354</v>
      </c>
      <c r="B245" s="76" t="s">
        <v>172</v>
      </c>
      <c r="C245" s="76">
        <v>0</v>
      </c>
      <c r="D245" s="76">
        <v>1</v>
      </c>
      <c r="E245" s="97">
        <v>1.93</v>
      </c>
      <c r="F245" s="76">
        <v>28</v>
      </c>
      <c r="G245" s="76">
        <v>0</v>
      </c>
      <c r="H245" s="76">
        <v>0</v>
      </c>
      <c r="I245" s="76">
        <v>0</v>
      </c>
      <c r="J245" s="76">
        <v>1</v>
      </c>
      <c r="K245" s="76">
        <v>1</v>
      </c>
      <c r="L245" s="258">
        <f>INDEX('C-P-RollAdj'!$P$4:$P$900,MATCH((U245),'C-P-RollAdj'!$O$4:$O$900,FALSE),0)</f>
        <v>23.33</v>
      </c>
      <c r="M245" s="76">
        <v>17</v>
      </c>
      <c r="N245" s="76">
        <v>5</v>
      </c>
      <c r="O245" s="76">
        <v>5</v>
      </c>
      <c r="P245" s="76">
        <v>0</v>
      </c>
      <c r="Q245" s="76">
        <v>13</v>
      </c>
      <c r="R245" s="76">
        <v>0</v>
      </c>
      <c r="S245" s="76">
        <v>26</v>
      </c>
      <c r="T245" s="76">
        <v>99</v>
      </c>
      <c r="U245" s="76">
        <v>23.1</v>
      </c>
      <c r="V245" s="100">
        <v>0.20499999999999999</v>
      </c>
      <c r="W245" s="76">
        <v>1.29</v>
      </c>
      <c r="X245" s="76"/>
      <c r="Y245" s="50">
        <f t="shared" si="87"/>
        <v>13.131313131313133</v>
      </c>
      <c r="Z245" s="6">
        <f>IF(Y245&lt;LeagueRatings!$K$21,((LeagueRatings!$K$21-Y245)/LeagueRatings!$K$21)*36,(LeagueRatings!$K$21-Y245)*6.48)</f>
        <v>-27.075368111578072</v>
      </c>
      <c r="AA245" s="16">
        <f>INDEX('C-P-RollAdj'!$B$4:$B$76,MATCH(INT(Z245),'C-P-RollAdj'!$A$4:$A$76,FALSE),0)</f>
        <v>3.8</v>
      </c>
      <c r="AB245" s="16">
        <f t="shared" si="88"/>
        <v>0</v>
      </c>
      <c r="AC245" s="6">
        <f>IF(AB245&lt;LeagueRatings!$K$19,((LeagueRatings!$K$19-AB245)/LeagueRatings!$K$19)*36,(LeagueRatings!$K$19-AB245)/LeagueRatings!$K$22)</f>
        <v>36</v>
      </c>
      <c r="AD245" s="16">
        <f>INDEX('C-P-RollAdj'!$F$4:$F$76,MATCH(INT(AC245),'C-P-RollAdj'!$E$4:$E$76,FALSE),0)</f>
        <v>-3.26</v>
      </c>
      <c r="AE245" s="17">
        <f>+((LeagueRatings!$I$17-E245)*5)+9.5</f>
        <v>20.664387243706365</v>
      </c>
      <c r="AF245" s="17">
        <f t="shared" si="91"/>
        <v>20.664387243706365</v>
      </c>
      <c r="AG245" s="17">
        <f t="shared" si="89"/>
        <v>1.8292713244749246</v>
      </c>
      <c r="AH245" s="4">
        <f t="shared" si="92"/>
        <v>23.033658568181288</v>
      </c>
      <c r="AI245" s="41" t="s">
        <v>354</v>
      </c>
      <c r="AJ245" s="58">
        <v>23</v>
      </c>
      <c r="AK245" s="219">
        <f>INDEX('C-P-RollAdj'!$J$4:$J$76,MATCH(INT(Z245),'C-P-RollAdj'!$I$4:$I$76,FALSE),0)</f>
        <v>-54</v>
      </c>
      <c r="AL245" s="219">
        <f>INDEX('C-P-RollAdj'!$J$4:$J$76,MATCH(INT(AC245),'C-P-RollAdj'!$I$4:$I$76,FALSE),0)</f>
        <v>66</v>
      </c>
      <c r="AM245" s="14">
        <f>+AR245*LeagueRatings!$K$27</f>
        <v>13.333333333333334</v>
      </c>
      <c r="AN245" s="72">
        <f>F245*LeagueRatings!$K$27</f>
        <v>15.555555555555557</v>
      </c>
      <c r="AO245" s="72">
        <f>G245*LeagueRatings!$K$27</f>
        <v>0</v>
      </c>
      <c r="AP245" s="72">
        <f>T245*LeagueRatings!$K$27</f>
        <v>55</v>
      </c>
      <c r="AR245" s="14">
        <f t="shared" si="90"/>
        <v>24</v>
      </c>
    </row>
    <row r="246" spans="1:44" x14ac:dyDescent="0.2">
      <c r="A246" s="41" t="s">
        <v>468</v>
      </c>
      <c r="B246" s="76" t="s">
        <v>172</v>
      </c>
      <c r="C246" s="76">
        <v>10</v>
      </c>
      <c r="D246" s="76">
        <v>13</v>
      </c>
      <c r="E246" s="97">
        <v>4.67</v>
      </c>
      <c r="F246" s="76">
        <v>32</v>
      </c>
      <c r="G246" s="76">
        <v>30</v>
      </c>
      <c r="H246" s="76">
        <v>1</v>
      </c>
      <c r="I246" s="76">
        <v>1</v>
      </c>
      <c r="J246" s="76">
        <v>0</v>
      </c>
      <c r="K246" s="76">
        <v>0</v>
      </c>
      <c r="L246" s="258">
        <f>INDEX('C-P-RollAdj'!$P$4:$P$900,MATCH((U246),'C-P-RollAdj'!$O$4:$O$900,FALSE),0)</f>
        <v>171.67000000000002</v>
      </c>
      <c r="M246" s="76">
        <v>179</v>
      </c>
      <c r="N246" s="76">
        <v>94</v>
      </c>
      <c r="O246" s="76">
        <v>89</v>
      </c>
      <c r="P246" s="76">
        <v>26</v>
      </c>
      <c r="Q246" s="76">
        <v>57</v>
      </c>
      <c r="R246" s="76">
        <v>3</v>
      </c>
      <c r="S246" s="76">
        <v>150</v>
      </c>
      <c r="T246" s="76">
        <v>741</v>
      </c>
      <c r="U246" s="76">
        <v>171.2</v>
      </c>
      <c r="V246" s="100">
        <v>0.26800000000000002</v>
      </c>
      <c r="W246" s="76">
        <v>1.37</v>
      </c>
      <c r="X246" s="76"/>
      <c r="Y246" s="50">
        <f t="shared" si="87"/>
        <v>7.3170731707317067</v>
      </c>
      <c r="Z246" s="6">
        <f>IF(Y246&lt;LeagueRatings!$K$21,((LeagueRatings!$K$21-Y246)/LeagueRatings!$K$21)*36,(LeagueRatings!$K$21-Y246)*6.48)</f>
        <v>6.5781106156294813</v>
      </c>
      <c r="AA246" s="16">
        <f>INDEX('C-P-RollAdj'!$B$4:$B$76,MATCH(INT(Z246),'C-P-RollAdj'!$A$4:$A$76,FALSE),0)</f>
        <v>-0.48</v>
      </c>
      <c r="AB246" s="16">
        <f t="shared" si="88"/>
        <v>3.5230352303523031</v>
      </c>
      <c r="AC246" s="6">
        <f>IF(AB246&lt;LeagueRatings!$K$19,((LeagueRatings!$K$19-AB246)/LeagueRatings!$K$19)*36,(LeagueRatings!$K$19-AB246)/LeagueRatings!$K$22)</f>
        <v>-4.9694705532421137</v>
      </c>
      <c r="AD246" s="16">
        <f>INDEX('C-P-RollAdj'!$F$4:$F$76,MATCH(INT(AC246),'C-P-RollAdj'!$E$4:$E$76,FALSE),0)</f>
        <v>0.42</v>
      </c>
      <c r="AE246" s="17">
        <f>+((LeagueRatings!$I$17-E246)*5)+9.5</f>
        <v>6.964387243706363</v>
      </c>
      <c r="AF246" s="17">
        <f t="shared" si="91"/>
        <v>6.964387243706363</v>
      </c>
      <c r="AG246" s="17">
        <f t="shared" si="89"/>
        <v>-0.21349100017475364</v>
      </c>
      <c r="AH246" s="4">
        <f t="shared" si="92"/>
        <v>6.6908962435316095</v>
      </c>
      <c r="AI246" s="41" t="s">
        <v>468</v>
      </c>
      <c r="AJ246" s="58">
        <v>7</v>
      </c>
      <c r="AK246" s="219">
        <f>INDEX('C-P-RollAdj'!$J$4:$J$76,MATCH(INT(Z246),'C-P-RollAdj'!$I$4:$I$76,FALSE),0)</f>
        <v>16</v>
      </c>
      <c r="AL246" s="219">
        <f>INDEX('C-P-RollAdj'!$J$4:$J$76,MATCH(INT(AC246),'C-P-RollAdj'!$I$4:$I$76,FALSE),0)</f>
        <v>-15</v>
      </c>
      <c r="AM246" s="14">
        <f>+AR246*LeagueRatings!$K$27</f>
        <v>95.555555555555557</v>
      </c>
      <c r="AN246" s="72">
        <f>F246*LeagueRatings!$K$27</f>
        <v>17.777777777777779</v>
      </c>
      <c r="AO246" s="72">
        <f>G246*LeagueRatings!$K$27</f>
        <v>16.666666666666668</v>
      </c>
      <c r="AP246" s="72">
        <f>T246*LeagueRatings!$K$27</f>
        <v>411.66666666666669</v>
      </c>
      <c r="AR246" s="14">
        <f t="shared" si="90"/>
        <v>172</v>
      </c>
    </row>
    <row r="247" spans="1:44" x14ac:dyDescent="0.2">
      <c r="A247" s="41" t="s">
        <v>361</v>
      </c>
      <c r="B247" s="76" t="s">
        <v>172</v>
      </c>
      <c r="C247" s="76">
        <v>9</v>
      </c>
      <c r="D247" s="76">
        <v>12</v>
      </c>
      <c r="E247" s="97">
        <v>4.6900000000000004</v>
      </c>
      <c r="F247" s="76">
        <v>30</v>
      </c>
      <c r="G247" s="76">
        <v>30</v>
      </c>
      <c r="H247" s="76">
        <v>0</v>
      </c>
      <c r="I247" s="76">
        <v>0</v>
      </c>
      <c r="J247" s="76">
        <v>0</v>
      </c>
      <c r="K247" s="76">
        <v>0</v>
      </c>
      <c r="L247" s="258">
        <f>INDEX('C-P-RollAdj'!$P$4:$P$900,MATCH((U247),'C-P-RollAdj'!$O$4:$O$900,FALSE),0)</f>
        <v>176.67000000000002</v>
      </c>
      <c r="M247" s="76">
        <v>203</v>
      </c>
      <c r="N247" s="76">
        <v>101</v>
      </c>
      <c r="O247" s="76">
        <v>92</v>
      </c>
      <c r="P247" s="76">
        <v>20</v>
      </c>
      <c r="Q247" s="76">
        <v>30</v>
      </c>
      <c r="R247" s="76">
        <v>1</v>
      </c>
      <c r="S247" s="76">
        <v>125</v>
      </c>
      <c r="T247" s="76">
        <v>757</v>
      </c>
      <c r="U247" s="76">
        <v>176.2</v>
      </c>
      <c r="V247" s="100">
        <v>0.28799999999999998</v>
      </c>
      <c r="W247" s="76">
        <v>1.32</v>
      </c>
      <c r="X247" s="76"/>
      <c r="Y247" s="50">
        <f t="shared" si="87"/>
        <v>3.8359788359788358</v>
      </c>
      <c r="Z247" s="6">
        <f>IF(Y247&lt;LeagueRatings!$K$21,((LeagueRatings!$K$21-Y247)/LeagueRatings!$K$21)*36,(LeagueRatings!$K$21-Y247)*6.48)</f>
        <v>20.575561517629389</v>
      </c>
      <c r="AA247" s="16">
        <f>INDEX('C-P-RollAdj'!$B$4:$B$76,MATCH(INT(Z247),'C-P-RollAdj'!$A$4:$A$76,FALSE),0)</f>
        <v>-1.79</v>
      </c>
      <c r="AB247" s="16">
        <f t="shared" si="88"/>
        <v>2.6455026455026456</v>
      </c>
      <c r="AC247" s="6">
        <f>IF(AB247&lt;LeagueRatings!$K$19,((LeagueRatings!$K$19-AB247)/LeagueRatings!$K$19)*36,(LeagueRatings!$K$19-AB247)/LeagueRatings!$K$22)</f>
        <v>3.2496263079222731</v>
      </c>
      <c r="AD247" s="16">
        <f>INDEX('C-P-RollAdj'!$F$4:$F$76,MATCH(INT(AC247),'C-P-RollAdj'!$E$4:$E$76,FALSE),0)</f>
        <v>-0.21000000000000002</v>
      </c>
      <c r="AE247" s="17">
        <f>+((LeagueRatings!$I$17-E247)*5)+9.5</f>
        <v>6.8643872437063607</v>
      </c>
      <c r="AF247" s="17">
        <f t="shared" si="91"/>
        <v>6.8643872437063607</v>
      </c>
      <c r="AG247" s="17">
        <f t="shared" si="89"/>
        <v>-0.74517461934680451</v>
      </c>
      <c r="AH247" s="4">
        <f t="shared" si="92"/>
        <v>4.1192126243595562</v>
      </c>
      <c r="AI247" s="41" t="s">
        <v>361</v>
      </c>
      <c r="AJ247" s="58">
        <v>5</v>
      </c>
      <c r="AK247" s="219">
        <f>INDEX('C-P-RollAdj'!$J$4:$J$76,MATCH(INT(Z247),'C-P-RollAdj'!$I$4:$I$76,FALSE),0)</f>
        <v>42</v>
      </c>
      <c r="AL247" s="219">
        <f>INDEX('C-P-RollAdj'!$J$4:$J$76,MATCH(INT(AC247),'C-P-RollAdj'!$I$4:$I$76,FALSE),0)</f>
        <v>13</v>
      </c>
      <c r="AM247" s="14">
        <f>+AR247*LeagueRatings!$K$27</f>
        <v>98.333333333333343</v>
      </c>
      <c r="AN247" s="72">
        <f>F247*LeagueRatings!$K$27</f>
        <v>16.666666666666668</v>
      </c>
      <c r="AO247" s="72">
        <f>G247*LeagueRatings!$K$27</f>
        <v>16.666666666666668</v>
      </c>
      <c r="AP247" s="72">
        <f>T247*LeagueRatings!$K$27</f>
        <v>420.5555555555556</v>
      </c>
      <c r="AR247" s="14">
        <f t="shared" si="90"/>
        <v>177</v>
      </c>
    </row>
    <row r="248" spans="1:44" x14ac:dyDescent="0.2">
      <c r="A248" s="41" t="s">
        <v>470</v>
      </c>
      <c r="B248" s="76" t="s">
        <v>172</v>
      </c>
      <c r="C248" s="76">
        <v>2</v>
      </c>
      <c r="D248" s="76">
        <v>0</v>
      </c>
      <c r="E248" s="97">
        <v>3.38</v>
      </c>
      <c r="F248" s="76">
        <v>30</v>
      </c>
      <c r="G248" s="76">
        <v>0</v>
      </c>
      <c r="H248" s="76">
        <v>0</v>
      </c>
      <c r="I248" s="76">
        <v>0</v>
      </c>
      <c r="J248" s="76">
        <v>0</v>
      </c>
      <c r="K248" s="76">
        <v>0</v>
      </c>
      <c r="L248" s="258">
        <f>INDEX('C-P-RollAdj'!$P$4:$P$900,MATCH((U248),'C-P-RollAdj'!$O$4:$O$900,FALSE),0)</f>
        <v>48</v>
      </c>
      <c r="M248" s="76">
        <v>35</v>
      </c>
      <c r="N248" s="76">
        <v>18</v>
      </c>
      <c r="O248" s="76">
        <v>18</v>
      </c>
      <c r="P248" s="76">
        <v>9</v>
      </c>
      <c r="Q248" s="76">
        <v>14</v>
      </c>
      <c r="R248" s="76">
        <v>0</v>
      </c>
      <c r="S248" s="76">
        <v>46</v>
      </c>
      <c r="T248" s="76">
        <v>187</v>
      </c>
      <c r="U248" s="76">
        <v>48</v>
      </c>
      <c r="V248" s="100">
        <v>0.20499999999999999</v>
      </c>
      <c r="W248" s="76">
        <v>1.02</v>
      </c>
      <c r="X248" s="76"/>
      <c r="Y248" s="50">
        <f t="shared" si="87"/>
        <v>7.4866310160427805</v>
      </c>
      <c r="Z248" s="6">
        <f>IF(Y248&lt;LeagueRatings!$K$21,((LeagueRatings!$K$21-Y248)/LeagueRatings!$K$21)*36,(LeagueRatings!$K$21-Y248)*6.48)</f>
        <v>5.8963199525335499</v>
      </c>
      <c r="AA248" s="16">
        <f>INDEX('C-P-RollAdj'!$B$4:$B$76,MATCH(INT(Z248),'C-P-RollAdj'!$A$4:$A$76,FALSE),0)</f>
        <v>-0.4</v>
      </c>
      <c r="AB248" s="16">
        <f t="shared" si="88"/>
        <v>4.8128342245989302</v>
      </c>
      <c r="AC248" s="6">
        <f>IF(AB248&lt;LeagueRatings!$K$19,((LeagueRatings!$K$19-AB248)/LeagueRatings!$K$19)*36,(LeagueRatings!$K$19-AB248)/LeagueRatings!$K$22)</f>
        <v>-15.391021259945216</v>
      </c>
      <c r="AD248" s="16">
        <f>INDEX('C-P-RollAdj'!$F$4:$F$76,MATCH(INT(AC248),'C-P-RollAdj'!$E$4:$E$76,FALSE),0)</f>
        <v>1.63</v>
      </c>
      <c r="AE248" s="17">
        <f>+((LeagueRatings!$I$17-E248)*5)+9.5</f>
        <v>13.414387243706363</v>
      </c>
      <c r="AF248" s="17">
        <f t="shared" si="91"/>
        <v>13.414387243706363</v>
      </c>
      <c r="AG248" s="17">
        <f t="shared" si="89"/>
        <v>1.8258333333333334</v>
      </c>
      <c r="AH248" s="4">
        <f t="shared" si="92"/>
        <v>16.470220577039697</v>
      </c>
      <c r="AI248" s="41" t="s">
        <v>470</v>
      </c>
      <c r="AJ248" s="58">
        <v>16</v>
      </c>
      <c r="AK248" s="219">
        <f>INDEX('C-P-RollAdj'!$J$4:$J$76,MATCH(INT(Z248),'C-P-RollAdj'!$I$4:$I$76,FALSE),0)</f>
        <v>15</v>
      </c>
      <c r="AL248" s="219">
        <f>INDEX('C-P-RollAdj'!$J$4:$J$76,MATCH(INT(AC248),'C-P-RollAdj'!$I$4:$I$76,FALSE),0)</f>
        <v>-34</v>
      </c>
      <c r="AM248" s="14">
        <f>+AR248*LeagueRatings!$K$27</f>
        <v>26.666666666666668</v>
      </c>
      <c r="AN248" s="72">
        <f>F248*LeagueRatings!$K$27</f>
        <v>16.666666666666668</v>
      </c>
      <c r="AO248" s="72">
        <f>G248*LeagueRatings!$K$27</f>
        <v>0</v>
      </c>
      <c r="AP248" s="72">
        <f>T248*LeagueRatings!$K$27</f>
        <v>103.8888888888889</v>
      </c>
      <c r="AR248" s="14">
        <f t="shared" si="90"/>
        <v>48</v>
      </c>
    </row>
    <row r="249" spans="1:44" x14ac:dyDescent="0.2">
      <c r="A249" s="41" t="s">
        <v>461</v>
      </c>
      <c r="B249" s="76" t="s">
        <v>172</v>
      </c>
      <c r="C249" s="76">
        <v>2</v>
      </c>
      <c r="D249" s="76">
        <v>2</v>
      </c>
      <c r="E249" s="97">
        <v>3.41</v>
      </c>
      <c r="F249" s="76">
        <v>29</v>
      </c>
      <c r="G249" s="76">
        <v>0</v>
      </c>
      <c r="H249" s="76">
        <v>0</v>
      </c>
      <c r="I249" s="76">
        <v>0</v>
      </c>
      <c r="J249" s="76">
        <v>0</v>
      </c>
      <c r="K249" s="76">
        <v>0</v>
      </c>
      <c r="L249" s="258">
        <f>INDEX('C-P-RollAdj'!$P$4:$P$900,MATCH((U249),'C-P-RollAdj'!$O$4:$O$900,FALSE),0)</f>
        <v>31.67</v>
      </c>
      <c r="M249" s="76">
        <v>34</v>
      </c>
      <c r="N249" s="76">
        <v>14</v>
      </c>
      <c r="O249" s="76">
        <v>12</v>
      </c>
      <c r="P249" s="76">
        <v>2</v>
      </c>
      <c r="Q249" s="76">
        <v>8</v>
      </c>
      <c r="R249" s="76">
        <v>2</v>
      </c>
      <c r="S249" s="76">
        <v>16</v>
      </c>
      <c r="T249" s="76">
        <v>134</v>
      </c>
      <c r="U249" s="76">
        <v>31.2</v>
      </c>
      <c r="V249" s="100">
        <v>0.27400000000000002</v>
      </c>
      <c r="W249" s="76">
        <v>1.33</v>
      </c>
      <c r="X249" s="76"/>
      <c r="Y249" s="50">
        <f t="shared" si="87"/>
        <v>4.5454545454545459</v>
      </c>
      <c r="Z249" s="6">
        <f>IF(Y249&lt;LeagueRatings!$K$21,((LeagueRatings!$K$21-Y249)/LeagueRatings!$K$21)*36,(LeagueRatings!$K$21-Y249)*6.48)</f>
        <v>17.722765685466797</v>
      </c>
      <c r="AA249" s="16">
        <f>INDEX('C-P-RollAdj'!$B$4:$B$76,MATCH(INT(Z249),'C-P-RollAdj'!$A$4:$A$76,FALSE),0)</f>
        <v>-1.49</v>
      </c>
      <c r="AB249" s="16">
        <f t="shared" si="88"/>
        <v>1.5151515151515151</v>
      </c>
      <c r="AC249" s="6">
        <f>IF(AB249&lt;LeagueRatings!$K$19,((LeagueRatings!$K$19-AB249)/LeagueRatings!$K$19)*36,(LeagueRatings!$K$19-AB249)/LeagueRatings!$K$22)</f>
        <v>17.242967794537304</v>
      </c>
      <c r="AD249" s="16">
        <f>INDEX('C-P-RollAdj'!$F$4:$F$76,MATCH(INT(AC249),'C-P-RollAdj'!$E$4:$E$76,FALSE),0)</f>
        <v>-1.32</v>
      </c>
      <c r="AE249" s="17">
        <f>+((LeagueRatings!$I$17-E249)*5)+9.5</f>
        <v>13.264387243706363</v>
      </c>
      <c r="AF249" s="17">
        <f t="shared" si="91"/>
        <v>13.264387243706363</v>
      </c>
      <c r="AG249" s="17">
        <f t="shared" si="89"/>
        <v>-0.36785601515629929</v>
      </c>
      <c r="AH249" s="4">
        <f t="shared" si="92"/>
        <v>10.086531228550063</v>
      </c>
      <c r="AI249" s="41" t="s">
        <v>461</v>
      </c>
      <c r="AJ249" s="58">
        <v>10</v>
      </c>
      <c r="AK249" s="219">
        <f>INDEX('C-P-RollAdj'!$J$4:$J$76,MATCH(INT(Z249),'C-P-RollAdj'!$I$4:$I$76,FALSE),0)</f>
        <v>35</v>
      </c>
      <c r="AL249" s="219">
        <f>INDEX('C-P-RollAdj'!$J$4:$J$76,MATCH(INT(AC249),'C-P-RollAdj'!$I$4:$I$76,FALSE),0)</f>
        <v>35</v>
      </c>
      <c r="AM249" s="14">
        <f>+AR249*LeagueRatings!$K$27</f>
        <v>17.777777777777779</v>
      </c>
      <c r="AN249" s="72">
        <f>F249*LeagueRatings!$K$27</f>
        <v>16.111111111111111</v>
      </c>
      <c r="AO249" s="72">
        <f>G249*LeagueRatings!$K$27</f>
        <v>0</v>
      </c>
      <c r="AP249" s="72">
        <f>T249*LeagueRatings!$K$27</f>
        <v>74.444444444444443</v>
      </c>
      <c r="AR249" s="14">
        <f t="shared" si="90"/>
        <v>32</v>
      </c>
    </row>
    <row r="250" spans="1:44" x14ac:dyDescent="0.2">
      <c r="A250" s="41" t="s">
        <v>339</v>
      </c>
      <c r="B250" s="76" t="s">
        <v>172</v>
      </c>
      <c r="C250" s="76">
        <v>16</v>
      </c>
      <c r="D250" s="76">
        <v>9</v>
      </c>
      <c r="E250" s="97">
        <v>3.04</v>
      </c>
      <c r="F250" s="76">
        <v>31</v>
      </c>
      <c r="G250" s="76">
        <v>31</v>
      </c>
      <c r="H250" s="76">
        <v>0</v>
      </c>
      <c r="I250" s="76">
        <v>0</v>
      </c>
      <c r="J250" s="76">
        <v>0</v>
      </c>
      <c r="K250" s="76">
        <v>0</v>
      </c>
      <c r="L250" s="258">
        <f>INDEX('C-P-RollAdj'!$P$4:$P$900,MATCH((U250),'C-P-RollAdj'!$O$4:$O$900,FALSE),0)</f>
        <v>195.32999999999998</v>
      </c>
      <c r="M250" s="76">
        <v>169</v>
      </c>
      <c r="N250" s="76">
        <v>68</v>
      </c>
      <c r="O250" s="76">
        <v>66</v>
      </c>
      <c r="P250" s="76">
        <v>15</v>
      </c>
      <c r="Q250" s="76">
        <v>70</v>
      </c>
      <c r="R250" s="76">
        <v>1</v>
      </c>
      <c r="S250" s="76">
        <v>174</v>
      </c>
      <c r="T250" s="76">
        <v>809</v>
      </c>
      <c r="U250" s="76">
        <v>195.1</v>
      </c>
      <c r="V250" s="100">
        <v>0.23300000000000001</v>
      </c>
      <c r="W250" s="76">
        <v>1.22</v>
      </c>
      <c r="X250" s="76"/>
      <c r="Y250" s="50">
        <f t="shared" si="87"/>
        <v>8.5396039603960396</v>
      </c>
      <c r="Z250" s="6">
        <f>IF(Y250&lt;LeagueRatings!$K$21,((LeagueRatings!$K$21-Y250)/LeagueRatings!$K$21)*36,(LeagueRatings!$K$21-Y250)*6.48)</f>
        <v>1.6623246417556909</v>
      </c>
      <c r="AA250" s="16">
        <f>INDEX('C-P-RollAdj'!$B$4:$B$76,MATCH(INT(Z250),'C-P-RollAdj'!$A$4:$A$76,FALSE),0)</f>
        <v>-0.08</v>
      </c>
      <c r="AB250" s="16">
        <f t="shared" si="88"/>
        <v>1.8564356435643563</v>
      </c>
      <c r="AC250" s="6">
        <f>IF(AB250&lt;LeagueRatings!$K$19,((LeagueRatings!$K$19-AB250)/LeagueRatings!$K$19)*36,(LeagueRatings!$K$19-AB250)/LeagueRatings!$K$22)</f>
        <v>13.017992718554369</v>
      </c>
      <c r="AD250" s="16">
        <f>INDEX('C-P-RollAdj'!$F$4:$F$76,MATCH(INT(AC250),'C-P-RollAdj'!$E$4:$E$76,FALSE),0)</f>
        <v>-0.97</v>
      </c>
      <c r="AE250" s="17">
        <f>+((LeagueRatings!$I$17-E250)*5)+9.5</f>
        <v>15.114387243706362</v>
      </c>
      <c r="AF250" s="17">
        <f t="shared" si="91"/>
        <v>15.114387243706362</v>
      </c>
      <c r="AG250" s="17">
        <f t="shared" si="89"/>
        <v>0.87358265499411214</v>
      </c>
      <c r="AH250" s="4">
        <f t="shared" si="92"/>
        <v>14.937969898700473</v>
      </c>
      <c r="AI250" s="41" t="s">
        <v>339</v>
      </c>
      <c r="AJ250" s="58">
        <v>15</v>
      </c>
      <c r="AK250" s="219">
        <f>INDEX('C-P-RollAdj'!$J$4:$J$76,MATCH(INT(Z250),'C-P-RollAdj'!$I$4:$I$76,FALSE),0)</f>
        <v>11</v>
      </c>
      <c r="AL250" s="219">
        <f>INDEX('C-P-RollAdj'!$J$4:$J$76,MATCH(INT(AC250),'C-P-RollAdj'!$I$4:$I$76,FALSE),0)</f>
        <v>31</v>
      </c>
      <c r="AM250" s="14">
        <f>+AR250*LeagueRatings!$K$27</f>
        <v>108.8888888888889</v>
      </c>
      <c r="AN250" s="72">
        <f>F250*LeagueRatings!$K$27</f>
        <v>17.222222222222221</v>
      </c>
      <c r="AO250" s="72">
        <f>G250*LeagueRatings!$K$27</f>
        <v>17.222222222222221</v>
      </c>
      <c r="AP250" s="72">
        <f>T250*LeagueRatings!$K$27</f>
        <v>449.44444444444446</v>
      </c>
      <c r="AR250" s="14">
        <f t="shared" si="90"/>
        <v>196</v>
      </c>
    </row>
    <row r="251" spans="1:44" x14ac:dyDescent="0.2">
      <c r="A251" s="41" t="s">
        <v>1496</v>
      </c>
      <c r="B251" s="76" t="s">
        <v>172</v>
      </c>
      <c r="C251" s="76">
        <v>6</v>
      </c>
      <c r="D251" s="76">
        <v>3</v>
      </c>
      <c r="E251" s="97">
        <v>1.92</v>
      </c>
      <c r="F251" s="76">
        <v>76</v>
      </c>
      <c r="G251" s="76">
        <v>0</v>
      </c>
      <c r="H251" s="76">
        <v>0</v>
      </c>
      <c r="I251" s="76">
        <v>0</v>
      </c>
      <c r="J251" s="76">
        <v>19</v>
      </c>
      <c r="K251" s="76">
        <v>23</v>
      </c>
      <c r="L251" s="258">
        <f>INDEX('C-P-RollAdj'!$P$4:$P$900,MATCH((U251),'C-P-RollAdj'!$O$4:$O$900,FALSE),0)</f>
        <v>79.67</v>
      </c>
      <c r="M251" s="76">
        <v>55</v>
      </c>
      <c r="N251" s="76">
        <v>20</v>
      </c>
      <c r="O251" s="76">
        <v>17</v>
      </c>
      <c r="P251" s="76">
        <v>5</v>
      </c>
      <c r="Q251" s="76">
        <v>18</v>
      </c>
      <c r="R251" s="76">
        <v>3</v>
      </c>
      <c r="S251" s="76">
        <v>103</v>
      </c>
      <c r="T251" s="76">
        <v>313</v>
      </c>
      <c r="U251" s="76">
        <v>79.2</v>
      </c>
      <c r="V251" s="100">
        <v>0.19</v>
      </c>
      <c r="W251" s="76">
        <v>0.92</v>
      </c>
      <c r="X251" s="76"/>
      <c r="Y251" s="50">
        <f t="shared" si="87"/>
        <v>4.838709677419355</v>
      </c>
      <c r="Z251" s="6">
        <f>IF(Y251&lt;LeagueRatings!$K$21,((LeagueRatings!$K$21-Y251)/LeagueRatings!$K$21)*36,(LeagueRatings!$K$21-Y251)*6.48)</f>
        <v>16.543589278077558</v>
      </c>
      <c r="AA251" s="16">
        <f>INDEX('C-P-RollAdj'!$B$4:$B$76,MATCH(INT(Z251),'C-P-RollAdj'!$A$4:$A$76,FALSE),0)</f>
        <v>-1.39</v>
      </c>
      <c r="AB251" s="16">
        <f t="shared" si="88"/>
        <v>1.6129032258064515</v>
      </c>
      <c r="AC251" s="6">
        <f>IF(AB251&lt;LeagueRatings!$K$19,((LeagueRatings!$K$19-AB251)/LeagueRatings!$K$19)*36,(LeagueRatings!$K$19-AB251)/LeagueRatings!$K$22)</f>
        <v>16.032836684507451</v>
      </c>
      <c r="AD251" s="16">
        <f>INDEX('C-P-RollAdj'!$F$4:$F$76,MATCH(INT(AC251),'C-P-RollAdj'!$E$4:$E$76,FALSE),0)</f>
        <v>-1.23</v>
      </c>
      <c r="AE251" s="17">
        <f>+((LeagueRatings!$I$17-E251)*5)+9.5</f>
        <v>20.714387243706362</v>
      </c>
      <c r="AF251" s="17">
        <f t="shared" si="91"/>
        <v>20.714387243706362</v>
      </c>
      <c r="AG251" s="17">
        <f t="shared" si="89"/>
        <v>2.0975662106188024</v>
      </c>
      <c r="AH251" s="4">
        <f t="shared" si="92"/>
        <v>20.191953454325162</v>
      </c>
      <c r="AI251" s="41" t="s">
        <v>1496</v>
      </c>
      <c r="AJ251" s="58">
        <v>20</v>
      </c>
      <c r="AK251" s="219">
        <f>INDEX('C-P-RollAdj'!$J$4:$J$76,MATCH(INT(Z251),'C-P-RollAdj'!$I$4:$I$76,FALSE),0)</f>
        <v>34</v>
      </c>
      <c r="AL251" s="219">
        <f>INDEX('C-P-RollAdj'!$J$4:$J$76,MATCH(INT(AC251),'C-P-RollAdj'!$I$4:$I$76,FALSE),0)</f>
        <v>34</v>
      </c>
      <c r="AM251" s="14">
        <f>+AR251*LeagueRatings!$K$27</f>
        <v>44.444444444444443</v>
      </c>
      <c r="AN251" s="72">
        <f>F251*LeagueRatings!$K$27</f>
        <v>42.222222222222221</v>
      </c>
      <c r="AO251" s="72">
        <f>G251*LeagueRatings!$K$27</f>
        <v>0</v>
      </c>
      <c r="AP251" s="72">
        <f>T251*LeagueRatings!$K$27</f>
        <v>173.88888888888889</v>
      </c>
      <c r="AR251" s="14">
        <f t="shared" si="90"/>
        <v>80</v>
      </c>
    </row>
    <row r="252" spans="1:44" x14ac:dyDescent="0.2">
      <c r="A252" s="41" t="s">
        <v>1495</v>
      </c>
      <c r="B252" s="76" t="s">
        <v>172</v>
      </c>
      <c r="C252" s="76">
        <v>4</v>
      </c>
      <c r="D252" s="76">
        <v>1</v>
      </c>
      <c r="E252" s="97">
        <v>1.57</v>
      </c>
      <c r="F252" s="76">
        <v>12</v>
      </c>
      <c r="G252" s="76">
        <v>5</v>
      </c>
      <c r="H252" s="76">
        <v>0</v>
      </c>
      <c r="I252" s="76">
        <v>0</v>
      </c>
      <c r="J252" s="76">
        <v>1</v>
      </c>
      <c r="K252" s="76">
        <v>1</v>
      </c>
      <c r="L252" s="258">
        <f>INDEX('C-P-RollAdj'!$P$4:$P$900,MATCH((U252),'C-P-RollAdj'!$O$4:$O$900,FALSE),0)</f>
        <v>46</v>
      </c>
      <c r="M252" s="76">
        <v>33</v>
      </c>
      <c r="N252" s="76">
        <v>8</v>
      </c>
      <c r="O252" s="76">
        <v>8</v>
      </c>
      <c r="P252" s="76">
        <v>1</v>
      </c>
      <c r="Q252" s="76">
        <v>23</v>
      </c>
      <c r="R252" s="76">
        <v>1</v>
      </c>
      <c r="S252" s="76">
        <v>52</v>
      </c>
      <c r="T252" s="76">
        <v>189</v>
      </c>
      <c r="U252" s="76">
        <v>46</v>
      </c>
      <c r="V252" s="100">
        <v>0.20100000000000001</v>
      </c>
      <c r="W252" s="76">
        <v>1.22</v>
      </c>
      <c r="X252" s="76"/>
      <c r="Y252" s="50">
        <f t="shared" si="87"/>
        <v>11.702127659574469</v>
      </c>
      <c r="Z252" s="6">
        <f>IF(Y252&lt;LeagueRatings!$K$21,((LeagueRatings!$K$21-Y252)/LeagueRatings!$K$21)*36,(LeagueRatings!$K$21-Y252)*6.48)</f>
        <v>-17.814246254711527</v>
      </c>
      <c r="AA252" s="16">
        <f>INDEX('C-P-RollAdj'!$B$4:$B$76,MATCH(INT(Z252),'C-P-RollAdj'!$A$4:$A$76,FALSE),0)</f>
        <v>2.08</v>
      </c>
      <c r="AB252" s="16">
        <f t="shared" si="88"/>
        <v>0.53191489361702127</v>
      </c>
      <c r="AC252" s="6">
        <f>IF(AB252&lt;LeagueRatings!$K$19,((LeagueRatings!$K$19-AB252)/LeagueRatings!$K$19)*36,(LeagueRatings!$K$19-AB252)/LeagueRatings!$K$22)</f>
        <v>29.415084438507776</v>
      </c>
      <c r="AD252" s="16">
        <f>INDEX('C-P-RollAdj'!$F$4:$F$76,MATCH(INT(AC252),'C-P-RollAdj'!$E$4:$E$76,FALSE),0)</f>
        <v>-2.4899999999999998</v>
      </c>
      <c r="AE252" s="17">
        <f>+((LeagueRatings!$I$17-E252)*5)+9.5</f>
        <v>22.464387243706362</v>
      </c>
      <c r="AF252" s="17">
        <f t="shared" si="91"/>
        <v>22.464387243706362</v>
      </c>
      <c r="AG252" s="17">
        <f t="shared" si="89"/>
        <v>1.9082608695652177</v>
      </c>
      <c r="AH252" s="4">
        <f t="shared" si="92"/>
        <v>23.96264811327158</v>
      </c>
      <c r="AI252" s="41" t="s">
        <v>1495</v>
      </c>
      <c r="AJ252" s="58">
        <v>24</v>
      </c>
      <c r="AK252" s="219">
        <f>INDEX('C-P-RollAdj'!$J$4:$J$76,MATCH(INT(Z252),'C-P-RollAdj'!$I$4:$I$76,FALSE),0)</f>
        <v>-36</v>
      </c>
      <c r="AL252" s="219">
        <f>INDEX('C-P-RollAdj'!$J$4:$J$76,MATCH(INT(AC252),'C-P-RollAdj'!$I$4:$I$76,FALSE),0)</f>
        <v>55</v>
      </c>
      <c r="AM252" s="14">
        <f>+AR252*LeagueRatings!$K$27</f>
        <v>25.555555555555557</v>
      </c>
      <c r="AN252" s="72">
        <f>F252*LeagueRatings!$K$27</f>
        <v>6.666666666666667</v>
      </c>
      <c r="AO252" s="72">
        <f>G252*LeagueRatings!$K$27</f>
        <v>2.7777777777777777</v>
      </c>
      <c r="AP252" s="72">
        <f>T252*LeagueRatings!$K$27</f>
        <v>105</v>
      </c>
      <c r="AR252" s="14">
        <f t="shared" si="90"/>
        <v>46</v>
      </c>
    </row>
    <row r="253" spans="1:44" x14ac:dyDescent="0.2">
      <c r="A253" s="41" t="s">
        <v>462</v>
      </c>
      <c r="B253" s="76" t="s">
        <v>172</v>
      </c>
      <c r="C253" s="76">
        <v>2</v>
      </c>
      <c r="D253" s="76">
        <v>4</v>
      </c>
      <c r="E253" s="97">
        <v>4.46</v>
      </c>
      <c r="F253" s="76">
        <v>45</v>
      </c>
      <c r="G253" s="76">
        <v>0</v>
      </c>
      <c r="H253" s="76">
        <v>0</v>
      </c>
      <c r="I253" s="76">
        <v>0</v>
      </c>
      <c r="J253" s="76">
        <v>14</v>
      </c>
      <c r="K253" s="76">
        <v>18</v>
      </c>
      <c r="L253" s="258">
        <f>INDEX('C-P-RollAdj'!$P$4:$P$900,MATCH((U253),'C-P-RollAdj'!$O$4:$O$900,FALSE),0)</f>
        <v>40.33</v>
      </c>
      <c r="M253" s="76">
        <v>48</v>
      </c>
      <c r="N253" s="76">
        <v>22</v>
      </c>
      <c r="O253" s="76">
        <v>20</v>
      </c>
      <c r="P253" s="76">
        <v>3</v>
      </c>
      <c r="Q253" s="76">
        <v>29</v>
      </c>
      <c r="R253" s="76">
        <v>0</v>
      </c>
      <c r="S253" s="76">
        <v>56</v>
      </c>
      <c r="T253" s="76">
        <v>197</v>
      </c>
      <c r="U253" s="76">
        <v>40.1</v>
      </c>
      <c r="V253" s="100">
        <v>0.29299999999999998</v>
      </c>
      <c r="W253" s="76">
        <v>1.91</v>
      </c>
      <c r="X253" s="76"/>
      <c r="Y253" s="50">
        <f t="shared" si="87"/>
        <v>14.720812182741117</v>
      </c>
      <c r="Z253" s="6">
        <f>IF(Y253&lt;LeagueRatings!$K$21,((LeagueRatings!$K$21-Y253)/LeagueRatings!$K$21)*36,(LeagueRatings!$K$21-Y253)*6.48)</f>
        <v>-37.375321964831407</v>
      </c>
      <c r="AA253" s="260">
        <v>5.44</v>
      </c>
      <c r="AB253" s="16">
        <f t="shared" si="88"/>
        <v>1.5228426395939088</v>
      </c>
      <c r="AC253" s="6">
        <f>IF(AB253&lt;LeagueRatings!$K$19,((LeagueRatings!$K$19-AB253)/LeagueRatings!$K$19)*36,(LeagueRatings!$K$19-AB253)/LeagueRatings!$K$22)</f>
        <v>17.147754433088252</v>
      </c>
      <c r="AD253" s="16">
        <f>INDEX('C-P-RollAdj'!$F$4:$F$76,MATCH(INT(AC253),'C-P-RollAdj'!$E$4:$E$76,FALSE),0)</f>
        <v>-1.32</v>
      </c>
      <c r="AE253" s="17">
        <f>+((LeagueRatings!$I$17-E253)*5)+9.5</f>
        <v>8.0143872437063628</v>
      </c>
      <c r="AF253" s="17">
        <f t="shared" si="91"/>
        <v>8.0143872437063628</v>
      </c>
      <c r="AG253" s="17">
        <f t="shared" si="89"/>
        <v>-0.95090503347384114</v>
      </c>
      <c r="AH253" s="4">
        <f t="shared" si="92"/>
        <v>11.183482210232523</v>
      </c>
      <c r="AI253" s="41" t="s">
        <v>462</v>
      </c>
      <c r="AJ253" s="58">
        <v>12</v>
      </c>
      <c r="AK253" s="219">
        <v>-66</v>
      </c>
      <c r="AL253" s="219">
        <f>INDEX('C-P-RollAdj'!$J$4:$J$76,MATCH(INT(AC253),'C-P-RollAdj'!$I$4:$I$76,FALSE),0)</f>
        <v>35</v>
      </c>
      <c r="AM253" s="14">
        <f>+AR253*LeagueRatings!$K$27</f>
        <v>22.777777777777779</v>
      </c>
      <c r="AN253" s="72">
        <f>F253*LeagueRatings!$K$27</f>
        <v>25</v>
      </c>
      <c r="AO253" s="72">
        <f>G253*LeagueRatings!$K$27</f>
        <v>0</v>
      </c>
      <c r="AP253" s="72">
        <f>T253*LeagueRatings!$K$27</f>
        <v>109.44444444444444</v>
      </c>
      <c r="AR253" s="14">
        <f t="shared" si="90"/>
        <v>41</v>
      </c>
    </row>
    <row r="254" spans="1:44" x14ac:dyDescent="0.2">
      <c r="A254" s="41" t="s">
        <v>459</v>
      </c>
      <c r="B254" s="76" t="s">
        <v>172</v>
      </c>
      <c r="C254" s="76">
        <v>6</v>
      </c>
      <c r="D254" s="76">
        <v>3</v>
      </c>
      <c r="E254" s="97">
        <v>2.77</v>
      </c>
      <c r="F254" s="76">
        <v>67</v>
      </c>
      <c r="G254" s="76">
        <v>0</v>
      </c>
      <c r="H254" s="76">
        <v>0</v>
      </c>
      <c r="I254" s="76">
        <v>0</v>
      </c>
      <c r="J254" s="76">
        <v>3</v>
      </c>
      <c r="K254" s="76">
        <v>8</v>
      </c>
      <c r="L254" s="258">
        <f>INDEX('C-P-RollAdj'!$P$4:$P$900,MATCH((U254),'C-P-RollAdj'!$O$4:$O$900,FALSE),0)</f>
        <v>61.67</v>
      </c>
      <c r="M254" s="76">
        <v>42</v>
      </c>
      <c r="N254" s="76">
        <v>20</v>
      </c>
      <c r="O254" s="76">
        <v>19</v>
      </c>
      <c r="P254" s="76">
        <v>10</v>
      </c>
      <c r="Q254" s="76">
        <v>26</v>
      </c>
      <c r="R254" s="76">
        <v>2</v>
      </c>
      <c r="S254" s="76">
        <v>66</v>
      </c>
      <c r="T254" s="76">
        <v>248</v>
      </c>
      <c r="U254" s="76">
        <v>61.2</v>
      </c>
      <c r="V254" s="100">
        <v>0.193</v>
      </c>
      <c r="W254" s="76">
        <v>1.1000000000000001</v>
      </c>
      <c r="X254" s="76"/>
      <c r="Y254" s="50">
        <f t="shared" si="87"/>
        <v>9.7560975609756095</v>
      </c>
      <c r="Z254" s="6">
        <f>IF(Y254&lt;LeagueRatings!$K$21,((LeagueRatings!$K$21-Y254)/LeagueRatings!$K$21)*36,(LeagueRatings!$K$21-Y254)*6.48)</f>
        <v>-5.2039712157909168</v>
      </c>
      <c r="AA254" s="16">
        <f>INDEX('C-P-RollAdj'!$B$4:$B$76,MATCH(INT(Z254),'C-P-RollAdj'!$A$4:$A$76,FALSE),0)</f>
        <v>0.54</v>
      </c>
      <c r="AB254" s="16">
        <f t="shared" si="88"/>
        <v>4.0650406504065035</v>
      </c>
      <c r="AC254" s="6">
        <f>IF(AB254&lt;LeagueRatings!$K$19,((LeagueRatings!$K$19-AB254)/LeagueRatings!$K$19)*36,(LeagueRatings!$K$19-AB254)/LeagueRatings!$K$22)</f>
        <v>-9.34886377156454</v>
      </c>
      <c r="AD254" s="16">
        <f>INDEX('C-P-RollAdj'!$F$4:$F$76,MATCH(INT(AC254),'C-P-RollAdj'!$E$4:$E$76,FALSE),0)</f>
        <v>0.92</v>
      </c>
      <c r="AE254" s="17">
        <f>+((LeagueRatings!$I$17-E254)*5)+9.5</f>
        <v>16.464387243706362</v>
      </c>
      <c r="AF254" s="17">
        <f t="shared" si="91"/>
        <v>16.464387243706362</v>
      </c>
      <c r="AG254" s="17">
        <f t="shared" si="89"/>
        <v>2.1626901248581158</v>
      </c>
      <c r="AH254" s="4">
        <f t="shared" si="92"/>
        <v>20.087077368564479</v>
      </c>
      <c r="AI254" s="41" t="s">
        <v>459</v>
      </c>
      <c r="AJ254" s="58">
        <v>20</v>
      </c>
      <c r="AK254" s="219">
        <f>INDEX('C-P-RollAdj'!$J$4:$J$76,MATCH(INT(Z254),'C-P-RollAdj'!$I$4:$I$76,FALSE),0)</f>
        <v>-16</v>
      </c>
      <c r="AL254" s="219">
        <f>INDEX('C-P-RollAdj'!$J$4:$J$76,MATCH(INT(AC254),'C-P-RollAdj'!$I$4:$I$76,FALSE),0)</f>
        <v>-24</v>
      </c>
      <c r="AM254" s="14">
        <f>+AR254*LeagueRatings!$K$27</f>
        <v>34.444444444444443</v>
      </c>
      <c r="AN254" s="72">
        <f>F254*LeagueRatings!$K$27</f>
        <v>37.222222222222221</v>
      </c>
      <c r="AO254" s="72">
        <f>G254*LeagueRatings!$K$27</f>
        <v>0</v>
      </c>
      <c r="AP254" s="72">
        <f>T254*LeagueRatings!$K$27</f>
        <v>137.77777777777777</v>
      </c>
      <c r="AR254" s="14">
        <f t="shared" si="90"/>
        <v>62</v>
      </c>
    </row>
    <row r="255" spans="1:44" x14ac:dyDescent="0.2">
      <c r="A255" s="41" t="s">
        <v>465</v>
      </c>
      <c r="B255" s="76" t="s">
        <v>172</v>
      </c>
      <c r="C255" s="76">
        <v>7</v>
      </c>
      <c r="D255" s="76">
        <v>7</v>
      </c>
      <c r="E255" s="97">
        <v>5.09</v>
      </c>
      <c r="F255" s="76">
        <v>27</v>
      </c>
      <c r="G255" s="76">
        <v>24</v>
      </c>
      <c r="H255" s="76">
        <v>0</v>
      </c>
      <c r="I255" s="76">
        <v>0</v>
      </c>
      <c r="J255" s="76">
        <v>0</v>
      </c>
      <c r="K255" s="76">
        <v>0</v>
      </c>
      <c r="L255" s="258">
        <f>INDEX('C-P-RollAdj'!$P$4:$P$900,MATCH((U255),'C-P-RollAdj'!$O$4:$O$900,FALSE),0)</f>
        <v>138</v>
      </c>
      <c r="M255" s="76">
        <v>159</v>
      </c>
      <c r="N255" s="76">
        <v>86</v>
      </c>
      <c r="O255" s="76">
        <v>78</v>
      </c>
      <c r="P255" s="76">
        <v>15</v>
      </c>
      <c r="Q255" s="76">
        <v>45</v>
      </c>
      <c r="R255" s="76">
        <v>6</v>
      </c>
      <c r="S255" s="76">
        <v>114</v>
      </c>
      <c r="T255" s="76">
        <v>606</v>
      </c>
      <c r="U255" s="76">
        <v>138</v>
      </c>
      <c r="V255" s="100">
        <v>0.28899999999999998</v>
      </c>
      <c r="W255" s="76">
        <v>1.48</v>
      </c>
      <c r="X255" s="76"/>
      <c r="Y255" s="50">
        <f t="shared" si="87"/>
        <v>6.5</v>
      </c>
      <c r="Z255" s="6">
        <f>IF(Y255&lt;LeagueRatings!$K$21,((LeagueRatings!$K$21-Y255)/LeagueRatings!$K$21)*36,(LeagueRatings!$K$21-Y255)*6.48)</f>
        <v>9.8635549302175196</v>
      </c>
      <c r="AA255" s="16">
        <f>INDEX('C-P-RollAdj'!$B$4:$B$76,MATCH(INT(Z255),'C-P-RollAdj'!$A$4:$A$76,FALSE),0)</f>
        <v>-0.74</v>
      </c>
      <c r="AB255" s="16">
        <f t="shared" si="88"/>
        <v>2.5</v>
      </c>
      <c r="AC255" s="6">
        <f>IF(AB255&lt;LeagueRatings!$K$19,((LeagueRatings!$K$19-AB255)/LeagueRatings!$K$19)*36,(LeagueRatings!$K$19-AB255)/LeagueRatings!$K$22)</f>
        <v>5.0508968609865486</v>
      </c>
      <c r="AD255" s="16">
        <f>INDEX('C-P-RollAdj'!$F$4:$F$76,MATCH(INT(AC255),'C-P-RollAdj'!$E$4:$E$76,FALSE),0)</f>
        <v>-0.35000000000000003</v>
      </c>
      <c r="AE255" s="17">
        <f>+((LeagueRatings!$I$17-E255)*5)+9.5</f>
        <v>4.8643872437063633</v>
      </c>
      <c r="AF255" s="17">
        <f t="shared" si="91"/>
        <v>4.8643872437063633</v>
      </c>
      <c r="AG255" s="17">
        <f t="shared" si="89"/>
        <v>-0.76086956521739135</v>
      </c>
      <c r="AH255" s="4">
        <f t="shared" si="92"/>
        <v>3.0135176784889719</v>
      </c>
      <c r="AI255" s="41" t="s">
        <v>465</v>
      </c>
      <c r="AJ255" s="58">
        <v>4</v>
      </c>
      <c r="AK255" s="219">
        <f>INDEX('C-P-RollAdj'!$J$4:$J$76,MATCH(INT(Z255),'C-P-RollAdj'!$I$4:$I$76,FALSE),0)</f>
        <v>23</v>
      </c>
      <c r="AL255" s="219">
        <f>INDEX('C-P-RollAdj'!$J$4:$J$76,MATCH(INT(AC255),'C-P-RollAdj'!$I$4:$I$76,FALSE),0)</f>
        <v>15</v>
      </c>
      <c r="AM255" s="14">
        <f>+AR255*LeagueRatings!$K$27</f>
        <v>76.666666666666671</v>
      </c>
      <c r="AN255" s="72">
        <f>F255*LeagueRatings!$K$27</f>
        <v>15</v>
      </c>
      <c r="AO255" s="72">
        <f>G255*LeagueRatings!$K$27</f>
        <v>13.333333333333334</v>
      </c>
      <c r="AP255" s="72">
        <f>T255*LeagueRatings!$K$27</f>
        <v>336.66666666666669</v>
      </c>
      <c r="AR255" s="14">
        <f t="shared" si="90"/>
        <v>138</v>
      </c>
    </row>
    <row r="256" spans="1:44" s="28" customFormat="1" x14ac:dyDescent="0.2">
      <c r="A256" s="41" t="s">
        <v>466</v>
      </c>
      <c r="B256" s="76" t="s">
        <v>172</v>
      </c>
      <c r="C256" s="76">
        <v>13</v>
      </c>
      <c r="D256" s="76">
        <v>9</v>
      </c>
      <c r="E256" s="97">
        <v>4.62</v>
      </c>
      <c r="F256" s="76">
        <v>33</v>
      </c>
      <c r="G256" s="76">
        <v>33</v>
      </c>
      <c r="H256" s="76">
        <v>1</v>
      </c>
      <c r="I256" s="76">
        <v>1</v>
      </c>
      <c r="J256" s="76">
        <v>0</v>
      </c>
      <c r="K256" s="76">
        <v>0</v>
      </c>
      <c r="L256" s="258">
        <f>INDEX('C-P-RollAdj'!$P$4:$P$900,MATCH((U256),'C-P-RollAdj'!$O$4:$O$900,FALSE),0)</f>
        <v>198.67000000000002</v>
      </c>
      <c r="M256" s="76">
        <v>220</v>
      </c>
      <c r="N256" s="76">
        <v>108</v>
      </c>
      <c r="O256" s="76">
        <v>102</v>
      </c>
      <c r="P256" s="76">
        <v>22</v>
      </c>
      <c r="Q256" s="76">
        <v>59</v>
      </c>
      <c r="R256" s="76">
        <v>4</v>
      </c>
      <c r="S256" s="76">
        <v>161</v>
      </c>
      <c r="T256" s="76">
        <v>847</v>
      </c>
      <c r="U256" s="76">
        <v>198.2</v>
      </c>
      <c r="V256" s="100">
        <v>0.28699999999999998</v>
      </c>
      <c r="W256" s="76">
        <v>1.4</v>
      </c>
      <c r="X256" s="76"/>
      <c r="Y256" s="50">
        <f t="shared" si="87"/>
        <v>6.524317912218268</v>
      </c>
      <c r="Z256" s="6">
        <f>IF(Y256&lt;LeagueRatings!$K$21,((LeagueRatings!$K$21-Y256)/LeagueRatings!$K$21)*36,(LeagueRatings!$K$21-Y256)*6.48)</f>
        <v>9.7657728106937434</v>
      </c>
      <c r="AA256" s="16">
        <f>INDEX('C-P-RollAdj'!$B$4:$B$76,MATCH(INT(Z256),'C-P-RollAdj'!$A$4:$A$76,FALSE),0)</f>
        <v>-0.74</v>
      </c>
      <c r="AB256" s="16">
        <f t="shared" si="88"/>
        <v>2.6097271648873073</v>
      </c>
      <c r="AC256" s="6">
        <f>IF(AB256&lt;LeagueRatings!$K$19,((LeagueRatings!$K$19-AB256)/LeagueRatings!$K$19)*36,(LeagueRatings!$K$19-AB256)/LeagueRatings!$K$22)</f>
        <v>3.6925139236870255</v>
      </c>
      <c r="AD256" s="16">
        <f>INDEX('C-P-RollAdj'!$F$4:$F$76,MATCH(INT(AC256),'C-P-RollAdj'!$E$4:$E$76,FALSE),0)</f>
        <v>-0.21000000000000002</v>
      </c>
      <c r="AE256" s="17">
        <f>+((LeagueRatings!$I$17-E256)*5)+9.5</f>
        <v>7.2143872437063621</v>
      </c>
      <c r="AF256" s="17">
        <f t="shared" si="91"/>
        <v>7.2143872437063621</v>
      </c>
      <c r="AG256" s="17">
        <f t="shared" si="89"/>
        <v>-0.5368198520159051</v>
      </c>
      <c r="AH256" s="4">
        <f t="shared" si="92"/>
        <v>5.7275673916904566</v>
      </c>
      <c r="AI256" s="41" t="s">
        <v>466</v>
      </c>
      <c r="AJ256" s="58">
        <v>6</v>
      </c>
      <c r="AK256" s="219">
        <f>INDEX('C-P-RollAdj'!$J$4:$J$76,MATCH(INT(Z256),'C-P-RollAdj'!$I$4:$I$76,FALSE),0)</f>
        <v>23</v>
      </c>
      <c r="AL256" s="219">
        <f>INDEX('C-P-RollAdj'!$J$4:$J$76,MATCH(INT(AC256),'C-P-RollAdj'!$I$4:$I$76,FALSE),0)</f>
        <v>13</v>
      </c>
      <c r="AM256" s="14">
        <f>+AR256*LeagueRatings!$K$27</f>
        <v>110.55555555555556</v>
      </c>
      <c r="AN256" s="72">
        <f>F256*LeagueRatings!$K$27</f>
        <v>18.333333333333336</v>
      </c>
      <c r="AO256" s="72">
        <f>G256*LeagueRatings!$K$27</f>
        <v>18.333333333333336</v>
      </c>
      <c r="AP256" s="72">
        <f>T256*LeagueRatings!$K$27</f>
        <v>470.5555555555556</v>
      </c>
      <c r="AQ256" s="24"/>
      <c r="AR256" s="14">
        <f t="shared" si="90"/>
        <v>199</v>
      </c>
    </row>
    <row r="257" spans="1:44" s="122" customFormat="1" x14ac:dyDescent="0.2">
      <c r="A257" s="41" t="s">
        <v>1499</v>
      </c>
      <c r="B257" s="76" t="s">
        <v>172</v>
      </c>
      <c r="C257" s="76">
        <v>1</v>
      </c>
      <c r="D257" s="76">
        <v>4</v>
      </c>
      <c r="E257" s="97">
        <v>5.7</v>
      </c>
      <c r="F257" s="76">
        <v>9</v>
      </c>
      <c r="G257" s="76">
        <v>8</v>
      </c>
      <c r="H257" s="76">
        <v>0</v>
      </c>
      <c r="I257" s="76">
        <v>0</v>
      </c>
      <c r="J257" s="76">
        <v>0</v>
      </c>
      <c r="K257" s="76">
        <v>0</v>
      </c>
      <c r="L257" s="258">
        <f>INDEX('C-P-RollAdj'!$P$4:$P$900,MATCH((U257),'C-P-RollAdj'!$O$4:$O$900,FALSE),0)</f>
        <v>36.33</v>
      </c>
      <c r="M257" s="76">
        <v>46</v>
      </c>
      <c r="N257" s="76">
        <v>29</v>
      </c>
      <c r="O257" s="76">
        <v>23</v>
      </c>
      <c r="P257" s="76">
        <v>7</v>
      </c>
      <c r="Q257" s="76">
        <v>12</v>
      </c>
      <c r="R257" s="76">
        <v>0</v>
      </c>
      <c r="S257" s="76">
        <v>45</v>
      </c>
      <c r="T257" s="76">
        <v>167</v>
      </c>
      <c r="U257" s="76">
        <v>36.1</v>
      </c>
      <c r="V257" s="100">
        <v>0.311</v>
      </c>
      <c r="W257" s="76">
        <v>1.6</v>
      </c>
      <c r="X257" s="125"/>
      <c r="Y257" s="50">
        <f t="shared" si="87"/>
        <v>7.1856287425149699</v>
      </c>
      <c r="Z257" s="6">
        <f>IF(Y257&lt;LeagueRatings!$K$21,((LeagueRatings!$K$21-Y257)/LeagueRatings!$K$21)*36,(LeagueRatings!$K$21-Y257)*6.48)</f>
        <v>7.1066475506780522</v>
      </c>
      <c r="AA257" s="16">
        <f>INDEX('C-P-RollAdj'!$B$4:$B$76,MATCH(INT(Z257),'C-P-RollAdj'!$A$4:$A$76,FALSE),0)</f>
        <v>-0.56000000000000005</v>
      </c>
      <c r="AB257" s="16">
        <f t="shared" si="88"/>
        <v>4.1916167664670656</v>
      </c>
      <c r="AC257" s="6">
        <f>IF(AB257&lt;LeagueRatings!$K$19,((LeagueRatings!$K$19-AB257)/LeagueRatings!$K$19)*36,(LeagueRatings!$K$19-AB257)/LeagueRatings!$K$22)</f>
        <v>-10.371596319556007</v>
      </c>
      <c r="AD257" s="16">
        <f>INDEX('C-P-RollAdj'!$F$4:$F$76,MATCH(INT(AC257),'C-P-RollAdj'!$E$4:$E$76,FALSE),0)</f>
        <v>1.03</v>
      </c>
      <c r="AE257" s="17">
        <f>+((LeagueRatings!$I$17-E257)*5)+9.5</f>
        <v>1.8143872437063617</v>
      </c>
      <c r="AF257" s="17">
        <f>IF(AE257&lt;4,4,AE257)</f>
        <v>4</v>
      </c>
      <c r="AG257" s="17">
        <f t="shared" si="89"/>
        <v>-1.3308560418387005</v>
      </c>
      <c r="AH257" s="4">
        <f>+AA257+AD257+AF257+AG257</f>
        <v>3.1391439581612994</v>
      </c>
      <c r="AI257" s="41" t="s">
        <v>1499</v>
      </c>
      <c r="AJ257" s="58">
        <v>4</v>
      </c>
      <c r="AK257" s="219">
        <f>INDEX('C-P-RollAdj'!$J$4:$J$76,MATCH(INT(Z257),'C-P-RollAdj'!$I$4:$I$76,FALSE),0)</f>
        <v>21</v>
      </c>
      <c r="AL257" s="219">
        <f>INDEX('C-P-RollAdj'!$J$4:$J$76,MATCH(INT(AC257),'C-P-RollAdj'!$I$4:$I$76,FALSE),0)</f>
        <v>-25</v>
      </c>
      <c r="AM257" s="14">
        <f>+AR257*LeagueRatings!$K$27</f>
        <v>20.555555555555557</v>
      </c>
      <c r="AN257" s="72">
        <f>F257*LeagueRatings!$K$27</f>
        <v>5</v>
      </c>
      <c r="AO257" s="72">
        <f>G257*LeagueRatings!$K$27</f>
        <v>4.4444444444444446</v>
      </c>
      <c r="AP257" s="72">
        <f>T257*LeagueRatings!$K$27</f>
        <v>92.777777777777786</v>
      </c>
      <c r="AQ257" s="24"/>
      <c r="AR257" s="14">
        <f t="shared" si="90"/>
        <v>37</v>
      </c>
    </row>
    <row r="258" spans="1:44" s="28" customFormat="1" x14ac:dyDescent="0.2">
      <c r="A258" s="124"/>
      <c r="B258" s="125"/>
      <c r="C258" s="125"/>
      <c r="D258" s="125"/>
      <c r="E258" s="126"/>
      <c r="F258" s="125"/>
      <c r="G258" s="125"/>
      <c r="H258" s="125"/>
      <c r="I258" s="125"/>
      <c r="J258" s="125"/>
      <c r="K258" s="125"/>
      <c r="L258" s="126"/>
      <c r="M258" s="125"/>
      <c r="N258" s="125"/>
      <c r="O258" s="125"/>
      <c r="P258" s="125"/>
      <c r="Q258" s="125"/>
      <c r="R258" s="125"/>
      <c r="S258" s="125"/>
      <c r="T258" s="125"/>
      <c r="U258" s="125"/>
      <c r="V258" s="278"/>
      <c r="W258" s="125"/>
      <c r="X258" s="70"/>
      <c r="Y258" s="52"/>
      <c r="Z258" s="53"/>
      <c r="AA258" s="54"/>
      <c r="AB258" s="54"/>
      <c r="AC258" s="53"/>
      <c r="AD258" s="54"/>
      <c r="AE258" s="55"/>
      <c r="AF258" s="55"/>
      <c r="AG258" s="55"/>
      <c r="AH258" s="56"/>
      <c r="AI258" s="124"/>
      <c r="AJ258" s="129"/>
      <c r="AK258" s="9"/>
      <c r="AL258" s="9"/>
      <c r="AM258" s="14"/>
      <c r="AN258" s="72"/>
      <c r="AO258" s="72"/>
      <c r="AP258" s="72"/>
      <c r="AR258" s="14"/>
    </row>
    <row r="259" spans="1:44" x14ac:dyDescent="0.2">
      <c r="A259" s="69" t="s">
        <v>106</v>
      </c>
      <c r="B259" s="70" t="s">
        <v>157</v>
      </c>
      <c r="C259" s="71" t="s">
        <v>85</v>
      </c>
      <c r="D259" s="70" t="s">
        <v>86</v>
      </c>
      <c r="E259" s="71" t="s">
        <v>87</v>
      </c>
      <c r="F259" s="70" t="s">
        <v>108</v>
      </c>
      <c r="G259" s="70" t="s">
        <v>88</v>
      </c>
      <c r="H259" s="70" t="s">
        <v>89</v>
      </c>
      <c r="I259" s="72" t="s">
        <v>317</v>
      </c>
      <c r="J259" s="72" t="s">
        <v>90</v>
      </c>
      <c r="K259" s="72" t="s">
        <v>158</v>
      </c>
      <c r="L259" s="71" t="s">
        <v>91</v>
      </c>
      <c r="M259" s="70" t="s">
        <v>92</v>
      </c>
      <c r="N259" s="70" t="s">
        <v>93</v>
      </c>
      <c r="O259" s="70" t="s">
        <v>94</v>
      </c>
      <c r="P259" s="70" t="s">
        <v>95</v>
      </c>
      <c r="Q259" s="70" t="s">
        <v>96</v>
      </c>
      <c r="R259" s="70" t="s">
        <v>98</v>
      </c>
      <c r="S259" s="70" t="s">
        <v>97</v>
      </c>
      <c r="T259" s="70" t="s">
        <v>109</v>
      </c>
      <c r="U259" s="196" t="s">
        <v>91</v>
      </c>
      <c r="V259" s="277" t="s">
        <v>1071</v>
      </c>
      <c r="W259" s="196" t="s">
        <v>1072</v>
      </c>
      <c r="X259" s="70"/>
      <c r="Y259" s="115" t="s">
        <v>2</v>
      </c>
      <c r="Z259" s="116" t="s">
        <v>3</v>
      </c>
      <c r="AA259" s="117" t="s">
        <v>4</v>
      </c>
      <c r="AB259" s="118" t="s">
        <v>5</v>
      </c>
      <c r="AC259" s="116" t="s">
        <v>6</v>
      </c>
      <c r="AD259" s="117" t="s">
        <v>7</v>
      </c>
      <c r="AE259" s="119" t="s">
        <v>8</v>
      </c>
      <c r="AF259" s="119" t="s">
        <v>81</v>
      </c>
      <c r="AG259" s="119" t="s">
        <v>9</v>
      </c>
      <c r="AH259" s="130" t="s">
        <v>10</v>
      </c>
      <c r="AI259" s="69" t="s">
        <v>106</v>
      </c>
      <c r="AJ259" s="7" t="s">
        <v>11</v>
      </c>
      <c r="AK259" s="7" t="s">
        <v>12</v>
      </c>
      <c r="AL259" s="7" t="s">
        <v>13</v>
      </c>
      <c r="AN259" s="72"/>
      <c r="AO259" s="72"/>
      <c r="AP259" s="72"/>
      <c r="AQ259" s="122"/>
      <c r="AR259" s="14"/>
    </row>
    <row r="260" spans="1:44" x14ac:dyDescent="0.2">
      <c r="A260" s="69"/>
      <c r="B260" s="70"/>
      <c r="C260" s="71"/>
      <c r="D260" s="70"/>
      <c r="E260" s="71"/>
      <c r="F260" s="70"/>
      <c r="G260" s="70"/>
      <c r="H260" s="70"/>
      <c r="I260" s="72"/>
      <c r="J260" s="72"/>
      <c r="K260" s="72"/>
      <c r="L260" s="71"/>
      <c r="M260" s="70"/>
      <c r="N260" s="70"/>
      <c r="O260" s="70"/>
      <c r="P260" s="70"/>
      <c r="Q260" s="70"/>
      <c r="R260" s="70"/>
      <c r="S260" s="70"/>
      <c r="T260" s="70"/>
      <c r="U260" s="70"/>
      <c r="V260" s="164"/>
      <c r="W260" s="70"/>
      <c r="X260" s="76"/>
      <c r="Y260" s="52"/>
      <c r="Z260" s="53"/>
      <c r="AA260" s="54"/>
      <c r="AB260" s="54"/>
      <c r="AC260" s="53"/>
      <c r="AD260" s="54"/>
      <c r="AE260" s="55"/>
      <c r="AF260" s="55"/>
      <c r="AG260" s="55"/>
      <c r="AH260" s="56"/>
      <c r="AI260" s="69"/>
      <c r="AJ260" s="129"/>
      <c r="AK260" s="9"/>
      <c r="AL260" s="9"/>
      <c r="AN260" s="72"/>
      <c r="AO260" s="72"/>
      <c r="AP260" s="72"/>
      <c r="AQ260" s="28"/>
      <c r="AR260" s="14"/>
    </row>
    <row r="261" spans="1:44" x14ac:dyDescent="0.2">
      <c r="A261" s="41" t="s">
        <v>367</v>
      </c>
      <c r="B261" s="76" t="s">
        <v>173</v>
      </c>
      <c r="C261" s="76">
        <v>0</v>
      </c>
      <c r="D261" s="76">
        <v>0</v>
      </c>
      <c r="E261" s="97">
        <v>1.76</v>
      </c>
      <c r="F261" s="76">
        <v>40</v>
      </c>
      <c r="G261" s="76">
        <v>0</v>
      </c>
      <c r="H261" s="76">
        <v>0</v>
      </c>
      <c r="I261" s="76">
        <v>0</v>
      </c>
      <c r="J261" s="76">
        <v>0</v>
      </c>
      <c r="K261" s="76">
        <v>0</v>
      </c>
      <c r="L261" s="258">
        <f>INDEX('C-P-RollAdj'!$P$4:$P$900,MATCH((U261),'C-P-RollAdj'!$O$4:$O$900,FALSE),0)</f>
        <v>46</v>
      </c>
      <c r="M261" s="76">
        <v>43</v>
      </c>
      <c r="N261" s="76">
        <v>13</v>
      </c>
      <c r="O261" s="76">
        <v>9</v>
      </c>
      <c r="P261" s="76">
        <v>2</v>
      </c>
      <c r="Q261" s="76">
        <v>7</v>
      </c>
      <c r="R261" s="76">
        <v>3</v>
      </c>
      <c r="S261" s="76">
        <v>32</v>
      </c>
      <c r="T261" s="76">
        <v>186</v>
      </c>
      <c r="U261" s="76">
        <v>46</v>
      </c>
      <c r="V261" s="100">
        <v>0.24399999999999999</v>
      </c>
      <c r="W261" s="76">
        <v>1.0900000000000001</v>
      </c>
      <c r="X261" s="76"/>
      <c r="Y261" s="50">
        <f t="shared" ref="Y261:Y275" si="93">+(Q261-R261)/(T261-R261)*100</f>
        <v>2.1857923497267762</v>
      </c>
      <c r="Z261" s="6">
        <f>IF(Y261&lt;LeagueRatings!$K$21,((LeagueRatings!$K$21-Y261)/LeagueRatings!$K$21)*36,(LeagueRatings!$K$21-Y261)*6.48)</f>
        <v>27.21094743344851</v>
      </c>
      <c r="AA261" s="16">
        <f>INDEX('C-P-RollAdj'!$B$4:$B$76,MATCH(INT(Z261),'C-P-RollAdj'!$A$4:$A$76,FALSE),0)</f>
        <v>-2.5499999999999998</v>
      </c>
      <c r="AB261" s="16">
        <f t="shared" ref="AB261:AB275" si="94">(P261/(T261-R261))*100</f>
        <v>1.0928961748633881</v>
      </c>
      <c r="AC261" s="6">
        <f>IF(AB261&lt;LeagueRatings!$K$19,((LeagueRatings!$K$19-AB261)/LeagueRatings!$K$19)*36,(LeagueRatings!$K$19-AB261)/LeagueRatings!$K$22)</f>
        <v>22.470337425567891</v>
      </c>
      <c r="AD261" s="16">
        <f>INDEX('C-P-RollAdj'!$F$4:$F$76,MATCH(INT(AC261),'C-P-RollAdj'!$E$4:$E$76,FALSE),0)</f>
        <v>-1.78</v>
      </c>
      <c r="AE261" s="17">
        <f>+((LeagueRatings!$I$17-E261)*5)+9.5</f>
        <v>21.514387243706363</v>
      </c>
      <c r="AF261" s="17">
        <f>IF(AE261&lt;4,4,AE261)</f>
        <v>21.514387243706363</v>
      </c>
      <c r="AG261" s="17">
        <f t="shared" ref="AG261:AG275" si="95">IF(M261&lt;L261,((1-(M261/L261))*7)-0.07,(1-(M261/L261))*5)</f>
        <v>0.38652173913043447</v>
      </c>
      <c r="AH261" s="4">
        <f>+AA261+AD261+AF261+AG261</f>
        <v>17.570908982836794</v>
      </c>
      <c r="AI261" s="41" t="s">
        <v>367</v>
      </c>
      <c r="AJ261" s="58">
        <v>18</v>
      </c>
      <c r="AK261" s="219">
        <f>INDEX('C-P-RollAdj'!$J$4:$J$76,MATCH(INT(Z261),'C-P-RollAdj'!$I$4:$I$76,FALSE),0)</f>
        <v>53</v>
      </c>
      <c r="AL261" s="219">
        <f>INDEX('C-P-RollAdj'!$J$4:$J$76,MATCH(INT(AC261),'C-P-RollAdj'!$I$4:$I$76,FALSE),0)</f>
        <v>44</v>
      </c>
      <c r="AM261" s="14">
        <f>+AR261*LeagueRatings!$K$27</f>
        <v>25.555555555555557</v>
      </c>
      <c r="AN261" s="72">
        <f>F261*LeagueRatings!$K$27</f>
        <v>22.222222222222221</v>
      </c>
      <c r="AO261" s="72">
        <f>G261*LeagueRatings!$K$27</f>
        <v>0</v>
      </c>
      <c r="AP261" s="72">
        <f>T261*LeagueRatings!$K$27</f>
        <v>103.33333333333334</v>
      </c>
      <c r="AR261" s="14">
        <f t="shared" ref="AR261:AR275" si="96">ROUNDUP(L261,0)</f>
        <v>46</v>
      </c>
    </row>
    <row r="262" spans="1:44" x14ac:dyDescent="0.2">
      <c r="A262" s="41" t="s">
        <v>478</v>
      </c>
      <c r="B262" s="76" t="s">
        <v>173</v>
      </c>
      <c r="C262" s="76">
        <v>11</v>
      </c>
      <c r="D262" s="76">
        <v>11</v>
      </c>
      <c r="E262" s="97">
        <v>4.57</v>
      </c>
      <c r="F262" s="76">
        <v>32</v>
      </c>
      <c r="G262" s="76">
        <v>32</v>
      </c>
      <c r="H262" s="76">
        <v>0</v>
      </c>
      <c r="I262" s="76">
        <v>0</v>
      </c>
      <c r="J262" s="76">
        <v>0</v>
      </c>
      <c r="K262" s="76">
        <v>0</v>
      </c>
      <c r="L262" s="258">
        <f>INDEX('C-P-RollAdj'!$P$4:$P$900,MATCH((U262),'C-P-RollAdj'!$O$4:$O$900,FALSE),0)</f>
        <v>177.32999999999998</v>
      </c>
      <c r="M262" s="76">
        <v>179</v>
      </c>
      <c r="N262" s="76">
        <v>98</v>
      </c>
      <c r="O262" s="76">
        <v>90</v>
      </c>
      <c r="P262" s="76">
        <v>19</v>
      </c>
      <c r="Q262" s="76">
        <v>59</v>
      </c>
      <c r="R262" s="76">
        <v>2</v>
      </c>
      <c r="S262" s="76">
        <v>171</v>
      </c>
      <c r="T262" s="76">
        <v>765</v>
      </c>
      <c r="U262" s="76">
        <v>177.1</v>
      </c>
      <c r="V262" s="100">
        <v>0.26200000000000001</v>
      </c>
      <c r="W262" s="76">
        <v>1.34</v>
      </c>
      <c r="X262" s="76"/>
      <c r="Y262" s="50">
        <f t="shared" si="93"/>
        <v>7.470511140235911</v>
      </c>
      <c r="Z262" s="6">
        <f>IF(Y262&lt;LeagueRatings!$K$21,((LeagueRatings!$K$21-Y262)/LeagueRatings!$K$21)*36,(LeagueRatings!$K$21-Y262)*6.48)</f>
        <v>5.9611378369270822</v>
      </c>
      <c r="AA262" s="16">
        <f>INDEX('C-P-RollAdj'!$B$4:$B$76,MATCH(INT(Z262),'C-P-RollAdj'!$A$4:$A$76,FALSE),0)</f>
        <v>-0.4</v>
      </c>
      <c r="AB262" s="16">
        <f t="shared" si="94"/>
        <v>2.490170380078637</v>
      </c>
      <c r="AC262" s="6">
        <f>IF(AB262&lt;LeagueRatings!$K$19,((LeagueRatings!$K$19-AB262)/LeagueRatings!$K$19)*36,(LeagueRatings!$K$19-AB262)/LeagueRatings!$K$22)</f>
        <v>5.1725840292919747</v>
      </c>
      <c r="AD262" s="16">
        <f>INDEX('C-P-RollAdj'!$F$4:$F$76,MATCH(INT(AC262),'C-P-RollAdj'!$E$4:$E$76,FALSE),0)</f>
        <v>-0.35000000000000003</v>
      </c>
      <c r="AE262" s="17">
        <f>+((LeagueRatings!$I$17-E262)*5)+9.5</f>
        <v>7.4643872437063612</v>
      </c>
      <c r="AF262" s="17">
        <f t="shared" ref="AF262:AF273" si="97">IF(AE262&lt;4,4,AE262)</f>
        <v>7.4643872437063612</v>
      </c>
      <c r="AG262" s="17">
        <f t="shared" si="95"/>
        <v>-4.7087351266001942E-2</v>
      </c>
      <c r="AH262" s="4">
        <f t="shared" ref="AH262:AH273" si="98">+AA262+AD262+AF262+AG262</f>
        <v>6.6672998924403597</v>
      </c>
      <c r="AI262" s="41" t="s">
        <v>478</v>
      </c>
      <c r="AJ262" s="58">
        <v>7</v>
      </c>
      <c r="AK262" s="219">
        <f>INDEX('C-P-RollAdj'!$J$4:$J$76,MATCH(INT(Z262),'C-P-RollAdj'!$I$4:$I$76,FALSE),0)</f>
        <v>15</v>
      </c>
      <c r="AL262" s="219">
        <f>INDEX('C-P-RollAdj'!$J$4:$J$76,MATCH(INT(AC262),'C-P-RollAdj'!$I$4:$I$76,FALSE),0)</f>
        <v>15</v>
      </c>
      <c r="AM262" s="14">
        <f>+AR262*LeagueRatings!$K$27</f>
        <v>98.8888888888889</v>
      </c>
      <c r="AN262" s="72">
        <f>F262*LeagueRatings!$K$27</f>
        <v>17.777777777777779</v>
      </c>
      <c r="AO262" s="72">
        <f>G262*LeagueRatings!$K$27</f>
        <v>17.777777777777779</v>
      </c>
      <c r="AP262" s="72">
        <f>T262*LeagueRatings!$K$27</f>
        <v>425</v>
      </c>
      <c r="AR262" s="14">
        <f t="shared" si="96"/>
        <v>178</v>
      </c>
    </row>
    <row r="263" spans="1:44" x14ac:dyDescent="0.2">
      <c r="A263" s="41" t="s">
        <v>587</v>
      </c>
      <c r="B263" s="76" t="s">
        <v>173</v>
      </c>
      <c r="C263" s="76">
        <v>3</v>
      </c>
      <c r="D263" s="76">
        <v>2</v>
      </c>
      <c r="E263" s="97">
        <v>2.64</v>
      </c>
      <c r="F263" s="76">
        <v>67</v>
      </c>
      <c r="G263" s="76">
        <v>0</v>
      </c>
      <c r="H263" s="76">
        <v>0</v>
      </c>
      <c r="I263" s="76">
        <v>0</v>
      </c>
      <c r="J263" s="76">
        <v>7</v>
      </c>
      <c r="K263" s="76">
        <v>9</v>
      </c>
      <c r="L263" s="258">
        <f>INDEX('C-P-RollAdj'!$P$4:$P$900,MATCH((U263),'C-P-RollAdj'!$O$4:$O$900,FALSE),0)</f>
        <v>58</v>
      </c>
      <c r="M263" s="76">
        <v>41</v>
      </c>
      <c r="N263" s="76">
        <v>19</v>
      </c>
      <c r="O263" s="76">
        <v>17</v>
      </c>
      <c r="P263" s="76">
        <v>9</v>
      </c>
      <c r="Q263" s="76">
        <v>11</v>
      </c>
      <c r="R263" s="76">
        <v>2</v>
      </c>
      <c r="S263" s="76">
        <v>80</v>
      </c>
      <c r="T263" s="76">
        <v>224</v>
      </c>
      <c r="U263" s="76">
        <v>58</v>
      </c>
      <c r="V263" s="100">
        <v>0.19400000000000001</v>
      </c>
      <c r="W263" s="76">
        <v>0.9</v>
      </c>
      <c r="X263" s="76"/>
      <c r="Y263" s="50">
        <f t="shared" si="93"/>
        <v>4.0540540540540544</v>
      </c>
      <c r="Z263" s="6">
        <f>IF(Y263&lt;LeagueRatings!$K$21,((LeagueRatings!$K$21-Y263)/LeagueRatings!$K$21)*36,(LeagueRatings!$K$21-Y263)*6.48)</f>
        <v>19.698682908659574</v>
      </c>
      <c r="AA263" s="16">
        <f>INDEX('C-P-RollAdj'!$B$4:$B$76,MATCH(INT(Z263),'C-P-RollAdj'!$A$4:$A$76,FALSE),0)</f>
        <v>-1.69</v>
      </c>
      <c r="AB263" s="16">
        <f t="shared" si="94"/>
        <v>4.0540540540540544</v>
      </c>
      <c r="AC263" s="6">
        <f>IF(AB263&lt;LeagueRatings!$K$19,((LeagueRatings!$K$19-AB263)/LeagueRatings!$K$19)*36,(LeagueRatings!$K$19-AB263)/LeagueRatings!$K$22)</f>
        <v>-9.2600922874093623</v>
      </c>
      <c r="AD263" s="16">
        <f>INDEX('C-P-RollAdj'!$F$4:$F$76,MATCH(INT(AC263),'C-P-RollAdj'!$E$4:$E$76,FALSE),0)</f>
        <v>0.92</v>
      </c>
      <c r="AE263" s="17">
        <f>+((LeagueRatings!$I$17-E263)*5)+9.5</f>
        <v>17.114387243706361</v>
      </c>
      <c r="AF263" s="17">
        <f t="shared" si="97"/>
        <v>17.114387243706361</v>
      </c>
      <c r="AG263" s="17">
        <f t="shared" si="95"/>
        <v>1.9817241379310346</v>
      </c>
      <c r="AH263" s="4">
        <f t="shared" si="98"/>
        <v>18.326111381637396</v>
      </c>
      <c r="AI263" s="41" t="s">
        <v>587</v>
      </c>
      <c r="AJ263" s="58">
        <v>18</v>
      </c>
      <c r="AK263" s="219">
        <f>INDEX('C-P-RollAdj'!$J$4:$J$76,MATCH(INT(Z263),'C-P-RollAdj'!$I$4:$I$76,FALSE),0)</f>
        <v>41</v>
      </c>
      <c r="AL263" s="219">
        <f>INDEX('C-P-RollAdj'!$J$4:$J$76,MATCH(INT(AC263),'C-P-RollAdj'!$I$4:$I$76,FALSE),0)</f>
        <v>-24</v>
      </c>
      <c r="AM263" s="14">
        <f>+AR263*LeagueRatings!$K$27</f>
        <v>32.222222222222221</v>
      </c>
      <c r="AN263" s="72">
        <f>F263*LeagueRatings!$K$27</f>
        <v>37.222222222222221</v>
      </c>
      <c r="AO263" s="72">
        <f>G263*LeagueRatings!$K$27</f>
        <v>0</v>
      </c>
      <c r="AP263" s="72">
        <f>T263*LeagueRatings!$K$27</f>
        <v>124.44444444444446</v>
      </c>
      <c r="AR263" s="14">
        <f t="shared" si="96"/>
        <v>58</v>
      </c>
    </row>
    <row r="264" spans="1:44" x14ac:dyDescent="0.2">
      <c r="A264" s="41" t="s">
        <v>360</v>
      </c>
      <c r="B264" s="76" t="s">
        <v>173</v>
      </c>
      <c r="C264" s="76">
        <v>1</v>
      </c>
      <c r="D264" s="76">
        <v>1</v>
      </c>
      <c r="E264" s="97">
        <v>6.52</v>
      </c>
      <c r="F264" s="76">
        <v>6</v>
      </c>
      <c r="G264" s="76">
        <v>1</v>
      </c>
      <c r="H264" s="76">
        <v>0</v>
      </c>
      <c r="I264" s="76">
        <v>0</v>
      </c>
      <c r="J264" s="76">
        <v>0</v>
      </c>
      <c r="K264" s="76">
        <v>0</v>
      </c>
      <c r="L264" s="258">
        <f>INDEX('C-P-RollAdj'!$P$4:$P$900,MATCH((U264),'C-P-RollAdj'!$O$4:$O$900,FALSE),0)</f>
        <v>9.67</v>
      </c>
      <c r="M264" s="76">
        <v>11</v>
      </c>
      <c r="N264" s="76">
        <v>7</v>
      </c>
      <c r="O264" s="76">
        <v>7</v>
      </c>
      <c r="P264" s="76">
        <v>1</v>
      </c>
      <c r="Q264" s="76">
        <v>5</v>
      </c>
      <c r="R264" s="76">
        <v>0</v>
      </c>
      <c r="S264" s="76">
        <v>10</v>
      </c>
      <c r="T264" s="76">
        <v>44</v>
      </c>
      <c r="U264" s="76">
        <v>9.1999999999999993</v>
      </c>
      <c r="V264" s="100">
        <v>0.28899999999999998</v>
      </c>
      <c r="W264" s="76">
        <v>1.66</v>
      </c>
      <c r="X264" s="76"/>
      <c r="Y264" s="50">
        <f t="shared" si="93"/>
        <v>11.363636363636363</v>
      </c>
      <c r="Z264" s="6">
        <f>IF(Y264&lt;LeagueRatings!$K$21,((LeagueRatings!$K$21-Y264)/LeagueRatings!$K$21)*36,(LeagueRatings!$K$21-Y264)*6.48)</f>
        <v>-15.620822657032601</v>
      </c>
      <c r="AA264" s="16">
        <f>INDEX('C-P-RollAdj'!$B$4:$B$76,MATCH(INT(Z264),'C-P-RollAdj'!$A$4:$A$76,FALSE),0)</f>
        <v>1.7799999999999998</v>
      </c>
      <c r="AB264" s="16">
        <f t="shared" si="94"/>
        <v>2.2727272727272729</v>
      </c>
      <c r="AC264" s="6">
        <f>IF(AB264&lt;LeagueRatings!$K$19,((LeagueRatings!$K$19-AB264)/LeagueRatings!$K$19)*36,(LeagueRatings!$K$19-AB264)/LeagueRatings!$K$22)</f>
        <v>7.8644516918059511</v>
      </c>
      <c r="AD264" s="16">
        <f>INDEX('C-P-RollAdj'!$F$4:$F$76,MATCH(INT(AC264),'C-P-RollAdj'!$E$4:$E$76,FALSE),0)</f>
        <v>-0.49000000000000005</v>
      </c>
      <c r="AE264" s="17">
        <f>+((LeagueRatings!$I$17-E264)*5)+9.5</f>
        <v>-2.2856127562936344</v>
      </c>
      <c r="AF264" s="17">
        <f t="shared" si="97"/>
        <v>4</v>
      </c>
      <c r="AG264" s="17">
        <f t="shared" si="95"/>
        <v>-0.68769389865563579</v>
      </c>
      <c r="AH264" s="4">
        <f t="shared" si="98"/>
        <v>4.6023061013443645</v>
      </c>
      <c r="AI264" s="41" t="s">
        <v>360</v>
      </c>
      <c r="AJ264" s="58">
        <v>5</v>
      </c>
      <c r="AK264" s="219">
        <f>INDEX('C-P-RollAdj'!$J$4:$J$76,MATCH(INT(Z264),'C-P-RollAdj'!$I$4:$I$76,FALSE),0)</f>
        <v>-34</v>
      </c>
      <c r="AL264" s="219">
        <f>INDEX('C-P-RollAdj'!$J$4:$J$76,MATCH(INT(AC264),'C-P-RollAdj'!$I$4:$I$76,FALSE),0)</f>
        <v>21</v>
      </c>
      <c r="AM264" s="14">
        <f>+AR264*LeagueRatings!$K$27</f>
        <v>5.5555555555555554</v>
      </c>
      <c r="AN264" s="72">
        <f>F264*LeagueRatings!$K$27</f>
        <v>3.3333333333333335</v>
      </c>
      <c r="AO264" s="72">
        <f>G264*LeagueRatings!$K$27</f>
        <v>0.55555555555555558</v>
      </c>
      <c r="AP264" s="72">
        <f>T264*LeagueRatings!$K$27</f>
        <v>24.444444444444446</v>
      </c>
      <c r="AR264" s="14">
        <f t="shared" si="96"/>
        <v>10</v>
      </c>
    </row>
    <row r="265" spans="1:44" x14ac:dyDescent="0.2">
      <c r="A265" s="41" t="s">
        <v>425</v>
      </c>
      <c r="B265" s="76" t="s">
        <v>173</v>
      </c>
      <c r="C265" s="76">
        <v>1</v>
      </c>
      <c r="D265" s="76">
        <v>1</v>
      </c>
      <c r="E265" s="97">
        <v>1.82</v>
      </c>
      <c r="F265" s="76">
        <v>30</v>
      </c>
      <c r="G265" s="76">
        <v>0</v>
      </c>
      <c r="H265" s="76">
        <v>0</v>
      </c>
      <c r="I265" s="76">
        <v>0</v>
      </c>
      <c r="J265" s="76">
        <v>17</v>
      </c>
      <c r="K265" s="76">
        <v>18</v>
      </c>
      <c r="L265" s="258">
        <f>INDEX('C-P-RollAdj'!$P$4:$P$900,MATCH((U265),'C-P-RollAdj'!$O$4:$O$900,FALSE),0)</f>
        <v>29.67</v>
      </c>
      <c r="M265" s="76">
        <v>21</v>
      </c>
      <c r="N265" s="76">
        <v>6</v>
      </c>
      <c r="O265" s="76">
        <v>6</v>
      </c>
      <c r="P265" s="76">
        <v>1</v>
      </c>
      <c r="Q265" s="76">
        <v>3</v>
      </c>
      <c r="R265" s="76">
        <v>0</v>
      </c>
      <c r="S265" s="76">
        <v>27</v>
      </c>
      <c r="T265" s="76">
        <v>107</v>
      </c>
      <c r="U265" s="76">
        <v>29.2</v>
      </c>
      <c r="V265" s="100">
        <v>0.20200000000000001</v>
      </c>
      <c r="W265" s="76">
        <v>0.81</v>
      </c>
      <c r="X265" s="76"/>
      <c r="Y265" s="50">
        <f t="shared" si="93"/>
        <v>2.8037383177570092</v>
      </c>
      <c r="Z265" s="6">
        <f>IF(Y265&lt;LeagueRatings!$K$21,((LeagueRatings!$K$21-Y265)/LeagueRatings!$K$21)*36,(LeagueRatings!$K$21-Y265)*6.48)</f>
        <v>24.726191918138401</v>
      </c>
      <c r="AA265" s="16">
        <f>INDEX('C-P-RollAdj'!$B$4:$B$76,MATCH(INT(Z265),'C-P-RollAdj'!$A$4:$A$76,FALSE),0)</f>
        <v>-2.2199999999999998</v>
      </c>
      <c r="AB265" s="16">
        <f t="shared" si="94"/>
        <v>0.93457943925233633</v>
      </c>
      <c r="AC265" s="6">
        <f>IF(AB265&lt;LeagueRatings!$K$19,((LeagueRatings!$K$19-AB265)/LeagueRatings!$K$19)*36,(LeagueRatings!$K$19-AB265)/LeagueRatings!$K$22)</f>
        <v>24.430241817191234</v>
      </c>
      <c r="AD265" s="16">
        <f>INDEX('C-P-RollAdj'!$F$4:$F$76,MATCH(INT(AC265),'C-P-RollAdj'!$E$4:$E$76,FALSE),0)</f>
        <v>-1.98</v>
      </c>
      <c r="AE265" s="17">
        <f>+((LeagueRatings!$I$17-E265)*5)+9.5</f>
        <v>21.214387243706362</v>
      </c>
      <c r="AF265" s="17">
        <f t="shared" si="97"/>
        <v>21.214387243706362</v>
      </c>
      <c r="AG265" s="17">
        <f t="shared" si="95"/>
        <v>1.975500505561173</v>
      </c>
      <c r="AH265" s="4">
        <f t="shared" si="98"/>
        <v>18.989887749267535</v>
      </c>
      <c r="AI265" s="41" t="s">
        <v>425</v>
      </c>
      <c r="AJ265" s="58">
        <v>19</v>
      </c>
      <c r="AK265" s="219">
        <f>INDEX('C-P-RollAdj'!$J$4:$J$76,MATCH(INT(Z265),'C-P-RollAdj'!$I$4:$I$76,FALSE),0)</f>
        <v>46</v>
      </c>
      <c r="AL265" s="219">
        <f>INDEX('C-P-RollAdj'!$J$4:$J$76,MATCH(INT(AC265),'C-P-RollAdj'!$I$4:$I$76,FALSE),0)</f>
        <v>46</v>
      </c>
      <c r="AM265" s="14">
        <f>+AR265*LeagueRatings!$K$27</f>
        <v>16.666666666666668</v>
      </c>
      <c r="AN265" s="72">
        <f>F265*LeagueRatings!$K$27</f>
        <v>16.666666666666668</v>
      </c>
      <c r="AO265" s="72">
        <f>G265*LeagueRatings!$K$27</f>
        <v>0</v>
      </c>
      <c r="AP265" s="72">
        <f>T265*LeagueRatings!$K$27</f>
        <v>59.44444444444445</v>
      </c>
      <c r="AR265" s="14">
        <f t="shared" si="96"/>
        <v>30</v>
      </c>
    </row>
    <row r="266" spans="1:44" x14ac:dyDescent="0.2">
      <c r="A266" s="41" t="s">
        <v>420</v>
      </c>
      <c r="B266" s="76" t="s">
        <v>173</v>
      </c>
      <c r="C266" s="76">
        <v>2</v>
      </c>
      <c r="D266" s="76">
        <v>4</v>
      </c>
      <c r="E266" s="97">
        <v>4.37</v>
      </c>
      <c r="F266" s="76">
        <v>37</v>
      </c>
      <c r="G266" s="76">
        <v>0</v>
      </c>
      <c r="H266" s="76">
        <v>0</v>
      </c>
      <c r="I266" s="76">
        <v>0</v>
      </c>
      <c r="J266" s="76">
        <v>19</v>
      </c>
      <c r="K266" s="76">
        <v>22</v>
      </c>
      <c r="L266" s="258">
        <f>INDEX('C-P-RollAdj'!$P$4:$P$900,MATCH((U266),'C-P-RollAdj'!$O$4:$O$900,FALSE),0)</f>
        <v>35</v>
      </c>
      <c r="M266" s="76">
        <v>37</v>
      </c>
      <c r="N266" s="76">
        <v>18</v>
      </c>
      <c r="O266" s="76">
        <v>17</v>
      </c>
      <c r="P266" s="76">
        <v>3</v>
      </c>
      <c r="Q266" s="76">
        <v>14</v>
      </c>
      <c r="R266" s="76">
        <v>3</v>
      </c>
      <c r="S266" s="76">
        <v>31</v>
      </c>
      <c r="T266" s="76">
        <v>152</v>
      </c>
      <c r="U266" s="76">
        <v>35</v>
      </c>
      <c r="V266" s="100">
        <v>0.27</v>
      </c>
      <c r="W266" s="76">
        <v>1.46</v>
      </c>
      <c r="X266" s="76"/>
      <c r="Y266" s="50">
        <f t="shared" si="93"/>
        <v>7.3825503355704702</v>
      </c>
      <c r="Z266" s="6">
        <f>IF(Y266&lt;LeagueRatings!$K$21,((LeagueRatings!$K$21-Y266)/LeagueRatings!$K$21)*36,(LeagueRatings!$K$21-Y266)*6.48)</f>
        <v>6.3148274891474143</v>
      </c>
      <c r="AA266" s="16">
        <f>INDEX('C-P-RollAdj'!$B$4:$B$76,MATCH(INT(Z266),'C-P-RollAdj'!$A$4:$A$76,FALSE),0)</f>
        <v>-0.48</v>
      </c>
      <c r="AB266" s="16">
        <f t="shared" si="94"/>
        <v>2.0134228187919461</v>
      </c>
      <c r="AC266" s="6">
        <f>IF(AB266&lt;LeagueRatings!$K$19,((LeagueRatings!$K$19-AB266)/LeagueRatings!$K$19)*36,(LeagueRatings!$K$19-AB266)/LeagueRatings!$K$22)</f>
        <v>11.074547807505947</v>
      </c>
      <c r="AD266" s="16">
        <f>INDEX('C-P-RollAdj'!$F$4:$F$76,MATCH(INT(AC266),'C-P-RollAdj'!$E$4:$E$76,FALSE),0)</f>
        <v>-0.81</v>
      </c>
      <c r="AE266" s="17">
        <f>+((LeagueRatings!$I$17-E266)*5)+9.5</f>
        <v>8.4643872437063621</v>
      </c>
      <c r="AF266" s="17">
        <f t="shared" si="97"/>
        <v>8.4643872437063621</v>
      </c>
      <c r="AG266" s="17">
        <f t="shared" si="95"/>
        <v>-0.28571428571428581</v>
      </c>
      <c r="AH266" s="4">
        <f t="shared" si="98"/>
        <v>6.8886729579920765</v>
      </c>
      <c r="AI266" s="41" t="s">
        <v>420</v>
      </c>
      <c r="AJ266" s="58">
        <v>7</v>
      </c>
      <c r="AK266" s="219">
        <f>INDEX('C-P-RollAdj'!$J$4:$J$76,MATCH(INT(Z266),'C-P-RollAdj'!$I$4:$I$76,FALSE),0)</f>
        <v>16</v>
      </c>
      <c r="AL266" s="219">
        <f>INDEX('C-P-RollAdj'!$J$4:$J$76,MATCH(INT(AC266),'C-P-RollAdj'!$I$4:$I$76,FALSE),0)</f>
        <v>25</v>
      </c>
      <c r="AM266" s="14">
        <f>+AR266*LeagueRatings!$K$27</f>
        <v>19.444444444444446</v>
      </c>
      <c r="AN266" s="72">
        <f>F266*LeagueRatings!$K$27</f>
        <v>20.555555555555557</v>
      </c>
      <c r="AO266" s="72">
        <f>G266*LeagueRatings!$K$27</f>
        <v>0</v>
      </c>
      <c r="AP266" s="72">
        <f>T266*LeagueRatings!$K$27</f>
        <v>84.444444444444443</v>
      </c>
      <c r="AR266" s="14">
        <f t="shared" si="96"/>
        <v>35</v>
      </c>
    </row>
    <row r="267" spans="1:44" x14ac:dyDescent="0.2">
      <c r="A267" s="41" t="s">
        <v>609</v>
      </c>
      <c r="B267" s="76" t="s">
        <v>173</v>
      </c>
      <c r="C267" s="76">
        <v>2</v>
      </c>
      <c r="D267" s="76">
        <v>3</v>
      </c>
      <c r="E267" s="97">
        <v>4.95</v>
      </c>
      <c r="F267" s="76">
        <v>64</v>
      </c>
      <c r="G267" s="76">
        <v>0</v>
      </c>
      <c r="H267" s="76">
        <v>0</v>
      </c>
      <c r="I267" s="76">
        <v>0</v>
      </c>
      <c r="J267" s="76">
        <v>0</v>
      </c>
      <c r="K267" s="76">
        <v>1</v>
      </c>
      <c r="L267" s="258">
        <f>INDEX('C-P-RollAdj'!$P$4:$P$900,MATCH((U267),'C-P-RollAdj'!$O$4:$O$900,FALSE),0)</f>
        <v>40</v>
      </c>
      <c r="M267" s="76">
        <v>38</v>
      </c>
      <c r="N267" s="76">
        <v>22</v>
      </c>
      <c r="O267" s="76">
        <v>22</v>
      </c>
      <c r="P267" s="76">
        <v>4</v>
      </c>
      <c r="Q267" s="76">
        <v>20</v>
      </c>
      <c r="R267" s="76">
        <v>3</v>
      </c>
      <c r="S267" s="76">
        <v>46</v>
      </c>
      <c r="T267" s="76">
        <v>182</v>
      </c>
      <c r="U267" s="76">
        <v>40</v>
      </c>
      <c r="V267" s="100">
        <v>0.248</v>
      </c>
      <c r="W267" s="76">
        <v>1.45</v>
      </c>
      <c r="X267" s="76"/>
      <c r="Y267" s="50">
        <f t="shared" si="93"/>
        <v>9.4972067039106136</v>
      </c>
      <c r="Z267" s="6">
        <f>IF(Y267&lt;LeagueRatings!$K$21,((LeagueRatings!$K$21-Y267)/LeagueRatings!$K$21)*36,(LeagueRatings!$K$21-Y267)*6.48)</f>
        <v>-3.526358462009743</v>
      </c>
      <c r="AA267" s="16">
        <f>INDEX('C-P-RollAdj'!$B$4:$B$76,MATCH(INT(Z267),'C-P-RollAdj'!$A$4:$A$76,FALSE),0)</f>
        <v>0.36</v>
      </c>
      <c r="AB267" s="16">
        <f t="shared" si="94"/>
        <v>2.2346368715083798</v>
      </c>
      <c r="AC267" s="6">
        <f>IF(AB267&lt;LeagueRatings!$K$19,((LeagueRatings!$K$19-AB267)/LeagueRatings!$K$19)*36,(LeagueRatings!$K$19-AB267)/LeagueRatings!$K$22)</f>
        <v>8.3359971941779225</v>
      </c>
      <c r="AD267" s="16">
        <f>INDEX('C-P-RollAdj'!$F$4:$F$76,MATCH(INT(AC267),'C-P-RollAdj'!$E$4:$E$76,FALSE),0)</f>
        <v>-0.56999999999999995</v>
      </c>
      <c r="AE267" s="17">
        <f>+((LeagueRatings!$I$17-E267)*5)+9.5</f>
        <v>5.5643872437063617</v>
      </c>
      <c r="AF267" s="17">
        <f t="shared" si="97"/>
        <v>5.5643872437063617</v>
      </c>
      <c r="AG267" s="17">
        <f t="shared" si="95"/>
        <v>0.2800000000000003</v>
      </c>
      <c r="AH267" s="4">
        <f t="shared" si="98"/>
        <v>5.634387243706362</v>
      </c>
      <c r="AI267" s="41" t="s">
        <v>609</v>
      </c>
      <c r="AJ267" s="58">
        <v>6</v>
      </c>
      <c r="AK267" s="219">
        <f>INDEX('C-P-RollAdj'!$J$4:$J$76,MATCH(INT(Z267),'C-P-RollAdj'!$I$4:$I$76,FALSE),0)</f>
        <v>-14</v>
      </c>
      <c r="AL267" s="219">
        <f>INDEX('C-P-RollAdj'!$J$4:$J$76,MATCH(INT(AC267),'C-P-RollAdj'!$I$4:$I$76,FALSE),0)</f>
        <v>22</v>
      </c>
      <c r="AM267" s="14">
        <f>+AR267*LeagueRatings!$K$27</f>
        <v>22.222222222222221</v>
      </c>
      <c r="AN267" s="72">
        <f>F267*LeagueRatings!$K$27</f>
        <v>35.555555555555557</v>
      </c>
      <c r="AO267" s="72">
        <f>G267*LeagueRatings!$K$27</f>
        <v>0</v>
      </c>
      <c r="AP267" s="72">
        <f>T267*LeagueRatings!$K$27</f>
        <v>101.11111111111111</v>
      </c>
      <c r="AR267" s="14">
        <f t="shared" si="96"/>
        <v>40</v>
      </c>
    </row>
    <row r="268" spans="1:44" x14ac:dyDescent="0.2">
      <c r="A268" s="41" t="s">
        <v>453</v>
      </c>
      <c r="B268" s="76" t="s">
        <v>173</v>
      </c>
      <c r="C268" s="76">
        <v>3</v>
      </c>
      <c r="D268" s="76">
        <v>5</v>
      </c>
      <c r="E268" s="97">
        <v>4.5</v>
      </c>
      <c r="F268" s="76">
        <v>36</v>
      </c>
      <c r="G268" s="76">
        <v>1</v>
      </c>
      <c r="H268" s="76">
        <v>0</v>
      </c>
      <c r="I268" s="76">
        <v>0</v>
      </c>
      <c r="J268" s="76">
        <v>1</v>
      </c>
      <c r="K268" s="76">
        <v>2</v>
      </c>
      <c r="L268" s="258">
        <f>INDEX('C-P-RollAdj'!$P$4:$P$900,MATCH((U268),'C-P-RollAdj'!$O$4:$O$900,FALSE),0)</f>
        <v>62</v>
      </c>
      <c r="M268" s="76">
        <v>67</v>
      </c>
      <c r="N268" s="76">
        <v>33</v>
      </c>
      <c r="O268" s="76">
        <v>31</v>
      </c>
      <c r="P268" s="76">
        <v>12</v>
      </c>
      <c r="Q268" s="76">
        <v>15</v>
      </c>
      <c r="R268" s="76">
        <v>3</v>
      </c>
      <c r="S268" s="76">
        <v>49</v>
      </c>
      <c r="T268" s="76">
        <v>265</v>
      </c>
      <c r="U268" s="76">
        <v>62</v>
      </c>
      <c r="V268" s="100">
        <v>0.27200000000000002</v>
      </c>
      <c r="W268" s="76">
        <v>1.32</v>
      </c>
      <c r="X268" s="76"/>
      <c r="Y268" s="50">
        <f t="shared" si="93"/>
        <v>4.5801526717557248</v>
      </c>
      <c r="Z268" s="6">
        <f>IF(Y268&lt;LeagueRatings!$K$21,((LeagueRatings!$K$21-Y268)/LeagueRatings!$K$21)*36,(LeagueRatings!$K$21-Y268)*6.48)</f>
        <v>17.583244812836774</v>
      </c>
      <c r="AA268" s="16">
        <f>INDEX('C-P-RollAdj'!$B$4:$B$76,MATCH(INT(Z268),'C-P-RollAdj'!$A$4:$A$76,FALSE),0)</f>
        <v>-1.49</v>
      </c>
      <c r="AB268" s="16">
        <f t="shared" si="94"/>
        <v>4.5801526717557248</v>
      </c>
      <c r="AC268" s="6">
        <f>IF(AB268&lt;LeagueRatings!$K$19,((LeagueRatings!$K$19-AB268)/LeagueRatings!$K$19)*36,(LeagueRatings!$K$19-AB268)/LeagueRatings!$K$22)</f>
        <v>-13.510958853099977</v>
      </c>
      <c r="AD268" s="16">
        <f>INDEX('C-P-RollAdj'!$F$4:$F$76,MATCH(INT(AC268),'C-P-RollAdj'!$E$4:$E$76,FALSE),0)</f>
        <v>1.38</v>
      </c>
      <c r="AE268" s="17">
        <f>+((LeagueRatings!$I$17-E268)*5)+9.5</f>
        <v>7.8143872437063626</v>
      </c>
      <c r="AF268" s="17">
        <f t="shared" si="97"/>
        <v>7.8143872437063626</v>
      </c>
      <c r="AG268" s="17">
        <f t="shared" si="95"/>
        <v>-0.40322580645161255</v>
      </c>
      <c r="AH268" s="4">
        <f t="shared" si="98"/>
        <v>7.3011614372547502</v>
      </c>
      <c r="AI268" s="41" t="s">
        <v>453</v>
      </c>
      <c r="AJ268" s="58">
        <v>8</v>
      </c>
      <c r="AK268" s="219">
        <f>INDEX('C-P-RollAdj'!$J$4:$J$76,MATCH(INT(Z268),'C-P-RollAdj'!$I$4:$I$76,FALSE),0)</f>
        <v>35</v>
      </c>
      <c r="AL268" s="219">
        <f>INDEX('C-P-RollAdj'!$J$4:$J$76,MATCH(INT(AC268),'C-P-RollAdj'!$I$4:$I$76,FALSE),0)</f>
        <v>-32</v>
      </c>
      <c r="AM268" s="14">
        <f>+AR268*LeagueRatings!$K$27</f>
        <v>34.444444444444443</v>
      </c>
      <c r="AN268" s="72">
        <f>F268*LeagueRatings!$K$27</f>
        <v>20</v>
      </c>
      <c r="AO268" s="72">
        <f>G268*LeagueRatings!$K$27</f>
        <v>0.55555555555555558</v>
      </c>
      <c r="AP268" s="72">
        <f>T268*LeagueRatings!$K$27</f>
        <v>147.22222222222223</v>
      </c>
      <c r="AR268" s="14">
        <f t="shared" si="96"/>
        <v>62</v>
      </c>
    </row>
    <row r="269" spans="1:44" x14ac:dyDescent="0.2">
      <c r="A269" s="41" t="s">
        <v>473</v>
      </c>
      <c r="B269" s="76" t="s">
        <v>173</v>
      </c>
      <c r="C269" s="76">
        <v>16</v>
      </c>
      <c r="D269" s="76">
        <v>10</v>
      </c>
      <c r="E269" s="97">
        <v>2.83</v>
      </c>
      <c r="F269" s="76">
        <v>34</v>
      </c>
      <c r="G269" s="76">
        <v>33</v>
      </c>
      <c r="H269" s="76">
        <v>0</v>
      </c>
      <c r="I269" s="76">
        <v>0</v>
      </c>
      <c r="J269" s="76">
        <v>0</v>
      </c>
      <c r="K269" s="76">
        <v>0</v>
      </c>
      <c r="L269" s="258">
        <f>INDEX('C-P-RollAdj'!$P$4:$P$900,MATCH((U269),'C-P-RollAdj'!$O$4:$O$900,FALSE),0)</f>
        <v>210</v>
      </c>
      <c r="M269" s="76">
        <v>173</v>
      </c>
      <c r="N269" s="76">
        <v>72</v>
      </c>
      <c r="O269" s="76">
        <v>66</v>
      </c>
      <c r="P269" s="76">
        <v>17</v>
      </c>
      <c r="Q269" s="76">
        <v>73</v>
      </c>
      <c r="R269" s="76">
        <v>4</v>
      </c>
      <c r="S269" s="76">
        <v>172</v>
      </c>
      <c r="T269" s="76">
        <v>855</v>
      </c>
      <c r="U269" s="76">
        <v>210</v>
      </c>
      <c r="V269" s="100">
        <v>0.22800000000000001</v>
      </c>
      <c r="W269" s="76">
        <v>1.17</v>
      </c>
      <c r="X269" s="76"/>
      <c r="Y269" s="50">
        <f t="shared" si="93"/>
        <v>8.1081081081081088</v>
      </c>
      <c r="Z269" s="6">
        <f>IF(Y269&lt;LeagueRatings!$K$21,((LeagueRatings!$K$21-Y269)/LeagueRatings!$K$21)*36,(LeagueRatings!$K$21-Y269)*6.48)</f>
        <v>3.3973658173191494</v>
      </c>
      <c r="AA269" s="16">
        <f>INDEX('C-P-RollAdj'!$B$4:$B$76,MATCH(INT(Z269),'C-P-RollAdj'!$A$4:$A$76,FALSE),0)</f>
        <v>-0.24</v>
      </c>
      <c r="AB269" s="16">
        <f t="shared" si="94"/>
        <v>1.9976498237367801</v>
      </c>
      <c r="AC269" s="6">
        <f>IF(AB269&lt;LeagueRatings!$K$19,((LeagueRatings!$K$19-AB269)/LeagueRatings!$K$19)*36,(LeagueRatings!$K$19-AB269)/LeagueRatings!$K$22)</f>
        <v>11.269811827815341</v>
      </c>
      <c r="AD269" s="16">
        <f>INDEX('C-P-RollAdj'!$F$4:$F$76,MATCH(INT(AC269),'C-P-RollAdj'!$E$4:$E$76,FALSE),0)</f>
        <v>-0.81</v>
      </c>
      <c r="AE269" s="17">
        <f>+((LeagueRatings!$I$17-E269)*5)+9.5</f>
        <v>16.164387243706361</v>
      </c>
      <c r="AF269" s="17">
        <f t="shared" si="97"/>
        <v>16.164387243706361</v>
      </c>
      <c r="AG269" s="17">
        <f t="shared" si="95"/>
        <v>1.1633333333333336</v>
      </c>
      <c r="AH269" s="4">
        <f t="shared" si="98"/>
        <v>16.277720577039695</v>
      </c>
      <c r="AI269" s="41" t="s">
        <v>473</v>
      </c>
      <c r="AJ269" s="58">
        <v>16</v>
      </c>
      <c r="AK269" s="219">
        <f>INDEX('C-P-RollAdj'!$J$4:$J$76,MATCH(INT(Z269),'C-P-RollAdj'!$I$4:$I$76,FALSE),0)</f>
        <v>13</v>
      </c>
      <c r="AL269" s="219">
        <f>INDEX('C-P-RollAdj'!$J$4:$J$76,MATCH(INT(AC269),'C-P-RollAdj'!$I$4:$I$76,FALSE),0)</f>
        <v>25</v>
      </c>
      <c r="AM269" s="14">
        <f>+AR269*LeagueRatings!$K$27</f>
        <v>116.66666666666667</v>
      </c>
      <c r="AN269" s="72">
        <f>F269*LeagueRatings!$K$27</f>
        <v>18.888888888888889</v>
      </c>
      <c r="AO269" s="72">
        <f>G269*LeagueRatings!$K$27</f>
        <v>18.333333333333336</v>
      </c>
      <c r="AP269" s="72">
        <f>T269*LeagueRatings!$K$27</f>
        <v>475</v>
      </c>
      <c r="AR269" s="14">
        <f t="shared" si="96"/>
        <v>210</v>
      </c>
    </row>
    <row r="270" spans="1:44" x14ac:dyDescent="0.2">
      <c r="A270" s="41" t="s">
        <v>1163</v>
      </c>
      <c r="B270" s="76" t="s">
        <v>173</v>
      </c>
      <c r="C270" s="76">
        <v>7</v>
      </c>
      <c r="D270" s="76">
        <v>5</v>
      </c>
      <c r="E270" s="97">
        <v>3.43</v>
      </c>
      <c r="F270" s="76">
        <v>19</v>
      </c>
      <c r="G270" s="76">
        <v>19</v>
      </c>
      <c r="H270" s="76">
        <v>0</v>
      </c>
      <c r="I270" s="76">
        <v>0</v>
      </c>
      <c r="J270" s="76">
        <v>0</v>
      </c>
      <c r="K270" s="76">
        <v>0</v>
      </c>
      <c r="L270" s="258">
        <f>INDEX('C-P-RollAdj'!$P$4:$P$900,MATCH((U270),'C-P-RollAdj'!$O$4:$O$900,FALSE),0)</f>
        <v>105</v>
      </c>
      <c r="M270" s="76">
        <v>108</v>
      </c>
      <c r="N270" s="76">
        <v>43</v>
      </c>
      <c r="O270" s="76">
        <v>40</v>
      </c>
      <c r="P270" s="76">
        <v>9</v>
      </c>
      <c r="Q270" s="76">
        <v>29</v>
      </c>
      <c r="R270" s="76">
        <v>3</v>
      </c>
      <c r="S270" s="76">
        <v>93</v>
      </c>
      <c r="T270" s="76">
        <v>447</v>
      </c>
      <c r="U270" s="76">
        <v>105</v>
      </c>
      <c r="V270" s="100">
        <v>0.26900000000000002</v>
      </c>
      <c r="W270" s="76">
        <v>1.3</v>
      </c>
      <c r="X270" s="76"/>
      <c r="Y270" s="50">
        <f t="shared" si="93"/>
        <v>5.8558558558558556</v>
      </c>
      <c r="Z270" s="6">
        <f>IF(Y270&lt;LeagueRatings!$K$21,((LeagueRatings!$K$21-Y270)/LeagueRatings!$K$21)*36,(LeagueRatings!$K$21-Y270)*6.48)</f>
        <v>12.453653090286055</v>
      </c>
      <c r="AA270" s="16">
        <f>INDEX('C-P-RollAdj'!$B$4:$B$76,MATCH(INT(Z270),'C-P-RollAdj'!$A$4:$A$76,FALSE),0)</f>
        <v>-1.01</v>
      </c>
      <c r="AB270" s="16">
        <f t="shared" si="94"/>
        <v>2.0270270270270272</v>
      </c>
      <c r="AC270" s="6">
        <f>IF(AB270&lt;LeagueRatings!$K$19,((LeagueRatings!$K$19-AB270)/LeagueRatings!$K$19)*36,(LeagueRatings!$K$19-AB270)/LeagueRatings!$K$22)</f>
        <v>10.90613258998909</v>
      </c>
      <c r="AD270" s="16">
        <f>INDEX('C-P-RollAdj'!$F$4:$F$76,MATCH(INT(AC270),'C-P-RollAdj'!$E$4:$E$76,FALSE),0)</f>
        <v>-0.73</v>
      </c>
      <c r="AE270" s="17">
        <f>+((LeagueRatings!$I$17-E270)*5)+9.5</f>
        <v>13.164387243706361</v>
      </c>
      <c r="AF270" s="17">
        <f t="shared" si="97"/>
        <v>13.164387243706361</v>
      </c>
      <c r="AG270" s="17">
        <f t="shared" si="95"/>
        <v>-0.14285714285714235</v>
      </c>
      <c r="AH270" s="4">
        <f t="shared" si="98"/>
        <v>11.281530100849219</v>
      </c>
      <c r="AI270" s="41" t="s">
        <v>1163</v>
      </c>
      <c r="AJ270" s="58">
        <v>12</v>
      </c>
      <c r="AK270" s="219">
        <f>INDEX('C-P-RollAdj'!$J$4:$J$76,MATCH(INT(Z270),'C-P-RollAdj'!$I$4:$I$76,FALSE),0)</f>
        <v>26</v>
      </c>
      <c r="AL270" s="219">
        <f>INDEX('C-P-RollAdj'!$J$4:$J$76,MATCH(INT(AC270),'C-P-RollAdj'!$I$4:$I$76,FALSE),0)</f>
        <v>24</v>
      </c>
      <c r="AM270" s="14">
        <f>+AR270*LeagueRatings!$K$27</f>
        <v>58.333333333333336</v>
      </c>
      <c r="AN270" s="72">
        <f>F270*LeagueRatings!$K$27</f>
        <v>10.555555555555555</v>
      </c>
      <c r="AO270" s="72">
        <f>G270*LeagueRatings!$K$27</f>
        <v>10.555555555555555</v>
      </c>
      <c r="AP270" s="72">
        <f>T270*LeagueRatings!$K$27</f>
        <v>248.33333333333334</v>
      </c>
      <c r="AR270" s="14">
        <f t="shared" si="96"/>
        <v>105</v>
      </c>
    </row>
    <row r="271" spans="1:44" x14ac:dyDescent="0.2">
      <c r="A271" s="41" t="s">
        <v>471</v>
      </c>
      <c r="B271" s="76" t="s">
        <v>173</v>
      </c>
      <c r="C271" s="76">
        <v>0</v>
      </c>
      <c r="D271" s="76">
        <v>0</v>
      </c>
      <c r="E271" s="97">
        <v>1.54</v>
      </c>
      <c r="F271" s="76">
        <v>14</v>
      </c>
      <c r="G271" s="76">
        <v>0</v>
      </c>
      <c r="H271" s="76">
        <v>0</v>
      </c>
      <c r="I271" s="76">
        <v>0</v>
      </c>
      <c r="J271" s="76">
        <v>0</v>
      </c>
      <c r="K271" s="76">
        <v>0</v>
      </c>
      <c r="L271" s="258">
        <f>INDEX('C-P-RollAdj'!$P$4:$P$900,MATCH((U271),'C-P-RollAdj'!$O$4:$O$900,FALSE),0)</f>
        <v>11.67</v>
      </c>
      <c r="M271" s="76">
        <v>8</v>
      </c>
      <c r="N271" s="76">
        <v>3</v>
      </c>
      <c r="O271" s="76">
        <v>2</v>
      </c>
      <c r="P271" s="76">
        <v>0</v>
      </c>
      <c r="Q271" s="76">
        <v>5</v>
      </c>
      <c r="R271" s="76">
        <v>2</v>
      </c>
      <c r="S271" s="76">
        <v>9</v>
      </c>
      <c r="T271" s="76">
        <v>46</v>
      </c>
      <c r="U271" s="76">
        <v>11.2</v>
      </c>
      <c r="V271" s="100">
        <v>0.216</v>
      </c>
      <c r="W271" s="76">
        <v>1.1100000000000001</v>
      </c>
      <c r="X271" s="76"/>
      <c r="Y271" s="50">
        <f t="shared" si="93"/>
        <v>6.8181818181818175</v>
      </c>
      <c r="Z271" s="6">
        <f>IF(Y271&lt;LeagueRatings!$K$21,((LeagueRatings!$K$21-Y271)/LeagueRatings!$K$21)*36,(LeagueRatings!$K$21-Y271)*6.48)</f>
        <v>8.584148528200199</v>
      </c>
      <c r="AA271" s="16">
        <f>INDEX('C-P-RollAdj'!$B$4:$B$76,MATCH(INT(Z271),'C-P-RollAdj'!$A$4:$A$76,FALSE),0)</f>
        <v>-0.65</v>
      </c>
      <c r="AB271" s="16">
        <f t="shared" si="94"/>
        <v>0</v>
      </c>
      <c r="AC271" s="6">
        <f>IF(AB271&lt;LeagueRatings!$K$19,((LeagueRatings!$K$19-AB271)/LeagueRatings!$K$19)*36,(LeagueRatings!$K$19-AB271)/LeagueRatings!$K$22)</f>
        <v>36</v>
      </c>
      <c r="AD271" s="16">
        <f>INDEX('C-P-RollAdj'!$F$4:$F$76,MATCH(INT(AC271),'C-P-RollAdj'!$E$4:$E$76,FALSE),0)</f>
        <v>-3.26</v>
      </c>
      <c r="AE271" s="17">
        <f>+((LeagueRatings!$I$17-E271)*5)+9.5</f>
        <v>22.614387243706361</v>
      </c>
      <c r="AF271" s="17">
        <f t="shared" si="97"/>
        <v>22.614387243706361</v>
      </c>
      <c r="AG271" s="17">
        <f t="shared" si="95"/>
        <v>2.1313710368466157</v>
      </c>
      <c r="AH271" s="4">
        <f t="shared" si="98"/>
        <v>20.835758280552977</v>
      </c>
      <c r="AI271" s="41" t="s">
        <v>471</v>
      </c>
      <c r="AJ271" s="58">
        <v>21</v>
      </c>
      <c r="AK271" s="219">
        <f>INDEX('C-P-RollAdj'!$J$4:$J$76,MATCH(INT(Z271),'C-P-RollAdj'!$I$4:$I$76,FALSE),0)</f>
        <v>22</v>
      </c>
      <c r="AL271" s="219">
        <f>INDEX('C-P-RollAdj'!$J$4:$J$76,MATCH(INT(AC271),'C-P-RollAdj'!$I$4:$I$76,FALSE),0)</f>
        <v>66</v>
      </c>
      <c r="AM271" s="14">
        <f>+AR271*LeagueRatings!$K$27</f>
        <v>6.666666666666667</v>
      </c>
      <c r="AN271" s="72">
        <f>F271*LeagueRatings!$K$27</f>
        <v>7.7777777777777786</v>
      </c>
      <c r="AO271" s="72">
        <f>G271*LeagueRatings!$K$27</f>
        <v>0</v>
      </c>
      <c r="AP271" s="72">
        <f>T271*LeagueRatings!$K$27</f>
        <v>25.555555555555557</v>
      </c>
      <c r="AR271" s="14">
        <f t="shared" si="96"/>
        <v>12</v>
      </c>
    </row>
    <row r="272" spans="1:44" x14ac:dyDescent="0.2">
      <c r="A272" s="41" t="s">
        <v>538</v>
      </c>
      <c r="B272" s="76" t="s">
        <v>173</v>
      </c>
      <c r="C272" s="76">
        <v>20</v>
      </c>
      <c r="D272" s="76">
        <v>7</v>
      </c>
      <c r="E272" s="97">
        <v>2.96</v>
      </c>
      <c r="F272" s="76">
        <v>34</v>
      </c>
      <c r="G272" s="76">
        <v>34</v>
      </c>
      <c r="H272" s="76">
        <v>1</v>
      </c>
      <c r="I272" s="76">
        <v>0</v>
      </c>
      <c r="J272" s="76">
        <v>0</v>
      </c>
      <c r="K272" s="76">
        <v>0</v>
      </c>
      <c r="L272" s="258">
        <f>INDEX('C-P-RollAdj'!$P$4:$P$900,MATCH((U272),'C-P-RollAdj'!$O$4:$O$900,FALSE),0)</f>
        <v>228.32999999999998</v>
      </c>
      <c r="M272" s="76">
        <v>165</v>
      </c>
      <c r="N272" s="76">
        <v>77</v>
      </c>
      <c r="O272" s="76">
        <v>75</v>
      </c>
      <c r="P272" s="76">
        <v>31</v>
      </c>
      <c r="Q272" s="76">
        <v>56</v>
      </c>
      <c r="R272" s="76">
        <v>2</v>
      </c>
      <c r="S272" s="76">
        <v>284</v>
      </c>
      <c r="T272" s="76">
        <v>902</v>
      </c>
      <c r="U272" s="76">
        <v>228.1</v>
      </c>
      <c r="V272" s="100">
        <v>0.19900000000000001</v>
      </c>
      <c r="W272" s="76">
        <v>0.97</v>
      </c>
      <c r="X272" s="76"/>
      <c r="Y272" s="50">
        <f t="shared" si="93"/>
        <v>6</v>
      </c>
      <c r="Z272" s="6">
        <f>IF(Y272&lt;LeagueRatings!$K$21,((LeagueRatings!$K$21-Y272)/LeagueRatings!$K$21)*36,(LeagueRatings!$K$21-Y272)*6.48)</f>
        <v>11.874050704816174</v>
      </c>
      <c r="AA272" s="16">
        <f>INDEX('C-P-RollAdj'!$B$4:$B$76,MATCH(INT(Z272),'C-P-RollAdj'!$A$4:$A$76,FALSE),0)</f>
        <v>-0.92</v>
      </c>
      <c r="AB272" s="16">
        <f t="shared" si="94"/>
        <v>3.4444444444444446</v>
      </c>
      <c r="AC272" s="6">
        <f>IF(AB272&lt;LeagueRatings!$K$19,((LeagueRatings!$K$19-AB272)/LeagueRatings!$K$19)*36,(LeagueRatings!$K$19-AB272)/LeagueRatings!$K$22)</f>
        <v>-4.3344585365853661</v>
      </c>
      <c r="AD272" s="16">
        <f>INDEX('C-P-RollAdj'!$F$4:$F$76,MATCH(INT(AC272),'C-P-RollAdj'!$E$4:$E$76,FALSE),0)</f>
        <v>0.42</v>
      </c>
      <c r="AE272" s="17">
        <f>+((LeagueRatings!$I$17-E272)*5)+9.5</f>
        <v>15.514387243706363</v>
      </c>
      <c r="AF272" s="17">
        <f t="shared" si="97"/>
        <v>15.514387243706363</v>
      </c>
      <c r="AG272" s="17">
        <f t="shared" si="95"/>
        <v>1.871531993167783</v>
      </c>
      <c r="AH272" s="4">
        <f t="shared" si="98"/>
        <v>16.885919236874145</v>
      </c>
      <c r="AI272" s="41" t="s">
        <v>538</v>
      </c>
      <c r="AJ272" s="58">
        <v>17</v>
      </c>
      <c r="AK272" s="219">
        <f>INDEX('C-P-RollAdj'!$J$4:$J$76,MATCH(INT(Z272),'C-P-RollAdj'!$I$4:$I$76,FALSE),0)</f>
        <v>25</v>
      </c>
      <c r="AL272" s="219">
        <f>INDEX('C-P-RollAdj'!$J$4:$J$76,MATCH(INT(AC272),'C-P-RollAdj'!$I$4:$I$76,FALSE),0)</f>
        <v>-15</v>
      </c>
      <c r="AM272" s="14">
        <f>+AR272*LeagueRatings!$K$27</f>
        <v>127.22222222222223</v>
      </c>
      <c r="AN272" s="72">
        <f>F272*LeagueRatings!$K$27</f>
        <v>18.888888888888889</v>
      </c>
      <c r="AO272" s="72">
        <f>G272*LeagueRatings!$K$27</f>
        <v>18.888888888888889</v>
      </c>
      <c r="AP272" s="72">
        <f>T272*LeagueRatings!$K$27</f>
        <v>501.11111111111114</v>
      </c>
      <c r="AR272" s="14">
        <f t="shared" si="96"/>
        <v>229</v>
      </c>
    </row>
    <row r="273" spans="1:44" x14ac:dyDescent="0.2">
      <c r="A273" s="41" t="s">
        <v>1162</v>
      </c>
      <c r="B273" s="76" t="s">
        <v>173</v>
      </c>
      <c r="C273" s="76">
        <v>2</v>
      </c>
      <c r="D273" s="76">
        <v>4</v>
      </c>
      <c r="E273" s="97">
        <v>2.41</v>
      </c>
      <c r="F273" s="76">
        <v>37</v>
      </c>
      <c r="G273" s="76">
        <v>0</v>
      </c>
      <c r="H273" s="76">
        <v>0</v>
      </c>
      <c r="I273" s="76">
        <v>0</v>
      </c>
      <c r="J273" s="76">
        <v>0</v>
      </c>
      <c r="K273" s="76">
        <v>1</v>
      </c>
      <c r="L273" s="258">
        <f>INDEX('C-P-RollAdj'!$P$4:$P$900,MATCH((U273),'C-P-RollAdj'!$O$4:$O$900,FALSE),0)</f>
        <v>41</v>
      </c>
      <c r="M273" s="76">
        <v>31</v>
      </c>
      <c r="N273" s="76">
        <v>12</v>
      </c>
      <c r="O273" s="76">
        <v>11</v>
      </c>
      <c r="P273" s="76">
        <v>1</v>
      </c>
      <c r="Q273" s="76">
        <v>21</v>
      </c>
      <c r="R273" s="76">
        <v>2</v>
      </c>
      <c r="S273" s="76">
        <v>47</v>
      </c>
      <c r="T273" s="76">
        <v>172</v>
      </c>
      <c r="U273" s="76">
        <v>41</v>
      </c>
      <c r="V273" s="100">
        <v>0.21099999999999999</v>
      </c>
      <c r="W273" s="76">
        <v>1.27</v>
      </c>
      <c r="Y273" s="50">
        <f t="shared" si="93"/>
        <v>11.176470588235295</v>
      </c>
      <c r="Z273" s="6">
        <f>IF(Y273&lt;LeagueRatings!$K$21,((LeagueRatings!$K$21-Y273)/LeagueRatings!$K$21)*36,(LeagueRatings!$K$21-Y273)*6.48)</f>
        <v>-14.407988432433681</v>
      </c>
      <c r="AA273" s="16">
        <f>INDEX('C-P-RollAdj'!$B$4:$B$76,MATCH(INT(Z273),'C-P-RollAdj'!$A$4:$A$76,FALSE),0)</f>
        <v>1.63</v>
      </c>
      <c r="AB273" s="16">
        <f t="shared" si="94"/>
        <v>0.58823529411764708</v>
      </c>
      <c r="AC273" s="6">
        <f>IF(AB273&lt;LeagueRatings!$K$19,((LeagueRatings!$K$19-AB273)/LeagueRatings!$K$19)*36,(LeagueRatings!$K$19-AB273)/LeagueRatings!$K$22)</f>
        <v>28.717858084938008</v>
      </c>
      <c r="AD273" s="16">
        <f>INDEX('C-P-RollAdj'!$F$4:$F$76,MATCH(INT(AC273),'C-P-RollAdj'!$E$4:$E$76,FALSE),0)</f>
        <v>-2.38</v>
      </c>
      <c r="AE273" s="17">
        <f>+((LeagueRatings!$I$17-E273)*5)+9.5</f>
        <v>18.264387243706363</v>
      </c>
      <c r="AF273" s="17">
        <f t="shared" si="97"/>
        <v>18.264387243706363</v>
      </c>
      <c r="AG273" s="17">
        <f t="shared" si="95"/>
        <v>1.6373170731707316</v>
      </c>
      <c r="AH273" s="4">
        <f t="shared" si="98"/>
        <v>19.151704316877094</v>
      </c>
      <c r="AI273" s="41" t="s">
        <v>1162</v>
      </c>
      <c r="AJ273" s="58">
        <v>19</v>
      </c>
      <c r="AK273" s="219">
        <f>INDEX('C-P-RollAdj'!$J$4:$J$76,MATCH(INT(Z273),'C-P-RollAdj'!$I$4:$I$76,FALSE),0)</f>
        <v>-33</v>
      </c>
      <c r="AL273" s="219">
        <f>INDEX('C-P-RollAdj'!$J$4:$J$76,MATCH(INT(AC273),'C-P-RollAdj'!$I$4:$I$76,FALSE),0)</f>
        <v>54</v>
      </c>
      <c r="AM273" s="14">
        <f>+AR273*LeagueRatings!$K$27</f>
        <v>22.777777777777779</v>
      </c>
      <c r="AN273" s="72">
        <f>F273*LeagueRatings!$K$27</f>
        <v>20.555555555555557</v>
      </c>
      <c r="AO273" s="72">
        <f>G273*LeagueRatings!$K$27</f>
        <v>0</v>
      </c>
      <c r="AP273" s="72">
        <f>T273*LeagueRatings!$K$27</f>
        <v>95.555555555555557</v>
      </c>
      <c r="AR273" s="14">
        <f t="shared" si="96"/>
        <v>41</v>
      </c>
    </row>
    <row r="274" spans="1:44" x14ac:dyDescent="0.2">
      <c r="A274" s="41" t="s">
        <v>475</v>
      </c>
      <c r="B274" s="76" t="s">
        <v>173</v>
      </c>
      <c r="C274" s="76">
        <v>15</v>
      </c>
      <c r="D274" s="76">
        <v>4</v>
      </c>
      <c r="E274" s="97">
        <v>3.6</v>
      </c>
      <c r="F274" s="76">
        <v>24</v>
      </c>
      <c r="G274" s="76">
        <v>24</v>
      </c>
      <c r="H274" s="76">
        <v>0</v>
      </c>
      <c r="I274" s="76">
        <v>0</v>
      </c>
      <c r="J274" s="76">
        <v>0</v>
      </c>
      <c r="K274" s="76">
        <v>0</v>
      </c>
      <c r="L274" s="258">
        <f>INDEX('C-P-RollAdj'!$P$4:$P$900,MATCH((U274),'C-P-RollAdj'!$O$4:$O$900,FALSE),0)</f>
        <v>147.67000000000002</v>
      </c>
      <c r="M274" s="76">
        <v>119</v>
      </c>
      <c r="N274" s="76">
        <v>59</v>
      </c>
      <c r="O274" s="76">
        <v>59</v>
      </c>
      <c r="P274" s="76">
        <v>15</v>
      </c>
      <c r="Q274" s="76">
        <v>44</v>
      </c>
      <c r="R274" s="76">
        <v>1</v>
      </c>
      <c r="S274" s="76">
        <v>183</v>
      </c>
      <c r="T274" s="76">
        <v>598</v>
      </c>
      <c r="U274" s="76">
        <v>147.19999999999999</v>
      </c>
      <c r="V274" s="100">
        <v>0.218</v>
      </c>
      <c r="W274" s="76">
        <v>1.1000000000000001</v>
      </c>
      <c r="Y274" s="50">
        <f t="shared" si="93"/>
        <v>7.2026800670016753</v>
      </c>
      <c r="Z274" s="6">
        <f>IF(Y274&lt;LeagueRatings!$K$21,((LeagueRatings!$K$21-Y274)/LeagueRatings!$K$21)*36,(LeagueRatings!$K$21-Y274)*6.48)</f>
        <v>7.0380843190143878</v>
      </c>
      <c r="AA274" s="16">
        <f>INDEX('C-P-RollAdj'!$B$4:$B$76,MATCH(INT(Z274),'C-P-RollAdj'!$A$4:$A$76,FALSE),0)</f>
        <v>-0.56000000000000005</v>
      </c>
      <c r="AB274" s="16">
        <f t="shared" si="94"/>
        <v>2.512562814070352</v>
      </c>
      <c r="AC274" s="6">
        <f>IF(AB274&lt;LeagueRatings!$K$19,((LeagueRatings!$K$19-AB274)/LeagueRatings!$K$19)*36,(LeagueRatings!$K$19-AB274)/LeagueRatings!$K$22)</f>
        <v>4.8953737296347191</v>
      </c>
      <c r="AD274" s="16">
        <f>INDEX('C-P-RollAdj'!$F$4:$F$76,MATCH(INT(AC274),'C-P-RollAdj'!$E$4:$E$76,FALSE),0)</f>
        <v>-0.28000000000000003</v>
      </c>
      <c r="AE274" s="17">
        <f>+((LeagueRatings!$I$17-E274)*5)+9.5</f>
        <v>12.314387243706362</v>
      </c>
      <c r="AF274" s="17">
        <f>IF(AE274&lt;4,4,AE274)</f>
        <v>12.314387243706362</v>
      </c>
      <c r="AG274" s="17">
        <f t="shared" si="95"/>
        <v>1.2890438139093929</v>
      </c>
      <c r="AH274" s="4">
        <f>+AA274+AD274+AF274+AG274</f>
        <v>12.763431057615755</v>
      </c>
      <c r="AI274" s="41" t="s">
        <v>475</v>
      </c>
      <c r="AJ274" s="58">
        <v>13</v>
      </c>
      <c r="AK274" s="219">
        <f>INDEX('C-P-RollAdj'!$J$4:$J$76,MATCH(INT(Z274),'C-P-RollAdj'!$I$4:$I$76,FALSE),0)</f>
        <v>21</v>
      </c>
      <c r="AL274" s="219">
        <f>INDEX('C-P-RollAdj'!$J$4:$J$76,MATCH(INT(AC274),'C-P-RollAdj'!$I$4:$I$76,FALSE),0)</f>
        <v>14</v>
      </c>
      <c r="AM274" s="14">
        <f>+AR274*LeagueRatings!$K$27</f>
        <v>82.222222222222229</v>
      </c>
      <c r="AN274" s="72">
        <f>F274*LeagueRatings!$K$27</f>
        <v>13.333333333333334</v>
      </c>
      <c r="AO274" s="72">
        <f>G274*LeagueRatings!$K$27</f>
        <v>13.333333333333334</v>
      </c>
      <c r="AP274" s="72">
        <f>T274*LeagueRatings!$K$27</f>
        <v>332.22222222222223</v>
      </c>
      <c r="AR274" s="14">
        <f t="shared" si="96"/>
        <v>148</v>
      </c>
    </row>
    <row r="275" spans="1:44" x14ac:dyDescent="0.2">
      <c r="A275" s="41" t="s">
        <v>787</v>
      </c>
      <c r="B275" s="76" t="s">
        <v>173</v>
      </c>
      <c r="C275" s="76">
        <v>4</v>
      </c>
      <c r="D275" s="76">
        <v>1</v>
      </c>
      <c r="E275" s="97">
        <v>2.2799999999999998</v>
      </c>
      <c r="F275" s="76">
        <v>73</v>
      </c>
      <c r="G275" s="76">
        <v>0</v>
      </c>
      <c r="H275" s="76">
        <v>0</v>
      </c>
      <c r="I275" s="76">
        <v>0</v>
      </c>
      <c r="J275" s="76">
        <v>1</v>
      </c>
      <c r="K275" s="76">
        <v>3</v>
      </c>
      <c r="L275" s="258">
        <f>INDEX('C-P-RollAdj'!$P$4:$P$900,MATCH((U275),'C-P-RollAdj'!$O$4:$O$900,FALSE),0)</f>
        <v>67</v>
      </c>
      <c r="M275" s="76">
        <v>51</v>
      </c>
      <c r="N275" s="76">
        <v>19</v>
      </c>
      <c r="O275" s="76">
        <v>17</v>
      </c>
      <c r="P275" s="76">
        <v>5</v>
      </c>
      <c r="Q275" s="76">
        <v>31</v>
      </c>
      <c r="R275" s="76">
        <v>6</v>
      </c>
      <c r="S275" s="76">
        <v>63</v>
      </c>
      <c r="T275" s="76">
        <v>263</v>
      </c>
      <c r="U275" s="76">
        <v>67</v>
      </c>
      <c r="V275" s="100">
        <v>0.224</v>
      </c>
      <c r="W275" s="76">
        <v>1.22</v>
      </c>
      <c r="Y275" s="50">
        <f t="shared" si="93"/>
        <v>9.7276264591439698</v>
      </c>
      <c r="Z275" s="6">
        <f>IF(Y275&lt;LeagueRatings!$K$21,((LeagueRatings!$K$21-Y275)/LeagueRatings!$K$21)*36,(LeagueRatings!$K$21-Y275)*6.48)</f>
        <v>-5.0194784759218916</v>
      </c>
      <c r="AA275" s="16">
        <f>INDEX('C-P-RollAdj'!$B$4:$B$76,MATCH(INT(Z275),'C-P-RollAdj'!$A$4:$A$76,FALSE),0)</f>
        <v>0.54</v>
      </c>
      <c r="AB275" s="16">
        <f t="shared" si="94"/>
        <v>1.9455252918287937</v>
      </c>
      <c r="AC275" s="6">
        <f>IF(AB275&lt;LeagueRatings!$K$19,((LeagueRatings!$K$19-AB275)/LeagueRatings!$K$19)*36,(LeagueRatings!$K$19-AB275)/LeagueRatings!$K$22)</f>
        <v>11.915094833452567</v>
      </c>
      <c r="AD275" s="16">
        <f>INDEX('C-P-RollAdj'!$F$4:$F$76,MATCH(INT(AC275),'C-P-RollAdj'!$E$4:$E$76,FALSE),0)</f>
        <v>-0.81</v>
      </c>
      <c r="AE275" s="17">
        <f>+((LeagueRatings!$I$17-E275)*5)+9.5</f>
        <v>18.914387243706365</v>
      </c>
      <c r="AF275" s="17">
        <f>IF(AE275&lt;4,4,AE275)</f>
        <v>18.914387243706365</v>
      </c>
      <c r="AG275" s="17">
        <f t="shared" si="95"/>
        <v>1.6016417910447762</v>
      </c>
      <c r="AH275" s="4">
        <f>+AA275+AD275+AF275+AG275</f>
        <v>20.246029034751142</v>
      </c>
      <c r="AI275" s="41" t="s">
        <v>787</v>
      </c>
      <c r="AJ275" s="58">
        <v>20</v>
      </c>
      <c r="AK275" s="219">
        <f>INDEX('C-P-RollAdj'!$J$4:$J$76,MATCH(INT(Z275),'C-P-RollAdj'!$I$4:$I$76,FALSE),0)</f>
        <v>-16</v>
      </c>
      <c r="AL275" s="219">
        <f>INDEX('C-P-RollAdj'!$J$4:$J$76,MATCH(INT(AC275),'C-P-RollAdj'!$I$4:$I$76,FALSE),0)</f>
        <v>25</v>
      </c>
      <c r="AM275" s="14">
        <f>+AR275*LeagueRatings!$K$27</f>
        <v>37.222222222222221</v>
      </c>
      <c r="AN275" s="72">
        <f>F275*LeagueRatings!$K$27</f>
        <v>40.555555555555557</v>
      </c>
      <c r="AO275" s="72">
        <f>G275*LeagueRatings!$K$27</f>
        <v>0</v>
      </c>
      <c r="AP275" s="72">
        <f>T275*LeagueRatings!$K$27</f>
        <v>146.11111111111111</v>
      </c>
      <c r="AR275" s="14">
        <f t="shared" si="96"/>
        <v>67</v>
      </c>
    </row>
    <row r="276" spans="1:44" x14ac:dyDescent="0.2">
      <c r="A276" s="43"/>
      <c r="AI276" s="43"/>
    </row>
    <row r="277" spans="1:44" x14ac:dyDescent="0.2">
      <c r="A277" s="43"/>
      <c r="AI277" s="43"/>
    </row>
    <row r="278" spans="1:44" x14ac:dyDescent="0.2">
      <c r="A278" s="43"/>
      <c r="AI278" s="43"/>
    </row>
  </sheetData>
  <phoneticPr fontId="0" type="noConversion"/>
  <conditionalFormatting sqref="Y56:AA56 Y112:Z124 Y150:Z166 Y93:Z107 Y131:Z143 Y168:Z182 Y186:Z202 Y1:AA2 Y74:AA74 Y204:Z217 Y223:Z236 Y242:Z258 Y17:AA17 Y54:AA54 Y72:AA72 Y129:Z129 Y220:Z221 Y240:Z240 Y260:Z275 Y3:Z3 Y39:Z51 Y57:Z69 Y53:Z53 Z4:Z15 Y4:Y16 Y91:AA91 Y75:Z90 Y109:Z110 Y148:Z148 Y184:Z184 L20:L27 L29:L35 AK20:AL28 AK30:AL35 Y20:AA36 AD20:AD35">
    <cfRule type="cellIs" priority="305" stopIfTrue="1" operator="lessThan">
      <formula>10.237</formula>
    </cfRule>
  </conditionalFormatting>
  <conditionalFormatting sqref="Y18:AA19">
    <cfRule type="cellIs" priority="304" stopIfTrue="1" operator="lessThan">
      <formula>10.237</formula>
    </cfRule>
  </conditionalFormatting>
  <conditionalFormatting sqref="Y241:AA241">
    <cfRule type="cellIs" priority="289" stopIfTrue="1" operator="lessThan">
      <formula>10.237</formula>
    </cfRule>
  </conditionalFormatting>
  <conditionalFormatting sqref="Y38:AA38">
    <cfRule type="cellIs" priority="302" stopIfTrue="1" operator="lessThan">
      <formula>10.237</formula>
    </cfRule>
  </conditionalFormatting>
  <conditionalFormatting sqref="Y259:AA259">
    <cfRule type="cellIs" priority="288" stopIfTrue="1" operator="lessThan">
      <formula>10.237</formula>
    </cfRule>
  </conditionalFormatting>
  <conditionalFormatting sqref="Y37:AA37">
    <cfRule type="cellIs" priority="301" stopIfTrue="1" operator="lessThan">
      <formula>10.237</formula>
    </cfRule>
  </conditionalFormatting>
  <conditionalFormatting sqref="Y55:AA55">
    <cfRule type="cellIs" priority="300" stopIfTrue="1" operator="lessThan">
      <formula>10.237</formula>
    </cfRule>
  </conditionalFormatting>
  <conditionalFormatting sqref="Y73:AA73">
    <cfRule type="cellIs" priority="299" stopIfTrue="1" operator="lessThan">
      <formula>10.237</formula>
    </cfRule>
  </conditionalFormatting>
  <conditionalFormatting sqref="Y92:AA92">
    <cfRule type="cellIs" priority="297" stopIfTrue="1" operator="lessThan">
      <formula>10.237</formula>
    </cfRule>
  </conditionalFormatting>
  <conditionalFormatting sqref="Y111:AA111">
    <cfRule type="cellIs" priority="296" stopIfTrue="1" operator="lessThan">
      <formula>10.237</formula>
    </cfRule>
  </conditionalFormatting>
  <conditionalFormatting sqref="Y130:AA130">
    <cfRule type="cellIs" priority="295" stopIfTrue="1" operator="lessThan">
      <formula>10.237</formula>
    </cfRule>
  </conditionalFormatting>
  <conditionalFormatting sqref="Y149:AA149">
    <cfRule type="cellIs" priority="294" stopIfTrue="1" operator="lessThan">
      <formula>10.237</formula>
    </cfRule>
  </conditionalFormatting>
  <conditionalFormatting sqref="Y167:AA167">
    <cfRule type="cellIs" priority="293" stopIfTrue="1" operator="lessThan">
      <formula>10.237</formula>
    </cfRule>
  </conditionalFormatting>
  <conditionalFormatting sqref="Y185:AA185">
    <cfRule type="cellIs" priority="292" stopIfTrue="1" operator="lessThan">
      <formula>10.237</formula>
    </cfRule>
  </conditionalFormatting>
  <conditionalFormatting sqref="Y203:AA203">
    <cfRule type="cellIs" priority="291" stopIfTrue="1" operator="lessThan">
      <formula>10.237</formula>
    </cfRule>
  </conditionalFormatting>
  <conditionalFormatting sqref="Y222:AA222">
    <cfRule type="cellIs" priority="290" stopIfTrue="1" operator="lessThan">
      <formula>10.237</formula>
    </cfRule>
  </conditionalFormatting>
  <conditionalFormatting sqref="Y127:Z127">
    <cfRule type="cellIs" priority="287" stopIfTrue="1" operator="lessThan">
      <formula>10.237</formula>
    </cfRule>
  </conditionalFormatting>
  <conditionalFormatting sqref="Y128:Z128">
    <cfRule type="cellIs" priority="286" stopIfTrue="1" operator="lessThan">
      <formula>10.237</formula>
    </cfRule>
  </conditionalFormatting>
  <conditionalFormatting sqref="Y144:Z144">
    <cfRule type="cellIs" priority="285" stopIfTrue="1" operator="lessThan">
      <formula>10.237</formula>
    </cfRule>
  </conditionalFormatting>
  <conditionalFormatting sqref="Y147:Z147">
    <cfRule type="cellIs" priority="284" stopIfTrue="1" operator="lessThan">
      <formula>10.237</formula>
    </cfRule>
  </conditionalFormatting>
  <conditionalFormatting sqref="Z16">
    <cfRule type="cellIs" priority="283" stopIfTrue="1" operator="lessThan">
      <formula>10.237</formula>
    </cfRule>
  </conditionalFormatting>
  <conditionalFormatting sqref="Y52:Z52">
    <cfRule type="cellIs" priority="282" stopIfTrue="1" operator="lessThan">
      <formula>10.237</formula>
    </cfRule>
  </conditionalFormatting>
  <conditionalFormatting sqref="Y71:Z71">
    <cfRule type="cellIs" priority="280" stopIfTrue="1" operator="lessThan">
      <formula>10.237</formula>
    </cfRule>
  </conditionalFormatting>
  <conditionalFormatting sqref="Y70:Z70">
    <cfRule type="cellIs" priority="279" stopIfTrue="1" operator="lessThan">
      <formula>10.237</formula>
    </cfRule>
  </conditionalFormatting>
  <conditionalFormatting sqref="Y183:Z183">
    <cfRule type="cellIs" priority="277" stopIfTrue="1" operator="lessThan">
      <formula>10.237</formula>
    </cfRule>
  </conditionalFormatting>
  <conditionalFormatting sqref="Y218:Z218">
    <cfRule type="cellIs" priority="276" stopIfTrue="1" operator="lessThan">
      <formula>10.237</formula>
    </cfRule>
  </conditionalFormatting>
  <conditionalFormatting sqref="Y237:Z237 Y239:Z239">
    <cfRule type="cellIs" priority="275" stopIfTrue="1" operator="lessThan">
      <formula>10.237</formula>
    </cfRule>
  </conditionalFormatting>
  <conditionalFormatting sqref="AA3:AA16">
    <cfRule type="cellIs" priority="199" stopIfTrue="1" operator="lessThan">
      <formula>10.237</formula>
    </cfRule>
  </conditionalFormatting>
  <conditionalFormatting sqref="AD3:AD16">
    <cfRule type="cellIs" priority="198" stopIfTrue="1" operator="lessThan">
      <formula>10.237</formula>
    </cfRule>
  </conditionalFormatting>
  <conditionalFormatting sqref="AK3:AK16">
    <cfRule type="cellIs" priority="197" stopIfTrue="1" operator="lessThan">
      <formula>10.237</formula>
    </cfRule>
  </conditionalFormatting>
  <conditionalFormatting sqref="AL3:AL16">
    <cfRule type="cellIs" priority="196" stopIfTrue="1" operator="lessThan">
      <formula>10.237</formula>
    </cfRule>
  </conditionalFormatting>
  <conditionalFormatting sqref="AK3:AL16 L20:L27 L29:L35 AK20:AL28 AK30:AL35">
    <cfRule type="cellIs" dxfId="832" priority="194" operator="lessThan">
      <formula>0</formula>
    </cfRule>
    <cfRule type="cellIs" dxfId="831" priority="195" operator="lessThan">
      <formula>0</formula>
    </cfRule>
  </conditionalFormatting>
  <conditionalFormatting sqref="AK39:AK53">
    <cfRule type="cellIs" priority="189" stopIfTrue="1" operator="lessThan">
      <formula>10.237</formula>
    </cfRule>
  </conditionalFormatting>
  <conditionalFormatting sqref="AL39:AL53">
    <cfRule type="cellIs" priority="188" stopIfTrue="1" operator="lessThan">
      <formula>10.237</formula>
    </cfRule>
  </conditionalFormatting>
  <conditionalFormatting sqref="AK39:AL53">
    <cfRule type="cellIs" dxfId="830" priority="186" operator="lessThan">
      <formula>0</formula>
    </cfRule>
    <cfRule type="cellIs" dxfId="829" priority="187" operator="lessThan">
      <formula>0</formula>
    </cfRule>
  </conditionalFormatting>
  <conditionalFormatting sqref="AK57:AK71">
    <cfRule type="cellIs" priority="185" stopIfTrue="1" operator="lessThan">
      <formula>10.237</formula>
    </cfRule>
  </conditionalFormatting>
  <conditionalFormatting sqref="AL57:AL71">
    <cfRule type="cellIs" priority="184" stopIfTrue="1" operator="lessThan">
      <formula>10.237</formula>
    </cfRule>
  </conditionalFormatting>
  <conditionalFormatting sqref="AK57:AL71">
    <cfRule type="cellIs" dxfId="828" priority="182" operator="lessThan">
      <formula>0</formula>
    </cfRule>
    <cfRule type="cellIs" dxfId="827" priority="183" operator="lessThan">
      <formula>0</formula>
    </cfRule>
  </conditionalFormatting>
  <conditionalFormatting sqref="AK75:AK90">
    <cfRule type="cellIs" priority="181" stopIfTrue="1" operator="lessThan">
      <formula>10.237</formula>
    </cfRule>
  </conditionalFormatting>
  <conditionalFormatting sqref="AL75:AL90">
    <cfRule type="cellIs" priority="180" stopIfTrue="1" operator="lessThan">
      <formula>10.237</formula>
    </cfRule>
  </conditionalFormatting>
  <conditionalFormatting sqref="AK75:AL90">
    <cfRule type="cellIs" dxfId="826" priority="178" operator="lessThan">
      <formula>0</formula>
    </cfRule>
    <cfRule type="cellIs" dxfId="825" priority="179" operator="lessThan">
      <formula>0</formula>
    </cfRule>
  </conditionalFormatting>
  <conditionalFormatting sqref="AK94:AK107 AK109">
    <cfRule type="cellIs" priority="177" stopIfTrue="1" operator="lessThan">
      <formula>10.237</formula>
    </cfRule>
  </conditionalFormatting>
  <conditionalFormatting sqref="AL94:AL107 AL109">
    <cfRule type="cellIs" priority="176" stopIfTrue="1" operator="lessThan">
      <formula>10.237</formula>
    </cfRule>
  </conditionalFormatting>
  <conditionalFormatting sqref="AK94:AL107 AK109:AL109">
    <cfRule type="cellIs" dxfId="824" priority="174" operator="lessThan">
      <formula>0</formula>
    </cfRule>
    <cfRule type="cellIs" dxfId="823" priority="175" operator="lessThan">
      <formula>0</formula>
    </cfRule>
  </conditionalFormatting>
  <conditionalFormatting sqref="AK127:AK128 AK113:AK124">
    <cfRule type="cellIs" priority="173" stopIfTrue="1" operator="lessThan">
      <formula>10.237</formula>
    </cfRule>
  </conditionalFormatting>
  <conditionalFormatting sqref="AL113:AL124 AL127:AL128">
    <cfRule type="cellIs" priority="172" stopIfTrue="1" operator="lessThan">
      <formula>10.237</formula>
    </cfRule>
  </conditionalFormatting>
  <conditionalFormatting sqref="AK127:AL128 AK113:AL124">
    <cfRule type="cellIs" dxfId="822" priority="170" operator="lessThan">
      <formula>0</formula>
    </cfRule>
    <cfRule type="cellIs" dxfId="821" priority="171" operator="lessThan">
      <formula>0</formula>
    </cfRule>
  </conditionalFormatting>
  <conditionalFormatting sqref="AK132:AK144 AK147">
    <cfRule type="cellIs" priority="169" stopIfTrue="1" operator="lessThan">
      <formula>10.237</formula>
    </cfRule>
  </conditionalFormatting>
  <conditionalFormatting sqref="AL132:AL144 AL147">
    <cfRule type="cellIs" priority="168" stopIfTrue="1" operator="lessThan">
      <formula>10.237</formula>
    </cfRule>
  </conditionalFormatting>
  <conditionalFormatting sqref="AK132:AL144 AK147:AL147">
    <cfRule type="cellIs" dxfId="820" priority="166" operator="lessThan">
      <formula>0</formula>
    </cfRule>
    <cfRule type="cellIs" dxfId="819" priority="167" operator="lessThan">
      <formula>0</formula>
    </cfRule>
  </conditionalFormatting>
  <conditionalFormatting sqref="AK151:AK165">
    <cfRule type="cellIs" priority="165" stopIfTrue="1" operator="lessThan">
      <formula>10.237</formula>
    </cfRule>
  </conditionalFormatting>
  <conditionalFormatting sqref="AL151:AL165">
    <cfRule type="cellIs" priority="164" stopIfTrue="1" operator="lessThan">
      <formula>10.237</formula>
    </cfRule>
  </conditionalFormatting>
  <conditionalFormatting sqref="AK151:AL165">
    <cfRule type="cellIs" dxfId="818" priority="162" operator="lessThan">
      <formula>0</formula>
    </cfRule>
    <cfRule type="cellIs" dxfId="817" priority="163" operator="lessThan">
      <formula>0</formula>
    </cfRule>
  </conditionalFormatting>
  <conditionalFormatting sqref="AK169:AK183">
    <cfRule type="cellIs" priority="161" stopIfTrue="1" operator="lessThan">
      <formula>10.237</formula>
    </cfRule>
  </conditionalFormatting>
  <conditionalFormatting sqref="AL169:AL183">
    <cfRule type="cellIs" priority="160" stopIfTrue="1" operator="lessThan">
      <formula>10.237</formula>
    </cfRule>
  </conditionalFormatting>
  <conditionalFormatting sqref="AK169:AL183">
    <cfRule type="cellIs" dxfId="816" priority="158" operator="lessThan">
      <formula>0</formula>
    </cfRule>
    <cfRule type="cellIs" dxfId="815" priority="159" operator="lessThan">
      <formula>0</formula>
    </cfRule>
  </conditionalFormatting>
  <conditionalFormatting sqref="AK187:AK201">
    <cfRule type="cellIs" priority="157" stopIfTrue="1" operator="lessThan">
      <formula>10.237</formula>
    </cfRule>
  </conditionalFormatting>
  <conditionalFormatting sqref="AL187:AL201">
    <cfRule type="cellIs" priority="156" stopIfTrue="1" operator="lessThan">
      <formula>10.237</formula>
    </cfRule>
  </conditionalFormatting>
  <conditionalFormatting sqref="AK187:AL201">
    <cfRule type="cellIs" dxfId="814" priority="154" operator="lessThan">
      <formula>0</formula>
    </cfRule>
    <cfRule type="cellIs" dxfId="813" priority="155" operator="lessThan">
      <formula>0</formula>
    </cfRule>
  </conditionalFormatting>
  <conditionalFormatting sqref="AK205:AK218 AK220">
    <cfRule type="cellIs" priority="153" stopIfTrue="1" operator="lessThan">
      <formula>10.237</formula>
    </cfRule>
  </conditionalFormatting>
  <conditionalFormatting sqref="AL205:AL218 AL220">
    <cfRule type="cellIs" priority="152" stopIfTrue="1" operator="lessThan">
      <formula>10.237</formula>
    </cfRule>
  </conditionalFormatting>
  <conditionalFormatting sqref="AK205:AL218 AK220:AL220">
    <cfRule type="cellIs" dxfId="812" priority="150" operator="lessThan">
      <formula>0</formula>
    </cfRule>
    <cfRule type="cellIs" dxfId="811" priority="151" operator="lessThan">
      <formula>0</formula>
    </cfRule>
  </conditionalFormatting>
  <conditionalFormatting sqref="AK224:AK237 AK239">
    <cfRule type="cellIs" priority="149" stopIfTrue="1" operator="lessThan">
      <formula>10.237</formula>
    </cfRule>
  </conditionalFormatting>
  <conditionalFormatting sqref="AL224:AL237 AL239">
    <cfRule type="cellIs" priority="148" stopIfTrue="1" operator="lessThan">
      <formula>10.237</formula>
    </cfRule>
  </conditionalFormatting>
  <conditionalFormatting sqref="AK224:AL237 AK239:AL239">
    <cfRule type="cellIs" dxfId="810" priority="146" operator="lessThan">
      <formula>0</formula>
    </cfRule>
    <cfRule type="cellIs" dxfId="809" priority="147" operator="lessThan">
      <formula>0</formula>
    </cfRule>
  </conditionalFormatting>
  <conditionalFormatting sqref="AK243:AK257">
    <cfRule type="cellIs" priority="145" stopIfTrue="1" operator="lessThan">
      <formula>10.237</formula>
    </cfRule>
  </conditionalFormatting>
  <conditionalFormatting sqref="AL243:AL257">
    <cfRule type="cellIs" priority="144" stopIfTrue="1" operator="lessThan">
      <formula>10.237</formula>
    </cfRule>
  </conditionalFormatting>
  <conditionalFormatting sqref="AK243:AL257">
    <cfRule type="cellIs" dxfId="808" priority="142" operator="lessThan">
      <formula>0</formula>
    </cfRule>
    <cfRule type="cellIs" dxfId="807" priority="143" operator="lessThan">
      <formula>0</formula>
    </cfRule>
  </conditionalFormatting>
  <conditionalFormatting sqref="AK261:AK275">
    <cfRule type="cellIs" priority="141" stopIfTrue="1" operator="lessThan">
      <formula>10.237</formula>
    </cfRule>
  </conditionalFormatting>
  <conditionalFormatting sqref="AL261:AL275">
    <cfRule type="cellIs" priority="140" stopIfTrue="1" operator="lessThan">
      <formula>10.237</formula>
    </cfRule>
  </conditionalFormatting>
  <conditionalFormatting sqref="AK261:AL275">
    <cfRule type="cellIs" dxfId="806" priority="138" operator="lessThan">
      <formula>0</formula>
    </cfRule>
    <cfRule type="cellIs" dxfId="805" priority="139" operator="lessThan">
      <formula>0</formula>
    </cfRule>
  </conditionalFormatting>
  <conditionalFormatting sqref="AA39:AA53">
    <cfRule type="cellIs" priority="136" stopIfTrue="1" operator="lessThan">
      <formula>10.237</formula>
    </cfRule>
  </conditionalFormatting>
  <conditionalFormatting sqref="AA57:AA71">
    <cfRule type="cellIs" priority="135" stopIfTrue="1" operator="lessThan">
      <formula>10.237</formula>
    </cfRule>
  </conditionalFormatting>
  <conditionalFormatting sqref="AA75:AA90">
    <cfRule type="cellIs" priority="134" stopIfTrue="1" operator="lessThan">
      <formula>10.237</formula>
    </cfRule>
  </conditionalFormatting>
  <conditionalFormatting sqref="AA94:AA107 AA109">
    <cfRule type="cellIs" priority="133" stopIfTrue="1" operator="lessThan">
      <formula>10.237</formula>
    </cfRule>
  </conditionalFormatting>
  <conditionalFormatting sqref="AD261:AD275">
    <cfRule type="cellIs" priority="110" stopIfTrue="1" operator="lessThan">
      <formula>10.237</formula>
    </cfRule>
  </conditionalFormatting>
  <conditionalFormatting sqref="AA132:AA144 AA127:AA128 AA147 AA113:AA124">
    <cfRule type="cellIs" priority="131" stopIfTrue="1" operator="lessThan">
      <formula>10.237</formula>
    </cfRule>
  </conditionalFormatting>
  <conditionalFormatting sqref="AA151:AA165">
    <cfRule type="cellIs" priority="130" stopIfTrue="1" operator="lessThan">
      <formula>10.237</formula>
    </cfRule>
  </conditionalFormatting>
  <conditionalFormatting sqref="AA169:AA183">
    <cfRule type="cellIs" priority="129" stopIfTrue="1" operator="lessThan">
      <formula>10.237</formula>
    </cfRule>
  </conditionalFormatting>
  <conditionalFormatting sqref="AA187:AA201">
    <cfRule type="cellIs" priority="128" stopIfTrue="1" operator="lessThan">
      <formula>10.237</formula>
    </cfRule>
  </conditionalFormatting>
  <conditionalFormatting sqref="AA205:AA218 AA220">
    <cfRule type="cellIs" priority="127" stopIfTrue="1" operator="lessThan">
      <formula>10.237</formula>
    </cfRule>
  </conditionalFormatting>
  <conditionalFormatting sqref="AA224:AA237 AA239">
    <cfRule type="cellIs" priority="126" stopIfTrue="1" operator="lessThan">
      <formula>10.237</formula>
    </cfRule>
  </conditionalFormatting>
  <conditionalFormatting sqref="AA243:AA257">
    <cfRule type="cellIs" priority="125" stopIfTrue="1" operator="lessThan">
      <formula>10.237</formula>
    </cfRule>
  </conditionalFormatting>
  <conditionalFormatting sqref="AA261:AA275">
    <cfRule type="cellIs" priority="124" stopIfTrue="1" operator="lessThan">
      <formula>10.237</formula>
    </cfRule>
  </conditionalFormatting>
  <conditionalFormatting sqref="AD39:AD53">
    <cfRule type="cellIs" priority="122" stopIfTrue="1" operator="lessThan">
      <formula>10.237</formula>
    </cfRule>
  </conditionalFormatting>
  <conditionalFormatting sqref="AD57:AD71">
    <cfRule type="cellIs" priority="121" stopIfTrue="1" operator="lessThan">
      <formula>10.237</formula>
    </cfRule>
  </conditionalFormatting>
  <conditionalFormatting sqref="AD75:AD90">
    <cfRule type="cellIs" priority="120" stopIfTrue="1" operator="lessThan">
      <formula>10.237</formula>
    </cfRule>
  </conditionalFormatting>
  <conditionalFormatting sqref="AD94:AD107 AD109">
    <cfRule type="cellIs" priority="119" stopIfTrue="1" operator="lessThan">
      <formula>10.237</formula>
    </cfRule>
  </conditionalFormatting>
  <conditionalFormatting sqref="AD113:AD124 AD127:AD128">
    <cfRule type="cellIs" priority="118" stopIfTrue="1" operator="lessThan">
      <formula>10.237</formula>
    </cfRule>
  </conditionalFormatting>
  <conditionalFormatting sqref="AD132:AD144 AD147">
    <cfRule type="cellIs" priority="117" stopIfTrue="1" operator="lessThan">
      <formula>10.237</formula>
    </cfRule>
  </conditionalFormatting>
  <conditionalFormatting sqref="AD151:AD165">
    <cfRule type="cellIs" priority="116" stopIfTrue="1" operator="lessThan">
      <formula>10.237</formula>
    </cfRule>
  </conditionalFormatting>
  <conditionalFormatting sqref="AD169:AD183">
    <cfRule type="cellIs" priority="115" stopIfTrue="1" operator="lessThan">
      <formula>10.237</formula>
    </cfRule>
  </conditionalFormatting>
  <conditionalFormatting sqref="AD187:AD201">
    <cfRule type="cellIs" priority="114" stopIfTrue="1" operator="lessThan">
      <formula>10.237</formula>
    </cfRule>
  </conditionalFormatting>
  <conditionalFormatting sqref="AD205:AD218 AD220">
    <cfRule type="cellIs" priority="113" stopIfTrue="1" operator="lessThan">
      <formula>10.237</formula>
    </cfRule>
  </conditionalFormatting>
  <conditionalFormatting sqref="AD224:AD237 AD239">
    <cfRule type="cellIs" priority="112" stopIfTrue="1" operator="lessThan">
      <formula>10.237</formula>
    </cfRule>
  </conditionalFormatting>
  <conditionalFormatting sqref="AD243:AD257">
    <cfRule type="cellIs" priority="111" stopIfTrue="1" operator="lessThan">
      <formula>10.237</formula>
    </cfRule>
  </conditionalFormatting>
  <conditionalFormatting sqref="L2">
    <cfRule type="cellIs" dxfId="804" priority="104" operator="lessThan">
      <formula>0</formula>
    </cfRule>
    <cfRule type="cellIs" dxfId="803" priority="105" operator="lessThan">
      <formula>0</formula>
    </cfRule>
  </conditionalFormatting>
  <conditionalFormatting sqref="L2">
    <cfRule type="cellIs" priority="106" stopIfTrue="1" operator="lessThan">
      <formula>10.237</formula>
    </cfRule>
  </conditionalFormatting>
  <conditionalFormatting sqref="L14:L16">
    <cfRule type="cellIs" dxfId="802" priority="83" operator="lessThan">
      <formula>0</formula>
    </cfRule>
    <cfRule type="cellIs" dxfId="801" priority="84" operator="lessThan">
      <formula>0</formula>
    </cfRule>
  </conditionalFormatting>
  <conditionalFormatting sqref="L3:L6">
    <cfRule type="cellIs" dxfId="800" priority="101" operator="lessThan">
      <formula>0</formula>
    </cfRule>
    <cfRule type="cellIs" dxfId="799" priority="102" operator="lessThan">
      <formula>0</formula>
    </cfRule>
  </conditionalFormatting>
  <conditionalFormatting sqref="L3:L6">
    <cfRule type="cellIs" priority="103" stopIfTrue="1" operator="lessThan">
      <formula>10.237</formula>
    </cfRule>
  </conditionalFormatting>
  <conditionalFormatting sqref="L7">
    <cfRule type="cellIs" dxfId="798" priority="98" operator="lessThan">
      <formula>0</formula>
    </cfRule>
    <cfRule type="cellIs" dxfId="797" priority="99" operator="lessThan">
      <formula>0</formula>
    </cfRule>
  </conditionalFormatting>
  <conditionalFormatting sqref="L7">
    <cfRule type="cellIs" priority="100" stopIfTrue="1" operator="lessThan">
      <formula>10.237</formula>
    </cfRule>
  </conditionalFormatting>
  <conditionalFormatting sqref="L8">
    <cfRule type="cellIs" dxfId="796" priority="95" operator="lessThan">
      <formula>0</formula>
    </cfRule>
    <cfRule type="cellIs" dxfId="795" priority="96" operator="lessThan">
      <formula>0</formula>
    </cfRule>
  </conditionalFormatting>
  <conditionalFormatting sqref="L8">
    <cfRule type="cellIs" priority="97" stopIfTrue="1" operator="lessThan">
      <formula>10.237</formula>
    </cfRule>
  </conditionalFormatting>
  <conditionalFormatting sqref="L9:L10">
    <cfRule type="cellIs" dxfId="794" priority="92" operator="lessThan">
      <formula>0</formula>
    </cfRule>
    <cfRule type="cellIs" dxfId="793" priority="93" operator="lessThan">
      <formula>0</formula>
    </cfRule>
  </conditionalFormatting>
  <conditionalFormatting sqref="L9:L10">
    <cfRule type="cellIs" priority="94" stopIfTrue="1" operator="lessThan">
      <formula>10.237</formula>
    </cfRule>
  </conditionalFormatting>
  <conditionalFormatting sqref="L11:L12">
    <cfRule type="cellIs" dxfId="792" priority="89" operator="lessThan">
      <formula>0</formula>
    </cfRule>
    <cfRule type="cellIs" dxfId="791" priority="90" operator="lessThan">
      <formula>0</formula>
    </cfRule>
  </conditionalFormatting>
  <conditionalFormatting sqref="L11:L12">
    <cfRule type="cellIs" priority="91" stopIfTrue="1" operator="lessThan">
      <formula>10.237</formula>
    </cfRule>
  </conditionalFormatting>
  <conditionalFormatting sqref="L13">
    <cfRule type="cellIs" dxfId="790" priority="86" operator="lessThan">
      <formula>0</formula>
    </cfRule>
    <cfRule type="cellIs" dxfId="789" priority="87" operator="lessThan">
      <formula>0</formula>
    </cfRule>
  </conditionalFormatting>
  <conditionalFormatting sqref="L13">
    <cfRule type="cellIs" priority="88" stopIfTrue="1" operator="lessThan">
      <formula>10.237</formula>
    </cfRule>
  </conditionalFormatting>
  <conditionalFormatting sqref="L14:L16">
    <cfRule type="cellIs" priority="85" stopIfTrue="1" operator="lessThan">
      <formula>10.237</formula>
    </cfRule>
  </conditionalFormatting>
  <conditionalFormatting sqref="L39:L53">
    <cfRule type="cellIs" dxfId="788" priority="77" operator="lessThan">
      <formula>0</formula>
    </cfRule>
    <cfRule type="cellIs" dxfId="787" priority="78" operator="lessThan">
      <formula>0</formula>
    </cfRule>
  </conditionalFormatting>
  <conditionalFormatting sqref="L39:L53">
    <cfRule type="cellIs" priority="79" stopIfTrue="1" operator="lessThan">
      <formula>10.237</formula>
    </cfRule>
  </conditionalFormatting>
  <conditionalFormatting sqref="L57:L71">
    <cfRule type="cellIs" dxfId="786" priority="74" operator="lessThan">
      <formula>0</formula>
    </cfRule>
    <cfRule type="cellIs" dxfId="785" priority="75" operator="lessThan">
      <formula>0</formula>
    </cfRule>
  </conditionalFormatting>
  <conditionalFormatting sqref="L57:L71">
    <cfRule type="cellIs" priority="76" stopIfTrue="1" operator="lessThan">
      <formula>10.237</formula>
    </cfRule>
  </conditionalFormatting>
  <conditionalFormatting sqref="Y108:Z108">
    <cfRule type="cellIs" priority="73" stopIfTrue="1" operator="lessThan">
      <formula>10.237</formula>
    </cfRule>
  </conditionalFormatting>
  <conditionalFormatting sqref="AK108">
    <cfRule type="cellIs" priority="72" stopIfTrue="1" operator="lessThan">
      <formula>10.237</formula>
    </cfRule>
  </conditionalFormatting>
  <conditionalFormatting sqref="AL108">
    <cfRule type="cellIs" priority="71" stopIfTrue="1" operator="lessThan">
      <formula>10.237</formula>
    </cfRule>
  </conditionalFormatting>
  <conditionalFormatting sqref="AK108:AL108">
    <cfRule type="cellIs" dxfId="784" priority="69" operator="lessThan">
      <formula>0</formula>
    </cfRule>
    <cfRule type="cellIs" dxfId="783" priority="70" operator="lessThan">
      <formula>0</formula>
    </cfRule>
  </conditionalFormatting>
  <conditionalFormatting sqref="AA108">
    <cfRule type="cellIs" priority="68" stopIfTrue="1" operator="lessThan">
      <formula>10.237</formula>
    </cfRule>
  </conditionalFormatting>
  <conditionalFormatting sqref="AD108">
    <cfRule type="cellIs" priority="67" stopIfTrue="1" operator="lessThan">
      <formula>10.237</formula>
    </cfRule>
  </conditionalFormatting>
  <conditionalFormatting sqref="L75:L90">
    <cfRule type="cellIs" dxfId="782" priority="64" operator="lessThan">
      <formula>0</formula>
    </cfRule>
    <cfRule type="cellIs" dxfId="781" priority="65" operator="lessThan">
      <formula>0</formula>
    </cfRule>
  </conditionalFormatting>
  <conditionalFormatting sqref="L75:L90">
    <cfRule type="cellIs" priority="66" stopIfTrue="1" operator="lessThan">
      <formula>10.237</formula>
    </cfRule>
  </conditionalFormatting>
  <conditionalFormatting sqref="L94:L109">
    <cfRule type="cellIs" dxfId="780" priority="61" operator="lessThan">
      <formula>0</formula>
    </cfRule>
    <cfRule type="cellIs" dxfId="779" priority="62" operator="lessThan">
      <formula>0</formula>
    </cfRule>
  </conditionalFormatting>
  <conditionalFormatting sqref="L94:L109">
    <cfRule type="cellIs" priority="63" stopIfTrue="1" operator="lessThan">
      <formula>10.237</formula>
    </cfRule>
  </conditionalFormatting>
  <conditionalFormatting sqref="Y125:Z125">
    <cfRule type="cellIs" priority="60" stopIfTrue="1" operator="lessThan">
      <formula>10.237</formula>
    </cfRule>
  </conditionalFormatting>
  <conditionalFormatting sqref="Y126:Z126">
    <cfRule type="cellIs" priority="59" stopIfTrue="1" operator="lessThan">
      <formula>10.237</formula>
    </cfRule>
  </conditionalFormatting>
  <conditionalFormatting sqref="AK125:AK126">
    <cfRule type="cellIs" priority="58" stopIfTrue="1" operator="lessThan">
      <formula>10.237</formula>
    </cfRule>
  </conditionalFormatting>
  <conditionalFormatting sqref="AL125:AL126">
    <cfRule type="cellIs" priority="57" stopIfTrue="1" operator="lessThan">
      <formula>10.237</formula>
    </cfRule>
  </conditionalFormatting>
  <conditionalFormatting sqref="AK125:AL126">
    <cfRule type="cellIs" dxfId="778" priority="55" operator="lessThan">
      <formula>0</formula>
    </cfRule>
    <cfRule type="cellIs" dxfId="777" priority="56" operator="lessThan">
      <formula>0</formula>
    </cfRule>
  </conditionalFormatting>
  <conditionalFormatting sqref="AA125:AA126">
    <cfRule type="cellIs" priority="54" stopIfTrue="1" operator="lessThan">
      <formula>10.237</formula>
    </cfRule>
  </conditionalFormatting>
  <conditionalFormatting sqref="AD125:AD126">
    <cfRule type="cellIs" priority="53" stopIfTrue="1" operator="lessThan">
      <formula>10.237</formula>
    </cfRule>
  </conditionalFormatting>
  <conditionalFormatting sqref="L113:L128">
    <cfRule type="cellIs" dxfId="776" priority="50" operator="lessThan">
      <formula>0</formula>
    </cfRule>
    <cfRule type="cellIs" dxfId="775" priority="51" operator="lessThan">
      <formula>0</formula>
    </cfRule>
  </conditionalFormatting>
  <conditionalFormatting sqref="L113:L128">
    <cfRule type="cellIs" priority="52" stopIfTrue="1" operator="lessThan">
      <formula>10.237</formula>
    </cfRule>
  </conditionalFormatting>
  <conditionalFormatting sqref="Y146:Z146">
    <cfRule type="cellIs" priority="49" stopIfTrue="1" operator="lessThan">
      <formula>10.237</formula>
    </cfRule>
  </conditionalFormatting>
  <conditionalFormatting sqref="Y145:Z145">
    <cfRule type="cellIs" priority="48" stopIfTrue="1" operator="lessThan">
      <formula>10.237</formula>
    </cfRule>
  </conditionalFormatting>
  <conditionalFormatting sqref="AK145:AK146">
    <cfRule type="cellIs" priority="47" stopIfTrue="1" operator="lessThan">
      <formula>10.237</formula>
    </cfRule>
  </conditionalFormatting>
  <conditionalFormatting sqref="AL145:AL146">
    <cfRule type="cellIs" priority="46" stopIfTrue="1" operator="lessThan">
      <formula>10.237</formula>
    </cfRule>
  </conditionalFormatting>
  <conditionalFormatting sqref="AK145:AL146">
    <cfRule type="cellIs" dxfId="774" priority="44" operator="lessThan">
      <formula>0</formula>
    </cfRule>
    <cfRule type="cellIs" dxfId="773" priority="45" operator="lessThan">
      <formula>0</formula>
    </cfRule>
  </conditionalFormatting>
  <conditionalFormatting sqref="AA145:AA146">
    <cfRule type="cellIs" priority="43" stopIfTrue="1" operator="lessThan">
      <formula>10.237</formula>
    </cfRule>
  </conditionalFormatting>
  <conditionalFormatting sqref="AD145:AD146">
    <cfRule type="cellIs" priority="42" stopIfTrue="1" operator="lessThan">
      <formula>10.237</formula>
    </cfRule>
  </conditionalFormatting>
  <conditionalFormatting sqref="L132:L147">
    <cfRule type="cellIs" dxfId="772" priority="39" operator="lessThan">
      <formula>0</formula>
    </cfRule>
    <cfRule type="cellIs" dxfId="771" priority="40" operator="lessThan">
      <formula>0</formula>
    </cfRule>
  </conditionalFormatting>
  <conditionalFormatting sqref="L132:L147">
    <cfRule type="cellIs" priority="41" stopIfTrue="1" operator="lessThan">
      <formula>10.237</formula>
    </cfRule>
  </conditionalFormatting>
  <conditionalFormatting sqref="L151:L165">
    <cfRule type="cellIs" dxfId="770" priority="36" operator="lessThan">
      <formula>0</formula>
    </cfRule>
    <cfRule type="cellIs" dxfId="769" priority="37" operator="lessThan">
      <formula>0</formula>
    </cfRule>
  </conditionalFormatting>
  <conditionalFormatting sqref="L151:L165">
    <cfRule type="cellIs" priority="38" stopIfTrue="1" operator="lessThan">
      <formula>10.237</formula>
    </cfRule>
  </conditionalFormatting>
  <conditionalFormatting sqref="L169:L183">
    <cfRule type="cellIs" dxfId="768" priority="33" operator="lessThan">
      <formula>0</formula>
    </cfRule>
    <cfRule type="cellIs" dxfId="767" priority="34" operator="lessThan">
      <formula>0</formula>
    </cfRule>
  </conditionalFormatting>
  <conditionalFormatting sqref="L169:L183">
    <cfRule type="cellIs" priority="35" stopIfTrue="1" operator="lessThan">
      <formula>10.237</formula>
    </cfRule>
  </conditionalFormatting>
  <conditionalFormatting sqref="L187:L201">
    <cfRule type="cellIs" dxfId="766" priority="30" operator="lessThan">
      <formula>0</formula>
    </cfRule>
    <cfRule type="cellIs" dxfId="765" priority="31" operator="lessThan">
      <formula>0</formula>
    </cfRule>
  </conditionalFormatting>
  <conditionalFormatting sqref="L187:L201">
    <cfRule type="cellIs" priority="32" stopIfTrue="1" operator="lessThan">
      <formula>10.237</formula>
    </cfRule>
  </conditionalFormatting>
  <conditionalFormatting sqref="L243:L257">
    <cfRule type="cellIs" dxfId="764" priority="27" operator="lessThan">
      <formula>0</formula>
    </cfRule>
    <cfRule type="cellIs" dxfId="763" priority="28" operator="lessThan">
      <formula>0</formula>
    </cfRule>
  </conditionalFormatting>
  <conditionalFormatting sqref="L243:L257">
    <cfRule type="cellIs" priority="29" stopIfTrue="1" operator="lessThan">
      <formula>10.237</formula>
    </cfRule>
  </conditionalFormatting>
  <conditionalFormatting sqref="Y219:Z219">
    <cfRule type="cellIs" priority="26" stopIfTrue="1" operator="lessThan">
      <formula>10.237</formula>
    </cfRule>
  </conditionalFormatting>
  <conditionalFormatting sqref="AK219">
    <cfRule type="cellIs" priority="25" stopIfTrue="1" operator="lessThan">
      <formula>10.237</formula>
    </cfRule>
  </conditionalFormatting>
  <conditionalFormatting sqref="AL219">
    <cfRule type="cellIs" priority="24" stopIfTrue="1" operator="lessThan">
      <formula>10.237</formula>
    </cfRule>
  </conditionalFormatting>
  <conditionalFormatting sqref="AK219:AL219">
    <cfRule type="cellIs" dxfId="762" priority="22" operator="lessThan">
      <formula>0</formula>
    </cfRule>
    <cfRule type="cellIs" dxfId="761" priority="23" operator="lessThan">
      <formula>0</formula>
    </cfRule>
  </conditionalFormatting>
  <conditionalFormatting sqref="AA219">
    <cfRule type="cellIs" priority="21" stopIfTrue="1" operator="lessThan">
      <formula>10.237</formula>
    </cfRule>
  </conditionalFormatting>
  <conditionalFormatting sqref="AD219">
    <cfRule type="cellIs" priority="20" stopIfTrue="1" operator="lessThan">
      <formula>10.237</formula>
    </cfRule>
  </conditionalFormatting>
  <conditionalFormatting sqref="L205:L220">
    <cfRule type="cellIs" dxfId="760" priority="17" operator="lessThan">
      <formula>0</formula>
    </cfRule>
    <cfRule type="cellIs" dxfId="759" priority="18" operator="lessThan">
      <formula>0</formula>
    </cfRule>
  </conditionalFormatting>
  <conditionalFormatting sqref="L205:L220">
    <cfRule type="cellIs" priority="19" stopIfTrue="1" operator="lessThan">
      <formula>10.237</formula>
    </cfRule>
  </conditionalFormatting>
  <conditionalFormatting sqref="Y238:Z238">
    <cfRule type="cellIs" priority="16" stopIfTrue="1" operator="lessThan">
      <formula>10.237</formula>
    </cfRule>
  </conditionalFormatting>
  <conditionalFormatting sqref="AK238">
    <cfRule type="cellIs" priority="15" stopIfTrue="1" operator="lessThan">
      <formula>10.237</formula>
    </cfRule>
  </conditionalFormatting>
  <conditionalFormatting sqref="AL238">
    <cfRule type="cellIs" priority="14" stopIfTrue="1" operator="lessThan">
      <formula>10.237</formula>
    </cfRule>
  </conditionalFormatting>
  <conditionalFormatting sqref="AK238:AL238">
    <cfRule type="cellIs" dxfId="758" priority="12" operator="lessThan">
      <formula>0</formula>
    </cfRule>
    <cfRule type="cellIs" dxfId="757" priority="13" operator="lessThan">
      <formula>0</formula>
    </cfRule>
  </conditionalFormatting>
  <conditionalFormatting sqref="AA238">
    <cfRule type="cellIs" priority="11" stopIfTrue="1" operator="lessThan">
      <formula>10.237</formula>
    </cfRule>
  </conditionalFormatting>
  <conditionalFormatting sqref="AD238">
    <cfRule type="cellIs" priority="10" stopIfTrue="1" operator="lessThan">
      <formula>10.237</formula>
    </cfRule>
  </conditionalFormatting>
  <conditionalFormatting sqref="L224:L239">
    <cfRule type="cellIs" dxfId="756" priority="7" operator="lessThan">
      <formula>0</formula>
    </cfRule>
    <cfRule type="cellIs" dxfId="755" priority="8" operator="lessThan">
      <formula>0</formula>
    </cfRule>
  </conditionalFormatting>
  <conditionalFormatting sqref="L224:L239">
    <cfRule type="cellIs" priority="9" stopIfTrue="1" operator="lessThan">
      <formula>10.237</formula>
    </cfRule>
  </conditionalFormatting>
  <conditionalFormatting sqref="L261:L275">
    <cfRule type="cellIs" dxfId="754" priority="4" operator="lessThan">
      <formula>0</formula>
    </cfRule>
    <cfRule type="cellIs" dxfId="753" priority="5" operator="lessThan">
      <formula>0</formula>
    </cfRule>
  </conditionalFormatting>
  <conditionalFormatting sqref="L261:L275">
    <cfRule type="cellIs" priority="6" stopIfTrue="1" operator="lessThan">
      <formula>10.237</formula>
    </cfRule>
  </conditionalFormatting>
  <conditionalFormatting sqref="AK29:AL29">
    <cfRule type="cellIs" priority="3" stopIfTrue="1" operator="lessThan">
      <formula>10.237</formula>
    </cfRule>
  </conditionalFormatting>
  <conditionalFormatting sqref="AK29:AL29">
    <cfRule type="cellIs" dxfId="752" priority="1" operator="lessThan">
      <formula>0</formula>
    </cfRule>
    <cfRule type="cellIs" dxfId="751" priority="2" operator="lessThan">
      <formula>0</formula>
    </cfRule>
  </conditionalFormatting>
  <pageMargins left="0.75" right="0.75" top="1" bottom="1" header="0.5" footer="0.5"/>
  <pageSetup orientation="portrait" horizontalDpi="4294967293"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434"/>
  <sheetViews>
    <sheetView topLeftCell="A30" zoomScale="80" zoomScaleNormal="80" workbookViewId="0">
      <selection activeCell="B55" sqref="B55:X55"/>
    </sheetView>
  </sheetViews>
  <sheetFormatPr defaultRowHeight="12.75" customHeight="1" x14ac:dyDescent="0.2"/>
  <cols>
    <col min="1" max="1" width="3.7109375" style="73" bestFit="1" customWidth="1"/>
    <col min="2" max="2" width="17.140625" style="17" bestFit="1" customWidth="1"/>
    <col min="3" max="3" width="6.7109375" style="43" bestFit="1" customWidth="1"/>
    <col min="4" max="4" width="3.42578125" style="17" bestFit="1" customWidth="1"/>
    <col min="5" max="5" width="3.42578125" style="68" bestFit="1" customWidth="1"/>
    <col min="6" max="6" width="7" style="68" bestFit="1" customWidth="1"/>
    <col min="7" max="7" width="3.42578125" style="17" bestFit="1" customWidth="1"/>
    <col min="8" max="8" width="3.85546875" style="43" bestFit="1" customWidth="1"/>
    <col min="9" max="9" width="4.140625" style="17" bestFit="1" customWidth="1"/>
    <col min="10" max="10" width="5.140625" style="215" bestFit="1" customWidth="1"/>
    <col min="11" max="11" width="3.85546875" style="43" bestFit="1" customWidth="1"/>
    <col min="12" max="12" width="5.28515625" style="68" bestFit="1" customWidth="1"/>
    <col min="13" max="13" width="7.140625" style="17" bestFit="1" customWidth="1"/>
    <col min="14" max="15" width="4.42578125" style="17" bestFit="1" customWidth="1"/>
    <col min="16" max="16" width="4.42578125" style="43" bestFit="1" customWidth="1"/>
    <col min="17" max="18" width="3.7109375" style="43" bestFit="1" customWidth="1"/>
    <col min="19" max="19" width="4.28515625" style="43" bestFit="1" customWidth="1"/>
    <col min="20" max="20" width="4.42578125" style="43" bestFit="1" customWidth="1"/>
    <col min="21" max="21" width="4.85546875" style="16" bestFit="1" customWidth="1"/>
    <col min="22" max="22" width="6" style="17" bestFit="1" customWidth="1"/>
    <col min="23" max="23" width="6" style="43" bestFit="1" customWidth="1"/>
    <col min="24" max="24" width="6" style="16" bestFit="1" customWidth="1"/>
    <col min="25" max="25" width="3.7109375" style="16" bestFit="1" customWidth="1"/>
    <col min="26" max="26" width="17.140625" style="16" bestFit="1" customWidth="1"/>
    <col min="27" max="27" width="6.7109375" style="43" bestFit="1" customWidth="1"/>
    <col min="28" max="28" width="3.7109375" style="17" bestFit="1" customWidth="1"/>
    <col min="29" max="29" width="4.28515625" style="43" bestFit="1" customWidth="1"/>
    <col min="30" max="30" width="3.7109375" style="43" bestFit="1" customWidth="1"/>
    <col min="31" max="31" width="5" style="43" bestFit="1" customWidth="1"/>
    <col min="32" max="32" width="5.7109375" style="43" bestFit="1" customWidth="1"/>
    <col min="33" max="34" width="4.42578125" style="43" bestFit="1" customWidth="1"/>
    <col min="35" max="35" width="4.28515625" style="43" bestFit="1" customWidth="1"/>
    <col min="36" max="36" width="3.7109375" style="43" bestFit="1" customWidth="1"/>
    <col min="37" max="37" width="3.7109375" style="16" bestFit="1" customWidth="1"/>
    <col min="38" max="38" width="3.85546875" style="16" bestFit="1" customWidth="1"/>
    <col min="39" max="39" width="3.7109375" style="16" bestFit="1" customWidth="1"/>
    <col min="40" max="40" width="5.5703125" style="203" bestFit="1" customWidth="1"/>
    <col min="41" max="41" width="6.7109375" style="17" bestFit="1" customWidth="1"/>
    <col min="42" max="42" width="7" style="17" bestFit="1" customWidth="1"/>
    <col min="43" max="43" width="8" style="17" bestFit="1" customWidth="1"/>
    <col min="44" max="44" width="6" style="17" bestFit="1" customWidth="1"/>
    <col min="45" max="51" width="6" style="43" bestFit="1" customWidth="1"/>
    <col min="52" max="52" width="8.28515625" style="43" bestFit="1" customWidth="1"/>
    <col min="53" max="53" width="9.85546875" style="43" bestFit="1" customWidth="1"/>
    <col min="54" max="54" width="9.28515625" style="43" bestFit="1" customWidth="1"/>
    <col min="55" max="55" width="10.5703125" style="43" bestFit="1" customWidth="1"/>
    <col min="56" max="16384" width="9.140625" style="43"/>
  </cols>
  <sheetData>
    <row r="1" spans="1:51" s="42" customFormat="1" ht="12.75" customHeight="1" x14ac:dyDescent="0.2">
      <c r="B1" s="19"/>
      <c r="C1" s="43"/>
      <c r="D1" s="43"/>
      <c r="E1" s="43"/>
      <c r="F1" s="17"/>
      <c r="G1" s="43"/>
      <c r="H1" s="17"/>
      <c r="I1" s="68"/>
      <c r="J1" s="43"/>
      <c r="K1" s="68"/>
      <c r="L1" s="68"/>
      <c r="M1" s="17"/>
      <c r="N1" s="17"/>
      <c r="O1" s="17"/>
      <c r="P1" s="43"/>
      <c r="Q1" s="43"/>
      <c r="R1" s="43"/>
      <c r="S1" s="43"/>
      <c r="T1" s="43"/>
      <c r="U1" s="16"/>
      <c r="V1" s="17"/>
      <c r="W1" s="16"/>
      <c r="X1" s="17"/>
      <c r="Y1" s="16"/>
      <c r="Z1" s="17"/>
      <c r="AA1" s="17"/>
      <c r="AB1" s="43"/>
      <c r="AC1" s="43"/>
      <c r="AD1" s="43"/>
      <c r="AE1" s="43"/>
      <c r="AF1" s="43"/>
      <c r="AG1" s="43"/>
      <c r="AH1" s="43"/>
      <c r="AI1" s="43"/>
      <c r="AJ1" s="43"/>
      <c r="AK1" s="43"/>
      <c r="AL1" s="43"/>
      <c r="AM1" s="43"/>
      <c r="AN1" s="16"/>
      <c r="AO1" s="16"/>
      <c r="AP1" s="16"/>
      <c r="AQ1" s="17"/>
      <c r="AR1" s="17"/>
      <c r="AS1" s="17"/>
      <c r="AT1" s="17"/>
      <c r="AU1" s="17"/>
      <c r="AV1" s="43"/>
      <c r="AW1" s="43"/>
      <c r="AX1" s="43"/>
      <c r="AY1" s="43"/>
    </row>
    <row r="2" spans="1:51" ht="12.75" customHeight="1" x14ac:dyDescent="0.2">
      <c r="A2" s="225" t="s">
        <v>105</v>
      </c>
      <c r="B2" s="225" t="s">
        <v>106</v>
      </c>
      <c r="C2" s="225" t="s">
        <v>157</v>
      </c>
      <c r="D2" s="225" t="s">
        <v>85</v>
      </c>
      <c r="E2" s="225" t="s">
        <v>86</v>
      </c>
      <c r="F2" s="225" t="s">
        <v>107</v>
      </c>
      <c r="G2" s="225" t="s">
        <v>108</v>
      </c>
      <c r="H2" s="225" t="s">
        <v>88</v>
      </c>
      <c r="I2" s="225" t="s">
        <v>89</v>
      </c>
      <c r="J2" s="225" t="s">
        <v>1073</v>
      </c>
      <c r="K2" s="225" t="s">
        <v>90</v>
      </c>
      <c r="L2" s="225" t="s">
        <v>158</v>
      </c>
      <c r="M2" s="225" t="s">
        <v>91</v>
      </c>
      <c r="N2" s="225" t="s">
        <v>92</v>
      </c>
      <c r="O2" s="225" t="s">
        <v>93</v>
      </c>
      <c r="P2" s="225" t="s">
        <v>94</v>
      </c>
      <c r="Q2" s="225" t="s">
        <v>95</v>
      </c>
      <c r="R2" s="225" t="s">
        <v>96</v>
      </c>
      <c r="S2" s="225" t="s">
        <v>98</v>
      </c>
      <c r="T2" s="225" t="s">
        <v>97</v>
      </c>
      <c r="U2" s="225" t="s">
        <v>109</v>
      </c>
      <c r="V2" s="225" t="s">
        <v>91</v>
      </c>
      <c r="W2" s="225" t="s">
        <v>1071</v>
      </c>
      <c r="X2" s="225" t="s">
        <v>1072</v>
      </c>
      <c r="Y2" s="225"/>
      <c r="Z2" s="225" t="s">
        <v>106</v>
      </c>
      <c r="AA2" s="225" t="s">
        <v>157</v>
      </c>
      <c r="AB2" s="225" t="s">
        <v>1074</v>
      </c>
      <c r="AC2" s="225" t="s">
        <v>98</v>
      </c>
      <c r="AD2" s="225" t="s">
        <v>1075</v>
      </c>
      <c r="AE2" s="225" t="s">
        <v>1076</v>
      </c>
      <c r="AF2" s="225" t="s">
        <v>1077</v>
      </c>
      <c r="AG2" s="225" t="s">
        <v>1066</v>
      </c>
      <c r="AH2" s="225" t="s">
        <v>1067</v>
      </c>
      <c r="AI2" s="225" t="s">
        <v>1078</v>
      </c>
      <c r="AJ2" s="225" t="s">
        <v>1079</v>
      </c>
      <c r="AK2" s="225" t="s">
        <v>1057</v>
      </c>
      <c r="AL2" s="225" t="s">
        <v>1058</v>
      </c>
      <c r="AM2" s="225" t="s">
        <v>1080</v>
      </c>
      <c r="AN2" s="225" t="s">
        <v>1069</v>
      </c>
      <c r="AO2" s="102" t="s">
        <v>157</v>
      </c>
      <c r="AP2" s="102" t="s">
        <v>1081</v>
      </c>
      <c r="AQ2" s="102" t="s">
        <v>1068</v>
      </c>
      <c r="AR2" s="102" t="s">
        <v>1059</v>
      </c>
      <c r="AS2" s="102" t="s">
        <v>1060</v>
      </c>
      <c r="AT2" s="102" t="s">
        <v>1061</v>
      </c>
      <c r="AU2" s="102" t="s">
        <v>1092</v>
      </c>
      <c r="AV2" s="102" t="s">
        <v>1093</v>
      </c>
      <c r="AW2" s="102" t="s">
        <v>1094</v>
      </c>
      <c r="AX2" s="102" t="s">
        <v>1095</v>
      </c>
      <c r="AY2" s="102" t="s">
        <v>1096</v>
      </c>
    </row>
    <row r="3" spans="1:51" ht="12.75" customHeight="1" x14ac:dyDescent="0.2">
      <c r="A3" s="76">
        <v>6</v>
      </c>
      <c r="B3" s="41" t="s">
        <v>1409</v>
      </c>
      <c r="C3" s="76" t="s">
        <v>159</v>
      </c>
      <c r="D3" s="76">
        <v>1</v>
      </c>
      <c r="E3" s="76">
        <v>2</v>
      </c>
      <c r="F3" s="76">
        <v>3.49</v>
      </c>
      <c r="G3" s="76">
        <v>68</v>
      </c>
      <c r="H3" s="76">
        <v>0</v>
      </c>
      <c r="I3" s="76">
        <v>0</v>
      </c>
      <c r="J3" s="76">
        <v>0</v>
      </c>
      <c r="K3" s="76">
        <v>4</v>
      </c>
      <c r="L3" s="76">
        <v>9</v>
      </c>
      <c r="M3" s="258">
        <f>INDEX('C-P-RollAdj'!$P$4:$P$900,MATCH((V3),'C-P-RollAdj'!$O$4:$O$900,FALSE),0)</f>
        <v>59.33</v>
      </c>
      <c r="N3" s="76">
        <v>47</v>
      </c>
      <c r="O3" s="76">
        <v>25</v>
      </c>
      <c r="P3" s="76">
        <v>23</v>
      </c>
      <c r="Q3" s="76">
        <v>6</v>
      </c>
      <c r="R3" s="76">
        <v>28</v>
      </c>
      <c r="S3" s="76">
        <v>4</v>
      </c>
      <c r="T3" s="76">
        <v>56</v>
      </c>
      <c r="U3" s="76">
        <v>250</v>
      </c>
      <c r="V3" s="76">
        <v>59.1</v>
      </c>
      <c r="W3" s="76">
        <v>0.218</v>
      </c>
      <c r="X3" s="76">
        <v>1.26</v>
      </c>
      <c r="Y3" s="76"/>
      <c r="Z3" t="s">
        <v>1409</v>
      </c>
      <c r="AA3" s="76" t="s">
        <v>159</v>
      </c>
      <c r="AB3" s="76">
        <v>3</v>
      </c>
      <c r="AC3" s="76">
        <v>4</v>
      </c>
      <c r="AD3" s="76">
        <v>12</v>
      </c>
      <c r="AE3" s="76">
        <v>8</v>
      </c>
      <c r="AF3" s="76">
        <v>4</v>
      </c>
      <c r="AG3" s="76">
        <v>56</v>
      </c>
      <c r="AH3" s="76">
        <v>60</v>
      </c>
      <c r="AI3" s="76">
        <v>4</v>
      </c>
      <c r="AJ3" s="76">
        <v>0</v>
      </c>
      <c r="AK3" s="76">
        <v>2</v>
      </c>
      <c r="AL3" s="76">
        <v>2</v>
      </c>
      <c r="AM3" s="76">
        <v>0</v>
      </c>
      <c r="AN3" s="76">
        <v>954</v>
      </c>
      <c r="AO3" s="202" t="s">
        <v>159</v>
      </c>
      <c r="AP3" s="202">
        <v>0.83299999999999996</v>
      </c>
      <c r="AQ3" s="202">
        <v>1.93</v>
      </c>
      <c r="AR3" s="202">
        <v>0.28699999999999998</v>
      </c>
      <c r="AS3" s="202">
        <v>0.3</v>
      </c>
      <c r="AT3" s="202">
        <v>0.58699999999999997</v>
      </c>
      <c r="AU3" s="202">
        <v>6.96</v>
      </c>
      <c r="AV3" s="202">
        <v>3.6</v>
      </c>
      <c r="AW3" s="202">
        <v>6.72</v>
      </c>
      <c r="AX3" s="202">
        <v>1.93</v>
      </c>
      <c r="AY3" s="202">
        <v>15.68</v>
      </c>
    </row>
    <row r="4" spans="1:51" ht="12.75" customHeight="1" x14ac:dyDescent="0.2">
      <c r="A4" s="76">
        <v>26</v>
      </c>
      <c r="B4" s="41" t="s">
        <v>1083</v>
      </c>
      <c r="C4" s="76" t="s">
        <v>159</v>
      </c>
      <c r="D4" s="76">
        <v>0</v>
      </c>
      <c r="E4" s="76">
        <v>2</v>
      </c>
      <c r="F4" s="76">
        <v>7.3</v>
      </c>
      <c r="G4" s="76">
        <v>26</v>
      </c>
      <c r="H4" s="76">
        <v>0</v>
      </c>
      <c r="I4" s="76">
        <v>0</v>
      </c>
      <c r="J4" s="76">
        <v>0</v>
      </c>
      <c r="K4" s="76">
        <v>0</v>
      </c>
      <c r="L4" s="76">
        <v>0</v>
      </c>
      <c r="M4" s="258">
        <f>INDEX('C-P-RollAdj'!$P$4:$P$900,MATCH((V4),'C-P-RollAdj'!$O$4:$O$900,FALSE),0)</f>
        <v>24.67</v>
      </c>
      <c r="N4" s="76">
        <v>31</v>
      </c>
      <c r="O4" s="76">
        <v>22</v>
      </c>
      <c r="P4" s="76">
        <v>20</v>
      </c>
      <c r="Q4" s="76">
        <v>7</v>
      </c>
      <c r="R4" s="76">
        <v>10</v>
      </c>
      <c r="S4" s="76">
        <v>1</v>
      </c>
      <c r="T4" s="76">
        <v>17</v>
      </c>
      <c r="U4" s="76">
        <v>119</v>
      </c>
      <c r="V4" s="76">
        <v>24.2</v>
      </c>
      <c r="W4" s="76">
        <v>0.29499999999999998</v>
      </c>
      <c r="X4" s="76">
        <v>1.66</v>
      </c>
      <c r="Y4" s="76"/>
      <c r="Z4" t="s">
        <v>1083</v>
      </c>
      <c r="AA4" s="76" t="s">
        <v>159</v>
      </c>
      <c r="AB4" s="76">
        <v>3</v>
      </c>
      <c r="AC4" s="76">
        <v>1</v>
      </c>
      <c r="AD4" s="76">
        <v>11</v>
      </c>
      <c r="AE4" s="76">
        <v>0</v>
      </c>
      <c r="AF4" s="76">
        <v>2</v>
      </c>
      <c r="AG4" s="76">
        <v>16</v>
      </c>
      <c r="AH4" s="76">
        <v>42</v>
      </c>
      <c r="AI4" s="76">
        <v>3</v>
      </c>
      <c r="AJ4" s="76">
        <v>0</v>
      </c>
      <c r="AK4" s="76">
        <v>0</v>
      </c>
      <c r="AL4" s="76">
        <v>0</v>
      </c>
      <c r="AM4" s="76">
        <v>0</v>
      </c>
      <c r="AN4" s="76">
        <v>463</v>
      </c>
      <c r="AO4" s="202" t="s">
        <v>159</v>
      </c>
      <c r="AP4" s="202">
        <v>0.5</v>
      </c>
      <c r="AQ4" s="202">
        <v>1.37</v>
      </c>
      <c r="AR4" s="202">
        <v>0.38300000000000001</v>
      </c>
      <c r="AS4" s="202">
        <v>0.58499999999999996</v>
      </c>
      <c r="AT4" s="202">
        <v>0.96799999999999997</v>
      </c>
      <c r="AU4" s="202">
        <v>4.9400000000000004</v>
      </c>
      <c r="AV4" s="202">
        <v>5.81</v>
      </c>
      <c r="AW4" s="202">
        <v>9.2899999999999991</v>
      </c>
      <c r="AX4" s="202">
        <v>0.85</v>
      </c>
      <c r="AY4" s="202">
        <v>16.68</v>
      </c>
    </row>
    <row r="5" spans="1:51" ht="12.75" customHeight="1" x14ac:dyDescent="0.2">
      <c r="A5" s="76">
        <v>15</v>
      </c>
      <c r="B5" s="41" t="s">
        <v>1090</v>
      </c>
      <c r="C5" s="76" t="s">
        <v>159</v>
      </c>
      <c r="D5" s="76">
        <v>8</v>
      </c>
      <c r="E5" s="76">
        <v>9</v>
      </c>
      <c r="F5" s="76">
        <v>5.0199999999999996</v>
      </c>
      <c r="G5" s="76">
        <v>26</v>
      </c>
      <c r="H5" s="76">
        <v>26</v>
      </c>
      <c r="I5" s="76">
        <v>0</v>
      </c>
      <c r="J5" s="76">
        <v>0</v>
      </c>
      <c r="K5" s="76">
        <v>0</v>
      </c>
      <c r="L5" s="76">
        <v>0</v>
      </c>
      <c r="M5" s="258">
        <f>INDEX('C-P-RollAdj'!$P$4:$P$900,MATCH((V5),'C-P-RollAdj'!$O$4:$O$900,FALSE),0)</f>
        <v>141.67000000000002</v>
      </c>
      <c r="N5" s="76">
        <v>154</v>
      </c>
      <c r="O5" s="76">
        <v>84</v>
      </c>
      <c r="P5" s="76">
        <v>79</v>
      </c>
      <c r="Q5" s="76">
        <v>16</v>
      </c>
      <c r="R5" s="76">
        <v>67</v>
      </c>
      <c r="S5" s="76">
        <v>8</v>
      </c>
      <c r="T5" s="76">
        <v>143</v>
      </c>
      <c r="U5" s="76">
        <v>638</v>
      </c>
      <c r="V5" s="76">
        <v>141.19999999999999</v>
      </c>
      <c r="W5" s="76">
        <v>0.27600000000000002</v>
      </c>
      <c r="X5" s="76">
        <v>1.56</v>
      </c>
      <c r="Y5" s="76"/>
      <c r="Z5" t="s">
        <v>1090</v>
      </c>
      <c r="AA5" s="76" t="s">
        <v>159</v>
      </c>
      <c r="AB5" s="76">
        <v>4</v>
      </c>
      <c r="AC5" s="76">
        <v>8</v>
      </c>
      <c r="AD5" s="76">
        <v>0</v>
      </c>
      <c r="AE5" s="76">
        <v>0</v>
      </c>
      <c r="AF5" s="76">
        <v>7</v>
      </c>
      <c r="AG5" s="76">
        <v>142</v>
      </c>
      <c r="AH5" s="76">
        <v>128</v>
      </c>
      <c r="AI5" s="76">
        <v>7</v>
      </c>
      <c r="AJ5" s="76">
        <v>2</v>
      </c>
      <c r="AK5" s="76">
        <v>12</v>
      </c>
      <c r="AL5" s="76">
        <v>5</v>
      </c>
      <c r="AM5" s="76">
        <v>0</v>
      </c>
      <c r="AN5" s="76">
        <v>2576</v>
      </c>
      <c r="AO5" s="202" t="s">
        <v>159</v>
      </c>
      <c r="AP5" s="202">
        <v>0.57099999999999995</v>
      </c>
      <c r="AQ5" s="202">
        <v>0.91</v>
      </c>
      <c r="AR5" s="202">
        <v>0.308</v>
      </c>
      <c r="AS5" s="202">
        <v>0.38300000000000001</v>
      </c>
      <c r="AT5" s="202">
        <v>0.69099999999999995</v>
      </c>
      <c r="AU5" s="202">
        <v>9.44</v>
      </c>
      <c r="AV5" s="202">
        <v>3.33</v>
      </c>
      <c r="AW5" s="202">
        <v>8.51</v>
      </c>
      <c r="AX5" s="202">
        <v>2.84</v>
      </c>
      <c r="AY5" s="202">
        <v>17.14</v>
      </c>
    </row>
    <row r="6" spans="1:51" ht="12.75" customHeight="1" x14ac:dyDescent="0.2">
      <c r="A6" s="76">
        <v>19</v>
      </c>
      <c r="B6" s="41" t="s">
        <v>1088</v>
      </c>
      <c r="C6" s="76" t="s">
        <v>159</v>
      </c>
      <c r="D6" s="76">
        <v>1</v>
      </c>
      <c r="E6" s="76">
        <v>2</v>
      </c>
      <c r="F6" s="76">
        <v>5.66</v>
      </c>
      <c r="G6" s="76">
        <v>43</v>
      </c>
      <c r="H6" s="76">
        <v>0</v>
      </c>
      <c r="I6" s="76">
        <v>0</v>
      </c>
      <c r="J6" s="76">
        <v>0</v>
      </c>
      <c r="K6" s="76">
        <v>1</v>
      </c>
      <c r="L6" s="76">
        <v>4</v>
      </c>
      <c r="M6" s="258">
        <f>INDEX('C-P-RollAdj'!$P$4:$P$900,MATCH((V6),'C-P-RollAdj'!$O$4:$O$900,FALSE),0)</f>
        <v>41.33</v>
      </c>
      <c r="N6" s="76">
        <v>38</v>
      </c>
      <c r="O6" s="76">
        <v>27</v>
      </c>
      <c r="P6" s="76">
        <v>26</v>
      </c>
      <c r="Q6" s="76">
        <v>5</v>
      </c>
      <c r="R6" s="76">
        <v>23</v>
      </c>
      <c r="S6" s="76">
        <v>5</v>
      </c>
      <c r="T6" s="76">
        <v>43</v>
      </c>
      <c r="U6" s="76">
        <v>178</v>
      </c>
      <c r="V6" s="76">
        <v>41.1</v>
      </c>
      <c r="W6" s="76">
        <v>0.253</v>
      </c>
      <c r="X6" s="76">
        <v>1.48</v>
      </c>
      <c r="Y6" s="76"/>
      <c r="Z6" t="s">
        <v>1088</v>
      </c>
      <c r="AA6" s="76" t="s">
        <v>159</v>
      </c>
      <c r="AB6" s="76">
        <v>1</v>
      </c>
      <c r="AC6" s="76">
        <v>5</v>
      </c>
      <c r="AD6" s="76">
        <v>16</v>
      </c>
      <c r="AE6" s="76">
        <v>7</v>
      </c>
      <c r="AF6" s="76">
        <v>5</v>
      </c>
      <c r="AG6" s="76">
        <v>40</v>
      </c>
      <c r="AH6" s="76">
        <v>33</v>
      </c>
      <c r="AI6" s="76">
        <v>5</v>
      </c>
      <c r="AJ6" s="76">
        <v>1</v>
      </c>
      <c r="AK6" s="76">
        <v>5</v>
      </c>
      <c r="AL6" s="76">
        <v>0</v>
      </c>
      <c r="AM6" s="76">
        <v>0</v>
      </c>
      <c r="AN6" s="76">
        <v>734</v>
      </c>
      <c r="AO6" s="202" t="s">
        <v>159</v>
      </c>
      <c r="AP6" s="202">
        <v>0.66700000000000004</v>
      </c>
      <c r="AQ6" s="202">
        <v>0.96</v>
      </c>
      <c r="AR6" s="202">
        <v>0.315</v>
      </c>
      <c r="AS6" s="202">
        <v>0.313</v>
      </c>
      <c r="AT6" s="202">
        <v>0.627</v>
      </c>
      <c r="AU6" s="202">
        <v>11.48</v>
      </c>
      <c r="AV6" s="202">
        <v>3.41</v>
      </c>
      <c r="AW6" s="202">
        <v>7.76</v>
      </c>
      <c r="AX6" s="202">
        <v>3.36</v>
      </c>
      <c r="AY6" s="202">
        <v>17.829999999999998</v>
      </c>
    </row>
    <row r="7" spans="1:51" ht="12.75" customHeight="1" x14ac:dyDescent="0.2">
      <c r="A7" s="76">
        <v>3</v>
      </c>
      <c r="B7" s="73" t="s">
        <v>1407</v>
      </c>
      <c r="C7" s="76" t="s">
        <v>159</v>
      </c>
      <c r="D7" s="76">
        <v>0</v>
      </c>
      <c r="E7" s="76">
        <v>0</v>
      </c>
      <c r="F7" s="76">
        <v>2.08</v>
      </c>
      <c r="G7" s="76">
        <v>3</v>
      </c>
      <c r="H7" s="76">
        <v>0</v>
      </c>
      <c r="I7" s="76">
        <v>0</v>
      </c>
      <c r="J7" s="76">
        <v>0</v>
      </c>
      <c r="K7" s="76">
        <v>0</v>
      </c>
      <c r="L7" s="76">
        <v>0</v>
      </c>
      <c r="M7" s="258">
        <f>INDEX('C-P-RollAdj'!$P$4:$P$900,MATCH((V7),'C-P-RollAdj'!$O$4:$O$900,FALSE),0)</f>
        <v>4.33</v>
      </c>
      <c r="N7" s="76">
        <v>2</v>
      </c>
      <c r="O7" s="76">
        <v>1</v>
      </c>
      <c r="P7" s="76">
        <v>1</v>
      </c>
      <c r="Q7" s="76">
        <v>1</v>
      </c>
      <c r="R7" s="76">
        <v>1</v>
      </c>
      <c r="S7" s="76">
        <v>1</v>
      </c>
      <c r="T7" s="76">
        <v>3</v>
      </c>
      <c r="U7" s="76">
        <v>15</v>
      </c>
      <c r="V7" s="76">
        <v>4.0999999999999996</v>
      </c>
      <c r="W7" s="76">
        <v>0.14299999999999999</v>
      </c>
      <c r="X7" s="76">
        <v>0.69</v>
      </c>
      <c r="Y7" s="76"/>
      <c r="Z7" t="s">
        <v>1407</v>
      </c>
      <c r="AA7" s="76" t="s">
        <v>159</v>
      </c>
      <c r="AB7" s="76">
        <v>0</v>
      </c>
      <c r="AC7" s="76">
        <v>1</v>
      </c>
      <c r="AD7" s="76">
        <v>2</v>
      </c>
      <c r="AE7" s="76">
        <v>0</v>
      </c>
      <c r="AF7" s="76">
        <v>1</v>
      </c>
      <c r="AG7" s="76">
        <v>7</v>
      </c>
      <c r="AH7" s="76">
        <v>2</v>
      </c>
      <c r="AI7" s="76">
        <v>0</v>
      </c>
      <c r="AJ7" s="76">
        <v>0</v>
      </c>
      <c r="AK7" s="76">
        <v>1</v>
      </c>
      <c r="AL7" s="76">
        <v>0</v>
      </c>
      <c r="AM7" s="76">
        <v>0</v>
      </c>
      <c r="AN7" s="76">
        <v>64</v>
      </c>
      <c r="AO7" s="202" t="s">
        <v>159</v>
      </c>
      <c r="AP7" s="202">
        <v>0.4</v>
      </c>
      <c r="AQ7" s="202">
        <v>1.6</v>
      </c>
      <c r="AR7" s="202">
        <v>0.375</v>
      </c>
      <c r="AS7" s="202">
        <v>0.39300000000000002</v>
      </c>
      <c r="AT7" s="202">
        <v>0.76800000000000002</v>
      </c>
      <c r="AU7" s="202">
        <v>5.8</v>
      </c>
      <c r="AV7" s="202">
        <v>5.55</v>
      </c>
      <c r="AW7" s="202">
        <v>9.08</v>
      </c>
      <c r="AX7" s="202">
        <v>1.05</v>
      </c>
      <c r="AY7" s="202">
        <v>18.059999999999999</v>
      </c>
    </row>
    <row r="8" spans="1:51" ht="12.75" customHeight="1" x14ac:dyDescent="0.2">
      <c r="A8" s="76">
        <v>5</v>
      </c>
      <c r="B8" t="s">
        <v>1408</v>
      </c>
      <c r="C8" s="76" t="s">
        <v>159</v>
      </c>
      <c r="D8" s="76">
        <v>0</v>
      </c>
      <c r="E8" s="76">
        <v>0</v>
      </c>
      <c r="F8" s="76">
        <v>3.18</v>
      </c>
      <c r="G8" s="76">
        <v>1</v>
      </c>
      <c r="H8" s="76">
        <v>0</v>
      </c>
      <c r="I8" s="76">
        <v>0</v>
      </c>
      <c r="J8" s="76">
        <v>0</v>
      </c>
      <c r="K8" s="76">
        <v>0</v>
      </c>
      <c r="L8" s="76">
        <v>0</v>
      </c>
      <c r="M8" s="258">
        <f>INDEX('C-P-RollAdj'!$P$4:$P$900,MATCH((V8),'C-P-RollAdj'!$O$4:$O$900,FALSE),0)</f>
        <v>5.67</v>
      </c>
      <c r="N8" s="76">
        <v>4</v>
      </c>
      <c r="O8" s="76">
        <v>3</v>
      </c>
      <c r="P8" s="76">
        <v>2</v>
      </c>
      <c r="Q8" s="76">
        <v>2</v>
      </c>
      <c r="R8" s="76">
        <v>2</v>
      </c>
      <c r="S8" s="76">
        <v>0</v>
      </c>
      <c r="T8" s="76">
        <v>4</v>
      </c>
      <c r="U8" s="76">
        <v>24</v>
      </c>
      <c r="V8" s="76">
        <v>5.2</v>
      </c>
      <c r="W8" s="76">
        <v>0.182</v>
      </c>
      <c r="X8" s="76">
        <v>1.06</v>
      </c>
      <c r="Y8" s="76"/>
      <c r="Z8" t="s">
        <v>1408</v>
      </c>
      <c r="AA8" s="76" t="s">
        <v>159</v>
      </c>
      <c r="AB8" s="76">
        <v>0</v>
      </c>
      <c r="AC8" s="76">
        <v>0</v>
      </c>
      <c r="AD8" s="76">
        <v>0</v>
      </c>
      <c r="AE8" s="76">
        <v>0</v>
      </c>
      <c r="AF8" s="76">
        <v>0</v>
      </c>
      <c r="AG8" s="76">
        <v>5</v>
      </c>
      <c r="AH8" s="76">
        <v>9</v>
      </c>
      <c r="AI8" s="76">
        <v>0</v>
      </c>
      <c r="AJ8" s="76">
        <v>0</v>
      </c>
      <c r="AK8" s="76">
        <v>0</v>
      </c>
      <c r="AL8" s="76">
        <v>0</v>
      </c>
      <c r="AM8" s="76">
        <v>0</v>
      </c>
      <c r="AN8" s="76">
        <v>82</v>
      </c>
      <c r="AO8" s="202" t="s">
        <v>159</v>
      </c>
      <c r="AP8" s="202">
        <v>0.66700000000000004</v>
      </c>
      <c r="AQ8" s="202">
        <v>1.43</v>
      </c>
      <c r="AR8" s="202">
        <v>0.309</v>
      </c>
      <c r="AS8" s="202">
        <v>0.42</v>
      </c>
      <c r="AT8" s="202">
        <v>0.72899999999999998</v>
      </c>
      <c r="AU8" s="202">
        <v>7.09</v>
      </c>
      <c r="AV8" s="202">
        <v>3.38</v>
      </c>
      <c r="AW8" s="202">
        <v>8.1</v>
      </c>
      <c r="AX8" s="202">
        <v>2.1</v>
      </c>
      <c r="AY8" s="202">
        <v>15.98</v>
      </c>
    </row>
    <row r="9" spans="1:51" ht="12.75" customHeight="1" x14ac:dyDescent="0.2">
      <c r="A9" s="76">
        <v>23</v>
      </c>
      <c r="B9" s="41" t="s">
        <v>746</v>
      </c>
      <c r="C9" s="76" t="s">
        <v>159</v>
      </c>
      <c r="D9" s="76">
        <v>0</v>
      </c>
      <c r="E9" s="76">
        <v>1</v>
      </c>
      <c r="F9" s="76">
        <v>6.75</v>
      </c>
      <c r="G9" s="76">
        <v>32</v>
      </c>
      <c r="H9" s="76">
        <v>0</v>
      </c>
      <c r="I9" s="76">
        <v>0</v>
      </c>
      <c r="J9" s="76">
        <v>0</v>
      </c>
      <c r="K9" s="76">
        <v>0</v>
      </c>
      <c r="L9" s="76">
        <v>1</v>
      </c>
      <c r="M9" s="258">
        <f>INDEX('C-P-RollAdj'!$P$4:$P$900,MATCH((V9),'C-P-RollAdj'!$O$4:$O$900,FALSE),0)</f>
        <v>22.67</v>
      </c>
      <c r="N9" s="76">
        <v>22</v>
      </c>
      <c r="O9" s="76">
        <v>18</v>
      </c>
      <c r="P9" s="76">
        <v>17</v>
      </c>
      <c r="Q9" s="76">
        <v>1</v>
      </c>
      <c r="R9" s="76">
        <v>11</v>
      </c>
      <c r="S9" s="76">
        <v>1</v>
      </c>
      <c r="T9" s="76">
        <v>28</v>
      </c>
      <c r="U9" s="76">
        <v>98</v>
      </c>
      <c r="V9" s="76">
        <v>22.2</v>
      </c>
      <c r="W9" s="76">
        <v>0.25900000000000001</v>
      </c>
      <c r="X9" s="76">
        <v>1.46</v>
      </c>
      <c r="Y9" s="76"/>
      <c r="Z9" t="s">
        <v>746</v>
      </c>
      <c r="AA9" s="76" t="s">
        <v>159</v>
      </c>
      <c r="AB9" s="76">
        <v>1</v>
      </c>
      <c r="AC9" s="76">
        <v>1</v>
      </c>
      <c r="AD9" s="76">
        <v>1</v>
      </c>
      <c r="AE9" s="76">
        <v>6</v>
      </c>
      <c r="AF9" s="76">
        <v>5</v>
      </c>
      <c r="AG9" s="76">
        <v>21</v>
      </c>
      <c r="AH9" s="76">
        <v>15</v>
      </c>
      <c r="AI9" s="76">
        <v>2</v>
      </c>
      <c r="AJ9" s="76">
        <v>0</v>
      </c>
      <c r="AK9" s="76">
        <v>1</v>
      </c>
      <c r="AL9" s="76">
        <v>0</v>
      </c>
      <c r="AM9" s="76">
        <v>0</v>
      </c>
      <c r="AN9" s="76">
        <v>351</v>
      </c>
      <c r="AO9" s="202" t="s">
        <v>159</v>
      </c>
      <c r="AP9" s="202" t="s">
        <v>243</v>
      </c>
      <c r="AQ9" s="202">
        <v>1</v>
      </c>
      <c r="AR9" s="202">
        <v>0.35499999999999998</v>
      </c>
      <c r="AS9" s="202">
        <v>0.59299999999999997</v>
      </c>
      <c r="AT9" s="202">
        <v>0.94699999999999995</v>
      </c>
      <c r="AU9" s="202">
        <v>11.85</v>
      </c>
      <c r="AV9" s="202">
        <v>4.6100000000000003</v>
      </c>
      <c r="AW9" s="202">
        <v>9.2200000000000006</v>
      </c>
      <c r="AX9" s="202">
        <v>2.57</v>
      </c>
      <c r="AY9" s="202">
        <v>17.05</v>
      </c>
    </row>
    <row r="10" spans="1:51" ht="12.75" customHeight="1" x14ac:dyDescent="0.2">
      <c r="A10" s="76">
        <v>8</v>
      </c>
      <c r="B10" t="s">
        <v>474</v>
      </c>
      <c r="C10" s="76" t="s">
        <v>159</v>
      </c>
      <c r="D10" s="76">
        <v>2</v>
      </c>
      <c r="E10" s="76">
        <v>3</v>
      </c>
      <c r="F10" s="76">
        <v>4.3</v>
      </c>
      <c r="G10" s="76">
        <v>40</v>
      </c>
      <c r="H10" s="76">
        <v>0</v>
      </c>
      <c r="I10" s="76">
        <v>0</v>
      </c>
      <c r="J10" s="76">
        <v>0</v>
      </c>
      <c r="K10" s="76">
        <v>1</v>
      </c>
      <c r="L10" s="76">
        <v>3</v>
      </c>
      <c r="M10" s="258">
        <f>INDEX('C-P-RollAdj'!$P$4:$P$900,MATCH((V10),'C-P-RollAdj'!$O$4:$O$900,FALSE),0)</f>
        <v>37.67</v>
      </c>
      <c r="N10" s="76">
        <v>34</v>
      </c>
      <c r="O10" s="76">
        <v>18</v>
      </c>
      <c r="P10" s="76">
        <v>18</v>
      </c>
      <c r="Q10" s="76">
        <v>7</v>
      </c>
      <c r="R10" s="76">
        <v>15</v>
      </c>
      <c r="S10" s="76">
        <v>0</v>
      </c>
      <c r="T10" s="76">
        <v>46</v>
      </c>
      <c r="U10" s="76">
        <v>155</v>
      </c>
      <c r="V10" s="76">
        <v>37.200000000000003</v>
      </c>
      <c r="W10" s="76">
        <v>0.245</v>
      </c>
      <c r="X10" s="76">
        <v>1.3</v>
      </c>
      <c r="Y10" s="76"/>
      <c r="Z10" t="s">
        <v>474</v>
      </c>
      <c r="AA10" s="76" t="s">
        <v>159</v>
      </c>
      <c r="AB10" s="76">
        <v>0</v>
      </c>
      <c r="AC10" s="76">
        <v>0</v>
      </c>
      <c r="AD10" s="76">
        <v>10</v>
      </c>
      <c r="AE10" s="76">
        <v>13</v>
      </c>
      <c r="AF10" s="76">
        <v>1</v>
      </c>
      <c r="AG10" s="76">
        <v>24</v>
      </c>
      <c r="AH10" s="76">
        <v>36</v>
      </c>
      <c r="AI10" s="76">
        <v>1</v>
      </c>
      <c r="AJ10" s="76">
        <v>3</v>
      </c>
      <c r="AK10" s="76">
        <v>1</v>
      </c>
      <c r="AL10" s="76">
        <v>4</v>
      </c>
      <c r="AM10" s="76">
        <v>0</v>
      </c>
      <c r="AN10" s="76">
        <v>624</v>
      </c>
      <c r="AO10" s="202" t="s">
        <v>159</v>
      </c>
      <c r="AP10" s="202">
        <v>0.54500000000000004</v>
      </c>
      <c r="AQ10" s="202">
        <v>1.49</v>
      </c>
      <c r="AR10" s="202">
        <v>0.31</v>
      </c>
      <c r="AS10" s="202">
        <v>0.433</v>
      </c>
      <c r="AT10" s="202">
        <v>0.74299999999999999</v>
      </c>
      <c r="AU10" s="202">
        <v>8.26</v>
      </c>
      <c r="AV10" s="202">
        <v>1.8</v>
      </c>
      <c r="AW10" s="202">
        <v>9.64</v>
      </c>
      <c r="AX10" s="202">
        <v>4.59</v>
      </c>
      <c r="AY10" s="202">
        <v>14.75</v>
      </c>
    </row>
    <row r="11" spans="1:51" ht="12.75" customHeight="1" x14ac:dyDescent="0.2">
      <c r="A11" s="76">
        <v>12</v>
      </c>
      <c r="B11" t="s">
        <v>322</v>
      </c>
      <c r="C11" s="76" t="s">
        <v>159</v>
      </c>
      <c r="D11" s="76">
        <v>1</v>
      </c>
      <c r="E11" s="76">
        <v>0</v>
      </c>
      <c r="F11" s="76">
        <v>4.84</v>
      </c>
      <c r="G11" s="76">
        <v>15</v>
      </c>
      <c r="H11" s="76">
        <v>0</v>
      </c>
      <c r="I11" s="76">
        <v>0</v>
      </c>
      <c r="J11" s="76">
        <v>0</v>
      </c>
      <c r="K11" s="76">
        <v>0</v>
      </c>
      <c r="L11" s="76">
        <v>0</v>
      </c>
      <c r="M11" s="258">
        <f>INDEX('C-P-RollAdj'!$P$4:$P$900,MATCH((V11),'C-P-RollAdj'!$O$4:$O$900,FALSE),0)</f>
        <v>22.33</v>
      </c>
      <c r="N11" s="76">
        <v>21</v>
      </c>
      <c r="O11" s="76">
        <v>12</v>
      </c>
      <c r="P11" s="76">
        <v>12</v>
      </c>
      <c r="Q11" s="76">
        <v>4</v>
      </c>
      <c r="R11" s="76">
        <v>11</v>
      </c>
      <c r="S11" s="76">
        <v>1</v>
      </c>
      <c r="T11" s="76">
        <v>17</v>
      </c>
      <c r="U11" s="76">
        <v>97</v>
      </c>
      <c r="V11" s="76">
        <v>22.1</v>
      </c>
      <c r="W11" s="76">
        <v>0.253</v>
      </c>
      <c r="X11" s="76">
        <v>1.43</v>
      </c>
      <c r="Y11" s="76"/>
      <c r="Z11" t="s">
        <v>322</v>
      </c>
      <c r="AA11" s="76" t="s">
        <v>159</v>
      </c>
      <c r="AB11" s="76">
        <v>2</v>
      </c>
      <c r="AC11" s="76">
        <v>1</v>
      </c>
      <c r="AD11" s="76">
        <v>10</v>
      </c>
      <c r="AE11" s="76">
        <v>0</v>
      </c>
      <c r="AF11" s="76">
        <v>4</v>
      </c>
      <c r="AG11" s="76">
        <v>29</v>
      </c>
      <c r="AH11" s="76">
        <v>17</v>
      </c>
      <c r="AI11" s="76">
        <v>0</v>
      </c>
      <c r="AJ11" s="76">
        <v>0</v>
      </c>
      <c r="AK11" s="76">
        <v>1</v>
      </c>
      <c r="AL11" s="76">
        <v>1</v>
      </c>
      <c r="AM11" s="76">
        <v>0</v>
      </c>
      <c r="AN11" s="76">
        <v>381</v>
      </c>
      <c r="AO11" s="202" t="s">
        <v>159</v>
      </c>
      <c r="AP11" s="202">
        <v>0.42899999999999999</v>
      </c>
      <c r="AQ11" s="202">
        <v>1.0900000000000001</v>
      </c>
      <c r="AR11" s="202">
        <v>0.318</v>
      </c>
      <c r="AS11" s="202">
        <v>0.46200000000000002</v>
      </c>
      <c r="AT11" s="202">
        <v>0.78100000000000003</v>
      </c>
      <c r="AU11" s="202">
        <v>7.46</v>
      </c>
      <c r="AV11" s="202">
        <v>2.65</v>
      </c>
      <c r="AW11" s="202">
        <v>9.31</v>
      </c>
      <c r="AX11" s="202">
        <v>2.81</v>
      </c>
      <c r="AY11" s="202">
        <v>16.97</v>
      </c>
    </row>
    <row r="12" spans="1:51" ht="12.75" customHeight="1" x14ac:dyDescent="0.2">
      <c r="A12" s="76">
        <v>16</v>
      </c>
      <c r="B12" s="41" t="s">
        <v>1085</v>
      </c>
      <c r="C12" s="76" t="s">
        <v>159</v>
      </c>
      <c r="D12" s="76">
        <v>5</v>
      </c>
      <c r="E12" s="76">
        <v>13</v>
      </c>
      <c r="F12" s="76">
        <v>5.15</v>
      </c>
      <c r="G12" s="76">
        <v>36</v>
      </c>
      <c r="H12" s="76">
        <v>24</v>
      </c>
      <c r="I12" s="76">
        <v>0</v>
      </c>
      <c r="J12" s="76">
        <v>0</v>
      </c>
      <c r="K12" s="76">
        <v>1</v>
      </c>
      <c r="L12" s="76">
        <v>1</v>
      </c>
      <c r="M12" s="258">
        <f>INDEX('C-P-RollAdj'!$P$4:$P$900,MATCH((V12),'C-P-RollAdj'!$O$4:$O$900,FALSE),0)</f>
        <v>155.67000000000002</v>
      </c>
      <c r="N12" s="76">
        <v>177</v>
      </c>
      <c r="O12" s="76">
        <v>109</v>
      </c>
      <c r="P12" s="76">
        <v>89</v>
      </c>
      <c r="Q12" s="76">
        <v>24</v>
      </c>
      <c r="R12" s="76">
        <v>66</v>
      </c>
      <c r="S12" s="76">
        <v>2</v>
      </c>
      <c r="T12" s="76">
        <v>131</v>
      </c>
      <c r="U12" s="76">
        <v>701</v>
      </c>
      <c r="V12" s="76">
        <v>155.19999999999999</v>
      </c>
      <c r="W12" s="76">
        <v>0.28599999999999998</v>
      </c>
      <c r="X12" s="76">
        <v>1.56</v>
      </c>
      <c r="Y12" s="76"/>
      <c r="Z12" t="s">
        <v>1085</v>
      </c>
      <c r="AA12" s="76" t="s">
        <v>159</v>
      </c>
      <c r="AB12" s="76">
        <v>5</v>
      </c>
      <c r="AC12" s="76">
        <v>2</v>
      </c>
      <c r="AD12" s="76">
        <v>6</v>
      </c>
      <c r="AE12" s="76">
        <v>2</v>
      </c>
      <c r="AF12" s="76">
        <v>15</v>
      </c>
      <c r="AG12" s="76">
        <v>203</v>
      </c>
      <c r="AH12" s="76">
        <v>119</v>
      </c>
      <c r="AI12" s="76">
        <v>9</v>
      </c>
      <c r="AJ12" s="76">
        <v>0</v>
      </c>
      <c r="AK12" s="76">
        <v>2</v>
      </c>
      <c r="AL12" s="76">
        <v>4</v>
      </c>
      <c r="AM12" s="76">
        <v>2</v>
      </c>
      <c r="AN12" s="76">
        <v>2539</v>
      </c>
      <c r="AO12" s="202" t="s">
        <v>159</v>
      </c>
      <c r="AP12" s="202">
        <v>0</v>
      </c>
      <c r="AQ12" s="202">
        <v>0.8</v>
      </c>
      <c r="AR12" s="202">
        <v>0.45</v>
      </c>
      <c r="AS12" s="202">
        <v>0.72199999999999998</v>
      </c>
      <c r="AT12" s="202">
        <v>1.1719999999999999</v>
      </c>
      <c r="AU12" s="202">
        <v>4.91</v>
      </c>
      <c r="AV12" s="202">
        <v>0</v>
      </c>
      <c r="AW12" s="202">
        <v>19.64</v>
      </c>
      <c r="AX12" s="202" t="s">
        <v>243</v>
      </c>
      <c r="AY12" s="202">
        <v>19.64</v>
      </c>
    </row>
    <row r="13" spans="1:51" ht="12.75" customHeight="1" x14ac:dyDescent="0.2">
      <c r="A13" s="76">
        <v>23</v>
      </c>
      <c r="B13" t="s">
        <v>1412</v>
      </c>
      <c r="C13" s="76" t="s">
        <v>159</v>
      </c>
      <c r="D13" s="76">
        <v>0</v>
      </c>
      <c r="E13" s="76">
        <v>1</v>
      </c>
      <c r="F13" s="76">
        <v>6.75</v>
      </c>
      <c r="G13" s="76">
        <v>21</v>
      </c>
      <c r="H13" s="76">
        <v>0</v>
      </c>
      <c r="I13" s="76">
        <v>0</v>
      </c>
      <c r="J13" s="76">
        <v>0</v>
      </c>
      <c r="K13" s="76">
        <v>0</v>
      </c>
      <c r="L13" s="76">
        <v>1</v>
      </c>
      <c r="M13" s="258">
        <f>INDEX('C-P-RollAdj'!$P$4:$P$900,MATCH((V13),'C-P-RollAdj'!$O$4:$O$900,FALSE),0)</f>
        <v>13.33</v>
      </c>
      <c r="N13" s="76">
        <v>13</v>
      </c>
      <c r="O13" s="76">
        <v>10</v>
      </c>
      <c r="P13" s="76">
        <v>10</v>
      </c>
      <c r="Q13" s="76">
        <v>2</v>
      </c>
      <c r="R13" s="76">
        <v>13</v>
      </c>
      <c r="S13" s="76">
        <v>1</v>
      </c>
      <c r="T13" s="76">
        <v>10</v>
      </c>
      <c r="U13" s="76">
        <v>67</v>
      </c>
      <c r="V13" s="76">
        <v>13.1</v>
      </c>
      <c r="W13" s="76">
        <v>0.255</v>
      </c>
      <c r="X13" s="76">
        <v>1.95</v>
      </c>
      <c r="Y13" s="76"/>
      <c r="Z13" t="s">
        <v>1412</v>
      </c>
      <c r="AA13" s="76" t="s">
        <v>159</v>
      </c>
      <c r="AB13" s="76">
        <v>3</v>
      </c>
      <c r="AC13" s="76">
        <v>1</v>
      </c>
      <c r="AD13" s="76">
        <v>2</v>
      </c>
      <c r="AE13" s="76">
        <v>1</v>
      </c>
      <c r="AF13" s="76">
        <v>1</v>
      </c>
      <c r="AG13" s="76">
        <v>12</v>
      </c>
      <c r="AH13" s="76">
        <v>16</v>
      </c>
      <c r="AI13" s="76">
        <v>0</v>
      </c>
      <c r="AJ13" s="76">
        <v>0</v>
      </c>
      <c r="AK13" s="76">
        <v>1</v>
      </c>
      <c r="AL13" s="76">
        <v>0</v>
      </c>
      <c r="AM13" s="76">
        <v>0</v>
      </c>
      <c r="AN13" s="76">
        <v>271</v>
      </c>
      <c r="AO13" s="202" t="s">
        <v>159</v>
      </c>
      <c r="AP13" s="202" t="s">
        <v>243</v>
      </c>
      <c r="AQ13" s="202">
        <v>2</v>
      </c>
      <c r="AR13" s="202">
        <v>0.43099999999999999</v>
      </c>
      <c r="AS13" s="202">
        <v>0.58699999999999997</v>
      </c>
      <c r="AT13" s="202">
        <v>1.018</v>
      </c>
      <c r="AU13" s="202">
        <v>5</v>
      </c>
      <c r="AV13" s="202">
        <v>5</v>
      </c>
      <c r="AW13" s="202">
        <v>17</v>
      </c>
      <c r="AX13" s="202">
        <v>1</v>
      </c>
      <c r="AY13" s="202">
        <v>21.22</v>
      </c>
    </row>
    <row r="14" spans="1:51" ht="12.75" customHeight="1" x14ac:dyDescent="0.2">
      <c r="A14" s="76">
        <v>7</v>
      </c>
      <c r="B14" s="41" t="s">
        <v>509</v>
      </c>
      <c r="C14" s="76" t="s">
        <v>159</v>
      </c>
      <c r="D14" s="76">
        <v>4</v>
      </c>
      <c r="E14" s="76">
        <v>5</v>
      </c>
      <c r="F14" s="76">
        <v>4.26</v>
      </c>
      <c r="G14" s="76">
        <v>13</v>
      </c>
      <c r="H14" s="76">
        <v>10</v>
      </c>
      <c r="I14" s="76">
        <v>0</v>
      </c>
      <c r="J14" s="76">
        <v>0</v>
      </c>
      <c r="K14" s="76">
        <v>0</v>
      </c>
      <c r="L14" s="76">
        <v>0</v>
      </c>
      <c r="M14" s="258">
        <f>INDEX('C-P-RollAdj'!$P$4:$P$900,MATCH((V14),'C-P-RollAdj'!$O$4:$O$900,FALSE),0)</f>
        <v>50.67</v>
      </c>
      <c r="N14" s="76">
        <v>43</v>
      </c>
      <c r="O14" s="76">
        <v>26</v>
      </c>
      <c r="P14" s="76">
        <v>24</v>
      </c>
      <c r="Q14" s="76">
        <v>8</v>
      </c>
      <c r="R14" s="76">
        <v>20</v>
      </c>
      <c r="S14" s="76">
        <v>1</v>
      </c>
      <c r="T14" s="76">
        <v>54</v>
      </c>
      <c r="U14" s="76">
        <v>222</v>
      </c>
      <c r="V14" s="76">
        <v>50.2</v>
      </c>
      <c r="W14" s="76">
        <v>0.219</v>
      </c>
      <c r="X14" s="76">
        <v>1.24</v>
      </c>
      <c r="Y14" s="76"/>
      <c r="Z14" t="s">
        <v>509</v>
      </c>
      <c r="AA14" s="76" t="s">
        <v>159</v>
      </c>
      <c r="AB14" s="76">
        <v>4</v>
      </c>
      <c r="AC14" s="76">
        <v>1</v>
      </c>
      <c r="AD14" s="76">
        <v>1</v>
      </c>
      <c r="AE14" s="76">
        <v>0</v>
      </c>
      <c r="AF14" s="76">
        <v>0</v>
      </c>
      <c r="AG14" s="76">
        <v>64</v>
      </c>
      <c r="AH14" s="76">
        <v>37</v>
      </c>
      <c r="AI14" s="76">
        <v>2</v>
      </c>
      <c r="AJ14" s="76">
        <v>1</v>
      </c>
      <c r="AK14" s="76">
        <v>1</v>
      </c>
      <c r="AL14" s="76">
        <v>1</v>
      </c>
      <c r="AM14" s="76">
        <v>0</v>
      </c>
      <c r="AN14" s="76">
        <v>857</v>
      </c>
      <c r="AO14" s="202" t="s">
        <v>159</v>
      </c>
      <c r="AP14" s="202">
        <v>0.4</v>
      </c>
      <c r="AQ14" s="202">
        <v>0.71</v>
      </c>
      <c r="AR14" s="202">
        <v>0.31</v>
      </c>
      <c r="AS14" s="202">
        <v>0.47599999999999998</v>
      </c>
      <c r="AT14" s="202">
        <v>0.78600000000000003</v>
      </c>
      <c r="AU14" s="202">
        <v>4.6900000000000004</v>
      </c>
      <c r="AV14" s="202">
        <v>1.79</v>
      </c>
      <c r="AW14" s="202">
        <v>9.6</v>
      </c>
      <c r="AX14" s="202">
        <v>2.63</v>
      </c>
      <c r="AY14" s="202">
        <v>15.91</v>
      </c>
    </row>
    <row r="15" spans="1:51" ht="12.75" customHeight="1" x14ac:dyDescent="0.2">
      <c r="A15" s="76">
        <v>10</v>
      </c>
      <c r="B15" s="41" t="s">
        <v>326</v>
      </c>
      <c r="C15" s="76" t="s">
        <v>159</v>
      </c>
      <c r="D15" s="76">
        <v>5</v>
      </c>
      <c r="E15" s="76">
        <v>2</v>
      </c>
      <c r="F15" s="76">
        <v>4.4400000000000004</v>
      </c>
      <c r="G15" s="76">
        <v>79</v>
      </c>
      <c r="H15" s="76">
        <v>0</v>
      </c>
      <c r="I15" s="76">
        <v>0</v>
      </c>
      <c r="J15" s="76">
        <v>0</v>
      </c>
      <c r="K15" s="76">
        <v>0</v>
      </c>
      <c r="L15" s="76">
        <v>3</v>
      </c>
      <c r="M15" s="258">
        <f>INDEX('C-P-RollAdj'!$P$4:$P$900,MATCH((V15),'C-P-RollAdj'!$O$4:$O$900,FALSE),0)</f>
        <v>75</v>
      </c>
      <c r="N15" s="76">
        <v>77</v>
      </c>
      <c r="O15" s="76">
        <v>39</v>
      </c>
      <c r="P15" s="76">
        <v>37</v>
      </c>
      <c r="Q15" s="76">
        <v>8</v>
      </c>
      <c r="R15" s="76">
        <v>36</v>
      </c>
      <c r="S15" s="76">
        <v>3</v>
      </c>
      <c r="T15" s="76">
        <v>68</v>
      </c>
      <c r="U15" s="76">
        <v>337</v>
      </c>
      <c r="V15" s="76">
        <v>75</v>
      </c>
      <c r="W15" s="76">
        <v>0.26500000000000001</v>
      </c>
      <c r="X15" s="76">
        <v>1.51</v>
      </c>
      <c r="Y15" s="76"/>
      <c r="Z15" t="s">
        <v>326</v>
      </c>
      <c r="AA15" s="76" t="s">
        <v>159</v>
      </c>
      <c r="AB15" s="76">
        <v>2</v>
      </c>
      <c r="AC15" s="76">
        <v>3</v>
      </c>
      <c r="AD15" s="76">
        <v>14</v>
      </c>
      <c r="AE15" s="76">
        <v>7</v>
      </c>
      <c r="AF15" s="76">
        <v>4</v>
      </c>
      <c r="AG15" s="76">
        <v>74</v>
      </c>
      <c r="AH15" s="76">
        <v>80</v>
      </c>
      <c r="AI15" s="76">
        <v>7</v>
      </c>
      <c r="AJ15" s="76">
        <v>0</v>
      </c>
      <c r="AK15" s="76">
        <v>2</v>
      </c>
      <c r="AL15" s="76">
        <v>1</v>
      </c>
      <c r="AM15" s="76">
        <v>0</v>
      </c>
      <c r="AN15" s="76">
        <v>1355</v>
      </c>
      <c r="AO15" s="202" t="s">
        <v>159</v>
      </c>
      <c r="AP15" s="202">
        <v>0.66700000000000004</v>
      </c>
      <c r="AQ15" s="202">
        <v>0.83</v>
      </c>
      <c r="AR15" s="202">
        <v>0.318</v>
      </c>
      <c r="AS15" s="202">
        <v>0.36099999999999999</v>
      </c>
      <c r="AT15" s="202">
        <v>0.67900000000000005</v>
      </c>
      <c r="AU15" s="202">
        <v>9.1300000000000008</v>
      </c>
      <c r="AV15" s="202">
        <v>4.13</v>
      </c>
      <c r="AW15" s="202">
        <v>7.88</v>
      </c>
      <c r="AX15" s="202">
        <v>2.21</v>
      </c>
      <c r="AY15" s="202">
        <v>17.79</v>
      </c>
    </row>
    <row r="16" spans="1:51" ht="12.75" customHeight="1" x14ac:dyDescent="0.2">
      <c r="A16" s="76">
        <v>11</v>
      </c>
      <c r="B16" t="s">
        <v>624</v>
      </c>
      <c r="C16" s="76" t="s">
        <v>159</v>
      </c>
      <c r="D16" s="76">
        <v>0</v>
      </c>
      <c r="E16" s="76">
        <v>0</v>
      </c>
      <c r="F16" s="76">
        <v>4.5</v>
      </c>
      <c r="G16" s="76">
        <v>1</v>
      </c>
      <c r="H16" s="76">
        <v>0</v>
      </c>
      <c r="I16" s="76">
        <v>0</v>
      </c>
      <c r="J16" s="76">
        <v>0</v>
      </c>
      <c r="K16" s="76">
        <v>0</v>
      </c>
      <c r="L16" s="76">
        <v>0</v>
      </c>
      <c r="M16" s="258">
        <f>INDEX('C-P-RollAdj'!$P$4:$P$900,MATCH((V16),'C-P-RollAdj'!$O$4:$O$900,FALSE),0)</f>
        <v>2</v>
      </c>
      <c r="N16" s="76">
        <v>1</v>
      </c>
      <c r="O16" s="76">
        <v>1</v>
      </c>
      <c r="P16" s="76">
        <v>1</v>
      </c>
      <c r="Q16" s="76">
        <v>0</v>
      </c>
      <c r="R16" s="76">
        <v>4</v>
      </c>
      <c r="S16" s="76">
        <v>0</v>
      </c>
      <c r="T16" s="76">
        <v>2</v>
      </c>
      <c r="U16" s="76">
        <v>11</v>
      </c>
      <c r="V16" s="76">
        <v>2</v>
      </c>
      <c r="W16" s="76">
        <v>0.14299999999999999</v>
      </c>
      <c r="X16" s="76">
        <v>2.5</v>
      </c>
      <c r="Y16" s="76"/>
      <c r="Z16" t="s">
        <v>624</v>
      </c>
      <c r="AA16" s="76" t="s">
        <v>159</v>
      </c>
      <c r="AB16" s="76">
        <v>0</v>
      </c>
      <c r="AC16" s="76">
        <v>0</v>
      </c>
      <c r="AD16" s="76">
        <v>0</v>
      </c>
      <c r="AE16" s="76">
        <v>0</v>
      </c>
      <c r="AF16" s="76">
        <v>0</v>
      </c>
      <c r="AG16" s="76">
        <v>3</v>
      </c>
      <c r="AH16" s="76">
        <v>1</v>
      </c>
      <c r="AI16" s="76">
        <v>0</v>
      </c>
      <c r="AJ16" s="76">
        <v>0</v>
      </c>
      <c r="AK16" s="76">
        <v>0</v>
      </c>
      <c r="AL16" s="76">
        <v>0</v>
      </c>
      <c r="AM16" s="76">
        <v>0</v>
      </c>
      <c r="AN16" s="76">
        <v>52</v>
      </c>
      <c r="AO16" s="202" t="s">
        <v>159</v>
      </c>
      <c r="AP16" s="202">
        <v>0.83299999999999996</v>
      </c>
      <c r="AQ16" s="202">
        <v>1.0900000000000001</v>
      </c>
      <c r="AR16" s="202">
        <v>0.32900000000000001</v>
      </c>
      <c r="AS16" s="202">
        <v>0.35899999999999999</v>
      </c>
      <c r="AT16" s="202">
        <v>0.68799999999999994</v>
      </c>
      <c r="AU16" s="202">
        <v>8.35</v>
      </c>
      <c r="AV16" s="202">
        <v>4.17</v>
      </c>
      <c r="AW16" s="202">
        <v>7.12</v>
      </c>
      <c r="AX16" s="202">
        <v>2</v>
      </c>
      <c r="AY16" s="202">
        <v>15.65</v>
      </c>
    </row>
    <row r="17" spans="1:51" ht="12.75" customHeight="1" x14ac:dyDescent="0.2">
      <c r="A17" s="76">
        <v>25</v>
      </c>
      <c r="B17" t="s">
        <v>1347</v>
      </c>
      <c r="C17" s="76" t="s">
        <v>159</v>
      </c>
      <c r="D17" s="76">
        <v>1</v>
      </c>
      <c r="E17" s="76">
        <v>2</v>
      </c>
      <c r="F17" s="76">
        <v>7.23</v>
      </c>
      <c r="G17" s="76">
        <v>25</v>
      </c>
      <c r="H17" s="76">
        <v>2</v>
      </c>
      <c r="I17" s="76">
        <v>0</v>
      </c>
      <c r="J17" s="76">
        <v>0</v>
      </c>
      <c r="K17" s="76">
        <v>0</v>
      </c>
      <c r="L17" s="76">
        <v>1</v>
      </c>
      <c r="M17" s="258">
        <f>INDEX('C-P-RollAdj'!$P$4:$P$900,MATCH((V17),'C-P-RollAdj'!$O$4:$O$900,FALSE),0)</f>
        <v>23.67</v>
      </c>
      <c r="N17" s="76">
        <v>33</v>
      </c>
      <c r="O17" s="76">
        <v>21</v>
      </c>
      <c r="P17" s="76">
        <v>19</v>
      </c>
      <c r="Q17" s="76">
        <v>4</v>
      </c>
      <c r="R17" s="76">
        <v>12</v>
      </c>
      <c r="S17" s="76">
        <v>3</v>
      </c>
      <c r="T17" s="76">
        <v>17</v>
      </c>
      <c r="U17" s="76">
        <v>116</v>
      </c>
      <c r="V17" s="76">
        <v>23.2</v>
      </c>
      <c r="W17" s="76">
        <v>0.33300000000000002</v>
      </c>
      <c r="X17" s="76">
        <v>1.9</v>
      </c>
      <c r="Y17" s="76"/>
      <c r="Z17" t="s">
        <v>1347</v>
      </c>
      <c r="AA17" s="76" t="s">
        <v>159</v>
      </c>
      <c r="AB17" s="76">
        <v>4</v>
      </c>
      <c r="AC17" s="76">
        <v>3</v>
      </c>
      <c r="AD17" s="76">
        <v>3</v>
      </c>
      <c r="AE17" s="76">
        <v>4</v>
      </c>
      <c r="AF17" s="76">
        <v>3</v>
      </c>
      <c r="AG17" s="76">
        <v>24</v>
      </c>
      <c r="AH17" s="76">
        <v>26</v>
      </c>
      <c r="AI17" s="76">
        <v>0</v>
      </c>
      <c r="AJ17" s="76">
        <v>0</v>
      </c>
      <c r="AK17" s="76">
        <v>0</v>
      </c>
      <c r="AL17" s="76">
        <v>0</v>
      </c>
      <c r="AM17" s="76">
        <v>0</v>
      </c>
      <c r="AN17" s="76">
        <v>449</v>
      </c>
      <c r="AO17" s="202" t="s">
        <v>159</v>
      </c>
      <c r="AP17" s="202" t="s">
        <v>243</v>
      </c>
      <c r="AQ17" s="202">
        <v>0.9</v>
      </c>
      <c r="AR17" s="202">
        <v>0.432</v>
      </c>
      <c r="AS17" s="202">
        <v>0.52600000000000002</v>
      </c>
      <c r="AT17" s="202">
        <v>0.95799999999999996</v>
      </c>
      <c r="AU17" s="202">
        <v>6.23</v>
      </c>
      <c r="AV17" s="202">
        <v>5.19</v>
      </c>
      <c r="AW17" s="202">
        <v>14.54</v>
      </c>
      <c r="AX17" s="202">
        <v>1.2</v>
      </c>
      <c r="AY17" s="202">
        <v>19.850000000000001</v>
      </c>
    </row>
    <row r="18" spans="1:51" ht="12.75" customHeight="1" x14ac:dyDescent="0.2">
      <c r="A18" s="76">
        <v>22</v>
      </c>
      <c r="B18" s="41" t="s">
        <v>1084</v>
      </c>
      <c r="C18" s="76" t="s">
        <v>159</v>
      </c>
      <c r="D18" s="76">
        <v>5</v>
      </c>
      <c r="E18" s="76">
        <v>4</v>
      </c>
      <c r="F18" s="76">
        <v>6.39</v>
      </c>
      <c r="G18" s="76">
        <v>27</v>
      </c>
      <c r="H18" s="76">
        <v>9</v>
      </c>
      <c r="I18" s="76">
        <v>0</v>
      </c>
      <c r="J18" s="76">
        <v>0</v>
      </c>
      <c r="K18" s="76">
        <v>0</v>
      </c>
      <c r="L18" s="76">
        <v>1</v>
      </c>
      <c r="M18" s="258">
        <f>INDEX('C-P-RollAdj'!$P$4:$P$900,MATCH((V18),'C-P-RollAdj'!$O$4:$O$900,FALSE),0)</f>
        <v>74.67</v>
      </c>
      <c r="N18" s="76">
        <v>86</v>
      </c>
      <c r="O18" s="76">
        <v>54</v>
      </c>
      <c r="P18" s="76">
        <v>53</v>
      </c>
      <c r="Q18" s="76">
        <v>13</v>
      </c>
      <c r="R18" s="76">
        <v>25</v>
      </c>
      <c r="S18" s="76">
        <v>4</v>
      </c>
      <c r="T18" s="76">
        <v>60</v>
      </c>
      <c r="U18" s="76">
        <v>335</v>
      </c>
      <c r="V18" s="76">
        <v>74.2</v>
      </c>
      <c r="W18" s="76">
        <v>0.28899999999999998</v>
      </c>
      <c r="X18" s="76">
        <v>1.49</v>
      </c>
      <c r="Y18" s="76"/>
      <c r="Z18" t="s">
        <v>1084</v>
      </c>
      <c r="AA18" s="76" t="s">
        <v>159</v>
      </c>
      <c r="AB18" s="76">
        <v>4</v>
      </c>
      <c r="AC18" s="76">
        <v>4</v>
      </c>
      <c r="AD18" s="76">
        <v>1</v>
      </c>
      <c r="AE18" s="76">
        <v>0</v>
      </c>
      <c r="AF18" s="76">
        <v>4</v>
      </c>
      <c r="AG18" s="76">
        <v>104</v>
      </c>
      <c r="AH18" s="76">
        <v>56</v>
      </c>
      <c r="AI18" s="76">
        <v>5</v>
      </c>
      <c r="AJ18" s="76">
        <v>0</v>
      </c>
      <c r="AK18" s="76">
        <v>2</v>
      </c>
      <c r="AL18" s="76">
        <v>0</v>
      </c>
      <c r="AM18" s="76">
        <v>0</v>
      </c>
      <c r="AN18" s="76">
        <v>1150</v>
      </c>
      <c r="AO18" s="202" t="s">
        <v>159</v>
      </c>
      <c r="AP18" s="202">
        <v>0.5</v>
      </c>
      <c r="AQ18" s="202">
        <v>0.76</v>
      </c>
      <c r="AR18" s="202">
        <v>0.33900000000000002</v>
      </c>
      <c r="AS18" s="202">
        <v>0.434</v>
      </c>
      <c r="AT18" s="202">
        <v>0.77300000000000002</v>
      </c>
      <c r="AU18" s="202">
        <v>7.52</v>
      </c>
      <c r="AV18" s="202">
        <v>3.1</v>
      </c>
      <c r="AW18" s="202">
        <v>10.4</v>
      </c>
      <c r="AX18" s="202">
        <v>2.4300000000000002</v>
      </c>
      <c r="AY18" s="202">
        <v>17.899999999999999</v>
      </c>
    </row>
    <row r="19" spans="1:51" ht="12.75" customHeight="1" x14ac:dyDescent="0.2">
      <c r="A19" s="76">
        <v>9</v>
      </c>
      <c r="B19" s="41" t="s">
        <v>379</v>
      </c>
      <c r="C19" s="76" t="s">
        <v>159</v>
      </c>
      <c r="D19" s="76">
        <v>13</v>
      </c>
      <c r="E19" s="76">
        <v>7</v>
      </c>
      <c r="F19" s="76">
        <v>4.37</v>
      </c>
      <c r="G19" s="76">
        <v>26</v>
      </c>
      <c r="H19" s="76">
        <v>26</v>
      </c>
      <c r="I19" s="76">
        <v>1</v>
      </c>
      <c r="J19" s="76">
        <v>1</v>
      </c>
      <c r="K19" s="76">
        <v>0</v>
      </c>
      <c r="L19" s="76">
        <v>0</v>
      </c>
      <c r="M19" s="258">
        <f>INDEX('C-P-RollAdj'!$P$4:$P$900,MATCH((V19),'C-P-RollAdj'!$O$4:$O$900,FALSE),0)</f>
        <v>158.67000000000002</v>
      </c>
      <c r="N19" s="76">
        <v>161</v>
      </c>
      <c r="O19" s="76">
        <v>80</v>
      </c>
      <c r="P19" s="76">
        <v>77</v>
      </c>
      <c r="Q19" s="76">
        <v>23</v>
      </c>
      <c r="R19" s="76">
        <v>41</v>
      </c>
      <c r="S19" s="76">
        <v>3</v>
      </c>
      <c r="T19" s="76">
        <v>134</v>
      </c>
      <c r="U19" s="76">
        <v>667</v>
      </c>
      <c r="V19" s="76">
        <v>158.19999999999999</v>
      </c>
      <c r="W19" s="76">
        <v>0.26200000000000001</v>
      </c>
      <c r="X19" s="76">
        <v>1.27</v>
      </c>
      <c r="Y19" s="76"/>
      <c r="Z19" t="s">
        <v>379</v>
      </c>
      <c r="AA19" s="76" t="s">
        <v>159</v>
      </c>
      <c r="AB19" s="76">
        <v>0</v>
      </c>
      <c r="AC19" s="76">
        <v>3</v>
      </c>
      <c r="AD19" s="76">
        <v>0</v>
      </c>
      <c r="AE19" s="76">
        <v>0</v>
      </c>
      <c r="AF19" s="76">
        <v>9</v>
      </c>
      <c r="AG19" s="76">
        <v>183</v>
      </c>
      <c r="AH19" s="76">
        <v>148</v>
      </c>
      <c r="AI19" s="76">
        <v>1</v>
      </c>
      <c r="AJ19" s="76">
        <v>0</v>
      </c>
      <c r="AK19" s="76">
        <v>3</v>
      </c>
      <c r="AL19" s="76">
        <v>4</v>
      </c>
      <c r="AM19" s="76">
        <v>0</v>
      </c>
      <c r="AN19" s="76">
        <v>2503</v>
      </c>
      <c r="AO19" s="202" t="s">
        <v>159</v>
      </c>
      <c r="AP19" s="202">
        <v>0.60899999999999999</v>
      </c>
      <c r="AQ19" s="202">
        <v>1.42</v>
      </c>
      <c r="AR19" s="202">
        <v>0.32500000000000001</v>
      </c>
      <c r="AS19" s="202">
        <v>0.45700000000000002</v>
      </c>
      <c r="AT19" s="202">
        <v>0.78100000000000003</v>
      </c>
      <c r="AU19" s="202">
        <v>7.16</v>
      </c>
      <c r="AV19" s="202">
        <v>3.01</v>
      </c>
      <c r="AW19" s="202">
        <v>9.2100000000000009</v>
      </c>
      <c r="AX19" s="202">
        <v>2.38</v>
      </c>
      <c r="AY19" s="202">
        <v>15.98</v>
      </c>
    </row>
    <row r="20" spans="1:51" ht="12.75" customHeight="1" x14ac:dyDescent="0.2">
      <c r="A20" s="76">
        <v>14</v>
      </c>
      <c r="B20" t="s">
        <v>1410</v>
      </c>
      <c r="C20" s="76" t="s">
        <v>159</v>
      </c>
      <c r="D20" s="76">
        <v>0</v>
      </c>
      <c r="E20" s="76">
        <v>0</v>
      </c>
      <c r="F20" s="76">
        <v>4.91</v>
      </c>
      <c r="G20" s="76">
        <v>24</v>
      </c>
      <c r="H20" s="76">
        <v>0</v>
      </c>
      <c r="I20" s="76">
        <v>0</v>
      </c>
      <c r="J20" s="76">
        <v>0</v>
      </c>
      <c r="K20" s="76">
        <v>0</v>
      </c>
      <c r="L20" s="76">
        <v>0</v>
      </c>
      <c r="M20" s="258">
        <f>INDEX('C-P-RollAdj'!$P$4:$P$900,MATCH((V20),'C-P-RollAdj'!$O$4:$O$900,FALSE),0)</f>
        <v>14.67</v>
      </c>
      <c r="N20" s="76">
        <v>18</v>
      </c>
      <c r="O20" s="76">
        <v>8</v>
      </c>
      <c r="P20" s="76">
        <v>8</v>
      </c>
      <c r="Q20" s="76">
        <v>1</v>
      </c>
      <c r="R20" s="76">
        <v>6</v>
      </c>
      <c r="S20" s="76">
        <v>0</v>
      </c>
      <c r="T20" s="76">
        <v>15</v>
      </c>
      <c r="U20" s="76">
        <v>65</v>
      </c>
      <c r="V20" s="76">
        <v>14.2</v>
      </c>
      <c r="W20" s="76">
        <v>0.30499999999999999</v>
      </c>
      <c r="X20" s="76">
        <v>1.64</v>
      </c>
      <c r="Y20" s="76"/>
      <c r="Z20" t="s">
        <v>1410</v>
      </c>
      <c r="AA20" s="76" t="s">
        <v>159</v>
      </c>
      <c r="AB20" s="76">
        <v>0</v>
      </c>
      <c r="AC20" s="76">
        <v>0</v>
      </c>
      <c r="AD20" s="76">
        <v>0</v>
      </c>
      <c r="AE20" s="76">
        <v>2</v>
      </c>
      <c r="AF20" s="76">
        <v>2</v>
      </c>
      <c r="AG20" s="76">
        <v>14</v>
      </c>
      <c r="AH20" s="76">
        <v>12</v>
      </c>
      <c r="AI20" s="76">
        <v>0</v>
      </c>
      <c r="AJ20" s="76">
        <v>0</v>
      </c>
      <c r="AK20" s="76">
        <v>1</v>
      </c>
      <c r="AL20" s="76">
        <v>1</v>
      </c>
      <c r="AM20" s="76">
        <v>1</v>
      </c>
      <c r="AN20" s="76">
        <v>253</v>
      </c>
      <c r="AO20" s="202" t="s">
        <v>159</v>
      </c>
      <c r="AP20" s="202">
        <v>0</v>
      </c>
      <c r="AQ20" s="202">
        <v>0.92</v>
      </c>
      <c r="AR20" s="202">
        <v>0.35099999999999998</v>
      </c>
      <c r="AS20" s="202">
        <v>0.623</v>
      </c>
      <c r="AT20" s="202">
        <v>0.97399999999999998</v>
      </c>
      <c r="AU20" s="202">
        <v>8.76</v>
      </c>
      <c r="AV20" s="202">
        <v>2.92</v>
      </c>
      <c r="AW20" s="202">
        <v>11.68</v>
      </c>
      <c r="AX20" s="202">
        <v>3</v>
      </c>
      <c r="AY20" s="202">
        <v>17.11</v>
      </c>
    </row>
    <row r="21" spans="1:51" ht="12.75" customHeight="1" x14ac:dyDescent="0.2">
      <c r="A21" s="76">
        <v>28</v>
      </c>
      <c r="B21" t="s">
        <v>1091</v>
      </c>
      <c r="C21" s="76" t="s">
        <v>159</v>
      </c>
      <c r="D21" s="76">
        <v>0</v>
      </c>
      <c r="E21" s="76">
        <v>0</v>
      </c>
      <c r="F21" s="76">
        <v>9</v>
      </c>
      <c r="G21" s="76">
        <v>2</v>
      </c>
      <c r="H21" s="76">
        <v>0</v>
      </c>
      <c r="I21" s="76">
        <v>0</v>
      </c>
      <c r="J21" s="76">
        <v>0</v>
      </c>
      <c r="K21" s="76">
        <v>0</v>
      </c>
      <c r="L21" s="76">
        <v>0</v>
      </c>
      <c r="M21" s="258">
        <f>INDEX('C-P-RollAdj'!$P$4:$P$900,MATCH((V21),'C-P-RollAdj'!$O$4:$O$900,FALSE),0)</f>
        <v>3</v>
      </c>
      <c r="N21" s="76">
        <v>5</v>
      </c>
      <c r="O21" s="76">
        <v>3</v>
      </c>
      <c r="P21" s="76">
        <v>3</v>
      </c>
      <c r="Q21" s="76">
        <v>0</v>
      </c>
      <c r="R21" s="76">
        <v>2</v>
      </c>
      <c r="S21" s="76">
        <v>0</v>
      </c>
      <c r="T21" s="76">
        <v>2</v>
      </c>
      <c r="U21" s="76">
        <v>17</v>
      </c>
      <c r="V21" s="76">
        <v>3</v>
      </c>
      <c r="W21" s="76">
        <v>0.35699999999999998</v>
      </c>
      <c r="X21" s="76">
        <v>2.33</v>
      </c>
      <c r="Y21" s="76"/>
      <c r="Z21" t="s">
        <v>1091</v>
      </c>
      <c r="AA21" s="76" t="s">
        <v>159</v>
      </c>
      <c r="AB21" s="76">
        <v>1</v>
      </c>
      <c r="AC21" s="76">
        <v>0</v>
      </c>
      <c r="AD21" s="76">
        <v>1</v>
      </c>
      <c r="AE21" s="76">
        <v>0</v>
      </c>
      <c r="AF21" s="76">
        <v>0</v>
      </c>
      <c r="AG21" s="76">
        <v>3</v>
      </c>
      <c r="AH21" s="76">
        <v>4</v>
      </c>
      <c r="AI21" s="76">
        <v>0</v>
      </c>
      <c r="AJ21" s="76">
        <v>0</v>
      </c>
      <c r="AK21" s="76">
        <v>0</v>
      </c>
      <c r="AL21" s="76">
        <v>0</v>
      </c>
      <c r="AM21" s="76">
        <v>0</v>
      </c>
      <c r="AN21" s="76">
        <v>64</v>
      </c>
      <c r="AO21" s="102" t="s">
        <v>157</v>
      </c>
      <c r="AP21" s="102" t="s">
        <v>1081</v>
      </c>
      <c r="AQ21" s="102" t="s">
        <v>1068</v>
      </c>
      <c r="AR21" s="102" t="s">
        <v>1059</v>
      </c>
      <c r="AS21" s="102" t="s">
        <v>1060</v>
      </c>
      <c r="AT21" s="102" t="s">
        <v>1061</v>
      </c>
      <c r="AU21" s="102" t="s">
        <v>1092</v>
      </c>
      <c r="AV21" s="102" t="s">
        <v>1093</v>
      </c>
      <c r="AW21" s="102" t="s">
        <v>1094</v>
      </c>
      <c r="AX21" s="102" t="s">
        <v>1095</v>
      </c>
      <c r="AY21" s="102" t="s">
        <v>1096</v>
      </c>
    </row>
    <row r="22" spans="1:51" ht="12.75" customHeight="1" x14ac:dyDescent="0.2">
      <c r="A22" s="76">
        <v>17</v>
      </c>
      <c r="B22" s="41" t="s">
        <v>750</v>
      </c>
      <c r="C22" s="76" t="s">
        <v>159</v>
      </c>
      <c r="D22" s="76">
        <v>3</v>
      </c>
      <c r="E22" s="76">
        <v>2</v>
      </c>
      <c r="F22" s="76">
        <v>5.22</v>
      </c>
      <c r="G22" s="76">
        <v>70</v>
      </c>
      <c r="H22" s="76">
        <v>0</v>
      </c>
      <c r="I22" s="76">
        <v>0</v>
      </c>
      <c r="J22" s="76">
        <v>0</v>
      </c>
      <c r="K22" s="76">
        <v>5</v>
      </c>
      <c r="L22" s="76">
        <v>7</v>
      </c>
      <c r="M22" s="258">
        <f>INDEX('C-P-RollAdj'!$P$4:$P$900,MATCH((V22),'C-P-RollAdj'!$O$4:$O$900,FALSE),0)</f>
        <v>60.33</v>
      </c>
      <c r="N22" s="76">
        <v>65</v>
      </c>
      <c r="O22" s="76">
        <v>40</v>
      </c>
      <c r="P22" s="76">
        <v>35</v>
      </c>
      <c r="Q22" s="76">
        <v>6</v>
      </c>
      <c r="R22" s="76">
        <v>22</v>
      </c>
      <c r="S22" s="76">
        <v>3</v>
      </c>
      <c r="T22" s="76">
        <v>58</v>
      </c>
      <c r="U22" s="76">
        <v>268</v>
      </c>
      <c r="V22" s="76">
        <v>60.1</v>
      </c>
      <c r="W22" s="76">
        <v>0.26900000000000002</v>
      </c>
      <c r="X22" s="76">
        <v>1.44</v>
      </c>
      <c r="Y22" s="76"/>
      <c r="Z22" t="s">
        <v>750</v>
      </c>
      <c r="AA22" s="76" t="s">
        <v>159</v>
      </c>
      <c r="AB22" s="76">
        <v>4</v>
      </c>
      <c r="AC22" s="76">
        <v>3</v>
      </c>
      <c r="AD22" s="76">
        <v>17</v>
      </c>
      <c r="AE22" s="76">
        <v>17</v>
      </c>
      <c r="AF22" s="76">
        <v>3</v>
      </c>
      <c r="AG22" s="76">
        <v>55</v>
      </c>
      <c r="AH22" s="76">
        <v>64</v>
      </c>
      <c r="AI22" s="76">
        <v>5</v>
      </c>
      <c r="AJ22" s="76">
        <v>0</v>
      </c>
      <c r="AK22" s="76">
        <v>3</v>
      </c>
      <c r="AL22" s="76">
        <v>2</v>
      </c>
      <c r="AM22" s="76">
        <v>0</v>
      </c>
      <c r="AN22" s="76">
        <v>1113</v>
      </c>
      <c r="AO22" s="202" t="s">
        <v>159</v>
      </c>
      <c r="AP22" s="202">
        <v>0</v>
      </c>
      <c r="AQ22" s="202">
        <v>1.9</v>
      </c>
      <c r="AR22" s="202">
        <v>0.41</v>
      </c>
      <c r="AS22" s="202">
        <v>0.58899999999999997</v>
      </c>
      <c r="AT22" s="202">
        <v>0.999</v>
      </c>
      <c r="AU22" s="202">
        <v>4.7300000000000004</v>
      </c>
      <c r="AV22" s="202">
        <v>3.38</v>
      </c>
      <c r="AW22" s="202">
        <v>13.5</v>
      </c>
      <c r="AX22" s="202">
        <v>1.4</v>
      </c>
      <c r="AY22" s="202">
        <v>16.73</v>
      </c>
    </row>
    <row r="23" spans="1:51" ht="12.75" customHeight="1" x14ac:dyDescent="0.2">
      <c r="A23" s="76">
        <v>2</v>
      </c>
      <c r="B23" t="s">
        <v>1406</v>
      </c>
      <c r="C23" s="76" t="s">
        <v>159</v>
      </c>
      <c r="D23" s="76">
        <v>1</v>
      </c>
      <c r="E23" s="76">
        <v>1</v>
      </c>
      <c r="F23" s="76">
        <v>2</v>
      </c>
      <c r="G23" s="76">
        <v>7</v>
      </c>
      <c r="H23" s="76">
        <v>2</v>
      </c>
      <c r="I23" s="76">
        <v>0</v>
      </c>
      <c r="J23" s="76">
        <v>0</v>
      </c>
      <c r="K23" s="76">
        <v>1</v>
      </c>
      <c r="L23" s="76">
        <v>1</v>
      </c>
      <c r="M23" s="258">
        <f>INDEX('C-P-RollAdj'!$P$4:$P$900,MATCH((V23),'C-P-RollAdj'!$O$4:$O$900,FALSE),0)</f>
        <v>18</v>
      </c>
      <c r="N23" s="76">
        <v>9</v>
      </c>
      <c r="O23" s="76">
        <v>4</v>
      </c>
      <c r="P23" s="76">
        <v>4</v>
      </c>
      <c r="Q23" s="76">
        <v>1</v>
      </c>
      <c r="R23" s="76">
        <v>4</v>
      </c>
      <c r="S23" s="76">
        <v>0</v>
      </c>
      <c r="T23" s="76">
        <v>10</v>
      </c>
      <c r="U23" s="76">
        <v>69</v>
      </c>
      <c r="V23" s="76">
        <v>18</v>
      </c>
      <c r="W23" s="76">
        <v>0.14499999999999999</v>
      </c>
      <c r="X23" s="76">
        <v>0.72</v>
      </c>
      <c r="Y23" s="76"/>
      <c r="Z23" t="s">
        <v>1406</v>
      </c>
      <c r="AA23" s="76" t="s">
        <v>159</v>
      </c>
      <c r="AB23" s="76">
        <v>2</v>
      </c>
      <c r="AC23" s="76">
        <v>0</v>
      </c>
      <c r="AD23" s="76">
        <v>4</v>
      </c>
      <c r="AE23" s="76">
        <v>0</v>
      </c>
      <c r="AF23" s="76">
        <v>0</v>
      </c>
      <c r="AG23" s="76">
        <v>20</v>
      </c>
      <c r="AH23" s="76">
        <v>24</v>
      </c>
      <c r="AI23" s="76">
        <v>0</v>
      </c>
      <c r="AJ23" s="76">
        <v>0</v>
      </c>
      <c r="AK23" s="76">
        <v>0</v>
      </c>
      <c r="AL23" s="76">
        <v>0</v>
      </c>
      <c r="AM23" s="76">
        <v>0</v>
      </c>
      <c r="AN23" s="76">
        <v>234</v>
      </c>
      <c r="AO23" s="202" t="s">
        <v>159</v>
      </c>
      <c r="AP23" s="202" t="s">
        <v>243</v>
      </c>
      <c r="AQ23" s="202">
        <v>0.19</v>
      </c>
      <c r="AR23" s="202">
        <v>0.28000000000000003</v>
      </c>
      <c r="AS23" s="202">
        <v>0.4</v>
      </c>
      <c r="AT23" s="202">
        <v>0.68</v>
      </c>
      <c r="AU23" s="202">
        <v>12.41</v>
      </c>
      <c r="AV23" s="202">
        <v>2.92</v>
      </c>
      <c r="AW23" s="202">
        <v>6.57</v>
      </c>
      <c r="AX23" s="202">
        <v>4.25</v>
      </c>
      <c r="AY23" s="202">
        <v>17.43</v>
      </c>
    </row>
    <row r="24" spans="1:51" ht="12.75" customHeight="1" x14ac:dyDescent="0.2">
      <c r="A24" s="76">
        <v>21</v>
      </c>
      <c r="B24" t="s">
        <v>818</v>
      </c>
      <c r="C24" s="76" t="s">
        <v>159</v>
      </c>
      <c r="D24" s="76">
        <v>0</v>
      </c>
      <c r="E24" s="76">
        <v>1</v>
      </c>
      <c r="F24" s="76">
        <v>6.33</v>
      </c>
      <c r="G24" s="76">
        <v>25</v>
      </c>
      <c r="H24" s="76">
        <v>0</v>
      </c>
      <c r="I24" s="76">
        <v>0</v>
      </c>
      <c r="J24" s="76">
        <v>0</v>
      </c>
      <c r="K24" s="76">
        <v>0</v>
      </c>
      <c r="L24" s="76">
        <v>1</v>
      </c>
      <c r="M24" s="258">
        <f>INDEX('C-P-RollAdj'!$P$4:$P$900,MATCH((V24),'C-P-RollAdj'!$O$4:$O$900,FALSE),0)</f>
        <v>27</v>
      </c>
      <c r="N24" s="76">
        <v>45</v>
      </c>
      <c r="O24" s="76">
        <v>21</v>
      </c>
      <c r="P24" s="76">
        <v>19</v>
      </c>
      <c r="Q24" s="76">
        <v>7</v>
      </c>
      <c r="R24" s="76">
        <v>12</v>
      </c>
      <c r="S24" s="76">
        <v>1</v>
      </c>
      <c r="T24" s="76">
        <v>23</v>
      </c>
      <c r="U24" s="76">
        <v>131</v>
      </c>
      <c r="V24" s="76">
        <v>27</v>
      </c>
      <c r="W24" s="76">
        <v>0.39100000000000001</v>
      </c>
      <c r="X24" s="76">
        <v>2.11</v>
      </c>
      <c r="Y24" s="76"/>
      <c r="Z24" t="s">
        <v>818</v>
      </c>
      <c r="AA24" s="76" t="s">
        <v>159</v>
      </c>
      <c r="AB24" s="76">
        <v>1</v>
      </c>
      <c r="AC24" s="76">
        <v>1</v>
      </c>
      <c r="AD24" s="76">
        <v>8</v>
      </c>
      <c r="AE24" s="76">
        <v>0</v>
      </c>
      <c r="AF24" s="76">
        <v>5</v>
      </c>
      <c r="AG24" s="76">
        <v>28</v>
      </c>
      <c r="AH24" s="76">
        <v>22</v>
      </c>
      <c r="AI24" s="76">
        <v>4</v>
      </c>
      <c r="AJ24" s="76">
        <v>0</v>
      </c>
      <c r="AK24" s="76">
        <v>2</v>
      </c>
      <c r="AL24" s="76">
        <v>1</v>
      </c>
      <c r="AM24" s="76">
        <v>0</v>
      </c>
      <c r="AN24" s="76">
        <v>477</v>
      </c>
      <c r="AO24" s="202" t="s">
        <v>159</v>
      </c>
      <c r="AP24" s="202">
        <v>0.29399999999999998</v>
      </c>
      <c r="AQ24" s="202">
        <v>0.98</v>
      </c>
      <c r="AR24" s="202">
        <v>0.33100000000000002</v>
      </c>
      <c r="AS24" s="202">
        <v>0.4</v>
      </c>
      <c r="AT24" s="202">
        <v>0.73099999999999998</v>
      </c>
      <c r="AU24" s="202">
        <v>8.39</v>
      </c>
      <c r="AV24" s="202">
        <v>3.45</v>
      </c>
      <c r="AW24" s="202">
        <v>8.5299999999999994</v>
      </c>
      <c r="AX24" s="202">
        <v>2.4300000000000002</v>
      </c>
      <c r="AY24" s="202">
        <v>17.68</v>
      </c>
    </row>
    <row r="25" spans="1:51" ht="12.75" customHeight="1" x14ac:dyDescent="0.2">
      <c r="A25" s="76">
        <v>29</v>
      </c>
      <c r="B25" t="s">
        <v>1147</v>
      </c>
      <c r="C25" s="76" t="s">
        <v>159</v>
      </c>
      <c r="D25" s="76">
        <v>1</v>
      </c>
      <c r="E25" s="76">
        <v>0</v>
      </c>
      <c r="F25" s="76">
        <v>15</v>
      </c>
      <c r="G25" s="76">
        <v>8</v>
      </c>
      <c r="H25" s="76">
        <v>0</v>
      </c>
      <c r="I25" s="76">
        <v>0</v>
      </c>
      <c r="J25" s="76">
        <v>0</v>
      </c>
      <c r="K25" s="76">
        <v>0</v>
      </c>
      <c r="L25" s="76">
        <v>0</v>
      </c>
      <c r="M25" s="258">
        <f>INDEX('C-P-RollAdj'!$P$4:$P$900,MATCH((V25),'C-P-RollAdj'!$O$4:$O$900,FALSE),0)</f>
        <v>6</v>
      </c>
      <c r="N25" s="76">
        <v>7</v>
      </c>
      <c r="O25" s="76">
        <v>10</v>
      </c>
      <c r="P25" s="76">
        <v>10</v>
      </c>
      <c r="Q25" s="76">
        <v>1</v>
      </c>
      <c r="R25" s="76">
        <v>6</v>
      </c>
      <c r="S25" s="76">
        <v>0</v>
      </c>
      <c r="T25" s="76">
        <v>3</v>
      </c>
      <c r="U25" s="76">
        <v>31</v>
      </c>
      <c r="V25" s="76">
        <v>6</v>
      </c>
      <c r="W25" s="76">
        <v>0.318</v>
      </c>
      <c r="X25" s="76">
        <v>2.17</v>
      </c>
      <c r="Y25" s="76"/>
      <c r="Z25" t="s">
        <v>1147</v>
      </c>
      <c r="AA25" s="76" t="s">
        <v>159</v>
      </c>
      <c r="AB25" s="76">
        <v>1</v>
      </c>
      <c r="AC25" s="76">
        <v>0</v>
      </c>
      <c r="AD25" s="76">
        <v>3</v>
      </c>
      <c r="AE25" s="76">
        <v>1</v>
      </c>
      <c r="AF25" s="76">
        <v>0</v>
      </c>
      <c r="AG25" s="76">
        <v>4</v>
      </c>
      <c r="AH25" s="76">
        <v>10</v>
      </c>
      <c r="AI25" s="76">
        <v>1</v>
      </c>
      <c r="AJ25" s="76">
        <v>0</v>
      </c>
      <c r="AK25" s="76">
        <v>0</v>
      </c>
      <c r="AL25" s="76">
        <v>1</v>
      </c>
      <c r="AM25" s="76">
        <v>0</v>
      </c>
      <c r="AN25" s="76">
        <v>126</v>
      </c>
      <c r="AO25" s="202" t="s">
        <v>160</v>
      </c>
      <c r="AP25" s="202">
        <v>0.5</v>
      </c>
      <c r="AQ25" s="202">
        <v>0.51</v>
      </c>
      <c r="AR25" s="202">
        <v>0.313</v>
      </c>
      <c r="AS25" s="202">
        <v>0.44600000000000001</v>
      </c>
      <c r="AT25" s="202">
        <v>0.75900000000000001</v>
      </c>
      <c r="AU25" s="202">
        <v>10.27</v>
      </c>
      <c r="AV25" s="202">
        <v>4.1100000000000003</v>
      </c>
      <c r="AW25" s="202">
        <v>7.34</v>
      </c>
      <c r="AX25" s="202">
        <v>2.5</v>
      </c>
      <c r="AY25" s="202">
        <v>16.04</v>
      </c>
    </row>
    <row r="26" spans="1:51" ht="12.75" customHeight="1" x14ac:dyDescent="0.2">
      <c r="A26" s="76">
        <v>27</v>
      </c>
      <c r="B26" t="s">
        <v>745</v>
      </c>
      <c r="C26" s="76" t="s">
        <v>159</v>
      </c>
      <c r="D26" s="76">
        <v>0</v>
      </c>
      <c r="E26" s="76">
        <v>1</v>
      </c>
      <c r="F26" s="76">
        <v>8.8000000000000007</v>
      </c>
      <c r="G26" s="76">
        <v>15</v>
      </c>
      <c r="H26" s="76">
        <v>0</v>
      </c>
      <c r="I26" s="76">
        <v>0</v>
      </c>
      <c r="J26" s="76">
        <v>0</v>
      </c>
      <c r="K26" s="76">
        <v>0</v>
      </c>
      <c r="L26" s="76">
        <v>0</v>
      </c>
      <c r="M26" s="258">
        <f>INDEX('C-P-RollAdj'!$P$4:$P$900,MATCH((V26),'C-P-RollAdj'!$O$4:$O$900,FALSE),0)</f>
        <v>15.33</v>
      </c>
      <c r="N26" s="76">
        <v>28</v>
      </c>
      <c r="O26" s="76">
        <v>18</v>
      </c>
      <c r="P26" s="76">
        <v>15</v>
      </c>
      <c r="Q26" s="76">
        <v>2</v>
      </c>
      <c r="R26" s="76">
        <v>8</v>
      </c>
      <c r="S26" s="76">
        <v>2</v>
      </c>
      <c r="T26" s="76">
        <v>9</v>
      </c>
      <c r="U26" s="76">
        <v>79</v>
      </c>
      <c r="V26" s="76">
        <v>15.1</v>
      </c>
      <c r="W26" s="76">
        <v>0.4</v>
      </c>
      <c r="X26" s="76">
        <v>2.35</v>
      </c>
      <c r="Y26" s="76"/>
      <c r="Z26" t="s">
        <v>745</v>
      </c>
      <c r="AA26" s="76" t="s">
        <v>159</v>
      </c>
      <c r="AB26" s="76">
        <v>1</v>
      </c>
      <c r="AC26" s="76">
        <v>2</v>
      </c>
      <c r="AD26" s="76">
        <v>8</v>
      </c>
      <c r="AE26" s="76">
        <v>1</v>
      </c>
      <c r="AF26" s="76">
        <v>5</v>
      </c>
      <c r="AG26" s="76">
        <v>24</v>
      </c>
      <c r="AH26" s="76">
        <v>9</v>
      </c>
      <c r="AI26" s="76">
        <v>1</v>
      </c>
      <c r="AJ26" s="76">
        <v>0</v>
      </c>
      <c r="AK26" s="76">
        <v>0</v>
      </c>
      <c r="AL26" s="76">
        <v>0</v>
      </c>
      <c r="AM26" s="76">
        <v>0</v>
      </c>
      <c r="AN26" s="76">
        <v>284</v>
      </c>
      <c r="AO26" s="202" t="s">
        <v>159</v>
      </c>
      <c r="AP26" s="202">
        <v>0</v>
      </c>
      <c r="AQ26" s="202">
        <v>4</v>
      </c>
      <c r="AR26" s="202">
        <v>0.253</v>
      </c>
      <c r="AS26" s="202">
        <v>0.27200000000000002</v>
      </c>
      <c r="AT26" s="202">
        <v>0.52400000000000002</v>
      </c>
      <c r="AU26" s="202">
        <v>4.76</v>
      </c>
      <c r="AV26" s="202">
        <v>2.25</v>
      </c>
      <c r="AW26" s="202">
        <v>6.35</v>
      </c>
      <c r="AX26" s="202">
        <v>2.12</v>
      </c>
      <c r="AY26" s="202">
        <v>14.03</v>
      </c>
    </row>
    <row r="27" spans="1:51" ht="12.75" customHeight="1" x14ac:dyDescent="0.2">
      <c r="A27" s="76">
        <v>20</v>
      </c>
      <c r="B27" s="41" t="s">
        <v>467</v>
      </c>
      <c r="C27" s="76" t="s">
        <v>159</v>
      </c>
      <c r="D27" s="76">
        <v>3</v>
      </c>
      <c r="E27" s="76">
        <v>12</v>
      </c>
      <c r="F27" s="76">
        <v>6.15</v>
      </c>
      <c r="G27" s="76">
        <v>20</v>
      </c>
      <c r="H27" s="76">
        <v>20</v>
      </c>
      <c r="I27" s="76">
        <v>1</v>
      </c>
      <c r="J27" s="76">
        <v>1</v>
      </c>
      <c r="K27" s="76">
        <v>0</v>
      </c>
      <c r="L27" s="76">
        <v>0</v>
      </c>
      <c r="M27" s="258">
        <f>INDEX('C-P-RollAdj'!$P$4:$P$900,MATCH((V27),'C-P-RollAdj'!$O$4:$O$900,FALSE),0)</f>
        <v>101</v>
      </c>
      <c r="N27" s="76">
        <v>127</v>
      </c>
      <c r="O27" s="76">
        <v>72</v>
      </c>
      <c r="P27" s="76">
        <v>69</v>
      </c>
      <c r="Q27" s="76">
        <v>14</v>
      </c>
      <c r="R27" s="76">
        <v>42</v>
      </c>
      <c r="S27" s="76">
        <v>3</v>
      </c>
      <c r="T27" s="76">
        <v>70</v>
      </c>
      <c r="U27" s="76">
        <v>460</v>
      </c>
      <c r="V27" s="76">
        <v>101</v>
      </c>
      <c r="W27" s="76">
        <v>0.31</v>
      </c>
      <c r="X27" s="76">
        <v>1.67</v>
      </c>
      <c r="Y27" s="76"/>
      <c r="Z27" t="s">
        <v>467</v>
      </c>
      <c r="AA27" s="76" t="s">
        <v>159</v>
      </c>
      <c r="AB27" s="76">
        <v>2</v>
      </c>
      <c r="AC27" s="76">
        <v>3</v>
      </c>
      <c r="AD27" s="76">
        <v>0</v>
      </c>
      <c r="AE27" s="76">
        <v>0</v>
      </c>
      <c r="AF27" s="76">
        <v>8</v>
      </c>
      <c r="AG27" s="76">
        <v>110</v>
      </c>
      <c r="AH27" s="76">
        <v>109</v>
      </c>
      <c r="AI27" s="76">
        <v>3</v>
      </c>
      <c r="AJ27" s="76">
        <v>0</v>
      </c>
      <c r="AK27" s="76">
        <v>8</v>
      </c>
      <c r="AL27" s="76">
        <v>5</v>
      </c>
      <c r="AM27" s="76">
        <v>1</v>
      </c>
      <c r="AN27" s="76">
        <v>1740</v>
      </c>
      <c r="AO27" s="202" t="s">
        <v>159</v>
      </c>
      <c r="AP27" s="202">
        <v>0.5</v>
      </c>
      <c r="AQ27" s="202">
        <v>1.75</v>
      </c>
      <c r="AR27" s="202">
        <v>0.30199999999999999</v>
      </c>
      <c r="AS27" s="202">
        <v>0.33900000000000002</v>
      </c>
      <c r="AT27" s="202">
        <v>0.64100000000000001</v>
      </c>
      <c r="AU27" s="202">
        <v>6.46</v>
      </c>
      <c r="AV27" s="202">
        <v>2.35</v>
      </c>
      <c r="AW27" s="202">
        <v>8.8000000000000007</v>
      </c>
      <c r="AX27" s="202">
        <v>2.75</v>
      </c>
      <c r="AY27" s="202">
        <v>15.33</v>
      </c>
    </row>
    <row r="28" spans="1:51" ht="12.75" customHeight="1" x14ac:dyDescent="0.2">
      <c r="A28" s="76">
        <v>13</v>
      </c>
      <c r="B28" s="41" t="s">
        <v>801</v>
      </c>
      <c r="C28" s="76" t="s">
        <v>159</v>
      </c>
      <c r="D28" s="76">
        <v>8</v>
      </c>
      <c r="E28" s="76">
        <v>15</v>
      </c>
      <c r="F28" s="76">
        <v>4.9000000000000004</v>
      </c>
      <c r="G28" s="76">
        <v>32</v>
      </c>
      <c r="H28" s="76">
        <v>32</v>
      </c>
      <c r="I28" s="76">
        <v>0</v>
      </c>
      <c r="J28" s="76">
        <v>0</v>
      </c>
      <c r="K28" s="76">
        <v>0</v>
      </c>
      <c r="L28" s="76">
        <v>0</v>
      </c>
      <c r="M28" s="258">
        <f>INDEX('C-P-RollAdj'!$P$4:$P$900,MATCH((V28),'C-P-RollAdj'!$O$4:$O$900,FALSE),0)</f>
        <v>174.32999999999998</v>
      </c>
      <c r="N28" s="76">
        <v>185</v>
      </c>
      <c r="O28" s="76">
        <v>105</v>
      </c>
      <c r="P28" s="76">
        <v>95</v>
      </c>
      <c r="Q28" s="76">
        <v>24</v>
      </c>
      <c r="R28" s="76">
        <v>71</v>
      </c>
      <c r="S28" s="76">
        <v>4</v>
      </c>
      <c r="T28" s="76">
        <v>218</v>
      </c>
      <c r="U28" s="76">
        <v>776</v>
      </c>
      <c r="V28" s="76">
        <v>174.1</v>
      </c>
      <c r="W28" s="76">
        <v>0.26700000000000002</v>
      </c>
      <c r="X28" s="76">
        <v>1.47</v>
      </c>
      <c r="Y28" s="76"/>
      <c r="Z28" t="s">
        <v>801</v>
      </c>
      <c r="AA28" s="76" t="s">
        <v>159</v>
      </c>
      <c r="AB28" s="76">
        <v>6</v>
      </c>
      <c r="AC28" s="76">
        <v>4</v>
      </c>
      <c r="AD28" s="76">
        <v>0</v>
      </c>
      <c r="AE28" s="76">
        <v>0</v>
      </c>
      <c r="AF28" s="76">
        <v>13</v>
      </c>
      <c r="AG28" s="76">
        <v>162</v>
      </c>
      <c r="AH28" s="76">
        <v>134</v>
      </c>
      <c r="AI28" s="76">
        <v>8</v>
      </c>
      <c r="AJ28" s="76">
        <v>0</v>
      </c>
      <c r="AK28" s="76">
        <v>10</v>
      </c>
      <c r="AL28" s="76">
        <v>3</v>
      </c>
      <c r="AM28" s="76">
        <v>0</v>
      </c>
      <c r="AN28" s="76">
        <v>3176</v>
      </c>
      <c r="AO28" s="202" t="s">
        <v>159</v>
      </c>
      <c r="AP28" s="202">
        <v>0.16700000000000001</v>
      </c>
      <c r="AQ28" s="202">
        <v>0.83</v>
      </c>
      <c r="AR28" s="202">
        <v>0.32900000000000001</v>
      </c>
      <c r="AS28" s="202">
        <v>0.45</v>
      </c>
      <c r="AT28" s="202">
        <v>0.77800000000000002</v>
      </c>
      <c r="AU28" s="202">
        <v>8.82</v>
      </c>
      <c r="AV28" s="202">
        <v>2.94</v>
      </c>
      <c r="AW28" s="202">
        <v>8.82</v>
      </c>
      <c r="AX28" s="202">
        <v>3</v>
      </c>
      <c r="AY28" s="202">
        <v>17.440000000000001</v>
      </c>
    </row>
    <row r="29" spans="1:51" ht="12.75" customHeight="1" x14ac:dyDescent="0.2">
      <c r="A29" s="76">
        <v>18</v>
      </c>
      <c r="B29" s="41" t="s">
        <v>1411</v>
      </c>
      <c r="C29" s="76" t="s">
        <v>159</v>
      </c>
      <c r="D29" s="76">
        <v>4</v>
      </c>
      <c r="E29" s="76">
        <v>5</v>
      </c>
      <c r="F29" s="76">
        <v>5.27</v>
      </c>
      <c r="G29" s="76">
        <v>13</v>
      </c>
      <c r="H29" s="76">
        <v>11</v>
      </c>
      <c r="I29" s="76">
        <v>0</v>
      </c>
      <c r="J29" s="76">
        <v>0</v>
      </c>
      <c r="K29" s="76">
        <v>0</v>
      </c>
      <c r="L29" s="76">
        <v>0</v>
      </c>
      <c r="M29" s="258">
        <f>INDEX('C-P-RollAdj'!$P$4:$P$900,MATCH((V29),'C-P-RollAdj'!$O$4:$O$900,FALSE),0)</f>
        <v>70</v>
      </c>
      <c r="N29" s="76">
        <v>80</v>
      </c>
      <c r="O29" s="76">
        <v>43</v>
      </c>
      <c r="P29" s="76">
        <v>41</v>
      </c>
      <c r="Q29" s="76">
        <v>14</v>
      </c>
      <c r="R29" s="76">
        <v>28</v>
      </c>
      <c r="S29" s="76">
        <v>1</v>
      </c>
      <c r="T29" s="76">
        <v>43</v>
      </c>
      <c r="U29" s="76">
        <v>306</v>
      </c>
      <c r="V29" s="76">
        <v>70</v>
      </c>
      <c r="W29" s="76">
        <v>0.29299999999999998</v>
      </c>
      <c r="X29" s="76">
        <v>1.54</v>
      </c>
      <c r="Y29" s="76"/>
      <c r="Z29" t="s">
        <v>1411</v>
      </c>
      <c r="AA29" s="76" t="s">
        <v>159</v>
      </c>
      <c r="AB29" s="76">
        <v>1</v>
      </c>
      <c r="AC29" s="76">
        <v>1</v>
      </c>
      <c r="AD29" s="76">
        <v>0</v>
      </c>
      <c r="AE29" s="76">
        <v>0</v>
      </c>
      <c r="AF29" s="76">
        <v>13</v>
      </c>
      <c r="AG29" s="76">
        <v>84</v>
      </c>
      <c r="AH29" s="76">
        <v>70</v>
      </c>
      <c r="AI29" s="76">
        <v>1</v>
      </c>
      <c r="AJ29" s="76">
        <v>0</v>
      </c>
      <c r="AK29" s="76">
        <v>4</v>
      </c>
      <c r="AL29" s="76">
        <v>0</v>
      </c>
      <c r="AM29" s="76">
        <v>0</v>
      </c>
      <c r="AN29" s="76">
        <v>1181</v>
      </c>
      <c r="AO29" s="202" t="s">
        <v>159</v>
      </c>
      <c r="AP29" s="202">
        <v>0</v>
      </c>
      <c r="AQ29" s="202">
        <v>0.5</v>
      </c>
      <c r="AR29" s="202">
        <v>0.25900000000000001</v>
      </c>
      <c r="AS29" s="202">
        <v>0.28299999999999997</v>
      </c>
      <c r="AT29" s="202">
        <v>0.54200000000000004</v>
      </c>
      <c r="AU29" s="202">
        <v>11.93</v>
      </c>
      <c r="AV29" s="202">
        <v>3.14</v>
      </c>
      <c r="AW29" s="202">
        <v>6.28</v>
      </c>
      <c r="AX29" s="202">
        <v>3.8</v>
      </c>
      <c r="AY29" s="202">
        <v>16.190000000000001</v>
      </c>
    </row>
    <row r="30" spans="1:51" ht="12.75" customHeight="1" x14ac:dyDescent="0.2">
      <c r="A30" s="76">
        <v>1</v>
      </c>
      <c r="B30" t="s">
        <v>1133</v>
      </c>
      <c r="C30" s="76" t="s">
        <v>159</v>
      </c>
      <c r="D30" s="76">
        <v>1</v>
      </c>
      <c r="E30" s="76">
        <v>0</v>
      </c>
      <c r="F30" s="76">
        <v>1.8</v>
      </c>
      <c r="G30" s="76">
        <v>3</v>
      </c>
      <c r="H30" s="76">
        <v>0</v>
      </c>
      <c r="I30" s="76">
        <v>0</v>
      </c>
      <c r="J30" s="76">
        <v>0</v>
      </c>
      <c r="K30" s="76">
        <v>0</v>
      </c>
      <c r="L30" s="76">
        <v>0</v>
      </c>
      <c r="M30" s="258">
        <f>INDEX('C-P-RollAdj'!$P$4:$P$900,MATCH((V30),'C-P-RollAdj'!$O$4:$O$900,FALSE),0)</f>
        <v>10</v>
      </c>
      <c r="N30" s="76">
        <v>9</v>
      </c>
      <c r="O30" s="76">
        <v>3</v>
      </c>
      <c r="P30" s="76">
        <v>2</v>
      </c>
      <c r="Q30" s="76">
        <v>0</v>
      </c>
      <c r="R30" s="76">
        <v>2</v>
      </c>
      <c r="S30" s="76">
        <v>0</v>
      </c>
      <c r="T30" s="76">
        <v>7</v>
      </c>
      <c r="U30" s="76">
        <v>40</v>
      </c>
      <c r="V30" s="76">
        <v>10</v>
      </c>
      <c r="W30" s="76">
        <v>0.23699999999999999</v>
      </c>
      <c r="X30" s="76">
        <v>1.1000000000000001</v>
      </c>
      <c r="Y30" s="76"/>
      <c r="Z30" t="s">
        <v>1133</v>
      </c>
      <c r="AA30" s="76" t="s">
        <v>159</v>
      </c>
      <c r="AB30" s="76">
        <v>0</v>
      </c>
      <c r="AC30" s="76">
        <v>0</v>
      </c>
      <c r="AD30" s="76">
        <v>0</v>
      </c>
      <c r="AE30" s="76">
        <v>0</v>
      </c>
      <c r="AF30" s="76">
        <v>1</v>
      </c>
      <c r="AG30" s="76">
        <v>13</v>
      </c>
      <c r="AH30" s="76">
        <v>9</v>
      </c>
      <c r="AI30" s="76">
        <v>0</v>
      </c>
      <c r="AJ30" s="76">
        <v>0</v>
      </c>
      <c r="AK30" s="76">
        <v>0</v>
      </c>
      <c r="AL30" s="76">
        <v>0</v>
      </c>
      <c r="AM30" s="76">
        <v>0</v>
      </c>
      <c r="AN30" s="76">
        <v>145</v>
      </c>
      <c r="AO30" s="202" t="s">
        <v>159</v>
      </c>
      <c r="AP30" s="202">
        <v>0.5</v>
      </c>
      <c r="AQ30" s="202">
        <v>1.01</v>
      </c>
      <c r="AR30" s="202">
        <v>0.32200000000000001</v>
      </c>
      <c r="AS30" s="202">
        <v>0.432</v>
      </c>
      <c r="AT30" s="202">
        <v>0.754</v>
      </c>
      <c r="AU30" s="202">
        <v>6.54</v>
      </c>
      <c r="AV30" s="202">
        <v>2.36</v>
      </c>
      <c r="AW30" s="202">
        <v>9.31</v>
      </c>
      <c r="AX30" s="202">
        <v>2.78</v>
      </c>
      <c r="AY30" s="202">
        <v>16.13</v>
      </c>
    </row>
    <row r="31" spans="1:51" ht="12.75" customHeight="1" x14ac:dyDescent="0.2">
      <c r="A31" s="76">
        <v>4</v>
      </c>
      <c r="B31" t="s">
        <v>320</v>
      </c>
      <c r="C31" s="76" t="s">
        <v>159</v>
      </c>
      <c r="D31" s="76">
        <v>2</v>
      </c>
      <c r="E31" s="76">
        <v>3</v>
      </c>
      <c r="F31" s="76">
        <v>2.82</v>
      </c>
      <c r="G31" s="76">
        <v>36</v>
      </c>
      <c r="H31" s="76">
        <v>0</v>
      </c>
      <c r="I31" s="76">
        <v>0</v>
      </c>
      <c r="J31" s="76">
        <v>0</v>
      </c>
      <c r="K31" s="76">
        <v>18</v>
      </c>
      <c r="L31" s="76">
        <v>20</v>
      </c>
      <c r="M31" s="258">
        <f>INDEX('C-P-RollAdj'!$P$4:$P$900,MATCH((V31),'C-P-RollAdj'!$O$4:$O$900,FALSE),0)</f>
        <v>38.33</v>
      </c>
      <c r="N31" s="76">
        <v>41</v>
      </c>
      <c r="O31" s="76">
        <v>13</v>
      </c>
      <c r="P31" s="76">
        <v>12</v>
      </c>
      <c r="Q31" s="76">
        <v>1</v>
      </c>
      <c r="R31" s="76">
        <v>15</v>
      </c>
      <c r="S31" s="76">
        <v>5</v>
      </c>
      <c r="T31" s="76">
        <v>27</v>
      </c>
      <c r="U31" s="76">
        <v>165</v>
      </c>
      <c r="V31" s="76">
        <v>38.1</v>
      </c>
      <c r="W31" s="76">
        <v>0.28100000000000003</v>
      </c>
      <c r="X31" s="76">
        <v>1.46</v>
      </c>
      <c r="Y31" s="76"/>
      <c r="Z31" t="s">
        <v>320</v>
      </c>
      <c r="AA31" s="76" t="s">
        <v>159</v>
      </c>
      <c r="AB31" s="76">
        <v>2</v>
      </c>
      <c r="AC31" s="76">
        <v>5</v>
      </c>
      <c r="AD31" s="76">
        <v>30</v>
      </c>
      <c r="AE31" s="76">
        <v>0</v>
      </c>
      <c r="AF31" s="76">
        <v>10</v>
      </c>
      <c r="AG31" s="76">
        <v>57</v>
      </c>
      <c r="AH31" s="76">
        <v>23</v>
      </c>
      <c r="AI31" s="76">
        <v>0</v>
      </c>
      <c r="AJ31" s="76">
        <v>0</v>
      </c>
      <c r="AK31" s="76">
        <v>1</v>
      </c>
      <c r="AL31" s="76">
        <v>0</v>
      </c>
      <c r="AM31" s="76">
        <v>0</v>
      </c>
      <c r="AN31" s="76">
        <v>591</v>
      </c>
      <c r="AO31" s="202" t="s">
        <v>159</v>
      </c>
      <c r="AP31" s="202">
        <v>0.5</v>
      </c>
      <c r="AQ31" s="202">
        <v>0.67</v>
      </c>
      <c r="AR31" s="202">
        <v>0.34699999999999998</v>
      </c>
      <c r="AS31" s="202">
        <v>0.36199999999999999</v>
      </c>
      <c r="AT31" s="202">
        <v>0.70899999999999996</v>
      </c>
      <c r="AU31" s="202">
        <v>13</v>
      </c>
      <c r="AV31" s="202">
        <v>5</v>
      </c>
      <c r="AW31" s="202">
        <v>9</v>
      </c>
      <c r="AX31" s="202">
        <v>2.6</v>
      </c>
      <c r="AY31" s="202">
        <v>19.04</v>
      </c>
    </row>
    <row r="32" spans="1:51" ht="12.75" customHeight="1" x14ac:dyDescent="0.2">
      <c r="A32" s="225" t="s">
        <v>105</v>
      </c>
      <c r="B32" s="225" t="s">
        <v>106</v>
      </c>
      <c r="C32" s="225" t="s">
        <v>157</v>
      </c>
      <c r="D32" s="225" t="s">
        <v>85</v>
      </c>
      <c r="E32" s="225" t="s">
        <v>86</v>
      </c>
      <c r="F32" s="225" t="s">
        <v>107</v>
      </c>
      <c r="G32" s="225" t="s">
        <v>108</v>
      </c>
      <c r="H32" s="225" t="s">
        <v>88</v>
      </c>
      <c r="I32" s="225" t="s">
        <v>89</v>
      </c>
      <c r="J32" s="225" t="s">
        <v>1073</v>
      </c>
      <c r="K32" s="225" t="s">
        <v>90</v>
      </c>
      <c r="L32" s="225" t="s">
        <v>158</v>
      </c>
      <c r="M32" s="225" t="s">
        <v>91</v>
      </c>
      <c r="N32" s="225" t="s">
        <v>92</v>
      </c>
      <c r="O32" s="225" t="s">
        <v>93</v>
      </c>
      <c r="P32" s="225" t="s">
        <v>94</v>
      </c>
      <c r="Q32" s="225" t="s">
        <v>95</v>
      </c>
      <c r="R32" s="225" t="s">
        <v>96</v>
      </c>
      <c r="S32" s="225" t="s">
        <v>98</v>
      </c>
      <c r="T32" s="225" t="s">
        <v>97</v>
      </c>
      <c r="U32" s="225" t="s">
        <v>109</v>
      </c>
      <c r="V32" s="225" t="s">
        <v>91</v>
      </c>
      <c r="W32" s="225" t="s">
        <v>1071</v>
      </c>
      <c r="X32" s="225" t="s">
        <v>1072</v>
      </c>
      <c r="Y32" s="225"/>
      <c r="Z32" s="225" t="s">
        <v>106</v>
      </c>
      <c r="AA32" s="225" t="s">
        <v>157</v>
      </c>
      <c r="AB32" s="225" t="s">
        <v>1074</v>
      </c>
      <c r="AC32" s="225" t="s">
        <v>98</v>
      </c>
      <c r="AD32" s="225" t="s">
        <v>1075</v>
      </c>
      <c r="AE32" s="225" t="s">
        <v>1076</v>
      </c>
      <c r="AF32" s="225" t="s">
        <v>1077</v>
      </c>
      <c r="AG32" s="225" t="s">
        <v>1066</v>
      </c>
      <c r="AH32" s="225" t="s">
        <v>1067</v>
      </c>
      <c r="AI32" s="225" t="s">
        <v>1078</v>
      </c>
      <c r="AJ32" s="225" t="s">
        <v>1079</v>
      </c>
      <c r="AK32" s="225" t="s">
        <v>1057</v>
      </c>
      <c r="AL32" s="225" t="s">
        <v>1058</v>
      </c>
      <c r="AM32" s="225" t="s">
        <v>1080</v>
      </c>
      <c r="AN32" s="225" t="s">
        <v>1069</v>
      </c>
      <c r="AO32" s="202" t="s">
        <v>160</v>
      </c>
      <c r="AP32" s="202">
        <v>0.33300000000000002</v>
      </c>
      <c r="AQ32" s="202">
        <v>1.52</v>
      </c>
      <c r="AR32" s="202">
        <v>0.29199999999999998</v>
      </c>
      <c r="AS32" s="202">
        <v>0.378</v>
      </c>
      <c r="AT32" s="202">
        <v>0.67</v>
      </c>
      <c r="AU32" s="202">
        <v>7.41</v>
      </c>
      <c r="AV32" s="202">
        <v>2.39</v>
      </c>
      <c r="AW32" s="202">
        <v>8.36</v>
      </c>
      <c r="AX32" s="202">
        <v>3.1</v>
      </c>
      <c r="AY32" s="202">
        <v>15.19</v>
      </c>
    </row>
    <row r="33" spans="1:51" ht="12.75" customHeight="1" x14ac:dyDescent="0.2">
      <c r="A33" s="76">
        <v>5</v>
      </c>
      <c r="B33" t="s">
        <v>772</v>
      </c>
      <c r="C33" s="76" t="s">
        <v>160</v>
      </c>
      <c r="D33" s="76">
        <v>3</v>
      </c>
      <c r="E33" s="76">
        <v>1</v>
      </c>
      <c r="F33" s="76">
        <v>3</v>
      </c>
      <c r="G33" s="76">
        <v>16</v>
      </c>
      <c r="H33" s="76">
        <v>0</v>
      </c>
      <c r="I33" s="76">
        <v>0</v>
      </c>
      <c r="J33" s="76">
        <v>0</v>
      </c>
      <c r="K33" s="76">
        <v>0</v>
      </c>
      <c r="L33" s="76">
        <v>0</v>
      </c>
      <c r="M33" s="76">
        <v>15</v>
      </c>
      <c r="N33" s="76">
        <v>11</v>
      </c>
      <c r="O33" s="76">
        <v>5</v>
      </c>
      <c r="P33" s="76">
        <v>5</v>
      </c>
      <c r="Q33" s="76">
        <v>3</v>
      </c>
      <c r="R33" s="76">
        <v>5</v>
      </c>
      <c r="S33" s="76">
        <v>2</v>
      </c>
      <c r="T33" s="76">
        <v>28</v>
      </c>
      <c r="U33" s="76">
        <v>61</v>
      </c>
      <c r="V33" s="76">
        <v>15</v>
      </c>
      <c r="W33" s="76">
        <v>0.2</v>
      </c>
      <c r="X33" s="76">
        <v>1.07</v>
      </c>
      <c r="Y33" s="76"/>
      <c r="Z33" t="s">
        <v>772</v>
      </c>
      <c r="AA33" s="76" t="s">
        <v>160</v>
      </c>
      <c r="AB33" s="76">
        <v>1</v>
      </c>
      <c r="AC33" s="76">
        <v>2</v>
      </c>
      <c r="AD33" s="76">
        <v>4</v>
      </c>
      <c r="AE33" s="76">
        <v>1</v>
      </c>
      <c r="AF33" s="76">
        <v>1</v>
      </c>
      <c r="AG33" s="76">
        <v>5</v>
      </c>
      <c r="AH33" s="76">
        <v>11</v>
      </c>
      <c r="AI33" s="76">
        <v>4</v>
      </c>
      <c r="AJ33" s="76">
        <v>0</v>
      </c>
      <c r="AK33" s="76">
        <v>1</v>
      </c>
      <c r="AL33" s="76">
        <v>0</v>
      </c>
      <c r="AM33" s="76">
        <v>0</v>
      </c>
      <c r="AN33" s="76">
        <v>266</v>
      </c>
      <c r="AO33" s="202" t="s">
        <v>160</v>
      </c>
      <c r="AP33" s="202" t="s">
        <v>243</v>
      </c>
      <c r="AQ33" s="202">
        <v>0.5</v>
      </c>
      <c r="AR33" s="202">
        <v>0.35299999999999998</v>
      </c>
      <c r="AS33" s="202">
        <v>0.76500000000000001</v>
      </c>
      <c r="AT33" s="202">
        <v>1.1180000000000001</v>
      </c>
      <c r="AU33" s="202">
        <v>12.27</v>
      </c>
      <c r="AV33" s="202">
        <v>0</v>
      </c>
      <c r="AW33" s="202">
        <v>14.73</v>
      </c>
      <c r="AX33" s="202" t="s">
        <v>243</v>
      </c>
      <c r="AY33" s="202">
        <v>18</v>
      </c>
    </row>
    <row r="34" spans="1:51" ht="12.75" customHeight="1" x14ac:dyDescent="0.2">
      <c r="A34" s="76">
        <v>33</v>
      </c>
      <c r="B34" s="41" t="s">
        <v>1423</v>
      </c>
      <c r="C34" s="76" t="s">
        <v>160</v>
      </c>
      <c r="D34" s="76">
        <v>2</v>
      </c>
      <c r="E34" s="76">
        <v>7</v>
      </c>
      <c r="F34" s="76">
        <v>7.59</v>
      </c>
      <c r="G34" s="76">
        <v>15</v>
      </c>
      <c r="H34" s="76">
        <v>15</v>
      </c>
      <c r="I34" s="76">
        <v>0</v>
      </c>
      <c r="J34" s="76">
        <v>0</v>
      </c>
      <c r="K34" s="76">
        <v>0</v>
      </c>
      <c r="L34" s="76">
        <v>0</v>
      </c>
      <c r="M34" s="76">
        <v>70</v>
      </c>
      <c r="N34" s="76">
        <v>82</v>
      </c>
      <c r="O34" s="76">
        <v>61</v>
      </c>
      <c r="P34" s="76">
        <v>59</v>
      </c>
      <c r="Q34" s="76">
        <v>14</v>
      </c>
      <c r="R34" s="76">
        <v>34</v>
      </c>
      <c r="S34" s="76">
        <v>4</v>
      </c>
      <c r="T34" s="76">
        <v>46</v>
      </c>
      <c r="U34" s="76">
        <v>324</v>
      </c>
      <c r="V34" s="76">
        <v>70</v>
      </c>
      <c r="W34" s="76">
        <v>0.29899999999999999</v>
      </c>
      <c r="X34" s="76">
        <v>1.66</v>
      </c>
      <c r="Y34" s="76"/>
      <c r="Z34" t="s">
        <v>1423</v>
      </c>
      <c r="AA34" s="76" t="s">
        <v>160</v>
      </c>
      <c r="AB34" s="76">
        <v>6</v>
      </c>
      <c r="AC34" s="76">
        <v>4</v>
      </c>
      <c r="AD34" s="76">
        <v>0</v>
      </c>
      <c r="AE34" s="76">
        <v>0</v>
      </c>
      <c r="AF34" s="76">
        <v>4</v>
      </c>
      <c r="AG34" s="76">
        <v>76</v>
      </c>
      <c r="AH34" s="76">
        <v>80</v>
      </c>
      <c r="AI34" s="76">
        <v>0</v>
      </c>
      <c r="AJ34" s="76">
        <v>0</v>
      </c>
      <c r="AK34" s="76">
        <v>6</v>
      </c>
      <c r="AL34" s="76">
        <v>1</v>
      </c>
      <c r="AM34" s="76">
        <v>0</v>
      </c>
      <c r="AN34" s="76">
        <v>1214</v>
      </c>
      <c r="AO34" s="202" t="s">
        <v>160</v>
      </c>
      <c r="AP34" s="202" t="s">
        <v>243</v>
      </c>
      <c r="AQ34" s="202">
        <v>2</v>
      </c>
      <c r="AR34" s="202">
        <v>0.375</v>
      </c>
      <c r="AS34" s="202">
        <v>1.143</v>
      </c>
      <c r="AT34" s="202">
        <v>1.518</v>
      </c>
      <c r="AU34" s="202">
        <v>10.8</v>
      </c>
      <c r="AV34" s="202">
        <v>5.4</v>
      </c>
      <c r="AW34" s="202">
        <v>10.8</v>
      </c>
      <c r="AX34" s="202">
        <v>2</v>
      </c>
      <c r="AY34" s="202">
        <v>19.8</v>
      </c>
    </row>
    <row r="35" spans="1:51" ht="12.75" customHeight="1" x14ac:dyDescent="0.2">
      <c r="A35" s="76">
        <v>22</v>
      </c>
      <c r="B35" t="s">
        <v>1419</v>
      </c>
      <c r="C35" s="76" t="s">
        <v>160</v>
      </c>
      <c r="D35" s="76">
        <v>1</v>
      </c>
      <c r="E35" s="76">
        <v>1</v>
      </c>
      <c r="F35" s="76">
        <v>5.14</v>
      </c>
      <c r="G35" s="76">
        <v>6</v>
      </c>
      <c r="H35" s="76">
        <v>0</v>
      </c>
      <c r="I35" s="76">
        <v>0</v>
      </c>
      <c r="J35" s="76">
        <v>0</v>
      </c>
      <c r="K35" s="76">
        <v>0</v>
      </c>
      <c r="L35" s="76">
        <v>0</v>
      </c>
      <c r="M35" s="76">
        <v>7</v>
      </c>
      <c r="N35" s="76">
        <v>7</v>
      </c>
      <c r="O35" s="76">
        <v>4</v>
      </c>
      <c r="P35" s="76">
        <v>4</v>
      </c>
      <c r="Q35" s="76">
        <v>0</v>
      </c>
      <c r="R35" s="76">
        <v>6</v>
      </c>
      <c r="S35" s="76">
        <v>2</v>
      </c>
      <c r="T35" s="76">
        <v>4</v>
      </c>
      <c r="U35" s="76">
        <v>33</v>
      </c>
      <c r="V35" s="76">
        <v>7</v>
      </c>
      <c r="W35" s="76">
        <v>0.26900000000000002</v>
      </c>
      <c r="X35" s="76">
        <v>1.86</v>
      </c>
      <c r="Y35" s="76"/>
      <c r="Z35" t="s">
        <v>1419</v>
      </c>
      <c r="AA35" s="76" t="s">
        <v>160</v>
      </c>
      <c r="AB35" s="76">
        <v>0</v>
      </c>
      <c r="AC35" s="76">
        <v>2</v>
      </c>
      <c r="AD35" s="76">
        <v>1</v>
      </c>
      <c r="AE35" s="76">
        <v>0</v>
      </c>
      <c r="AF35" s="76">
        <v>1</v>
      </c>
      <c r="AG35" s="76">
        <v>7</v>
      </c>
      <c r="AH35" s="76">
        <v>9</v>
      </c>
      <c r="AI35" s="76">
        <v>1</v>
      </c>
      <c r="AJ35" s="76">
        <v>0</v>
      </c>
      <c r="AK35" s="76">
        <v>2</v>
      </c>
      <c r="AL35" s="76">
        <v>0</v>
      </c>
      <c r="AM35" s="76">
        <v>0</v>
      </c>
      <c r="AN35" s="76">
        <v>131</v>
      </c>
      <c r="AO35" s="202" t="s">
        <v>160</v>
      </c>
      <c r="AP35" s="202">
        <v>0.5</v>
      </c>
      <c r="AQ35" s="202">
        <v>1.2</v>
      </c>
      <c r="AR35" s="202">
        <v>0.375</v>
      </c>
      <c r="AS35" s="202">
        <v>0.50800000000000001</v>
      </c>
      <c r="AT35" s="202">
        <v>0.88300000000000001</v>
      </c>
      <c r="AU35" s="202">
        <v>7.04</v>
      </c>
      <c r="AV35" s="202">
        <v>4.7</v>
      </c>
      <c r="AW35" s="202">
        <v>10.57</v>
      </c>
      <c r="AX35" s="202">
        <v>1.5</v>
      </c>
      <c r="AY35" s="202">
        <v>17.09</v>
      </c>
    </row>
    <row r="36" spans="1:51" ht="12.75" customHeight="1" x14ac:dyDescent="0.2">
      <c r="A36" s="76">
        <v>4</v>
      </c>
      <c r="B36" s="41" t="s">
        <v>1414</v>
      </c>
      <c r="C36" s="76" t="s">
        <v>160</v>
      </c>
      <c r="D36" s="76">
        <v>5</v>
      </c>
      <c r="E36" s="76">
        <v>1</v>
      </c>
      <c r="F36" s="76">
        <v>2.82</v>
      </c>
      <c r="G36" s="76">
        <v>41</v>
      </c>
      <c r="H36" s="76">
        <v>0</v>
      </c>
      <c r="I36" s="76">
        <v>0</v>
      </c>
      <c r="J36" s="76">
        <v>0</v>
      </c>
      <c r="K36" s="76">
        <v>6</v>
      </c>
      <c r="L36" s="76">
        <v>7</v>
      </c>
      <c r="M36" s="76">
        <v>38.1</v>
      </c>
      <c r="N36" s="76">
        <v>31</v>
      </c>
      <c r="O36" s="76">
        <v>14</v>
      </c>
      <c r="P36" s="76">
        <v>12</v>
      </c>
      <c r="Q36" s="76">
        <v>0</v>
      </c>
      <c r="R36" s="76">
        <v>19</v>
      </c>
      <c r="S36" s="76">
        <v>1</v>
      </c>
      <c r="T36" s="76">
        <v>32</v>
      </c>
      <c r="U36" s="76">
        <v>162</v>
      </c>
      <c r="V36" s="76">
        <v>38.1</v>
      </c>
      <c r="W36" s="76">
        <v>0.22500000000000001</v>
      </c>
      <c r="X36" s="76">
        <v>1.3</v>
      </c>
      <c r="Y36" s="76"/>
      <c r="Z36" t="s">
        <v>1414</v>
      </c>
      <c r="AA36" s="76" t="s">
        <v>160</v>
      </c>
      <c r="AB36" s="76">
        <v>1</v>
      </c>
      <c r="AC36" s="76">
        <v>1</v>
      </c>
      <c r="AD36" s="76">
        <v>10</v>
      </c>
      <c r="AE36" s="76">
        <v>8</v>
      </c>
      <c r="AF36" s="76">
        <v>5</v>
      </c>
      <c r="AG36" s="76">
        <v>38</v>
      </c>
      <c r="AH36" s="76">
        <v>41</v>
      </c>
      <c r="AI36" s="76">
        <v>2</v>
      </c>
      <c r="AJ36" s="76">
        <v>0</v>
      </c>
      <c r="AK36" s="76">
        <v>4</v>
      </c>
      <c r="AL36" s="76">
        <v>1</v>
      </c>
      <c r="AM36" s="76">
        <v>0</v>
      </c>
      <c r="AN36" s="76">
        <v>644</v>
      </c>
      <c r="AO36" s="202" t="s">
        <v>160</v>
      </c>
      <c r="AP36" s="202">
        <v>0</v>
      </c>
      <c r="AQ36" s="202">
        <v>2.1</v>
      </c>
      <c r="AR36" s="202">
        <v>0.39300000000000002</v>
      </c>
      <c r="AS36" s="202">
        <v>0.45</v>
      </c>
      <c r="AT36" s="202">
        <v>0.84299999999999997</v>
      </c>
      <c r="AU36" s="202">
        <v>4.78</v>
      </c>
      <c r="AV36" s="202">
        <v>3.76</v>
      </c>
      <c r="AW36" s="202">
        <v>12.3</v>
      </c>
      <c r="AX36" s="202">
        <v>1.27</v>
      </c>
      <c r="AY36" s="202">
        <v>17.010000000000002</v>
      </c>
    </row>
    <row r="37" spans="1:51" ht="12.75" customHeight="1" x14ac:dyDescent="0.2">
      <c r="A37" s="76">
        <v>7</v>
      </c>
      <c r="B37" t="s">
        <v>1415</v>
      </c>
      <c r="C37" s="76" t="s">
        <v>160</v>
      </c>
      <c r="D37" s="76">
        <v>1</v>
      </c>
      <c r="E37" s="76">
        <v>0</v>
      </c>
      <c r="F37" s="76">
        <v>3.18</v>
      </c>
      <c r="G37" s="76">
        <v>50</v>
      </c>
      <c r="H37" s="76">
        <v>0</v>
      </c>
      <c r="I37" s="76">
        <v>0</v>
      </c>
      <c r="J37" s="76">
        <v>0</v>
      </c>
      <c r="K37" s="76">
        <v>0</v>
      </c>
      <c r="L37" s="76">
        <v>0</v>
      </c>
      <c r="M37" s="76">
        <v>34</v>
      </c>
      <c r="N37" s="76">
        <v>20</v>
      </c>
      <c r="O37" s="76">
        <v>14</v>
      </c>
      <c r="P37" s="76">
        <v>12</v>
      </c>
      <c r="Q37" s="76">
        <v>2</v>
      </c>
      <c r="R37" s="76">
        <v>23</v>
      </c>
      <c r="S37" s="76">
        <v>5</v>
      </c>
      <c r="T37" s="76">
        <v>35</v>
      </c>
      <c r="U37" s="76">
        <v>139</v>
      </c>
      <c r="V37" s="76">
        <v>34</v>
      </c>
      <c r="W37" s="76">
        <v>0.17499999999999999</v>
      </c>
      <c r="X37" s="76">
        <v>1.26</v>
      </c>
      <c r="Y37" s="76"/>
      <c r="Z37" t="s">
        <v>1415</v>
      </c>
      <c r="AA37" s="76" t="s">
        <v>160</v>
      </c>
      <c r="AB37" s="76">
        <v>1</v>
      </c>
      <c r="AC37" s="76">
        <v>5</v>
      </c>
      <c r="AD37" s="76">
        <v>8</v>
      </c>
      <c r="AE37" s="76">
        <v>9</v>
      </c>
      <c r="AF37" s="76">
        <v>5</v>
      </c>
      <c r="AG37" s="76">
        <v>30</v>
      </c>
      <c r="AH37" s="76">
        <v>30</v>
      </c>
      <c r="AI37" s="76">
        <v>6</v>
      </c>
      <c r="AJ37" s="76">
        <v>0</v>
      </c>
      <c r="AK37" s="76">
        <v>7</v>
      </c>
      <c r="AL37" s="76">
        <v>2</v>
      </c>
      <c r="AM37" s="76">
        <v>2</v>
      </c>
      <c r="AN37" s="76">
        <v>580</v>
      </c>
      <c r="AO37" s="202" t="s">
        <v>160</v>
      </c>
      <c r="AP37" s="202">
        <v>0.5</v>
      </c>
      <c r="AQ37" s="202">
        <v>1.24</v>
      </c>
      <c r="AR37" s="202">
        <v>0.32700000000000001</v>
      </c>
      <c r="AS37" s="202">
        <v>0.34599999999999997</v>
      </c>
      <c r="AT37" s="202">
        <v>0.67300000000000004</v>
      </c>
      <c r="AU37" s="202">
        <v>9.51</v>
      </c>
      <c r="AV37" s="202">
        <v>5.66</v>
      </c>
      <c r="AW37" s="202">
        <v>6.94</v>
      </c>
      <c r="AX37" s="202">
        <v>1.68</v>
      </c>
      <c r="AY37" s="202">
        <v>17.43</v>
      </c>
    </row>
    <row r="38" spans="1:51" ht="12.75" customHeight="1" x14ac:dyDescent="0.2">
      <c r="A38" s="76">
        <v>24</v>
      </c>
      <c r="B38" t="s">
        <v>365</v>
      </c>
      <c r="C38" s="76" t="s">
        <v>160</v>
      </c>
      <c r="D38" s="76">
        <v>1</v>
      </c>
      <c r="E38" s="76">
        <v>2</v>
      </c>
      <c r="F38" s="76">
        <v>5.4</v>
      </c>
      <c r="G38" s="76">
        <v>5</v>
      </c>
      <c r="H38" s="76">
        <v>5</v>
      </c>
      <c r="I38" s="76">
        <v>0</v>
      </c>
      <c r="J38" s="76">
        <v>0</v>
      </c>
      <c r="K38" s="76">
        <v>0</v>
      </c>
      <c r="L38" s="76">
        <v>0</v>
      </c>
      <c r="M38" s="76">
        <v>26.2</v>
      </c>
      <c r="N38" s="76">
        <v>29</v>
      </c>
      <c r="O38" s="76">
        <v>17</v>
      </c>
      <c r="P38" s="76">
        <v>16</v>
      </c>
      <c r="Q38" s="76">
        <v>4</v>
      </c>
      <c r="R38" s="76">
        <v>8</v>
      </c>
      <c r="S38" s="76">
        <v>0</v>
      </c>
      <c r="T38" s="76">
        <v>27</v>
      </c>
      <c r="U38" s="76">
        <v>117</v>
      </c>
      <c r="V38" s="76">
        <v>26.2</v>
      </c>
      <c r="W38" s="76">
        <v>0.27400000000000002</v>
      </c>
      <c r="X38" s="76">
        <v>1.39</v>
      </c>
      <c r="Y38" s="76"/>
      <c r="Z38" t="s">
        <v>365</v>
      </c>
      <c r="AA38" s="76" t="s">
        <v>160</v>
      </c>
      <c r="AB38" s="76">
        <v>0</v>
      </c>
      <c r="AC38" s="76">
        <v>0</v>
      </c>
      <c r="AD38" s="76">
        <v>0</v>
      </c>
      <c r="AE38" s="76">
        <v>0</v>
      </c>
      <c r="AF38" s="76">
        <v>0</v>
      </c>
      <c r="AG38" s="76">
        <v>27</v>
      </c>
      <c r="AH38" s="76">
        <v>26</v>
      </c>
      <c r="AI38" s="76">
        <v>0</v>
      </c>
      <c r="AJ38" s="76">
        <v>0</v>
      </c>
      <c r="AK38" s="76">
        <v>2</v>
      </c>
      <c r="AL38" s="76">
        <v>0</v>
      </c>
      <c r="AM38" s="76">
        <v>0</v>
      </c>
      <c r="AN38" s="76">
        <v>430</v>
      </c>
      <c r="AO38" s="202" t="s">
        <v>160</v>
      </c>
      <c r="AP38" s="202">
        <v>0.26100000000000001</v>
      </c>
      <c r="AQ38" s="202">
        <v>1.18</v>
      </c>
      <c r="AR38" s="202">
        <v>0.308</v>
      </c>
      <c r="AS38" s="202">
        <v>0.35499999999999998</v>
      </c>
      <c r="AT38" s="202">
        <v>0.66300000000000003</v>
      </c>
      <c r="AU38" s="202">
        <v>7.5</v>
      </c>
      <c r="AV38" s="202">
        <v>3.2</v>
      </c>
      <c r="AW38" s="202">
        <v>8.02</v>
      </c>
      <c r="AX38" s="202">
        <v>2.34</v>
      </c>
      <c r="AY38" s="202">
        <v>15.81</v>
      </c>
    </row>
    <row r="39" spans="1:51" ht="12.75" customHeight="1" x14ac:dyDescent="0.2">
      <c r="A39" s="76">
        <v>3</v>
      </c>
      <c r="B39" t="s">
        <v>322</v>
      </c>
      <c r="C39" s="76" t="s">
        <v>160</v>
      </c>
      <c r="D39" s="76">
        <v>2</v>
      </c>
      <c r="E39" s="76">
        <v>0</v>
      </c>
      <c r="F39" s="76">
        <v>2.37</v>
      </c>
      <c r="G39" s="76">
        <v>3</v>
      </c>
      <c r="H39" s="76">
        <v>3</v>
      </c>
      <c r="I39" s="76">
        <v>0</v>
      </c>
      <c r="J39" s="76">
        <v>0</v>
      </c>
      <c r="K39" s="76">
        <v>0</v>
      </c>
      <c r="L39" s="76">
        <v>0</v>
      </c>
      <c r="M39" s="76">
        <v>19</v>
      </c>
      <c r="N39" s="76">
        <v>15</v>
      </c>
      <c r="O39" s="76">
        <v>5</v>
      </c>
      <c r="P39" s="76">
        <v>5</v>
      </c>
      <c r="Q39" s="76">
        <v>3</v>
      </c>
      <c r="R39" s="76">
        <v>5</v>
      </c>
      <c r="S39" s="76">
        <v>0</v>
      </c>
      <c r="T39" s="76">
        <v>16</v>
      </c>
      <c r="U39" s="76">
        <v>76</v>
      </c>
      <c r="V39" s="76">
        <v>19</v>
      </c>
      <c r="W39" s="76">
        <v>0.221</v>
      </c>
      <c r="X39" s="76">
        <v>1.05</v>
      </c>
      <c r="Y39" s="76"/>
      <c r="Z39" t="s">
        <v>322</v>
      </c>
      <c r="AA39" s="76" t="s">
        <v>160</v>
      </c>
      <c r="AB39" s="76">
        <v>1</v>
      </c>
      <c r="AC39" s="76">
        <v>0</v>
      </c>
      <c r="AD39" s="76">
        <v>0</v>
      </c>
      <c r="AE39" s="76">
        <v>0</v>
      </c>
      <c r="AF39" s="76">
        <v>2</v>
      </c>
      <c r="AG39" s="76">
        <v>20</v>
      </c>
      <c r="AH39" s="76">
        <v>19</v>
      </c>
      <c r="AI39" s="76">
        <v>0</v>
      </c>
      <c r="AJ39" s="76">
        <v>0</v>
      </c>
      <c r="AK39" s="76">
        <v>1</v>
      </c>
      <c r="AL39" s="76">
        <v>0</v>
      </c>
      <c r="AM39" s="76">
        <v>0</v>
      </c>
      <c r="AN39" s="76">
        <v>306</v>
      </c>
      <c r="AO39" s="202" t="s">
        <v>160</v>
      </c>
      <c r="AP39" s="202" t="s">
        <v>243</v>
      </c>
      <c r="AQ39" s="202">
        <v>1.78</v>
      </c>
      <c r="AR39" s="202">
        <v>0.27100000000000002</v>
      </c>
      <c r="AS39" s="202">
        <v>0.29299999999999998</v>
      </c>
      <c r="AT39" s="202">
        <v>0.56399999999999995</v>
      </c>
      <c r="AU39" s="202">
        <v>7.3</v>
      </c>
      <c r="AV39" s="202">
        <v>2.92</v>
      </c>
      <c r="AW39" s="202">
        <v>5.84</v>
      </c>
      <c r="AX39" s="202">
        <v>2.5</v>
      </c>
      <c r="AY39" s="202">
        <v>15.89</v>
      </c>
    </row>
    <row r="40" spans="1:51" ht="12.75" customHeight="1" x14ac:dyDescent="0.2">
      <c r="A40" s="76">
        <v>16</v>
      </c>
      <c r="B40" t="s">
        <v>1098</v>
      </c>
      <c r="C40" s="76" t="s">
        <v>160</v>
      </c>
      <c r="D40" s="76">
        <v>2</v>
      </c>
      <c r="E40" s="76">
        <v>0</v>
      </c>
      <c r="F40" s="76">
        <v>4.24</v>
      </c>
      <c r="G40" s="76">
        <v>15</v>
      </c>
      <c r="H40" s="76">
        <v>0</v>
      </c>
      <c r="I40" s="76">
        <v>0</v>
      </c>
      <c r="J40" s="76">
        <v>0</v>
      </c>
      <c r="K40" s="76">
        <v>0</v>
      </c>
      <c r="L40" s="76">
        <v>0</v>
      </c>
      <c r="M40" s="76">
        <v>17</v>
      </c>
      <c r="N40" s="76">
        <v>14</v>
      </c>
      <c r="O40" s="76">
        <v>9</v>
      </c>
      <c r="P40" s="76">
        <v>8</v>
      </c>
      <c r="Q40" s="76">
        <v>2</v>
      </c>
      <c r="R40" s="76">
        <v>9</v>
      </c>
      <c r="S40" s="76">
        <v>1</v>
      </c>
      <c r="T40" s="76">
        <v>16</v>
      </c>
      <c r="U40" s="76">
        <v>74</v>
      </c>
      <c r="V40" s="76">
        <v>17</v>
      </c>
      <c r="W40" s="76">
        <v>0.23300000000000001</v>
      </c>
      <c r="X40" s="76">
        <v>1.35</v>
      </c>
      <c r="Y40" s="76"/>
      <c r="Z40" t="s">
        <v>1098</v>
      </c>
      <c r="AA40" s="76" t="s">
        <v>160</v>
      </c>
      <c r="AB40" s="76">
        <v>2</v>
      </c>
      <c r="AC40" s="76">
        <v>1</v>
      </c>
      <c r="AD40" s="76">
        <v>3</v>
      </c>
      <c r="AE40" s="76">
        <v>0</v>
      </c>
      <c r="AF40" s="76">
        <v>0</v>
      </c>
      <c r="AG40" s="76">
        <v>7</v>
      </c>
      <c r="AH40" s="76">
        <v>26</v>
      </c>
      <c r="AI40" s="76">
        <v>1</v>
      </c>
      <c r="AJ40" s="76">
        <v>0</v>
      </c>
      <c r="AK40" s="76">
        <v>0</v>
      </c>
      <c r="AL40" s="76">
        <v>2</v>
      </c>
      <c r="AM40" s="76">
        <v>0</v>
      </c>
      <c r="AN40" s="76">
        <v>304</v>
      </c>
      <c r="AO40" s="202" t="s">
        <v>160</v>
      </c>
      <c r="AP40" s="202">
        <v>0.4</v>
      </c>
      <c r="AQ40" s="202">
        <v>1.78</v>
      </c>
      <c r="AR40" s="202">
        <v>0.311</v>
      </c>
      <c r="AS40" s="202">
        <v>0.32400000000000001</v>
      </c>
      <c r="AT40" s="202">
        <v>0.63500000000000001</v>
      </c>
      <c r="AU40" s="202">
        <v>6.19</v>
      </c>
      <c r="AV40" s="202">
        <v>2.63</v>
      </c>
      <c r="AW40" s="202">
        <v>8.44</v>
      </c>
      <c r="AX40" s="202">
        <v>2.36</v>
      </c>
      <c r="AY40" s="202">
        <v>14.5</v>
      </c>
    </row>
    <row r="41" spans="1:51" ht="12.75" customHeight="1" x14ac:dyDescent="0.2">
      <c r="A41" s="76">
        <v>20</v>
      </c>
      <c r="B41" s="41" t="s">
        <v>1418</v>
      </c>
      <c r="C41" s="76" t="s">
        <v>160</v>
      </c>
      <c r="D41" s="76">
        <v>0</v>
      </c>
      <c r="E41" s="76">
        <v>7</v>
      </c>
      <c r="F41" s="76">
        <v>4.88</v>
      </c>
      <c r="G41" s="76">
        <v>22</v>
      </c>
      <c r="H41" s="76">
        <v>9</v>
      </c>
      <c r="I41" s="76">
        <v>0</v>
      </c>
      <c r="J41" s="76">
        <v>0</v>
      </c>
      <c r="K41" s="76">
        <v>0</v>
      </c>
      <c r="L41" s="76">
        <v>0</v>
      </c>
      <c r="M41" s="76">
        <v>62.2</v>
      </c>
      <c r="N41" s="76">
        <v>65</v>
      </c>
      <c r="O41" s="76">
        <v>40</v>
      </c>
      <c r="P41" s="76">
        <v>34</v>
      </c>
      <c r="Q41" s="76">
        <v>10</v>
      </c>
      <c r="R41" s="76">
        <v>22</v>
      </c>
      <c r="S41" s="76">
        <v>0</v>
      </c>
      <c r="T41" s="76">
        <v>37</v>
      </c>
      <c r="U41" s="76">
        <v>276</v>
      </c>
      <c r="V41" s="76">
        <v>62.2</v>
      </c>
      <c r="W41" s="76">
        <v>0.26300000000000001</v>
      </c>
      <c r="X41" s="76">
        <v>1.39</v>
      </c>
      <c r="Y41" s="76"/>
      <c r="Z41" t="s">
        <v>1418</v>
      </c>
      <c r="AA41" s="76" t="s">
        <v>160</v>
      </c>
      <c r="AB41" s="76">
        <v>2</v>
      </c>
      <c r="AC41" s="76">
        <v>0</v>
      </c>
      <c r="AD41" s="76">
        <v>2</v>
      </c>
      <c r="AE41" s="76">
        <v>0</v>
      </c>
      <c r="AF41" s="76">
        <v>3</v>
      </c>
      <c r="AG41" s="76">
        <v>77</v>
      </c>
      <c r="AH41" s="76">
        <v>73</v>
      </c>
      <c r="AI41" s="76">
        <v>0</v>
      </c>
      <c r="AJ41" s="76">
        <v>0</v>
      </c>
      <c r="AK41" s="76">
        <v>1</v>
      </c>
      <c r="AL41" s="76">
        <v>1</v>
      </c>
      <c r="AM41" s="76">
        <v>1</v>
      </c>
      <c r="AN41" s="76">
        <v>1008</v>
      </c>
      <c r="AO41" s="202" t="s">
        <v>160</v>
      </c>
      <c r="AP41" s="202">
        <v>0</v>
      </c>
      <c r="AQ41" s="202">
        <v>0.66</v>
      </c>
      <c r="AR41" s="202">
        <v>0.36099999999999999</v>
      </c>
      <c r="AS41" s="202">
        <v>0.41599999999999998</v>
      </c>
      <c r="AT41" s="202">
        <v>0.77700000000000002</v>
      </c>
      <c r="AU41" s="202">
        <v>8.1</v>
      </c>
      <c r="AV41" s="202">
        <v>6.17</v>
      </c>
      <c r="AW41" s="202">
        <v>8.49</v>
      </c>
      <c r="AX41" s="202">
        <v>1.31</v>
      </c>
      <c r="AY41" s="202">
        <v>17.489999999999998</v>
      </c>
    </row>
    <row r="42" spans="1:51" ht="12.75" customHeight="1" x14ac:dyDescent="0.2">
      <c r="A42" s="76">
        <v>17</v>
      </c>
      <c r="B42" s="41" t="s">
        <v>805</v>
      </c>
      <c r="C42" s="76" t="s">
        <v>160</v>
      </c>
      <c r="D42" s="76">
        <v>9</v>
      </c>
      <c r="E42" s="76">
        <v>5</v>
      </c>
      <c r="F42" s="76">
        <v>4.3099999999999996</v>
      </c>
      <c r="G42" s="76">
        <v>22</v>
      </c>
      <c r="H42" s="76">
        <v>22</v>
      </c>
      <c r="I42" s="76">
        <v>0</v>
      </c>
      <c r="J42" s="76">
        <v>0</v>
      </c>
      <c r="K42" s="76">
        <v>0</v>
      </c>
      <c r="L42" s="76">
        <v>0</v>
      </c>
      <c r="M42" s="76">
        <v>123.1</v>
      </c>
      <c r="N42" s="76">
        <v>125</v>
      </c>
      <c r="O42" s="76">
        <v>61</v>
      </c>
      <c r="P42" s="76">
        <v>59</v>
      </c>
      <c r="Q42" s="76">
        <v>18</v>
      </c>
      <c r="R42" s="76">
        <v>35</v>
      </c>
      <c r="S42" s="76">
        <v>2</v>
      </c>
      <c r="T42" s="76">
        <v>111</v>
      </c>
      <c r="U42" s="76">
        <v>525</v>
      </c>
      <c r="V42" s="76">
        <v>123.1</v>
      </c>
      <c r="W42" s="76">
        <v>0.26300000000000001</v>
      </c>
      <c r="X42" s="76">
        <v>1.3</v>
      </c>
      <c r="Y42" s="76"/>
      <c r="Z42" t="s">
        <v>805</v>
      </c>
      <c r="AA42" s="76" t="s">
        <v>160</v>
      </c>
      <c r="AB42" s="76">
        <v>6</v>
      </c>
      <c r="AC42" s="76">
        <v>2</v>
      </c>
      <c r="AD42" s="76">
        <v>0</v>
      </c>
      <c r="AE42" s="76">
        <v>0</v>
      </c>
      <c r="AF42" s="76">
        <v>7</v>
      </c>
      <c r="AG42" s="76">
        <v>115</v>
      </c>
      <c r="AH42" s="76">
        <v>133</v>
      </c>
      <c r="AI42" s="76">
        <v>13</v>
      </c>
      <c r="AJ42" s="76">
        <v>1</v>
      </c>
      <c r="AK42" s="76">
        <v>2</v>
      </c>
      <c r="AL42" s="76">
        <v>3</v>
      </c>
      <c r="AM42" s="76">
        <v>2</v>
      </c>
      <c r="AN42" s="76">
        <v>2120</v>
      </c>
      <c r="AO42" s="202" t="s">
        <v>160</v>
      </c>
      <c r="AP42" s="202" t="s">
        <v>243</v>
      </c>
      <c r="AQ42" s="202">
        <v>1.06</v>
      </c>
      <c r="AR42" s="202">
        <v>0.37</v>
      </c>
      <c r="AS42" s="202">
        <v>0.58199999999999996</v>
      </c>
      <c r="AT42" s="202">
        <v>0.95199999999999996</v>
      </c>
      <c r="AU42" s="202">
        <v>5.4</v>
      </c>
      <c r="AV42" s="202">
        <v>3.24</v>
      </c>
      <c r="AW42" s="202">
        <v>11.34</v>
      </c>
      <c r="AX42" s="202">
        <v>1.67</v>
      </c>
      <c r="AY42" s="202">
        <v>15.54</v>
      </c>
    </row>
    <row r="43" spans="1:51" ht="12.75" customHeight="1" x14ac:dyDescent="0.2">
      <c r="A43" s="76">
        <v>19</v>
      </c>
      <c r="B43" t="s">
        <v>1417</v>
      </c>
      <c r="C43" s="76" t="s">
        <v>160</v>
      </c>
      <c r="D43" s="76">
        <v>1</v>
      </c>
      <c r="E43" s="76">
        <v>4</v>
      </c>
      <c r="F43" s="76">
        <v>4.8600000000000003</v>
      </c>
      <c r="G43" s="76">
        <v>20</v>
      </c>
      <c r="H43" s="76">
        <v>7</v>
      </c>
      <c r="I43" s="76">
        <v>0</v>
      </c>
      <c r="J43" s="76">
        <v>0</v>
      </c>
      <c r="K43" s="76">
        <v>0</v>
      </c>
      <c r="L43" s="76">
        <v>0</v>
      </c>
      <c r="M43" s="76">
        <v>50</v>
      </c>
      <c r="N43" s="76">
        <v>54</v>
      </c>
      <c r="O43" s="76">
        <v>32</v>
      </c>
      <c r="P43" s="76">
        <v>27</v>
      </c>
      <c r="Q43" s="76">
        <v>7</v>
      </c>
      <c r="R43" s="76">
        <v>21</v>
      </c>
      <c r="S43" s="76">
        <v>3</v>
      </c>
      <c r="T43" s="76">
        <v>49</v>
      </c>
      <c r="U43" s="76">
        <v>222</v>
      </c>
      <c r="V43" s="76">
        <v>50</v>
      </c>
      <c r="W43" s="76">
        <v>0.27800000000000002</v>
      </c>
      <c r="X43" s="76">
        <v>1.5</v>
      </c>
      <c r="Y43" s="76"/>
      <c r="Z43" t="s">
        <v>1417</v>
      </c>
      <c r="AA43" s="76" t="s">
        <v>160</v>
      </c>
      <c r="AB43" s="76">
        <v>2</v>
      </c>
      <c r="AC43" s="76">
        <v>3</v>
      </c>
      <c r="AD43" s="76">
        <v>6</v>
      </c>
      <c r="AE43" s="76">
        <v>0</v>
      </c>
      <c r="AF43" s="76">
        <v>4</v>
      </c>
      <c r="AG43" s="76">
        <v>52</v>
      </c>
      <c r="AH43" s="76">
        <v>44</v>
      </c>
      <c r="AI43" s="76">
        <v>4</v>
      </c>
      <c r="AJ43" s="76">
        <v>0</v>
      </c>
      <c r="AK43" s="76">
        <v>4</v>
      </c>
      <c r="AL43" s="76">
        <v>1</v>
      </c>
      <c r="AM43" s="76">
        <v>0</v>
      </c>
      <c r="AN43" s="76">
        <v>943</v>
      </c>
      <c r="AO43" s="202" t="s">
        <v>160</v>
      </c>
      <c r="AP43" s="202">
        <v>0</v>
      </c>
      <c r="AQ43" s="202">
        <v>0.74</v>
      </c>
      <c r="AR43" s="202">
        <v>0.379</v>
      </c>
      <c r="AS43" s="202">
        <v>0.54</v>
      </c>
      <c r="AT43" s="202">
        <v>0.91900000000000004</v>
      </c>
      <c r="AU43" s="202">
        <v>4.91</v>
      </c>
      <c r="AV43" s="202">
        <v>4.91</v>
      </c>
      <c r="AW43" s="202">
        <v>10.52</v>
      </c>
      <c r="AX43" s="202">
        <v>1</v>
      </c>
      <c r="AY43" s="202">
        <v>16.29</v>
      </c>
    </row>
    <row r="44" spans="1:51" ht="12.75" customHeight="1" x14ac:dyDescent="0.2">
      <c r="A44" s="76">
        <v>23</v>
      </c>
      <c r="B44" t="s">
        <v>428</v>
      </c>
      <c r="C44" s="76" t="s">
        <v>160</v>
      </c>
      <c r="D44" s="76">
        <v>1</v>
      </c>
      <c r="E44" s="76">
        <v>2</v>
      </c>
      <c r="F44" s="76">
        <v>5.29</v>
      </c>
      <c r="G44" s="76">
        <v>21</v>
      </c>
      <c r="H44" s="76">
        <v>0</v>
      </c>
      <c r="I44" s="76">
        <v>0</v>
      </c>
      <c r="J44" s="76">
        <v>0</v>
      </c>
      <c r="K44" s="76">
        <v>2</v>
      </c>
      <c r="L44" s="76">
        <v>4</v>
      </c>
      <c r="M44" s="76">
        <v>17</v>
      </c>
      <c r="N44" s="76">
        <v>16</v>
      </c>
      <c r="O44" s="76">
        <v>11</v>
      </c>
      <c r="P44" s="76">
        <v>10</v>
      </c>
      <c r="Q44" s="76">
        <v>2</v>
      </c>
      <c r="R44" s="76">
        <v>13</v>
      </c>
      <c r="S44" s="76">
        <v>1</v>
      </c>
      <c r="T44" s="76">
        <v>23</v>
      </c>
      <c r="U44" s="76">
        <v>81</v>
      </c>
      <c r="V44" s="76">
        <v>17</v>
      </c>
      <c r="W44" s="76">
        <v>0.24199999999999999</v>
      </c>
      <c r="X44" s="76">
        <v>1.71</v>
      </c>
      <c r="Y44" s="76"/>
      <c r="Z44" t="s">
        <v>428</v>
      </c>
      <c r="AA44" s="76" t="s">
        <v>160</v>
      </c>
      <c r="AB44" s="76">
        <v>1</v>
      </c>
      <c r="AC44" s="76">
        <v>1</v>
      </c>
      <c r="AD44" s="76">
        <v>8</v>
      </c>
      <c r="AE44" s="76">
        <v>2</v>
      </c>
      <c r="AF44" s="76">
        <v>1</v>
      </c>
      <c r="AG44" s="76">
        <v>5</v>
      </c>
      <c r="AH44" s="76">
        <v>23</v>
      </c>
      <c r="AI44" s="76">
        <v>1</v>
      </c>
      <c r="AJ44" s="76">
        <v>0</v>
      </c>
      <c r="AK44" s="76">
        <v>1</v>
      </c>
      <c r="AL44" s="76">
        <v>0</v>
      </c>
      <c r="AM44" s="76">
        <v>0</v>
      </c>
      <c r="AN44" s="76">
        <v>334</v>
      </c>
      <c r="AO44" s="202" t="s">
        <v>160</v>
      </c>
      <c r="AP44" s="202">
        <v>1</v>
      </c>
      <c r="AQ44" s="202">
        <v>1.75</v>
      </c>
      <c r="AR44" s="202">
        <v>0.40300000000000002</v>
      </c>
      <c r="AS44" s="202">
        <v>0.44</v>
      </c>
      <c r="AT44" s="202">
        <v>0.84299999999999997</v>
      </c>
      <c r="AU44" s="202">
        <v>7.24</v>
      </c>
      <c r="AV44" s="202">
        <v>3.29</v>
      </c>
      <c r="AW44" s="202">
        <v>13.17</v>
      </c>
      <c r="AX44" s="202">
        <v>2.2000000000000002</v>
      </c>
      <c r="AY44" s="202">
        <v>16.899999999999999</v>
      </c>
    </row>
    <row r="45" spans="1:51" ht="12.75" customHeight="1" x14ac:dyDescent="0.2">
      <c r="A45" s="76">
        <v>10</v>
      </c>
      <c r="B45" t="s">
        <v>1394</v>
      </c>
      <c r="C45" s="76" t="s">
        <v>160</v>
      </c>
      <c r="D45" s="76">
        <v>2</v>
      </c>
      <c r="E45" s="76">
        <v>2</v>
      </c>
      <c r="F45" s="76">
        <v>3.38</v>
      </c>
      <c r="G45" s="76">
        <v>5</v>
      </c>
      <c r="H45" s="76">
        <v>5</v>
      </c>
      <c r="I45" s="76">
        <v>0</v>
      </c>
      <c r="J45" s="76">
        <v>0</v>
      </c>
      <c r="K45" s="76">
        <v>0</v>
      </c>
      <c r="L45" s="76">
        <v>0</v>
      </c>
      <c r="M45" s="76">
        <v>29.1</v>
      </c>
      <c r="N45" s="76">
        <v>25</v>
      </c>
      <c r="O45" s="76">
        <v>13</v>
      </c>
      <c r="P45" s="76">
        <v>11</v>
      </c>
      <c r="Q45" s="76">
        <v>1</v>
      </c>
      <c r="R45" s="76">
        <v>12</v>
      </c>
      <c r="S45" s="76">
        <v>0</v>
      </c>
      <c r="T45" s="76">
        <v>21</v>
      </c>
      <c r="U45" s="76">
        <v>124</v>
      </c>
      <c r="V45" s="76">
        <v>29.1</v>
      </c>
      <c r="W45" s="76">
        <v>0.23400000000000001</v>
      </c>
      <c r="X45" s="76">
        <v>1.26</v>
      </c>
      <c r="Y45" s="76"/>
      <c r="Z45" t="s">
        <v>1394</v>
      </c>
      <c r="AA45" s="76" t="s">
        <v>160</v>
      </c>
      <c r="AB45" s="76">
        <v>3</v>
      </c>
      <c r="AC45" s="76">
        <v>0</v>
      </c>
      <c r="AD45" s="76">
        <v>0</v>
      </c>
      <c r="AE45" s="76">
        <v>0</v>
      </c>
      <c r="AF45" s="76">
        <v>2</v>
      </c>
      <c r="AG45" s="76">
        <v>29</v>
      </c>
      <c r="AH45" s="76">
        <v>34</v>
      </c>
      <c r="AI45" s="76">
        <v>3</v>
      </c>
      <c r="AJ45" s="76">
        <v>0</v>
      </c>
      <c r="AK45" s="76">
        <v>3</v>
      </c>
      <c r="AL45" s="76">
        <v>1</v>
      </c>
      <c r="AM45" s="76">
        <v>0</v>
      </c>
      <c r="AN45" s="76">
        <v>482</v>
      </c>
      <c r="AO45" s="202" t="s">
        <v>160</v>
      </c>
      <c r="AP45" s="202">
        <v>0.4</v>
      </c>
      <c r="AQ45" s="202">
        <v>0.69</v>
      </c>
      <c r="AR45" s="202">
        <v>0.36499999999999999</v>
      </c>
      <c r="AS45" s="202">
        <v>0.53100000000000003</v>
      </c>
      <c r="AT45" s="202">
        <v>0.89600000000000002</v>
      </c>
      <c r="AU45" s="202">
        <v>8</v>
      </c>
      <c r="AV45" s="202">
        <v>3.01</v>
      </c>
      <c r="AW45" s="202">
        <v>11.63</v>
      </c>
      <c r="AX45" s="202">
        <v>2.66</v>
      </c>
      <c r="AY45" s="202">
        <v>17.09</v>
      </c>
    </row>
    <row r="46" spans="1:51" ht="12.75" customHeight="1" x14ac:dyDescent="0.2">
      <c r="A46" s="76">
        <v>34</v>
      </c>
      <c r="B46" t="s">
        <v>634</v>
      </c>
      <c r="C46" s="76" t="s">
        <v>160</v>
      </c>
      <c r="D46" s="76">
        <v>1</v>
      </c>
      <c r="E46" s="76">
        <v>1</v>
      </c>
      <c r="F46" s="76">
        <v>8</v>
      </c>
      <c r="G46" s="76">
        <v>2</v>
      </c>
      <c r="H46" s="76">
        <v>2</v>
      </c>
      <c r="I46" s="76">
        <v>0</v>
      </c>
      <c r="J46" s="76">
        <v>0</v>
      </c>
      <c r="K46" s="76">
        <v>0</v>
      </c>
      <c r="L46" s="76">
        <v>0</v>
      </c>
      <c r="M46" s="76">
        <v>9</v>
      </c>
      <c r="N46" s="76">
        <v>13</v>
      </c>
      <c r="O46" s="76">
        <v>8</v>
      </c>
      <c r="P46" s="76">
        <v>8</v>
      </c>
      <c r="Q46" s="76">
        <v>4</v>
      </c>
      <c r="R46" s="76">
        <v>1</v>
      </c>
      <c r="S46" s="76">
        <v>0</v>
      </c>
      <c r="T46" s="76">
        <v>6</v>
      </c>
      <c r="U46" s="76">
        <v>39</v>
      </c>
      <c r="V46" s="76">
        <v>9</v>
      </c>
      <c r="W46" s="76">
        <v>0.35099999999999998</v>
      </c>
      <c r="X46" s="76">
        <v>1.56</v>
      </c>
      <c r="Y46" s="76"/>
      <c r="Z46" t="s">
        <v>634</v>
      </c>
      <c r="AA46" s="76" t="s">
        <v>160</v>
      </c>
      <c r="AB46" s="76">
        <v>0</v>
      </c>
      <c r="AC46" s="76">
        <v>0</v>
      </c>
      <c r="AD46" s="76">
        <v>0</v>
      </c>
      <c r="AE46" s="76">
        <v>0</v>
      </c>
      <c r="AF46" s="76">
        <v>0</v>
      </c>
      <c r="AG46" s="76">
        <v>10</v>
      </c>
      <c r="AH46" s="76">
        <v>9</v>
      </c>
      <c r="AI46" s="76">
        <v>0</v>
      </c>
      <c r="AJ46" s="76">
        <v>0</v>
      </c>
      <c r="AK46" s="76">
        <v>2</v>
      </c>
      <c r="AL46" s="76">
        <v>2</v>
      </c>
      <c r="AM46" s="76">
        <v>0</v>
      </c>
      <c r="AN46" s="76">
        <v>169</v>
      </c>
      <c r="AO46" s="202" t="s">
        <v>160</v>
      </c>
      <c r="AP46" s="202">
        <v>0.5</v>
      </c>
      <c r="AQ46" s="202">
        <v>0.76</v>
      </c>
      <c r="AR46" s="202">
        <v>0.34399999999999997</v>
      </c>
      <c r="AS46" s="202">
        <v>0.47499999999999998</v>
      </c>
      <c r="AT46" s="202">
        <v>0.81899999999999995</v>
      </c>
      <c r="AU46" s="202">
        <v>5.94</v>
      </c>
      <c r="AV46" s="202">
        <v>3.3</v>
      </c>
      <c r="AW46" s="202">
        <v>9.83</v>
      </c>
      <c r="AX46" s="202">
        <v>1.8</v>
      </c>
      <c r="AY46" s="202">
        <v>16.260000000000002</v>
      </c>
    </row>
    <row r="47" spans="1:51" ht="12.75" customHeight="1" x14ac:dyDescent="0.2">
      <c r="A47" s="76">
        <v>35</v>
      </c>
      <c r="B47" t="s">
        <v>1424</v>
      </c>
      <c r="C47" s="76" t="s">
        <v>160</v>
      </c>
      <c r="D47" s="76">
        <v>0</v>
      </c>
      <c r="E47" s="76">
        <v>0</v>
      </c>
      <c r="F47" s="76">
        <v>33.75</v>
      </c>
      <c r="G47" s="76">
        <v>2</v>
      </c>
      <c r="H47" s="76">
        <v>0</v>
      </c>
      <c r="I47" s="76">
        <v>0</v>
      </c>
      <c r="J47" s="76">
        <v>0</v>
      </c>
      <c r="K47" s="76">
        <v>0</v>
      </c>
      <c r="L47" s="76">
        <v>0</v>
      </c>
      <c r="M47" s="76">
        <v>1.1000000000000001</v>
      </c>
      <c r="N47" s="76">
        <v>4</v>
      </c>
      <c r="O47" s="76">
        <v>5</v>
      </c>
      <c r="P47" s="76">
        <v>5</v>
      </c>
      <c r="Q47" s="76">
        <v>0</v>
      </c>
      <c r="R47" s="76">
        <v>3</v>
      </c>
      <c r="S47" s="76">
        <v>0</v>
      </c>
      <c r="T47" s="76">
        <v>1</v>
      </c>
      <c r="U47" s="76">
        <v>11</v>
      </c>
      <c r="V47" s="76">
        <v>1.1000000000000001</v>
      </c>
      <c r="W47" s="76">
        <v>0.5</v>
      </c>
      <c r="X47" s="76">
        <v>5.25</v>
      </c>
      <c r="Y47" s="76"/>
      <c r="Z47" t="s">
        <v>1424</v>
      </c>
      <c r="AA47" s="76" t="s">
        <v>160</v>
      </c>
      <c r="AB47" s="76">
        <v>0</v>
      </c>
      <c r="AC47" s="76">
        <v>0</v>
      </c>
      <c r="AD47" s="76">
        <v>0</v>
      </c>
      <c r="AE47" s="76">
        <v>0</v>
      </c>
      <c r="AF47" s="76">
        <v>0</v>
      </c>
      <c r="AG47" s="76">
        <v>3</v>
      </c>
      <c r="AH47" s="76">
        <v>0</v>
      </c>
      <c r="AI47" s="76">
        <v>1</v>
      </c>
      <c r="AJ47" s="76">
        <v>0</v>
      </c>
      <c r="AK47" s="76">
        <v>0</v>
      </c>
      <c r="AL47" s="76">
        <v>0</v>
      </c>
      <c r="AM47" s="76">
        <v>0</v>
      </c>
      <c r="AN47" s="76">
        <v>49</v>
      </c>
      <c r="AO47" s="202" t="s">
        <v>160</v>
      </c>
      <c r="AP47" s="202">
        <v>0.53800000000000003</v>
      </c>
      <c r="AQ47" s="202">
        <v>1.08</v>
      </c>
      <c r="AR47" s="202">
        <v>0.34100000000000003</v>
      </c>
      <c r="AS47" s="202">
        <v>0.38800000000000001</v>
      </c>
      <c r="AT47" s="202">
        <v>0.72899999999999998</v>
      </c>
      <c r="AU47" s="202">
        <v>6.79</v>
      </c>
      <c r="AV47" s="202">
        <v>2.72</v>
      </c>
      <c r="AW47" s="202">
        <v>9.9600000000000009</v>
      </c>
      <c r="AX47" s="202">
        <v>2.5</v>
      </c>
      <c r="AY47" s="202">
        <v>15.65</v>
      </c>
    </row>
    <row r="48" spans="1:51" ht="12.75" customHeight="1" x14ac:dyDescent="0.2">
      <c r="A48" s="76">
        <v>28</v>
      </c>
      <c r="B48" s="41" t="s">
        <v>1420</v>
      </c>
      <c r="C48" s="76" t="s">
        <v>160</v>
      </c>
      <c r="D48" s="76">
        <v>2</v>
      </c>
      <c r="E48" s="76">
        <v>4</v>
      </c>
      <c r="F48" s="76">
        <v>5.88</v>
      </c>
      <c r="G48" s="76">
        <v>14</v>
      </c>
      <c r="H48" s="76">
        <v>8</v>
      </c>
      <c r="I48" s="76">
        <v>0</v>
      </c>
      <c r="J48" s="76">
        <v>0</v>
      </c>
      <c r="K48" s="76">
        <v>0</v>
      </c>
      <c r="L48" s="76">
        <v>0</v>
      </c>
      <c r="M48" s="76">
        <v>52</v>
      </c>
      <c r="N48" s="76">
        <v>55</v>
      </c>
      <c r="O48" s="76">
        <v>35</v>
      </c>
      <c r="P48" s="76">
        <v>34</v>
      </c>
      <c r="Q48" s="76">
        <v>11</v>
      </c>
      <c r="R48" s="76">
        <v>33</v>
      </c>
      <c r="S48" s="76">
        <v>1</v>
      </c>
      <c r="T48" s="76">
        <v>26</v>
      </c>
      <c r="U48" s="76">
        <v>237</v>
      </c>
      <c r="V48" s="76">
        <v>52</v>
      </c>
      <c r="W48" s="76">
        <v>0.27900000000000003</v>
      </c>
      <c r="X48" s="76">
        <v>1.69</v>
      </c>
      <c r="Y48" s="76"/>
      <c r="Z48" t="s">
        <v>1420</v>
      </c>
      <c r="AA48" s="76" t="s">
        <v>160</v>
      </c>
      <c r="AB48" s="76">
        <v>1</v>
      </c>
      <c r="AC48" s="76">
        <v>1</v>
      </c>
      <c r="AD48" s="76">
        <v>2</v>
      </c>
      <c r="AE48" s="76">
        <v>0</v>
      </c>
      <c r="AF48" s="76">
        <v>6</v>
      </c>
      <c r="AG48" s="76">
        <v>71</v>
      </c>
      <c r="AH48" s="76">
        <v>51</v>
      </c>
      <c r="AI48" s="76">
        <v>1</v>
      </c>
      <c r="AJ48" s="76">
        <v>0</v>
      </c>
      <c r="AK48" s="76">
        <v>3</v>
      </c>
      <c r="AL48" s="76">
        <v>1</v>
      </c>
      <c r="AM48" s="76">
        <v>1</v>
      </c>
      <c r="AN48" s="76">
        <v>894</v>
      </c>
      <c r="AO48" s="202" t="s">
        <v>160</v>
      </c>
      <c r="AP48" s="202">
        <v>0.57899999999999996</v>
      </c>
      <c r="AQ48" s="202">
        <v>0.87</v>
      </c>
      <c r="AR48" s="202">
        <v>0.32500000000000001</v>
      </c>
      <c r="AS48" s="202">
        <v>0.41199999999999998</v>
      </c>
      <c r="AT48" s="202">
        <v>0.73699999999999999</v>
      </c>
      <c r="AU48" s="202">
        <v>7.67</v>
      </c>
      <c r="AV48" s="202">
        <v>3.27</v>
      </c>
      <c r="AW48" s="202">
        <v>8.48</v>
      </c>
      <c r="AX48" s="202">
        <v>2.34</v>
      </c>
      <c r="AY48" s="202">
        <v>16.32</v>
      </c>
    </row>
    <row r="49" spans="1:51" ht="12.75" customHeight="1" x14ac:dyDescent="0.2">
      <c r="A49" s="76">
        <v>6</v>
      </c>
      <c r="B49" s="41" t="s">
        <v>487</v>
      </c>
      <c r="C49" s="76" t="s">
        <v>160</v>
      </c>
      <c r="D49" s="76">
        <v>2</v>
      </c>
      <c r="E49" s="76">
        <v>6</v>
      </c>
      <c r="F49" s="76">
        <v>3.06</v>
      </c>
      <c r="G49" s="76">
        <v>65</v>
      </c>
      <c r="H49" s="76">
        <v>0</v>
      </c>
      <c r="I49" s="76">
        <v>0</v>
      </c>
      <c r="J49" s="76">
        <v>0</v>
      </c>
      <c r="K49" s="76">
        <v>20</v>
      </c>
      <c r="L49" s="76">
        <v>23</v>
      </c>
      <c r="M49" s="76">
        <v>64.2</v>
      </c>
      <c r="N49" s="76">
        <v>57</v>
      </c>
      <c r="O49" s="76">
        <v>23</v>
      </c>
      <c r="P49" s="76">
        <v>22</v>
      </c>
      <c r="Q49" s="76">
        <v>3</v>
      </c>
      <c r="R49" s="76">
        <v>20</v>
      </c>
      <c r="S49" s="76">
        <v>0</v>
      </c>
      <c r="T49" s="76">
        <v>68</v>
      </c>
      <c r="U49" s="76">
        <v>266</v>
      </c>
      <c r="V49" s="76">
        <v>64.2</v>
      </c>
      <c r="W49" s="76">
        <v>0.23599999999999999</v>
      </c>
      <c r="X49" s="76">
        <v>1.19</v>
      </c>
      <c r="Y49" s="76"/>
      <c r="Z49" t="s">
        <v>487</v>
      </c>
      <c r="AA49" s="76" t="s">
        <v>160</v>
      </c>
      <c r="AB49" s="76">
        <v>3</v>
      </c>
      <c r="AC49" s="76">
        <v>0</v>
      </c>
      <c r="AD49" s="76">
        <v>36</v>
      </c>
      <c r="AE49" s="76">
        <v>8</v>
      </c>
      <c r="AF49" s="76">
        <v>9</v>
      </c>
      <c r="AG49" s="76">
        <v>76</v>
      </c>
      <c r="AH49" s="76">
        <v>42</v>
      </c>
      <c r="AI49" s="76">
        <v>6</v>
      </c>
      <c r="AJ49" s="76">
        <v>0</v>
      </c>
      <c r="AK49" s="76">
        <v>3</v>
      </c>
      <c r="AL49" s="76">
        <v>0</v>
      </c>
      <c r="AM49" s="76">
        <v>1</v>
      </c>
      <c r="AN49" s="76">
        <v>1054</v>
      </c>
      <c r="AO49" s="202" t="s">
        <v>160</v>
      </c>
      <c r="AP49" s="202" t="s">
        <v>243</v>
      </c>
      <c r="AQ49" s="202">
        <v>0</v>
      </c>
      <c r="AR49" s="202">
        <v>0.57099999999999995</v>
      </c>
      <c r="AS49" s="202">
        <v>1</v>
      </c>
      <c r="AT49" s="202">
        <v>1.571</v>
      </c>
      <c r="AU49" s="202">
        <v>9</v>
      </c>
      <c r="AV49" s="202">
        <v>9</v>
      </c>
      <c r="AW49" s="202">
        <v>27</v>
      </c>
      <c r="AX49" s="202">
        <v>1</v>
      </c>
      <c r="AY49" s="202">
        <v>22</v>
      </c>
    </row>
    <row r="50" spans="1:51" ht="12.75" customHeight="1" x14ac:dyDescent="0.2">
      <c r="A50" s="76">
        <v>27</v>
      </c>
      <c r="B50" t="s">
        <v>1155</v>
      </c>
      <c r="C50" s="76" t="s">
        <v>160</v>
      </c>
      <c r="D50" s="76">
        <v>0</v>
      </c>
      <c r="E50" s="76">
        <v>3</v>
      </c>
      <c r="F50" s="76">
        <v>5.82</v>
      </c>
      <c r="G50" s="76">
        <v>10</v>
      </c>
      <c r="H50" s="76">
        <v>1</v>
      </c>
      <c r="I50" s="76">
        <v>0</v>
      </c>
      <c r="J50" s="76">
        <v>0</v>
      </c>
      <c r="K50" s="76">
        <v>0</v>
      </c>
      <c r="L50" s="76">
        <v>1</v>
      </c>
      <c r="M50" s="76">
        <v>21.2</v>
      </c>
      <c r="N50" s="76">
        <v>30</v>
      </c>
      <c r="O50" s="76">
        <v>14</v>
      </c>
      <c r="P50" s="76">
        <v>14</v>
      </c>
      <c r="Q50" s="76">
        <v>1</v>
      </c>
      <c r="R50" s="76">
        <v>7</v>
      </c>
      <c r="S50" s="76">
        <v>3</v>
      </c>
      <c r="T50" s="76">
        <v>7</v>
      </c>
      <c r="U50" s="76">
        <v>102</v>
      </c>
      <c r="V50" s="76">
        <v>21.2</v>
      </c>
      <c r="W50" s="76">
        <v>0.32600000000000001</v>
      </c>
      <c r="X50" s="76">
        <v>1.71</v>
      </c>
      <c r="Y50" s="76"/>
      <c r="Z50" t="s">
        <v>1155</v>
      </c>
      <c r="AA50" s="76" t="s">
        <v>160</v>
      </c>
      <c r="AB50" s="76">
        <v>2</v>
      </c>
      <c r="AC50" s="76">
        <v>3</v>
      </c>
      <c r="AD50" s="76">
        <v>3</v>
      </c>
      <c r="AE50" s="76">
        <v>0</v>
      </c>
      <c r="AF50" s="76">
        <v>0</v>
      </c>
      <c r="AG50" s="76">
        <v>29</v>
      </c>
      <c r="AH50" s="76">
        <v>27</v>
      </c>
      <c r="AI50" s="76">
        <v>1</v>
      </c>
      <c r="AJ50" s="76">
        <v>0</v>
      </c>
      <c r="AK50" s="76">
        <v>2</v>
      </c>
      <c r="AL50" s="76">
        <v>0</v>
      </c>
      <c r="AM50" s="76">
        <v>0</v>
      </c>
      <c r="AN50" s="76">
        <v>376</v>
      </c>
      <c r="AO50" s="202" t="s">
        <v>160</v>
      </c>
      <c r="AP50" s="202">
        <v>0.16700000000000001</v>
      </c>
      <c r="AQ50" s="202">
        <v>0.86</v>
      </c>
      <c r="AR50" s="202">
        <v>0.316</v>
      </c>
      <c r="AS50" s="202">
        <v>0.52</v>
      </c>
      <c r="AT50" s="202">
        <v>0.83599999999999997</v>
      </c>
      <c r="AU50" s="202">
        <v>5.85</v>
      </c>
      <c r="AV50" s="202">
        <v>2.4500000000000002</v>
      </c>
      <c r="AW50" s="202">
        <v>9.06</v>
      </c>
      <c r="AX50" s="202">
        <v>2.38</v>
      </c>
      <c r="AY50" s="202">
        <v>15.82</v>
      </c>
    </row>
    <row r="51" spans="1:51" ht="12.75" customHeight="1" x14ac:dyDescent="0.2">
      <c r="A51" s="76">
        <v>7</v>
      </c>
      <c r="B51" s="41" t="s">
        <v>479</v>
      </c>
      <c r="C51" s="76" t="s">
        <v>160</v>
      </c>
      <c r="D51" s="76">
        <v>2</v>
      </c>
      <c r="E51" s="76">
        <v>0</v>
      </c>
      <c r="F51" s="76">
        <v>3.18</v>
      </c>
      <c r="G51" s="76">
        <v>63</v>
      </c>
      <c r="H51" s="76">
        <v>0</v>
      </c>
      <c r="I51" s="76">
        <v>0</v>
      </c>
      <c r="J51" s="76">
        <v>0</v>
      </c>
      <c r="K51" s="76">
        <v>0</v>
      </c>
      <c r="L51" s="76">
        <v>2</v>
      </c>
      <c r="M51" s="76">
        <v>51</v>
      </c>
      <c r="N51" s="76">
        <v>54</v>
      </c>
      <c r="O51" s="76">
        <v>19</v>
      </c>
      <c r="P51" s="76">
        <v>18</v>
      </c>
      <c r="Q51" s="76">
        <v>4</v>
      </c>
      <c r="R51" s="76">
        <v>13</v>
      </c>
      <c r="S51" s="76">
        <v>3</v>
      </c>
      <c r="T51" s="76">
        <v>56</v>
      </c>
      <c r="U51" s="76">
        <v>217</v>
      </c>
      <c r="V51" s="76">
        <v>51</v>
      </c>
      <c r="W51" s="76">
        <v>0.27100000000000002</v>
      </c>
      <c r="X51" s="76">
        <v>1.31</v>
      </c>
      <c r="Y51" s="76"/>
      <c r="Z51" t="s">
        <v>479</v>
      </c>
      <c r="AA51" s="76" t="s">
        <v>160</v>
      </c>
      <c r="AB51" s="76">
        <v>3</v>
      </c>
      <c r="AC51" s="76">
        <v>3</v>
      </c>
      <c r="AD51" s="76">
        <v>7</v>
      </c>
      <c r="AE51" s="76">
        <v>10</v>
      </c>
      <c r="AF51" s="76">
        <v>3</v>
      </c>
      <c r="AG51" s="76">
        <v>61</v>
      </c>
      <c r="AH51" s="76">
        <v>30</v>
      </c>
      <c r="AI51" s="76">
        <v>5</v>
      </c>
      <c r="AJ51" s="76">
        <v>0</v>
      </c>
      <c r="AK51" s="76">
        <v>6</v>
      </c>
      <c r="AL51" s="76">
        <v>2</v>
      </c>
      <c r="AM51" s="76">
        <v>1</v>
      </c>
      <c r="AN51" s="76">
        <v>890</v>
      </c>
      <c r="AO51" s="202" t="s">
        <v>160</v>
      </c>
      <c r="AP51" s="202">
        <v>1</v>
      </c>
      <c r="AQ51" s="202">
        <v>6</v>
      </c>
      <c r="AR51" s="202">
        <v>0.48799999999999999</v>
      </c>
      <c r="AS51" s="202">
        <v>0.46700000000000003</v>
      </c>
      <c r="AT51" s="202">
        <v>0.95399999999999996</v>
      </c>
      <c r="AU51" s="202">
        <v>7.63</v>
      </c>
      <c r="AV51" s="202">
        <v>9.39</v>
      </c>
      <c r="AW51" s="202">
        <v>11.74</v>
      </c>
      <c r="AX51" s="202">
        <v>0.81</v>
      </c>
      <c r="AY51" s="202">
        <v>21.85</v>
      </c>
    </row>
    <row r="52" spans="1:51" ht="12.75" customHeight="1" x14ac:dyDescent="0.2">
      <c r="A52" s="76">
        <v>24</v>
      </c>
      <c r="B52" t="s">
        <v>1102</v>
      </c>
      <c r="C52" s="76" t="s">
        <v>160</v>
      </c>
      <c r="D52" s="76">
        <v>0</v>
      </c>
      <c r="E52" s="76">
        <v>0</v>
      </c>
      <c r="F52" s="76">
        <v>5.4</v>
      </c>
      <c r="G52" s="76">
        <v>4</v>
      </c>
      <c r="H52" s="76">
        <v>0</v>
      </c>
      <c r="I52" s="76">
        <v>0</v>
      </c>
      <c r="J52" s="76">
        <v>0</v>
      </c>
      <c r="K52" s="76">
        <v>0</v>
      </c>
      <c r="L52" s="76">
        <v>0</v>
      </c>
      <c r="M52" s="76">
        <v>3.1</v>
      </c>
      <c r="N52" s="76">
        <v>5</v>
      </c>
      <c r="O52" s="76">
        <v>2</v>
      </c>
      <c r="P52" s="76">
        <v>2</v>
      </c>
      <c r="Q52" s="76">
        <v>1</v>
      </c>
      <c r="R52" s="76">
        <v>1</v>
      </c>
      <c r="S52" s="76">
        <v>0</v>
      </c>
      <c r="T52" s="76">
        <v>2</v>
      </c>
      <c r="U52" s="76">
        <v>17</v>
      </c>
      <c r="V52" s="76">
        <v>3.1</v>
      </c>
      <c r="W52" s="76">
        <v>0.33300000000000002</v>
      </c>
      <c r="X52" s="76">
        <v>1.8</v>
      </c>
      <c r="Y52" s="76"/>
      <c r="Z52" t="s">
        <v>1102</v>
      </c>
      <c r="AA52" s="76" t="s">
        <v>160</v>
      </c>
      <c r="AB52" s="76">
        <v>1</v>
      </c>
      <c r="AC52" s="76">
        <v>0</v>
      </c>
      <c r="AD52" s="76">
        <v>1</v>
      </c>
      <c r="AE52" s="76">
        <v>0</v>
      </c>
      <c r="AF52" s="76">
        <v>0</v>
      </c>
      <c r="AG52" s="76">
        <v>4</v>
      </c>
      <c r="AH52" s="76">
        <v>4</v>
      </c>
      <c r="AI52" s="76">
        <v>0</v>
      </c>
      <c r="AJ52" s="76">
        <v>0</v>
      </c>
      <c r="AK52" s="76">
        <v>0</v>
      </c>
      <c r="AL52" s="76">
        <v>0</v>
      </c>
      <c r="AM52" s="76">
        <v>0</v>
      </c>
      <c r="AN52" s="76">
        <v>72</v>
      </c>
      <c r="AO52" s="202" t="s">
        <v>160</v>
      </c>
      <c r="AP52" s="202">
        <v>1</v>
      </c>
      <c r="AQ52" s="202">
        <v>2.4300000000000002</v>
      </c>
      <c r="AR52" s="202">
        <v>0.27300000000000002</v>
      </c>
      <c r="AS52" s="202">
        <v>0.36399999999999999</v>
      </c>
      <c r="AT52" s="202">
        <v>0.63600000000000001</v>
      </c>
      <c r="AU52" s="202">
        <v>6.97</v>
      </c>
      <c r="AV52" s="202">
        <v>0</v>
      </c>
      <c r="AW52" s="202">
        <v>10.45</v>
      </c>
      <c r="AX52" s="202" t="s">
        <v>243</v>
      </c>
      <c r="AY52" s="202">
        <v>15.29</v>
      </c>
    </row>
    <row r="53" spans="1:51" ht="12.75" customHeight="1" x14ac:dyDescent="0.2">
      <c r="A53" s="76">
        <v>15</v>
      </c>
      <c r="B53" t="s">
        <v>492</v>
      </c>
      <c r="C53" s="76" t="s">
        <v>160</v>
      </c>
      <c r="D53" s="76">
        <v>3</v>
      </c>
      <c r="E53" s="76">
        <v>7</v>
      </c>
      <c r="F53" s="76">
        <v>4.22</v>
      </c>
      <c r="G53" s="76">
        <v>22</v>
      </c>
      <c r="H53" s="76">
        <v>10</v>
      </c>
      <c r="I53" s="76">
        <v>0</v>
      </c>
      <c r="J53" s="76">
        <v>0</v>
      </c>
      <c r="K53" s="76">
        <v>0</v>
      </c>
      <c r="L53" s="76">
        <v>0</v>
      </c>
      <c r="M53" s="76">
        <v>70.099999999999994</v>
      </c>
      <c r="N53" s="76">
        <v>68</v>
      </c>
      <c r="O53" s="76">
        <v>34</v>
      </c>
      <c r="P53" s="76">
        <v>33</v>
      </c>
      <c r="Q53" s="76">
        <v>6</v>
      </c>
      <c r="R53" s="76">
        <v>28</v>
      </c>
      <c r="S53" s="76">
        <v>1</v>
      </c>
      <c r="T53" s="76">
        <v>60</v>
      </c>
      <c r="U53" s="76">
        <v>301</v>
      </c>
      <c r="V53" s="76">
        <v>70.099999999999994</v>
      </c>
      <c r="W53" s="76">
        <v>0.25700000000000001</v>
      </c>
      <c r="X53" s="76">
        <v>1.36</v>
      </c>
      <c r="Y53" s="76"/>
      <c r="Z53" t="s">
        <v>492</v>
      </c>
      <c r="AA53" s="76" t="s">
        <v>160</v>
      </c>
      <c r="AB53" s="76">
        <v>2</v>
      </c>
      <c r="AC53" s="76">
        <v>1</v>
      </c>
      <c r="AD53" s="76">
        <v>0</v>
      </c>
      <c r="AE53" s="76">
        <v>1</v>
      </c>
      <c r="AF53" s="76">
        <v>5</v>
      </c>
      <c r="AG53" s="76">
        <v>79</v>
      </c>
      <c r="AH53" s="76">
        <v>64</v>
      </c>
      <c r="AI53" s="76">
        <v>3</v>
      </c>
      <c r="AJ53" s="76">
        <v>0</v>
      </c>
      <c r="AK53" s="76">
        <v>10</v>
      </c>
      <c r="AL53" s="76">
        <v>1</v>
      </c>
      <c r="AM53" s="76">
        <v>1</v>
      </c>
      <c r="AN53" s="76">
        <v>1199</v>
      </c>
      <c r="AO53" s="202" t="s">
        <v>160</v>
      </c>
      <c r="AP53" s="202">
        <v>0</v>
      </c>
      <c r="AQ53" s="202">
        <v>2</v>
      </c>
      <c r="AR53" s="202">
        <v>0.57099999999999995</v>
      </c>
      <c r="AS53" s="202">
        <v>0</v>
      </c>
      <c r="AT53" s="202">
        <v>0.57099999999999995</v>
      </c>
      <c r="AU53" s="202">
        <v>6.75</v>
      </c>
      <c r="AV53" s="202">
        <v>27</v>
      </c>
      <c r="AW53" s="202">
        <v>0</v>
      </c>
      <c r="AX53" s="202">
        <v>0.25</v>
      </c>
      <c r="AY53" s="202">
        <v>27</v>
      </c>
    </row>
    <row r="54" spans="1:51" ht="12.75" customHeight="1" x14ac:dyDescent="0.2">
      <c r="A54" s="76">
        <v>32</v>
      </c>
      <c r="B54" s="41" t="s">
        <v>335</v>
      </c>
      <c r="C54" s="76" t="s">
        <v>160</v>
      </c>
      <c r="D54" s="76">
        <v>1</v>
      </c>
      <c r="E54" s="76">
        <v>4</v>
      </c>
      <c r="F54" s="76">
        <v>6.91</v>
      </c>
      <c r="G54" s="76">
        <v>39</v>
      </c>
      <c r="H54" s="76">
        <v>0</v>
      </c>
      <c r="I54" s="76">
        <v>0</v>
      </c>
      <c r="J54" s="76">
        <v>0</v>
      </c>
      <c r="K54" s="76">
        <v>0</v>
      </c>
      <c r="L54" s="76">
        <v>1</v>
      </c>
      <c r="M54" s="76">
        <v>28.2</v>
      </c>
      <c r="N54" s="76">
        <v>39</v>
      </c>
      <c r="O54" s="76">
        <v>25</v>
      </c>
      <c r="P54" s="76">
        <v>22</v>
      </c>
      <c r="Q54" s="76">
        <v>3</v>
      </c>
      <c r="R54" s="76">
        <v>11</v>
      </c>
      <c r="S54" s="76">
        <v>2</v>
      </c>
      <c r="T54" s="76">
        <v>22</v>
      </c>
      <c r="U54" s="76">
        <v>136</v>
      </c>
      <c r="V54" s="76">
        <v>28.2</v>
      </c>
      <c r="W54" s="76">
        <v>0.32</v>
      </c>
      <c r="X54" s="76">
        <v>1.74</v>
      </c>
      <c r="Y54" s="76"/>
      <c r="Z54" t="s">
        <v>335</v>
      </c>
      <c r="AA54" s="76" t="s">
        <v>160</v>
      </c>
      <c r="AB54" s="76">
        <v>2</v>
      </c>
      <c r="AC54" s="76">
        <v>2</v>
      </c>
      <c r="AD54" s="76">
        <v>8</v>
      </c>
      <c r="AE54" s="76">
        <v>3</v>
      </c>
      <c r="AF54" s="76">
        <v>3</v>
      </c>
      <c r="AG54" s="76">
        <v>35</v>
      </c>
      <c r="AH54" s="76">
        <v>27</v>
      </c>
      <c r="AI54" s="76">
        <v>3</v>
      </c>
      <c r="AJ54" s="76">
        <v>0</v>
      </c>
      <c r="AK54" s="76">
        <v>1</v>
      </c>
      <c r="AL54" s="76">
        <v>0</v>
      </c>
      <c r="AM54" s="76">
        <v>0</v>
      </c>
      <c r="AN54" s="76">
        <v>473</v>
      </c>
      <c r="AO54" s="202" t="s">
        <v>160</v>
      </c>
      <c r="AP54" s="202">
        <v>0</v>
      </c>
      <c r="AQ54" s="202">
        <v>2.8</v>
      </c>
      <c r="AR54" s="202">
        <v>0.30299999999999999</v>
      </c>
      <c r="AS54" s="202">
        <v>0.39600000000000002</v>
      </c>
      <c r="AT54" s="202">
        <v>0.69899999999999995</v>
      </c>
      <c r="AU54" s="202">
        <v>6.04</v>
      </c>
      <c r="AV54" s="202">
        <v>1.91</v>
      </c>
      <c r="AW54" s="202">
        <v>7.94</v>
      </c>
      <c r="AX54" s="202">
        <v>3.17</v>
      </c>
      <c r="AY54" s="202">
        <v>14.36</v>
      </c>
    </row>
    <row r="55" spans="1:51" ht="12.75" customHeight="1" x14ac:dyDescent="0.2">
      <c r="A55" s="76">
        <v>14</v>
      </c>
      <c r="B55" s="41" t="s">
        <v>641</v>
      </c>
      <c r="C55" s="76" t="s">
        <v>160</v>
      </c>
      <c r="D55" s="76">
        <v>2</v>
      </c>
      <c r="E55" s="76">
        <v>1</v>
      </c>
      <c r="F55" s="76">
        <v>3.94</v>
      </c>
      <c r="G55" s="76">
        <v>36</v>
      </c>
      <c r="H55" s="76">
        <v>0</v>
      </c>
      <c r="I55" s="76">
        <v>0</v>
      </c>
      <c r="J55" s="76">
        <v>0</v>
      </c>
      <c r="K55" s="76">
        <v>0</v>
      </c>
      <c r="L55" s="76">
        <v>0</v>
      </c>
      <c r="M55" s="76">
        <v>32</v>
      </c>
      <c r="N55" s="76">
        <v>32</v>
      </c>
      <c r="O55" s="76">
        <v>18</v>
      </c>
      <c r="P55" s="76">
        <v>14</v>
      </c>
      <c r="Q55" s="76">
        <v>2</v>
      </c>
      <c r="R55" s="76">
        <v>23</v>
      </c>
      <c r="S55" s="76">
        <v>5</v>
      </c>
      <c r="T55" s="76">
        <v>29</v>
      </c>
      <c r="U55" s="76">
        <v>148</v>
      </c>
      <c r="V55" s="76">
        <v>32</v>
      </c>
      <c r="W55" s="76">
        <v>0.27400000000000002</v>
      </c>
      <c r="X55" s="76">
        <v>1.72</v>
      </c>
      <c r="Y55" s="76"/>
      <c r="Z55" t="s">
        <v>641</v>
      </c>
      <c r="AA55" s="76" t="s">
        <v>160</v>
      </c>
      <c r="AB55" s="76">
        <v>1</v>
      </c>
      <c r="AC55" s="76">
        <v>5</v>
      </c>
      <c r="AD55" s="76">
        <v>11</v>
      </c>
      <c r="AE55" s="76">
        <v>3</v>
      </c>
      <c r="AF55" s="76">
        <v>4</v>
      </c>
      <c r="AG55" s="76">
        <v>31</v>
      </c>
      <c r="AH55" s="76">
        <v>32</v>
      </c>
      <c r="AI55" s="76">
        <v>3</v>
      </c>
      <c r="AJ55" s="76">
        <v>0</v>
      </c>
      <c r="AK55" s="76">
        <v>6</v>
      </c>
      <c r="AL55" s="76">
        <v>1</v>
      </c>
      <c r="AM55" s="76">
        <v>0</v>
      </c>
      <c r="AN55" s="76">
        <v>618</v>
      </c>
      <c r="AO55" s="202" t="s">
        <v>160</v>
      </c>
      <c r="AP55" s="202">
        <v>0.5</v>
      </c>
      <c r="AQ55" s="202">
        <v>0.74</v>
      </c>
      <c r="AR55" s="202">
        <v>0.245</v>
      </c>
      <c r="AS55" s="202">
        <v>0.35699999999999998</v>
      </c>
      <c r="AT55" s="202">
        <v>0.60199999999999998</v>
      </c>
      <c r="AU55" s="202">
        <v>6.2</v>
      </c>
      <c r="AV55" s="202">
        <v>3.28</v>
      </c>
      <c r="AW55" s="202">
        <v>5.1100000000000003</v>
      </c>
      <c r="AX55" s="202">
        <v>1.89</v>
      </c>
      <c r="AY55" s="202">
        <v>14.76</v>
      </c>
    </row>
    <row r="56" spans="1:51" ht="12.75" customHeight="1" x14ac:dyDescent="0.2">
      <c r="A56" s="76">
        <v>29</v>
      </c>
      <c r="B56" s="41" t="s">
        <v>1101</v>
      </c>
      <c r="C56" s="76" t="s">
        <v>160</v>
      </c>
      <c r="D56" s="76">
        <v>2</v>
      </c>
      <c r="E56" s="76">
        <v>3</v>
      </c>
      <c r="F56" s="76">
        <v>6.04</v>
      </c>
      <c r="G56" s="76">
        <v>11</v>
      </c>
      <c r="H56" s="76">
        <v>11</v>
      </c>
      <c r="I56" s="76">
        <v>0</v>
      </c>
      <c r="J56" s="76">
        <v>0</v>
      </c>
      <c r="K56" s="76">
        <v>0</v>
      </c>
      <c r="L56" s="76">
        <v>0</v>
      </c>
      <c r="M56" s="76">
        <v>53.2</v>
      </c>
      <c r="N56" s="76">
        <v>57</v>
      </c>
      <c r="O56" s="76">
        <v>37</v>
      </c>
      <c r="P56" s="76">
        <v>36</v>
      </c>
      <c r="Q56" s="76">
        <v>7</v>
      </c>
      <c r="R56" s="76">
        <v>15</v>
      </c>
      <c r="S56" s="76">
        <v>3</v>
      </c>
      <c r="T56" s="76">
        <v>27</v>
      </c>
      <c r="U56" s="76">
        <v>233</v>
      </c>
      <c r="V56" s="76">
        <v>53.2</v>
      </c>
      <c r="W56" s="76">
        <v>0.27100000000000002</v>
      </c>
      <c r="X56" s="76">
        <v>1.34</v>
      </c>
      <c r="Y56" s="76"/>
      <c r="Z56" t="s">
        <v>1101</v>
      </c>
      <c r="AA56" s="76" t="s">
        <v>160</v>
      </c>
      <c r="AB56" s="76">
        <v>2</v>
      </c>
      <c r="AC56" s="76">
        <v>3</v>
      </c>
      <c r="AD56" s="76">
        <v>0</v>
      </c>
      <c r="AE56" s="76">
        <v>0</v>
      </c>
      <c r="AF56" s="76">
        <v>5</v>
      </c>
      <c r="AG56" s="76">
        <v>83</v>
      </c>
      <c r="AH56" s="76">
        <v>49</v>
      </c>
      <c r="AI56" s="76">
        <v>4</v>
      </c>
      <c r="AJ56" s="76">
        <v>0</v>
      </c>
      <c r="AK56" s="76">
        <v>1</v>
      </c>
      <c r="AL56" s="76">
        <v>0</v>
      </c>
      <c r="AM56" s="76">
        <v>1</v>
      </c>
      <c r="AN56" s="76">
        <v>859</v>
      </c>
      <c r="AO56" s="202" t="s">
        <v>160</v>
      </c>
      <c r="AP56" s="202" t="s">
        <v>243</v>
      </c>
      <c r="AQ56" s="202">
        <v>1.5</v>
      </c>
      <c r="AR56" s="202">
        <v>0.39100000000000001</v>
      </c>
      <c r="AS56" s="202">
        <v>0.44400000000000001</v>
      </c>
      <c r="AT56" s="202">
        <v>0.83599999999999997</v>
      </c>
      <c r="AU56" s="202">
        <v>8.44</v>
      </c>
      <c r="AV56" s="202">
        <v>8.44</v>
      </c>
      <c r="AW56" s="202">
        <v>6.75</v>
      </c>
      <c r="AX56" s="202">
        <v>1</v>
      </c>
      <c r="AY56" s="202">
        <v>19.88</v>
      </c>
    </row>
    <row r="57" spans="1:51" ht="12.75" customHeight="1" x14ac:dyDescent="0.2">
      <c r="A57" s="76">
        <v>11</v>
      </c>
      <c r="B57" s="41" t="s">
        <v>424</v>
      </c>
      <c r="C57" s="76" t="s">
        <v>160</v>
      </c>
      <c r="D57" s="76">
        <v>2</v>
      </c>
      <c r="E57" s="76">
        <v>2</v>
      </c>
      <c r="F57" s="76">
        <v>3.58</v>
      </c>
      <c r="G57" s="76">
        <v>33</v>
      </c>
      <c r="H57" s="76">
        <v>0</v>
      </c>
      <c r="I57" s="76">
        <v>0</v>
      </c>
      <c r="J57" s="76">
        <v>0</v>
      </c>
      <c r="K57" s="76">
        <v>0</v>
      </c>
      <c r="L57" s="76">
        <v>0</v>
      </c>
      <c r="M57" s="76">
        <v>32.200000000000003</v>
      </c>
      <c r="N57" s="76">
        <v>26</v>
      </c>
      <c r="O57" s="76">
        <v>16</v>
      </c>
      <c r="P57" s="76">
        <v>13</v>
      </c>
      <c r="Q57" s="76">
        <v>2</v>
      </c>
      <c r="R57" s="76">
        <v>18</v>
      </c>
      <c r="S57" s="76">
        <v>4</v>
      </c>
      <c r="T57" s="76">
        <v>33</v>
      </c>
      <c r="U57" s="76">
        <v>143</v>
      </c>
      <c r="V57" s="76">
        <v>32.200000000000003</v>
      </c>
      <c r="W57" s="76">
        <v>0.22</v>
      </c>
      <c r="X57" s="76">
        <v>1.35</v>
      </c>
      <c r="Y57" s="76"/>
      <c r="Z57" t="s">
        <v>424</v>
      </c>
      <c r="AA57" s="76" t="s">
        <v>160</v>
      </c>
      <c r="AB57" s="76">
        <v>4</v>
      </c>
      <c r="AC57" s="76">
        <v>4</v>
      </c>
      <c r="AD57" s="76">
        <v>5</v>
      </c>
      <c r="AE57" s="76">
        <v>3</v>
      </c>
      <c r="AF57" s="76">
        <v>0</v>
      </c>
      <c r="AG57" s="76">
        <v>25</v>
      </c>
      <c r="AH57" s="76">
        <v>37</v>
      </c>
      <c r="AI57" s="76">
        <v>3</v>
      </c>
      <c r="AJ57" s="76">
        <v>0</v>
      </c>
      <c r="AK57" s="76">
        <v>9</v>
      </c>
      <c r="AL57" s="76">
        <v>1</v>
      </c>
      <c r="AM57" s="76">
        <v>0</v>
      </c>
      <c r="AN57" s="76">
        <v>571</v>
      </c>
      <c r="AO57" s="202" t="s">
        <v>160</v>
      </c>
      <c r="AP57" s="202" t="s">
        <v>243</v>
      </c>
      <c r="AQ57" s="202">
        <v>0.67</v>
      </c>
      <c r="AR57" s="202">
        <v>0.3</v>
      </c>
      <c r="AS57" s="202">
        <v>0.17599999999999999</v>
      </c>
      <c r="AT57" s="202">
        <v>0.47599999999999998</v>
      </c>
      <c r="AU57" s="202">
        <v>7.71</v>
      </c>
      <c r="AV57" s="202">
        <v>5.79</v>
      </c>
      <c r="AW57" s="202">
        <v>5.79</v>
      </c>
      <c r="AX57" s="202">
        <v>1.33</v>
      </c>
      <c r="AY57" s="202">
        <v>17.57</v>
      </c>
    </row>
    <row r="58" spans="1:51" ht="12.75" customHeight="1" x14ac:dyDescent="0.2">
      <c r="A58" s="76">
        <v>13</v>
      </c>
      <c r="B58" s="41" t="s">
        <v>325</v>
      </c>
      <c r="C58" s="76" t="s">
        <v>160</v>
      </c>
      <c r="D58" s="76">
        <v>1</v>
      </c>
      <c r="E58" s="76">
        <v>0</v>
      </c>
      <c r="F58" s="76">
        <v>3.6</v>
      </c>
      <c r="G58" s="76">
        <v>21</v>
      </c>
      <c r="H58" s="76">
        <v>0</v>
      </c>
      <c r="I58" s="76">
        <v>0</v>
      </c>
      <c r="J58" s="76">
        <v>0</v>
      </c>
      <c r="K58" s="76">
        <v>0</v>
      </c>
      <c r="L58" s="76">
        <v>1</v>
      </c>
      <c r="M58" s="76">
        <v>20</v>
      </c>
      <c r="N58" s="76">
        <v>14</v>
      </c>
      <c r="O58" s="76">
        <v>8</v>
      </c>
      <c r="P58" s="76">
        <v>8</v>
      </c>
      <c r="Q58" s="76">
        <v>0</v>
      </c>
      <c r="R58" s="76">
        <v>7</v>
      </c>
      <c r="S58" s="76">
        <v>1</v>
      </c>
      <c r="T58" s="76">
        <v>26</v>
      </c>
      <c r="U58" s="76">
        <v>80</v>
      </c>
      <c r="V58" s="76">
        <v>20</v>
      </c>
      <c r="W58" s="76">
        <v>0.2</v>
      </c>
      <c r="X58" s="76">
        <v>1.05</v>
      </c>
      <c r="Y58" s="76"/>
      <c r="Z58" t="s">
        <v>325</v>
      </c>
      <c r="AA58" s="76" t="s">
        <v>160</v>
      </c>
      <c r="AB58" s="76">
        <v>1</v>
      </c>
      <c r="AC58" s="76">
        <v>1</v>
      </c>
      <c r="AD58" s="76">
        <v>5</v>
      </c>
      <c r="AE58" s="76">
        <v>3</v>
      </c>
      <c r="AF58" s="76">
        <v>2</v>
      </c>
      <c r="AG58" s="76">
        <v>22</v>
      </c>
      <c r="AH58" s="76">
        <v>10</v>
      </c>
      <c r="AI58" s="76">
        <v>0</v>
      </c>
      <c r="AJ58" s="76">
        <v>0</v>
      </c>
      <c r="AK58" s="76">
        <v>3</v>
      </c>
      <c r="AL58" s="76">
        <v>0</v>
      </c>
      <c r="AM58" s="76">
        <v>0</v>
      </c>
      <c r="AN58" s="76">
        <v>304</v>
      </c>
      <c r="AO58" s="202" t="s">
        <v>160</v>
      </c>
      <c r="AP58" s="202">
        <v>0.42899999999999999</v>
      </c>
      <c r="AQ58" s="202">
        <v>0.57999999999999996</v>
      </c>
      <c r="AR58" s="202">
        <v>0.27100000000000002</v>
      </c>
      <c r="AS58" s="202">
        <v>0.34899999999999998</v>
      </c>
      <c r="AT58" s="202">
        <v>0.62</v>
      </c>
      <c r="AU58" s="202">
        <v>12.03</v>
      </c>
      <c r="AV58" s="202">
        <v>2.67</v>
      </c>
      <c r="AW58" s="202">
        <v>7.49</v>
      </c>
      <c r="AX58" s="202">
        <v>4.5</v>
      </c>
      <c r="AY58" s="202">
        <v>17.55</v>
      </c>
    </row>
    <row r="59" spans="1:51" ht="12.75" customHeight="1" x14ac:dyDescent="0.2">
      <c r="A59" s="76">
        <v>2</v>
      </c>
      <c r="B59" t="s">
        <v>1413</v>
      </c>
      <c r="C59" s="76" t="s">
        <v>160</v>
      </c>
      <c r="D59" s="76">
        <v>0</v>
      </c>
      <c r="E59" s="76">
        <v>0</v>
      </c>
      <c r="F59" s="76">
        <v>1.35</v>
      </c>
      <c r="G59" s="76">
        <v>7</v>
      </c>
      <c r="H59" s="76">
        <v>0</v>
      </c>
      <c r="I59" s="76">
        <v>0</v>
      </c>
      <c r="J59" s="76">
        <v>0</v>
      </c>
      <c r="K59" s="76">
        <v>0</v>
      </c>
      <c r="L59" s="76">
        <v>0</v>
      </c>
      <c r="M59" s="76">
        <v>6.2</v>
      </c>
      <c r="N59" s="76">
        <v>6</v>
      </c>
      <c r="O59" s="76">
        <v>1</v>
      </c>
      <c r="P59" s="76">
        <v>1</v>
      </c>
      <c r="Q59" s="76">
        <v>0</v>
      </c>
      <c r="R59" s="76">
        <v>0</v>
      </c>
      <c r="S59" s="76">
        <v>0</v>
      </c>
      <c r="T59" s="76">
        <v>3</v>
      </c>
      <c r="U59" s="76">
        <v>25</v>
      </c>
      <c r="V59" s="76">
        <v>6.2</v>
      </c>
      <c r="W59" s="76">
        <v>0.24</v>
      </c>
      <c r="X59" s="76">
        <v>0.9</v>
      </c>
      <c r="Y59" s="76"/>
      <c r="Z59" t="s">
        <v>1413</v>
      </c>
      <c r="AA59" s="76" t="s">
        <v>160</v>
      </c>
      <c r="AB59" s="76">
        <v>0</v>
      </c>
      <c r="AC59" s="76">
        <v>0</v>
      </c>
      <c r="AD59" s="76">
        <v>2</v>
      </c>
      <c r="AE59" s="76">
        <v>0</v>
      </c>
      <c r="AF59" s="76">
        <v>1</v>
      </c>
      <c r="AG59" s="76">
        <v>12</v>
      </c>
      <c r="AH59" s="76">
        <v>4</v>
      </c>
      <c r="AI59" s="76">
        <v>0</v>
      </c>
      <c r="AJ59" s="76">
        <v>0</v>
      </c>
      <c r="AK59" s="76">
        <v>0</v>
      </c>
      <c r="AL59" s="76">
        <v>0</v>
      </c>
      <c r="AM59" s="76">
        <v>0</v>
      </c>
      <c r="AN59" s="76">
        <v>102</v>
      </c>
      <c r="AO59" s="202" t="s">
        <v>160</v>
      </c>
      <c r="AP59" s="202">
        <v>0</v>
      </c>
      <c r="AQ59" s="202">
        <v>1.33</v>
      </c>
      <c r="AR59" s="202">
        <v>0.44</v>
      </c>
      <c r="AS59" s="202">
        <v>0.54800000000000004</v>
      </c>
      <c r="AT59" s="202">
        <v>0.98799999999999999</v>
      </c>
      <c r="AU59" s="202">
        <v>6.48</v>
      </c>
      <c r="AV59" s="202">
        <v>4.32</v>
      </c>
      <c r="AW59" s="202">
        <v>15.12</v>
      </c>
      <c r="AX59" s="202">
        <v>1.5</v>
      </c>
      <c r="AY59" s="202">
        <v>18.48</v>
      </c>
    </row>
    <row r="60" spans="1:51" ht="12.75" customHeight="1" x14ac:dyDescent="0.2">
      <c r="A60" s="76">
        <v>9</v>
      </c>
      <c r="B60" s="41" t="s">
        <v>337</v>
      </c>
      <c r="C60" s="76" t="s">
        <v>160</v>
      </c>
      <c r="D60" s="76">
        <v>7</v>
      </c>
      <c r="E60" s="76">
        <v>10</v>
      </c>
      <c r="F60" s="76">
        <v>3.21</v>
      </c>
      <c r="G60" s="76">
        <v>30</v>
      </c>
      <c r="H60" s="76">
        <v>30</v>
      </c>
      <c r="I60" s="76">
        <v>1</v>
      </c>
      <c r="J60" s="76">
        <v>1</v>
      </c>
      <c r="K60" s="76">
        <v>0</v>
      </c>
      <c r="L60" s="76">
        <v>0</v>
      </c>
      <c r="M60" s="76">
        <v>188</v>
      </c>
      <c r="N60" s="76">
        <v>157</v>
      </c>
      <c r="O60" s="76">
        <v>70</v>
      </c>
      <c r="P60" s="76">
        <v>67</v>
      </c>
      <c r="Q60" s="76">
        <v>22</v>
      </c>
      <c r="R60" s="76">
        <v>41</v>
      </c>
      <c r="S60" s="76">
        <v>2</v>
      </c>
      <c r="T60" s="76">
        <v>167</v>
      </c>
      <c r="U60" s="76">
        <v>758</v>
      </c>
      <c r="V60" s="76">
        <v>188</v>
      </c>
      <c r="W60" s="76">
        <v>0.223</v>
      </c>
      <c r="X60" s="76">
        <v>1.05</v>
      </c>
      <c r="Y60" s="76"/>
      <c r="Z60" t="s">
        <v>337</v>
      </c>
      <c r="AA60" s="76" t="s">
        <v>160</v>
      </c>
      <c r="AB60" s="76">
        <v>9</v>
      </c>
      <c r="AC60" s="76">
        <v>2</v>
      </c>
      <c r="AD60" s="76">
        <v>0</v>
      </c>
      <c r="AE60" s="76">
        <v>0</v>
      </c>
      <c r="AF60" s="76">
        <v>11</v>
      </c>
      <c r="AG60" s="76">
        <v>167</v>
      </c>
      <c r="AH60" s="76">
        <v>217</v>
      </c>
      <c r="AI60" s="76">
        <v>7</v>
      </c>
      <c r="AJ60" s="76">
        <v>1</v>
      </c>
      <c r="AK60" s="76">
        <v>17</v>
      </c>
      <c r="AL60" s="76">
        <v>3</v>
      </c>
      <c r="AM60" s="76">
        <v>3</v>
      </c>
      <c r="AN60" s="76">
        <v>2971</v>
      </c>
      <c r="AO60" s="202" t="s">
        <v>160</v>
      </c>
      <c r="AP60" s="202">
        <v>0</v>
      </c>
      <c r="AQ60" s="202">
        <v>2</v>
      </c>
      <c r="AR60" s="202">
        <v>0.44400000000000001</v>
      </c>
      <c r="AS60" s="202">
        <v>0.85699999999999998</v>
      </c>
      <c r="AT60" s="202">
        <v>1.302</v>
      </c>
      <c r="AU60" s="202">
        <v>10.8</v>
      </c>
      <c r="AV60" s="202">
        <v>8.1</v>
      </c>
      <c r="AW60" s="202">
        <v>13.5</v>
      </c>
      <c r="AX60" s="202">
        <v>1.33</v>
      </c>
      <c r="AY60" s="202">
        <v>18.3</v>
      </c>
    </row>
    <row r="61" spans="1:51" ht="12.75" customHeight="1" x14ac:dyDescent="0.2">
      <c r="A61" s="76">
        <v>18</v>
      </c>
      <c r="B61" s="41" t="s">
        <v>754</v>
      </c>
      <c r="C61" s="76" t="s">
        <v>160</v>
      </c>
      <c r="D61" s="76">
        <v>1</v>
      </c>
      <c r="E61" s="76">
        <v>4</v>
      </c>
      <c r="F61" s="76">
        <v>4.42</v>
      </c>
      <c r="G61" s="76">
        <v>43</v>
      </c>
      <c r="H61" s="76">
        <v>0</v>
      </c>
      <c r="I61" s="76">
        <v>0</v>
      </c>
      <c r="J61" s="76">
        <v>0</v>
      </c>
      <c r="K61" s="76">
        <v>10</v>
      </c>
      <c r="L61" s="76">
        <v>14</v>
      </c>
      <c r="M61" s="76">
        <v>38.200000000000003</v>
      </c>
      <c r="N61" s="76">
        <v>37</v>
      </c>
      <c r="O61" s="76">
        <v>25</v>
      </c>
      <c r="P61" s="76">
        <v>19</v>
      </c>
      <c r="Q61" s="76">
        <v>3</v>
      </c>
      <c r="R61" s="76">
        <v>26</v>
      </c>
      <c r="S61" s="76">
        <v>3</v>
      </c>
      <c r="T61" s="76">
        <v>50</v>
      </c>
      <c r="U61" s="76">
        <v>182</v>
      </c>
      <c r="V61" s="76">
        <v>38.200000000000003</v>
      </c>
      <c r="W61" s="76">
        <v>0.24</v>
      </c>
      <c r="X61" s="76">
        <v>1.63</v>
      </c>
      <c r="Y61" s="76"/>
      <c r="Z61" t="s">
        <v>754</v>
      </c>
      <c r="AA61" s="76" t="s">
        <v>160</v>
      </c>
      <c r="AB61" s="76">
        <v>1</v>
      </c>
      <c r="AC61" s="76">
        <v>3</v>
      </c>
      <c r="AD61" s="76">
        <v>24</v>
      </c>
      <c r="AE61" s="76">
        <v>0</v>
      </c>
      <c r="AF61" s="76">
        <v>2</v>
      </c>
      <c r="AG61" s="76">
        <v>38</v>
      </c>
      <c r="AH61" s="76">
        <v>30</v>
      </c>
      <c r="AI61" s="76">
        <v>3</v>
      </c>
      <c r="AJ61" s="76">
        <v>1</v>
      </c>
      <c r="AK61" s="76">
        <v>2</v>
      </c>
      <c r="AL61" s="76">
        <v>0</v>
      </c>
      <c r="AM61" s="76">
        <v>0</v>
      </c>
      <c r="AN61" s="76">
        <v>720</v>
      </c>
      <c r="AO61" s="202" t="s">
        <v>160</v>
      </c>
      <c r="AP61" s="202" t="s">
        <v>243</v>
      </c>
      <c r="AQ61" s="202">
        <v>0.28999999999999998</v>
      </c>
      <c r="AR61" s="202">
        <v>0.316</v>
      </c>
      <c r="AS61" s="202">
        <v>0</v>
      </c>
      <c r="AT61" s="202">
        <v>0.316</v>
      </c>
      <c r="AU61" s="202">
        <v>7.71</v>
      </c>
      <c r="AV61" s="202">
        <v>11.57</v>
      </c>
      <c r="AW61" s="202">
        <v>0</v>
      </c>
      <c r="AX61" s="202">
        <v>0.67</v>
      </c>
      <c r="AY61" s="202">
        <v>17.14</v>
      </c>
    </row>
    <row r="62" spans="1:51" ht="12.75" customHeight="1" x14ac:dyDescent="0.2">
      <c r="A62" s="76">
        <v>26</v>
      </c>
      <c r="B62" t="s">
        <v>1100</v>
      </c>
      <c r="C62" s="76" t="s">
        <v>160</v>
      </c>
      <c r="D62" s="76">
        <v>1</v>
      </c>
      <c r="E62" s="76">
        <v>1</v>
      </c>
      <c r="F62" s="76">
        <v>5.45</v>
      </c>
      <c r="G62" s="76">
        <v>16</v>
      </c>
      <c r="H62" s="76">
        <v>2</v>
      </c>
      <c r="I62" s="76">
        <v>0</v>
      </c>
      <c r="J62" s="76">
        <v>0</v>
      </c>
      <c r="K62" s="76">
        <v>0</v>
      </c>
      <c r="L62" s="76">
        <v>1</v>
      </c>
      <c r="M62" s="76">
        <v>36.1</v>
      </c>
      <c r="N62" s="76">
        <v>46</v>
      </c>
      <c r="O62" s="76">
        <v>22</v>
      </c>
      <c r="P62" s="76">
        <v>22</v>
      </c>
      <c r="Q62" s="76">
        <v>7</v>
      </c>
      <c r="R62" s="76">
        <v>5</v>
      </c>
      <c r="S62" s="76">
        <v>2</v>
      </c>
      <c r="T62" s="76">
        <v>23</v>
      </c>
      <c r="U62" s="76">
        <v>157</v>
      </c>
      <c r="V62" s="76">
        <v>36.1</v>
      </c>
      <c r="W62" s="76">
        <v>0.309</v>
      </c>
      <c r="X62" s="76">
        <v>1.4</v>
      </c>
      <c r="Y62" s="76"/>
      <c r="Z62" t="s">
        <v>1100</v>
      </c>
      <c r="AA62" s="76" t="s">
        <v>160</v>
      </c>
      <c r="AB62" s="76">
        <v>2</v>
      </c>
      <c r="AC62" s="76">
        <v>2</v>
      </c>
      <c r="AD62" s="76">
        <v>6</v>
      </c>
      <c r="AE62" s="76">
        <v>0</v>
      </c>
      <c r="AF62" s="76">
        <v>5</v>
      </c>
      <c r="AG62" s="76">
        <v>54</v>
      </c>
      <c r="AH62" s="76">
        <v>27</v>
      </c>
      <c r="AI62" s="76">
        <v>1</v>
      </c>
      <c r="AJ62" s="76">
        <v>0</v>
      </c>
      <c r="AK62" s="76">
        <v>2</v>
      </c>
      <c r="AL62" s="76">
        <v>1</v>
      </c>
      <c r="AM62" s="76">
        <v>0</v>
      </c>
      <c r="AN62" s="76">
        <v>539</v>
      </c>
      <c r="AO62" s="202" t="s">
        <v>160</v>
      </c>
      <c r="AP62" s="202">
        <v>0.53800000000000003</v>
      </c>
      <c r="AQ62" s="202">
        <v>1.37</v>
      </c>
      <c r="AR62" s="202">
        <v>0.372</v>
      </c>
      <c r="AS62" s="202">
        <v>0.437</v>
      </c>
      <c r="AT62" s="202">
        <v>0.80900000000000005</v>
      </c>
      <c r="AU62" s="202">
        <v>5.63</v>
      </c>
      <c r="AV62" s="202">
        <v>3.93</v>
      </c>
      <c r="AW62" s="202">
        <v>10.029999999999999</v>
      </c>
      <c r="AX62" s="202">
        <v>1.43</v>
      </c>
      <c r="AY62" s="202">
        <v>16.03</v>
      </c>
    </row>
    <row r="63" spans="1:51" ht="12.75" customHeight="1" x14ac:dyDescent="0.2">
      <c r="A63" s="76">
        <v>31</v>
      </c>
      <c r="B63" t="s">
        <v>1422</v>
      </c>
      <c r="C63" s="76" t="s">
        <v>160</v>
      </c>
      <c r="D63" s="76">
        <v>1</v>
      </c>
      <c r="E63" s="76">
        <v>2</v>
      </c>
      <c r="F63" s="76">
        <v>6.57</v>
      </c>
      <c r="G63" s="76">
        <v>5</v>
      </c>
      <c r="H63" s="76">
        <v>5</v>
      </c>
      <c r="I63" s="76">
        <v>0</v>
      </c>
      <c r="J63" s="76">
        <v>0</v>
      </c>
      <c r="K63" s="76">
        <v>0</v>
      </c>
      <c r="L63" s="76">
        <v>0</v>
      </c>
      <c r="M63" s="76">
        <v>24.2</v>
      </c>
      <c r="N63" s="76">
        <v>20</v>
      </c>
      <c r="O63" s="76">
        <v>20</v>
      </c>
      <c r="P63" s="76">
        <v>18</v>
      </c>
      <c r="Q63" s="76">
        <v>4</v>
      </c>
      <c r="R63" s="76">
        <v>12</v>
      </c>
      <c r="S63" s="76">
        <v>0</v>
      </c>
      <c r="T63" s="76">
        <v>25</v>
      </c>
      <c r="U63" s="76">
        <v>110</v>
      </c>
      <c r="V63" s="76">
        <v>24.2</v>
      </c>
      <c r="W63" s="76">
        <v>0.217</v>
      </c>
      <c r="X63" s="76">
        <v>1.3</v>
      </c>
      <c r="Y63" s="76"/>
      <c r="Z63" t="s">
        <v>1422</v>
      </c>
      <c r="AA63" s="76" t="s">
        <v>160</v>
      </c>
      <c r="AB63" s="76">
        <v>3</v>
      </c>
      <c r="AC63" s="76">
        <v>0</v>
      </c>
      <c r="AD63" s="76">
        <v>0</v>
      </c>
      <c r="AE63" s="76">
        <v>0</v>
      </c>
      <c r="AF63" s="76">
        <v>1</v>
      </c>
      <c r="AG63" s="76">
        <v>25</v>
      </c>
      <c r="AH63" s="76">
        <v>25</v>
      </c>
      <c r="AI63" s="76">
        <v>1</v>
      </c>
      <c r="AJ63" s="76">
        <v>0</v>
      </c>
      <c r="AK63" s="76">
        <v>6</v>
      </c>
      <c r="AL63" s="76">
        <v>0</v>
      </c>
      <c r="AM63" s="76">
        <v>0</v>
      </c>
      <c r="AN63" s="76">
        <v>451</v>
      </c>
      <c r="AO63" s="202" t="s">
        <v>160</v>
      </c>
      <c r="AP63" s="202">
        <v>0.75</v>
      </c>
      <c r="AQ63" s="202">
        <v>0.68</v>
      </c>
      <c r="AR63" s="202">
        <v>0.29199999999999998</v>
      </c>
      <c r="AS63" s="202">
        <v>0.32300000000000001</v>
      </c>
      <c r="AT63" s="202">
        <v>0.61499999999999999</v>
      </c>
      <c r="AU63" s="202">
        <v>9.89</v>
      </c>
      <c r="AV63" s="202">
        <v>3.48</v>
      </c>
      <c r="AW63" s="202">
        <v>7.22</v>
      </c>
      <c r="AX63" s="202">
        <v>2.85</v>
      </c>
      <c r="AY63" s="202">
        <v>16.510000000000002</v>
      </c>
    </row>
    <row r="64" spans="1:51" ht="12.75" customHeight="1" x14ac:dyDescent="0.2">
      <c r="A64" s="76">
        <v>1</v>
      </c>
      <c r="B64" t="s">
        <v>1103</v>
      </c>
      <c r="C64" s="76" t="s">
        <v>160</v>
      </c>
      <c r="D64" s="76">
        <v>0</v>
      </c>
      <c r="E64" s="76">
        <v>0</v>
      </c>
      <c r="F64" s="76">
        <v>0</v>
      </c>
      <c r="G64" s="76">
        <v>3</v>
      </c>
      <c r="H64" s="76">
        <v>0</v>
      </c>
      <c r="I64" s="76">
        <v>0</v>
      </c>
      <c r="J64" s="76">
        <v>0</v>
      </c>
      <c r="K64" s="76">
        <v>0</v>
      </c>
      <c r="L64" s="76">
        <v>0</v>
      </c>
      <c r="M64" s="76">
        <v>2.1</v>
      </c>
      <c r="N64" s="76">
        <v>0</v>
      </c>
      <c r="O64" s="76">
        <v>0</v>
      </c>
      <c r="P64" s="76">
        <v>0</v>
      </c>
      <c r="Q64" s="76">
        <v>0</v>
      </c>
      <c r="R64" s="76">
        <v>1</v>
      </c>
      <c r="S64" s="76">
        <v>0</v>
      </c>
      <c r="T64" s="76">
        <v>4</v>
      </c>
      <c r="U64" s="76">
        <v>8</v>
      </c>
      <c r="V64" s="76">
        <v>2.1</v>
      </c>
      <c r="W64" s="76">
        <v>0</v>
      </c>
      <c r="X64" s="76">
        <v>0.43</v>
      </c>
      <c r="Y64" s="76"/>
      <c r="Z64" t="s">
        <v>1103</v>
      </c>
      <c r="AA64" s="76" t="s">
        <v>160</v>
      </c>
      <c r="AB64" s="76">
        <v>0</v>
      </c>
      <c r="AC64" s="76">
        <v>0</v>
      </c>
      <c r="AD64" s="76">
        <v>0</v>
      </c>
      <c r="AE64" s="76">
        <v>0</v>
      </c>
      <c r="AF64" s="76">
        <v>0</v>
      </c>
      <c r="AG64" s="76">
        <v>3</v>
      </c>
      <c r="AH64" s="76">
        <v>0</v>
      </c>
      <c r="AI64" s="76">
        <v>0</v>
      </c>
      <c r="AJ64" s="76">
        <v>0</v>
      </c>
      <c r="AK64" s="76">
        <v>0</v>
      </c>
      <c r="AL64" s="76">
        <v>0</v>
      </c>
      <c r="AM64" s="76">
        <v>0</v>
      </c>
      <c r="AN64" s="76">
        <v>33</v>
      </c>
      <c r="AO64" s="202" t="s">
        <v>160</v>
      </c>
      <c r="AP64" s="202">
        <v>0.2</v>
      </c>
      <c r="AQ64" s="202">
        <v>0.84</v>
      </c>
      <c r="AR64" s="202">
        <v>0.372</v>
      </c>
      <c r="AS64" s="202">
        <v>0.45300000000000001</v>
      </c>
      <c r="AT64" s="202">
        <v>0.82499999999999996</v>
      </c>
      <c r="AU64" s="202">
        <v>6.49</v>
      </c>
      <c r="AV64" s="202">
        <v>4.0999999999999996</v>
      </c>
      <c r="AW64" s="202">
        <v>10.25</v>
      </c>
      <c r="AX64" s="202">
        <v>1.58</v>
      </c>
      <c r="AY64" s="202">
        <v>17.850000000000001</v>
      </c>
    </row>
    <row r="65" spans="1:51" ht="12.75" customHeight="1" x14ac:dyDescent="0.2">
      <c r="A65" s="76">
        <v>21</v>
      </c>
      <c r="B65" s="41" t="s">
        <v>1099</v>
      </c>
      <c r="C65" s="76" t="s">
        <v>160</v>
      </c>
      <c r="D65" s="76">
        <v>7</v>
      </c>
      <c r="E65" s="76">
        <v>13</v>
      </c>
      <c r="F65" s="76">
        <v>5</v>
      </c>
      <c r="G65" s="76">
        <v>27</v>
      </c>
      <c r="H65" s="76">
        <v>26</v>
      </c>
      <c r="I65" s="76">
        <v>0</v>
      </c>
      <c r="J65" s="76">
        <v>0</v>
      </c>
      <c r="K65" s="76">
        <v>1</v>
      </c>
      <c r="L65" s="76">
        <v>1</v>
      </c>
      <c r="M65" s="76">
        <v>156.19999999999999</v>
      </c>
      <c r="N65" s="76">
        <v>159</v>
      </c>
      <c r="O65" s="76">
        <v>90</v>
      </c>
      <c r="P65" s="76">
        <v>87</v>
      </c>
      <c r="Q65" s="76">
        <v>26</v>
      </c>
      <c r="R65" s="76">
        <v>49</v>
      </c>
      <c r="S65" s="76">
        <v>3</v>
      </c>
      <c r="T65" s="76">
        <v>115</v>
      </c>
      <c r="U65" s="76">
        <v>671</v>
      </c>
      <c r="V65" s="76">
        <v>156.19999999999999</v>
      </c>
      <c r="W65" s="76">
        <v>0.25900000000000001</v>
      </c>
      <c r="X65" s="76">
        <v>1.33</v>
      </c>
      <c r="Y65" s="76"/>
      <c r="Z65" t="s">
        <v>1099</v>
      </c>
      <c r="AA65" s="76" t="s">
        <v>160</v>
      </c>
      <c r="AB65" s="76">
        <v>4</v>
      </c>
      <c r="AC65" s="76">
        <v>3</v>
      </c>
      <c r="AD65" s="76">
        <v>1</v>
      </c>
      <c r="AE65" s="76">
        <v>0</v>
      </c>
      <c r="AF65" s="76">
        <v>12</v>
      </c>
      <c r="AG65" s="76">
        <v>156</v>
      </c>
      <c r="AH65" s="76">
        <v>188</v>
      </c>
      <c r="AI65" s="76">
        <v>5</v>
      </c>
      <c r="AJ65" s="76">
        <v>1</v>
      </c>
      <c r="AK65" s="76">
        <v>16</v>
      </c>
      <c r="AL65" s="76">
        <v>1</v>
      </c>
      <c r="AM65" s="76">
        <v>0</v>
      </c>
      <c r="AN65" s="76">
        <v>2438</v>
      </c>
      <c r="AO65" s="202" t="s">
        <v>160</v>
      </c>
      <c r="AP65" s="202">
        <v>0.4</v>
      </c>
      <c r="AQ65" s="202">
        <v>0.64</v>
      </c>
      <c r="AR65" s="202">
        <v>0.35599999999999998</v>
      </c>
      <c r="AS65" s="202">
        <v>0.50600000000000001</v>
      </c>
      <c r="AT65" s="202">
        <v>0.86199999999999999</v>
      </c>
      <c r="AU65" s="202">
        <v>9.9700000000000006</v>
      </c>
      <c r="AV65" s="202">
        <v>2.91</v>
      </c>
      <c r="AW65" s="202">
        <v>9.9700000000000006</v>
      </c>
      <c r="AX65" s="202">
        <v>3.43</v>
      </c>
      <c r="AY65" s="202">
        <v>15.32</v>
      </c>
    </row>
    <row r="66" spans="1:51" ht="12.75" customHeight="1" x14ac:dyDescent="0.2">
      <c r="A66" s="76">
        <v>12</v>
      </c>
      <c r="B66" s="41" t="s">
        <v>1416</v>
      </c>
      <c r="C66" s="76" t="s">
        <v>160</v>
      </c>
      <c r="D66" s="76">
        <v>3</v>
      </c>
      <c r="E66" s="76">
        <v>0</v>
      </c>
      <c r="F66" s="76">
        <v>3.58</v>
      </c>
      <c r="G66" s="76">
        <v>46</v>
      </c>
      <c r="H66" s="76">
        <v>0</v>
      </c>
      <c r="I66" s="76">
        <v>0</v>
      </c>
      <c r="J66" s="76">
        <v>0</v>
      </c>
      <c r="K66" s="76">
        <v>0</v>
      </c>
      <c r="L66" s="76">
        <v>3</v>
      </c>
      <c r="M66" s="76">
        <v>37.200000000000003</v>
      </c>
      <c r="N66" s="76">
        <v>29</v>
      </c>
      <c r="O66" s="76">
        <v>16</v>
      </c>
      <c r="P66" s="76">
        <v>15</v>
      </c>
      <c r="Q66" s="76">
        <v>5</v>
      </c>
      <c r="R66" s="76">
        <v>17</v>
      </c>
      <c r="S66" s="76">
        <v>1</v>
      </c>
      <c r="T66" s="76">
        <v>28</v>
      </c>
      <c r="U66" s="76">
        <v>158</v>
      </c>
      <c r="V66" s="76">
        <v>37.200000000000003</v>
      </c>
      <c r="W66" s="76">
        <v>0.21299999999999999</v>
      </c>
      <c r="X66" s="76">
        <v>1.22</v>
      </c>
      <c r="Y66" s="76"/>
      <c r="Z66" t="s">
        <v>1416</v>
      </c>
      <c r="AA66" s="76" t="s">
        <v>160</v>
      </c>
      <c r="AB66" s="76">
        <v>2</v>
      </c>
      <c r="AC66" s="76">
        <v>1</v>
      </c>
      <c r="AD66" s="76">
        <v>6</v>
      </c>
      <c r="AE66" s="76">
        <v>12</v>
      </c>
      <c r="AF66" s="76">
        <v>2</v>
      </c>
      <c r="AG66" s="76">
        <v>41</v>
      </c>
      <c r="AH66" s="76">
        <v>41</v>
      </c>
      <c r="AI66" s="76">
        <v>1</v>
      </c>
      <c r="AJ66" s="76">
        <v>0</v>
      </c>
      <c r="AK66" s="76">
        <v>8</v>
      </c>
      <c r="AL66" s="76">
        <v>0</v>
      </c>
      <c r="AM66" s="76">
        <v>1</v>
      </c>
      <c r="AN66" s="76">
        <v>650</v>
      </c>
      <c r="AO66" s="202" t="s">
        <v>160</v>
      </c>
      <c r="AP66" s="202" t="s">
        <v>243</v>
      </c>
      <c r="AQ66" s="202">
        <v>0</v>
      </c>
      <c r="AR66" s="202">
        <v>0.5</v>
      </c>
      <c r="AS66" s="202">
        <v>1.6</v>
      </c>
      <c r="AT66" s="202">
        <v>2.1</v>
      </c>
      <c r="AU66" s="202">
        <v>9</v>
      </c>
      <c r="AV66" s="202">
        <v>0</v>
      </c>
      <c r="AW66" s="202">
        <v>27</v>
      </c>
      <c r="AX66" s="202" t="s">
        <v>243</v>
      </c>
      <c r="AY66" s="202">
        <v>20</v>
      </c>
    </row>
    <row r="67" spans="1:51" ht="12.75" customHeight="1" x14ac:dyDescent="0.2">
      <c r="A67" s="76">
        <v>30</v>
      </c>
      <c r="B67" t="s">
        <v>1421</v>
      </c>
      <c r="C67" s="76" t="s">
        <v>160</v>
      </c>
      <c r="D67" s="76">
        <v>0</v>
      </c>
      <c r="E67" s="76">
        <v>0</v>
      </c>
      <c r="F67" s="76">
        <v>6.43</v>
      </c>
      <c r="G67" s="76">
        <v>8</v>
      </c>
      <c r="H67" s="76">
        <v>0</v>
      </c>
      <c r="I67" s="76">
        <v>0</v>
      </c>
      <c r="J67" s="76">
        <v>0</v>
      </c>
      <c r="K67" s="76">
        <v>0</v>
      </c>
      <c r="L67" s="76">
        <v>0</v>
      </c>
      <c r="M67" s="76">
        <v>7</v>
      </c>
      <c r="N67" s="76">
        <v>12</v>
      </c>
      <c r="O67" s="76">
        <v>5</v>
      </c>
      <c r="P67" s="76">
        <v>5</v>
      </c>
      <c r="Q67" s="76">
        <v>0</v>
      </c>
      <c r="R67" s="76">
        <v>4</v>
      </c>
      <c r="S67" s="76">
        <v>0</v>
      </c>
      <c r="T67" s="76">
        <v>4</v>
      </c>
      <c r="U67" s="76">
        <v>37</v>
      </c>
      <c r="V67" s="76">
        <v>7</v>
      </c>
      <c r="W67" s="76">
        <v>0.4</v>
      </c>
      <c r="X67" s="76">
        <v>2.29</v>
      </c>
      <c r="Y67" s="76"/>
      <c r="Z67" t="s">
        <v>1421</v>
      </c>
      <c r="AA67" s="76" t="s">
        <v>160</v>
      </c>
      <c r="AB67" s="76">
        <v>1</v>
      </c>
      <c r="AC67" s="76">
        <v>0</v>
      </c>
      <c r="AD67" s="76">
        <v>1</v>
      </c>
      <c r="AE67" s="76">
        <v>1</v>
      </c>
      <c r="AF67" s="76">
        <v>0</v>
      </c>
      <c r="AG67" s="76">
        <v>9</v>
      </c>
      <c r="AH67" s="76">
        <v>7</v>
      </c>
      <c r="AI67" s="76">
        <v>0</v>
      </c>
      <c r="AJ67" s="76">
        <v>0</v>
      </c>
      <c r="AK67" s="76">
        <v>1</v>
      </c>
      <c r="AL67" s="76">
        <v>0</v>
      </c>
      <c r="AM67" s="76">
        <v>0</v>
      </c>
      <c r="AN67" s="76">
        <v>147</v>
      </c>
      <c r="AO67" s="202" t="s">
        <v>160</v>
      </c>
      <c r="AP67" s="202" t="s">
        <v>243</v>
      </c>
      <c r="AQ67" s="202">
        <v>1</v>
      </c>
      <c r="AR67" s="202">
        <v>0.47799999999999998</v>
      </c>
      <c r="AS67" s="202">
        <v>0.95</v>
      </c>
      <c r="AT67" s="202">
        <v>1.4279999999999999</v>
      </c>
      <c r="AU67" s="202">
        <v>6.23</v>
      </c>
      <c r="AV67" s="202">
        <v>4.1500000000000004</v>
      </c>
      <c r="AW67" s="202">
        <v>16.62</v>
      </c>
      <c r="AX67" s="202">
        <v>1.5</v>
      </c>
      <c r="AY67" s="202">
        <v>19.38</v>
      </c>
    </row>
    <row r="68" spans="1:51" ht="12.75" customHeight="1" x14ac:dyDescent="0.2">
      <c r="A68" s="225" t="s">
        <v>105</v>
      </c>
      <c r="B68" s="225" t="s">
        <v>106</v>
      </c>
      <c r="C68" s="225" t="s">
        <v>157</v>
      </c>
      <c r="D68" s="225" t="s">
        <v>85</v>
      </c>
      <c r="E68" s="225" t="s">
        <v>86</v>
      </c>
      <c r="F68" s="225" t="s">
        <v>107</v>
      </c>
      <c r="G68" s="225" t="s">
        <v>108</v>
      </c>
      <c r="H68" s="225" t="s">
        <v>88</v>
      </c>
      <c r="I68" s="225" t="s">
        <v>89</v>
      </c>
      <c r="J68" s="225" t="s">
        <v>1073</v>
      </c>
      <c r="K68" s="225" t="s">
        <v>90</v>
      </c>
      <c r="L68" s="225" t="s">
        <v>158</v>
      </c>
      <c r="M68" s="225" t="s">
        <v>91</v>
      </c>
      <c r="N68" s="225" t="s">
        <v>92</v>
      </c>
      <c r="O68" s="225" t="s">
        <v>93</v>
      </c>
      <c r="P68" s="225" t="s">
        <v>94</v>
      </c>
      <c r="Q68" s="225" t="s">
        <v>95</v>
      </c>
      <c r="R68" s="225" t="s">
        <v>96</v>
      </c>
      <c r="S68" s="225" t="s">
        <v>98</v>
      </c>
      <c r="T68" s="225" t="s">
        <v>97</v>
      </c>
      <c r="U68" s="225" t="s">
        <v>109</v>
      </c>
      <c r="V68" s="225" t="s">
        <v>91</v>
      </c>
      <c r="W68" s="225" t="s">
        <v>1071</v>
      </c>
      <c r="X68" s="225" t="s">
        <v>1072</v>
      </c>
      <c r="Y68" s="225"/>
      <c r="Z68" s="225" t="s">
        <v>106</v>
      </c>
      <c r="AA68" s="225" t="s">
        <v>157</v>
      </c>
      <c r="AB68" s="225" t="s">
        <v>1074</v>
      </c>
      <c r="AC68" s="225" t="s">
        <v>98</v>
      </c>
      <c r="AD68" s="225" t="s">
        <v>1075</v>
      </c>
      <c r="AE68" s="225" t="s">
        <v>1076</v>
      </c>
      <c r="AF68" s="225" t="s">
        <v>1077</v>
      </c>
      <c r="AG68" s="225" t="s">
        <v>1066</v>
      </c>
      <c r="AH68" s="225" t="s">
        <v>1067</v>
      </c>
      <c r="AI68" s="225" t="s">
        <v>1078</v>
      </c>
      <c r="AJ68" s="225" t="s">
        <v>1079</v>
      </c>
      <c r="AK68" s="225" t="s">
        <v>1057</v>
      </c>
      <c r="AL68" s="225" t="s">
        <v>1058</v>
      </c>
      <c r="AM68" s="225" t="s">
        <v>1080</v>
      </c>
      <c r="AN68" s="225" t="s">
        <v>1069</v>
      </c>
      <c r="AO68" s="102" t="s">
        <v>157</v>
      </c>
      <c r="AP68" s="102" t="s">
        <v>1081</v>
      </c>
      <c r="AQ68" s="102" t="s">
        <v>1068</v>
      </c>
      <c r="AR68" s="102" t="s">
        <v>1059</v>
      </c>
      <c r="AS68" s="102" t="s">
        <v>1060</v>
      </c>
      <c r="AT68" s="102" t="s">
        <v>1061</v>
      </c>
      <c r="AU68" s="102" t="s">
        <v>1092</v>
      </c>
      <c r="AV68" s="102" t="s">
        <v>1093</v>
      </c>
      <c r="AW68" s="102" t="s">
        <v>1094</v>
      </c>
      <c r="AX68" s="102" t="s">
        <v>1095</v>
      </c>
      <c r="AY68" s="102" t="s">
        <v>1096</v>
      </c>
    </row>
    <row r="69" spans="1:51" ht="12.75" customHeight="1" x14ac:dyDescent="0.2">
      <c r="A69" s="76">
        <v>12</v>
      </c>
      <c r="B69" s="41" t="s">
        <v>347</v>
      </c>
      <c r="C69" s="76" t="s">
        <v>161</v>
      </c>
      <c r="D69" s="76">
        <v>18</v>
      </c>
      <c r="E69" s="76">
        <v>8</v>
      </c>
      <c r="F69" s="76">
        <v>3.1</v>
      </c>
      <c r="G69" s="76">
        <v>31</v>
      </c>
      <c r="H69" s="76">
        <v>31</v>
      </c>
      <c r="I69" s="76">
        <v>1</v>
      </c>
      <c r="J69" s="76">
        <v>1</v>
      </c>
      <c r="K69" s="76">
        <v>0</v>
      </c>
      <c r="L69" s="76">
        <v>0</v>
      </c>
      <c r="M69" s="76">
        <v>197.1</v>
      </c>
      <c r="N69" s="76">
        <v>138</v>
      </c>
      <c r="O69" s="76">
        <v>72</v>
      </c>
      <c r="P69" s="76">
        <v>68</v>
      </c>
      <c r="Q69" s="76">
        <v>16</v>
      </c>
      <c r="R69" s="76">
        <v>76</v>
      </c>
      <c r="S69" s="76">
        <v>1</v>
      </c>
      <c r="T69" s="76">
        <v>190</v>
      </c>
      <c r="U69" s="76">
        <v>795</v>
      </c>
      <c r="V69" s="76">
        <v>197.1</v>
      </c>
      <c r="W69" s="76">
        <v>0.19400000000000001</v>
      </c>
      <c r="X69" s="76">
        <v>1.08</v>
      </c>
      <c r="Y69" s="76"/>
      <c r="Z69" t="s">
        <v>347</v>
      </c>
      <c r="AA69" s="76" t="s">
        <v>161</v>
      </c>
      <c r="AB69" s="76">
        <v>6</v>
      </c>
      <c r="AC69" s="76">
        <v>1</v>
      </c>
      <c r="AD69" s="76">
        <v>0</v>
      </c>
      <c r="AE69" s="76">
        <v>0</v>
      </c>
      <c r="AF69" s="76">
        <v>17</v>
      </c>
      <c r="AG69" s="76">
        <v>245</v>
      </c>
      <c r="AH69" s="76">
        <v>140</v>
      </c>
      <c r="AI69" s="76">
        <v>16</v>
      </c>
      <c r="AJ69" s="76">
        <v>0</v>
      </c>
      <c r="AK69" s="76">
        <v>23</v>
      </c>
      <c r="AL69" s="76">
        <v>3</v>
      </c>
      <c r="AM69" s="76">
        <v>0</v>
      </c>
      <c r="AN69" s="76">
        <v>3124</v>
      </c>
      <c r="AO69" s="202" t="s">
        <v>161</v>
      </c>
      <c r="AP69" s="202">
        <v>1</v>
      </c>
      <c r="AQ69" s="202">
        <v>1.21</v>
      </c>
      <c r="AR69" s="202">
        <v>0.33300000000000002</v>
      </c>
      <c r="AS69" s="202">
        <v>0.53</v>
      </c>
      <c r="AT69" s="202">
        <v>0.86399999999999999</v>
      </c>
      <c r="AU69" s="202">
        <v>8.6199999999999992</v>
      </c>
      <c r="AV69" s="202">
        <v>1.72</v>
      </c>
      <c r="AW69" s="202">
        <v>11.49</v>
      </c>
      <c r="AX69" s="202">
        <v>5</v>
      </c>
      <c r="AY69" s="202">
        <v>16.72</v>
      </c>
    </row>
    <row r="70" spans="1:51" ht="12.75" customHeight="1" x14ac:dyDescent="0.2">
      <c r="A70" s="76">
        <v>4</v>
      </c>
      <c r="B70" t="s">
        <v>804</v>
      </c>
      <c r="C70" s="76" t="s">
        <v>161</v>
      </c>
      <c r="D70" s="76">
        <v>1</v>
      </c>
      <c r="E70" s="76">
        <v>0</v>
      </c>
      <c r="F70" s="76">
        <v>1.5</v>
      </c>
      <c r="G70" s="76">
        <v>2</v>
      </c>
      <c r="H70" s="76">
        <v>1</v>
      </c>
      <c r="I70" s="76">
        <v>0</v>
      </c>
      <c r="J70" s="76">
        <v>0</v>
      </c>
      <c r="K70" s="76">
        <v>0</v>
      </c>
      <c r="L70" s="76">
        <v>0</v>
      </c>
      <c r="M70" s="76">
        <v>6</v>
      </c>
      <c r="N70" s="76">
        <v>3</v>
      </c>
      <c r="O70" s="76">
        <v>1</v>
      </c>
      <c r="P70" s="76">
        <v>1</v>
      </c>
      <c r="Q70" s="76">
        <v>1</v>
      </c>
      <c r="R70" s="76">
        <v>1</v>
      </c>
      <c r="S70" s="76">
        <v>0</v>
      </c>
      <c r="T70" s="76">
        <v>4</v>
      </c>
      <c r="U70" s="76">
        <v>21</v>
      </c>
      <c r="V70" s="76">
        <v>6</v>
      </c>
      <c r="W70" s="76">
        <v>0.15</v>
      </c>
      <c r="X70" s="76">
        <v>0.67</v>
      </c>
      <c r="Y70" s="76"/>
      <c r="Z70" t="s">
        <v>804</v>
      </c>
      <c r="AA70" s="76" t="s">
        <v>161</v>
      </c>
      <c r="AB70" s="76">
        <v>0</v>
      </c>
      <c r="AC70" s="76">
        <v>0</v>
      </c>
      <c r="AD70" s="76">
        <v>1</v>
      </c>
      <c r="AE70" s="76">
        <v>0</v>
      </c>
      <c r="AF70" s="76">
        <v>1</v>
      </c>
      <c r="AG70" s="76">
        <v>6</v>
      </c>
      <c r="AH70" s="76">
        <v>7</v>
      </c>
      <c r="AI70" s="76">
        <v>0</v>
      </c>
      <c r="AJ70" s="76">
        <v>0</v>
      </c>
      <c r="AK70" s="76">
        <v>0</v>
      </c>
      <c r="AL70" s="76">
        <v>0</v>
      </c>
      <c r="AM70" s="76">
        <v>0</v>
      </c>
      <c r="AN70" s="76">
        <v>82</v>
      </c>
      <c r="AO70" s="202" t="s">
        <v>161</v>
      </c>
      <c r="AP70" s="202" t="s">
        <v>243</v>
      </c>
      <c r="AQ70" s="202">
        <v>3.75</v>
      </c>
      <c r="AR70" s="202">
        <v>0.378</v>
      </c>
      <c r="AS70" s="202">
        <v>0.53700000000000003</v>
      </c>
      <c r="AT70" s="202">
        <v>0.91400000000000003</v>
      </c>
      <c r="AU70" s="202">
        <v>8.1</v>
      </c>
      <c r="AV70" s="202">
        <v>2.7</v>
      </c>
      <c r="AW70" s="202">
        <v>12.6</v>
      </c>
      <c r="AX70" s="202">
        <v>3</v>
      </c>
      <c r="AY70" s="202">
        <v>18.399999999999999</v>
      </c>
    </row>
    <row r="71" spans="1:51" ht="12.75" customHeight="1" x14ac:dyDescent="0.2">
      <c r="A71" s="76">
        <v>8</v>
      </c>
      <c r="B71" s="41" t="s">
        <v>324</v>
      </c>
      <c r="C71" s="76" t="s">
        <v>161</v>
      </c>
      <c r="D71" s="76">
        <v>4</v>
      </c>
      <c r="E71" s="76">
        <v>4</v>
      </c>
      <c r="F71" s="76">
        <v>2.74</v>
      </c>
      <c r="G71" s="76">
        <v>50</v>
      </c>
      <c r="H71" s="76">
        <v>1</v>
      </c>
      <c r="I71" s="76">
        <v>0</v>
      </c>
      <c r="J71" s="76">
        <v>0</v>
      </c>
      <c r="K71" s="76">
        <v>0</v>
      </c>
      <c r="L71" s="76">
        <v>1</v>
      </c>
      <c r="M71" s="76">
        <v>65.2</v>
      </c>
      <c r="N71" s="76">
        <v>49</v>
      </c>
      <c r="O71" s="76">
        <v>22</v>
      </c>
      <c r="P71" s="76">
        <v>20</v>
      </c>
      <c r="Q71" s="76">
        <v>7</v>
      </c>
      <c r="R71" s="76">
        <v>35</v>
      </c>
      <c r="S71" s="76">
        <v>3</v>
      </c>
      <c r="T71" s="76">
        <v>66</v>
      </c>
      <c r="U71" s="76">
        <v>284</v>
      </c>
      <c r="V71" s="76">
        <v>65.2</v>
      </c>
      <c r="W71" s="76">
        <v>0.20100000000000001</v>
      </c>
      <c r="X71" s="76">
        <v>1.28</v>
      </c>
      <c r="Y71" s="76"/>
      <c r="Z71" t="s">
        <v>324</v>
      </c>
      <c r="AA71" s="76" t="s">
        <v>161</v>
      </c>
      <c r="AB71" s="76">
        <v>5</v>
      </c>
      <c r="AC71" s="76">
        <v>3</v>
      </c>
      <c r="AD71" s="76">
        <v>16</v>
      </c>
      <c r="AE71" s="76">
        <v>4</v>
      </c>
      <c r="AF71" s="76">
        <v>5</v>
      </c>
      <c r="AG71" s="76">
        <v>82</v>
      </c>
      <c r="AH71" s="76">
        <v>47</v>
      </c>
      <c r="AI71" s="76">
        <v>3</v>
      </c>
      <c r="AJ71" s="76">
        <v>0</v>
      </c>
      <c r="AK71" s="76">
        <v>11</v>
      </c>
      <c r="AL71" s="76">
        <v>1</v>
      </c>
      <c r="AM71" s="76">
        <v>1</v>
      </c>
      <c r="AN71" s="76">
        <v>1162</v>
      </c>
      <c r="AO71" s="202" t="s">
        <v>161</v>
      </c>
      <c r="AP71" s="202">
        <v>0.375</v>
      </c>
      <c r="AQ71" s="202">
        <v>0.98</v>
      </c>
      <c r="AR71" s="202">
        <v>0.28399999999999997</v>
      </c>
      <c r="AS71" s="202">
        <v>0.28699999999999998</v>
      </c>
      <c r="AT71" s="202">
        <v>0.57199999999999995</v>
      </c>
      <c r="AU71" s="202">
        <v>12.14</v>
      </c>
      <c r="AV71" s="202">
        <v>4.71</v>
      </c>
      <c r="AW71" s="202">
        <v>5.62</v>
      </c>
      <c r="AX71" s="202">
        <v>2.58</v>
      </c>
      <c r="AY71" s="202">
        <v>17.52</v>
      </c>
    </row>
    <row r="72" spans="1:51" ht="12.75" customHeight="1" x14ac:dyDescent="0.2">
      <c r="A72" s="76">
        <v>2</v>
      </c>
      <c r="B72" s="41" t="s">
        <v>355</v>
      </c>
      <c r="C72" s="76" t="s">
        <v>161</v>
      </c>
      <c r="D72" s="76">
        <v>1</v>
      </c>
      <c r="E72" s="76">
        <v>1</v>
      </c>
      <c r="F72" s="76">
        <v>1.01</v>
      </c>
      <c r="G72" s="76">
        <v>28</v>
      </c>
      <c r="H72" s="76">
        <v>0</v>
      </c>
      <c r="I72" s="76">
        <v>0</v>
      </c>
      <c r="J72" s="76">
        <v>0</v>
      </c>
      <c r="K72" s="76">
        <v>16</v>
      </c>
      <c r="L72" s="76">
        <v>18</v>
      </c>
      <c r="M72" s="76">
        <v>26.2</v>
      </c>
      <c r="N72" s="76">
        <v>12</v>
      </c>
      <c r="O72" s="76">
        <v>4</v>
      </c>
      <c r="P72" s="76">
        <v>3</v>
      </c>
      <c r="Q72" s="76">
        <v>0</v>
      </c>
      <c r="R72" s="76">
        <v>10</v>
      </c>
      <c r="S72" s="76">
        <v>0</v>
      </c>
      <c r="T72" s="76">
        <v>46</v>
      </c>
      <c r="U72" s="76">
        <v>102</v>
      </c>
      <c r="V72" s="76">
        <v>26.2</v>
      </c>
      <c r="W72" s="76">
        <v>0.13200000000000001</v>
      </c>
      <c r="X72" s="76">
        <v>0.82</v>
      </c>
      <c r="Y72" s="76"/>
      <c r="Z72" t="s">
        <v>355</v>
      </c>
      <c r="AA72" s="76" t="s">
        <v>161</v>
      </c>
      <c r="AB72" s="76">
        <v>0</v>
      </c>
      <c r="AC72" s="76">
        <v>0</v>
      </c>
      <c r="AD72" s="76">
        <v>23</v>
      </c>
      <c r="AE72" s="76">
        <v>0</v>
      </c>
      <c r="AF72" s="76">
        <v>0</v>
      </c>
      <c r="AG72" s="76">
        <v>22</v>
      </c>
      <c r="AH72" s="76">
        <v>12</v>
      </c>
      <c r="AI72" s="76">
        <v>6</v>
      </c>
      <c r="AJ72" s="76">
        <v>0</v>
      </c>
      <c r="AK72" s="76">
        <v>3</v>
      </c>
      <c r="AL72" s="76">
        <v>0</v>
      </c>
      <c r="AM72" s="76">
        <v>0</v>
      </c>
      <c r="AN72" s="76">
        <v>448</v>
      </c>
      <c r="AO72" s="202" t="s">
        <v>161</v>
      </c>
      <c r="AP72" s="202">
        <v>0</v>
      </c>
      <c r="AQ72" s="202">
        <v>3.5</v>
      </c>
      <c r="AR72" s="202">
        <v>0.45700000000000002</v>
      </c>
      <c r="AS72" s="202">
        <v>0.46200000000000002</v>
      </c>
      <c r="AT72" s="202">
        <v>0.91800000000000004</v>
      </c>
      <c r="AU72" s="202">
        <v>7.56</v>
      </c>
      <c r="AV72" s="202">
        <v>7.56</v>
      </c>
      <c r="AW72" s="202">
        <v>15.12</v>
      </c>
      <c r="AX72" s="202">
        <v>1</v>
      </c>
      <c r="AY72" s="202">
        <v>20.52</v>
      </c>
    </row>
    <row r="73" spans="1:51" ht="12.75" customHeight="1" x14ac:dyDescent="0.2">
      <c r="A73" s="76">
        <v>17</v>
      </c>
      <c r="B73" t="s">
        <v>1426</v>
      </c>
      <c r="C73" s="76" t="s">
        <v>161</v>
      </c>
      <c r="D73" s="76">
        <v>0</v>
      </c>
      <c r="E73" s="76">
        <v>0</v>
      </c>
      <c r="F73" s="76">
        <v>3.86</v>
      </c>
      <c r="G73" s="76">
        <v>3</v>
      </c>
      <c r="H73" s="76">
        <v>0</v>
      </c>
      <c r="I73" s="76">
        <v>0</v>
      </c>
      <c r="J73" s="76">
        <v>0</v>
      </c>
      <c r="K73" s="76">
        <v>0</v>
      </c>
      <c r="L73" s="76">
        <v>0</v>
      </c>
      <c r="M73" s="76">
        <v>2.1</v>
      </c>
      <c r="N73" s="76">
        <v>2</v>
      </c>
      <c r="O73" s="76">
        <v>1</v>
      </c>
      <c r="P73" s="76">
        <v>1</v>
      </c>
      <c r="Q73" s="76">
        <v>0</v>
      </c>
      <c r="R73" s="76">
        <v>1</v>
      </c>
      <c r="S73" s="76">
        <v>0</v>
      </c>
      <c r="T73" s="76">
        <v>2</v>
      </c>
      <c r="U73" s="76">
        <v>10</v>
      </c>
      <c r="V73" s="76">
        <v>2.1</v>
      </c>
      <c r="W73" s="76">
        <v>0.25</v>
      </c>
      <c r="X73" s="76">
        <v>1.29</v>
      </c>
      <c r="Y73" s="76"/>
      <c r="Z73" t="s">
        <v>1426</v>
      </c>
      <c r="AA73" s="76" t="s">
        <v>161</v>
      </c>
      <c r="AB73" s="76">
        <v>0</v>
      </c>
      <c r="AC73" s="76">
        <v>0</v>
      </c>
      <c r="AD73" s="76">
        <v>1</v>
      </c>
      <c r="AE73" s="76">
        <v>0</v>
      </c>
      <c r="AF73" s="76">
        <v>0</v>
      </c>
      <c r="AG73" s="76">
        <v>1</v>
      </c>
      <c r="AH73" s="76">
        <v>4</v>
      </c>
      <c r="AI73" s="76">
        <v>0</v>
      </c>
      <c r="AJ73" s="76">
        <v>0</v>
      </c>
      <c r="AK73" s="76">
        <v>0</v>
      </c>
      <c r="AL73" s="76">
        <v>0</v>
      </c>
      <c r="AM73" s="76">
        <v>0</v>
      </c>
      <c r="AN73" s="76">
        <v>45</v>
      </c>
      <c r="AO73" s="202" t="s">
        <v>161</v>
      </c>
      <c r="AP73" s="202">
        <v>1</v>
      </c>
      <c r="AQ73" s="202">
        <v>0.59</v>
      </c>
      <c r="AR73" s="202">
        <v>0.3</v>
      </c>
      <c r="AS73" s="202">
        <v>0.38500000000000001</v>
      </c>
      <c r="AT73" s="202">
        <v>0.68500000000000005</v>
      </c>
      <c r="AU73" s="202">
        <v>9.64</v>
      </c>
      <c r="AV73" s="202">
        <v>3.86</v>
      </c>
      <c r="AW73" s="202">
        <v>7.71</v>
      </c>
      <c r="AX73" s="202">
        <v>2.5</v>
      </c>
      <c r="AY73" s="202">
        <v>17.93</v>
      </c>
    </row>
    <row r="74" spans="1:51" ht="12.75" customHeight="1" x14ac:dyDescent="0.2">
      <c r="A74" s="76">
        <v>15</v>
      </c>
      <c r="B74" s="41" t="s">
        <v>1105</v>
      </c>
      <c r="C74" s="76" t="s">
        <v>161</v>
      </c>
      <c r="D74" s="76">
        <v>0</v>
      </c>
      <c r="E74" s="76">
        <v>1</v>
      </c>
      <c r="F74" s="76">
        <v>3.75</v>
      </c>
      <c r="G74" s="76">
        <v>36</v>
      </c>
      <c r="H74" s="76">
        <v>0</v>
      </c>
      <c r="I74" s="76">
        <v>0</v>
      </c>
      <c r="J74" s="76">
        <v>0</v>
      </c>
      <c r="K74" s="76">
        <v>2</v>
      </c>
      <c r="L74" s="76">
        <v>3</v>
      </c>
      <c r="M74" s="76">
        <v>36</v>
      </c>
      <c r="N74" s="76">
        <v>15</v>
      </c>
      <c r="O74" s="76">
        <v>15</v>
      </c>
      <c r="P74" s="76">
        <v>15</v>
      </c>
      <c r="Q74" s="76">
        <v>4</v>
      </c>
      <c r="R74" s="76">
        <v>14</v>
      </c>
      <c r="S74" s="76">
        <v>1</v>
      </c>
      <c r="T74" s="76">
        <v>52</v>
      </c>
      <c r="U74" s="76">
        <v>138</v>
      </c>
      <c r="V74" s="76">
        <v>36</v>
      </c>
      <c r="W74" s="76">
        <v>0.123</v>
      </c>
      <c r="X74" s="76">
        <v>0.81</v>
      </c>
      <c r="Y74" s="76"/>
      <c r="Z74" t="s">
        <v>1105</v>
      </c>
      <c r="AA74" s="76" t="s">
        <v>161</v>
      </c>
      <c r="AB74" s="76">
        <v>0</v>
      </c>
      <c r="AC74" s="76">
        <v>1</v>
      </c>
      <c r="AD74" s="76">
        <v>10</v>
      </c>
      <c r="AE74" s="76">
        <v>6</v>
      </c>
      <c r="AF74" s="76">
        <v>2</v>
      </c>
      <c r="AG74" s="76">
        <v>31</v>
      </c>
      <c r="AH74" s="76">
        <v>26</v>
      </c>
      <c r="AI74" s="76">
        <v>5</v>
      </c>
      <c r="AJ74" s="76">
        <v>0</v>
      </c>
      <c r="AK74" s="76">
        <v>1</v>
      </c>
      <c r="AL74" s="76">
        <v>1</v>
      </c>
      <c r="AM74" s="76">
        <v>0</v>
      </c>
      <c r="AN74" s="76">
        <v>623</v>
      </c>
      <c r="AO74" s="202" t="s">
        <v>161</v>
      </c>
      <c r="AP74" s="202" t="s">
        <v>243</v>
      </c>
      <c r="AQ74" s="202">
        <v>1.86</v>
      </c>
      <c r="AR74" s="202">
        <v>0.372</v>
      </c>
      <c r="AS74" s="202">
        <v>0.46200000000000002</v>
      </c>
      <c r="AT74" s="202">
        <v>0.83399999999999996</v>
      </c>
      <c r="AU74" s="202">
        <v>7</v>
      </c>
      <c r="AV74" s="202">
        <v>4</v>
      </c>
      <c r="AW74" s="202">
        <v>12</v>
      </c>
      <c r="AX74" s="202">
        <v>1.75</v>
      </c>
      <c r="AY74" s="202">
        <v>19.78</v>
      </c>
    </row>
    <row r="75" spans="1:51" ht="12.75" customHeight="1" x14ac:dyDescent="0.2">
      <c r="A75" s="76">
        <v>19</v>
      </c>
      <c r="B75" s="41" t="s">
        <v>341</v>
      </c>
      <c r="C75" s="76" t="s">
        <v>161</v>
      </c>
      <c r="D75" s="76">
        <v>2</v>
      </c>
      <c r="E75" s="76">
        <v>1</v>
      </c>
      <c r="F75" s="76">
        <v>4.0999999999999996</v>
      </c>
      <c r="G75" s="76">
        <v>68</v>
      </c>
      <c r="H75" s="76">
        <v>0</v>
      </c>
      <c r="I75" s="76">
        <v>0</v>
      </c>
      <c r="J75" s="76">
        <v>0</v>
      </c>
      <c r="K75" s="76">
        <v>0</v>
      </c>
      <c r="L75" s="76">
        <v>0</v>
      </c>
      <c r="M75" s="76">
        <v>52.2</v>
      </c>
      <c r="N75" s="76">
        <v>47</v>
      </c>
      <c r="O75" s="76">
        <v>24</v>
      </c>
      <c r="P75" s="76">
        <v>24</v>
      </c>
      <c r="Q75" s="76">
        <v>5</v>
      </c>
      <c r="R75" s="76">
        <v>23</v>
      </c>
      <c r="S75" s="76">
        <v>2</v>
      </c>
      <c r="T75" s="76">
        <v>65</v>
      </c>
      <c r="U75" s="76">
        <v>225</v>
      </c>
      <c r="V75" s="76">
        <v>52.2</v>
      </c>
      <c r="W75" s="76">
        <v>0.23400000000000001</v>
      </c>
      <c r="X75" s="76">
        <v>1.33</v>
      </c>
      <c r="Y75" s="76"/>
      <c r="Z75" t="s">
        <v>341</v>
      </c>
      <c r="AA75" s="76" t="s">
        <v>161</v>
      </c>
      <c r="AB75" s="76">
        <v>1</v>
      </c>
      <c r="AC75" s="76">
        <v>2</v>
      </c>
      <c r="AD75" s="76">
        <v>11</v>
      </c>
      <c r="AE75" s="76">
        <v>10</v>
      </c>
      <c r="AF75" s="76">
        <v>0</v>
      </c>
      <c r="AG75" s="76">
        <v>42</v>
      </c>
      <c r="AH75" s="76">
        <v>47</v>
      </c>
      <c r="AI75" s="76">
        <v>7</v>
      </c>
      <c r="AJ75" s="76">
        <v>0</v>
      </c>
      <c r="AK75" s="76">
        <v>4</v>
      </c>
      <c r="AL75" s="76">
        <v>5</v>
      </c>
      <c r="AM75" s="76">
        <v>1</v>
      </c>
      <c r="AN75" s="76">
        <v>906</v>
      </c>
      <c r="AO75" s="202" t="s">
        <v>161</v>
      </c>
      <c r="AP75" s="202">
        <v>0</v>
      </c>
      <c r="AQ75" s="202">
        <v>1.67</v>
      </c>
      <c r="AR75" s="202">
        <v>0.5</v>
      </c>
      <c r="AS75" s="202">
        <v>0.52900000000000003</v>
      </c>
      <c r="AT75" s="202">
        <v>1.0289999999999999</v>
      </c>
      <c r="AU75" s="202">
        <v>2.7</v>
      </c>
      <c r="AV75" s="202">
        <v>2.7</v>
      </c>
      <c r="AW75" s="202">
        <v>21.6</v>
      </c>
      <c r="AX75" s="202">
        <v>1</v>
      </c>
      <c r="AY75" s="202">
        <v>18.3</v>
      </c>
    </row>
    <row r="76" spans="1:51" ht="12.75" customHeight="1" x14ac:dyDescent="0.2">
      <c r="A76" s="76">
        <v>16</v>
      </c>
      <c r="B76" s="41" t="s">
        <v>494</v>
      </c>
      <c r="C76" s="76" t="s">
        <v>161</v>
      </c>
      <c r="D76" s="76">
        <v>15</v>
      </c>
      <c r="E76" s="76">
        <v>10</v>
      </c>
      <c r="F76" s="76">
        <v>3.83</v>
      </c>
      <c r="G76" s="76">
        <v>30</v>
      </c>
      <c r="H76" s="76">
        <v>30</v>
      </c>
      <c r="I76" s="76">
        <v>0</v>
      </c>
      <c r="J76" s="76">
        <v>0</v>
      </c>
      <c r="K76" s="76">
        <v>0</v>
      </c>
      <c r="L76" s="76">
        <v>0</v>
      </c>
      <c r="M76" s="76">
        <v>166.2</v>
      </c>
      <c r="N76" s="76">
        <v>148</v>
      </c>
      <c r="O76" s="76">
        <v>77</v>
      </c>
      <c r="P76" s="76">
        <v>71</v>
      </c>
      <c r="Q76" s="76">
        <v>25</v>
      </c>
      <c r="R76" s="76">
        <v>53</v>
      </c>
      <c r="S76" s="76">
        <v>0</v>
      </c>
      <c r="T76" s="76">
        <v>144</v>
      </c>
      <c r="U76" s="76">
        <v>692</v>
      </c>
      <c r="V76" s="76">
        <v>166.2</v>
      </c>
      <c r="W76" s="76">
        <v>0.23899999999999999</v>
      </c>
      <c r="X76" s="76">
        <v>1.21</v>
      </c>
      <c r="Y76" s="76"/>
      <c r="Z76" t="s">
        <v>494</v>
      </c>
      <c r="AA76" s="76" t="s">
        <v>161</v>
      </c>
      <c r="AB76" s="76">
        <v>9</v>
      </c>
      <c r="AC76" s="76">
        <v>0</v>
      </c>
      <c r="AD76" s="76">
        <v>0</v>
      </c>
      <c r="AE76" s="76">
        <v>0</v>
      </c>
      <c r="AF76" s="76">
        <v>14</v>
      </c>
      <c r="AG76" s="76">
        <v>170</v>
      </c>
      <c r="AH76" s="76">
        <v>168</v>
      </c>
      <c r="AI76" s="76">
        <v>9</v>
      </c>
      <c r="AJ76" s="76">
        <v>0</v>
      </c>
      <c r="AK76" s="76">
        <v>15</v>
      </c>
      <c r="AL76" s="76">
        <v>2</v>
      </c>
      <c r="AM76" s="76">
        <v>2</v>
      </c>
      <c r="AN76" s="76">
        <v>2623</v>
      </c>
      <c r="AO76" s="202" t="s">
        <v>161</v>
      </c>
      <c r="AP76" s="202">
        <v>0.88900000000000001</v>
      </c>
      <c r="AQ76" s="202">
        <v>0.52</v>
      </c>
      <c r="AR76" s="202">
        <v>0.3</v>
      </c>
      <c r="AS76" s="202">
        <v>0.38800000000000001</v>
      </c>
      <c r="AT76" s="202">
        <v>0.68899999999999995</v>
      </c>
      <c r="AU76" s="202">
        <v>6.33</v>
      </c>
      <c r="AV76" s="202">
        <v>2.0499999999999998</v>
      </c>
      <c r="AW76" s="202">
        <v>8.94</v>
      </c>
      <c r="AX76" s="202">
        <v>3.09</v>
      </c>
      <c r="AY76" s="202">
        <v>16.57</v>
      </c>
    </row>
    <row r="77" spans="1:51" ht="12.75" customHeight="1" x14ac:dyDescent="0.2">
      <c r="A77" s="76">
        <v>5</v>
      </c>
      <c r="B77" s="41" t="s">
        <v>753</v>
      </c>
      <c r="C77" s="76" t="s">
        <v>161</v>
      </c>
      <c r="D77" s="76">
        <v>16</v>
      </c>
      <c r="E77" s="76">
        <v>8</v>
      </c>
      <c r="F77" s="76">
        <v>2.13</v>
      </c>
      <c r="G77" s="76">
        <v>31</v>
      </c>
      <c r="H77" s="76">
        <v>30</v>
      </c>
      <c r="I77" s="76">
        <v>2</v>
      </c>
      <c r="J77" s="76">
        <v>1</v>
      </c>
      <c r="K77" s="76">
        <v>0</v>
      </c>
      <c r="L77" s="76">
        <v>0</v>
      </c>
      <c r="M77" s="76">
        <v>190</v>
      </c>
      <c r="N77" s="76">
        <v>142</v>
      </c>
      <c r="O77" s="76">
        <v>53</v>
      </c>
      <c r="P77" s="76">
        <v>45</v>
      </c>
      <c r="Q77" s="76">
        <v>15</v>
      </c>
      <c r="R77" s="76">
        <v>44</v>
      </c>
      <c r="S77" s="76">
        <v>3</v>
      </c>
      <c r="T77" s="76">
        <v>170</v>
      </c>
      <c r="U77" s="76">
        <v>745</v>
      </c>
      <c r="V77" s="76">
        <v>190</v>
      </c>
      <c r="W77" s="76">
        <v>0.20699999999999999</v>
      </c>
      <c r="X77" s="76">
        <v>0.98</v>
      </c>
      <c r="Y77" s="76"/>
      <c r="Z77" t="s">
        <v>753</v>
      </c>
      <c r="AA77" s="76" t="s">
        <v>161</v>
      </c>
      <c r="AB77" s="76">
        <v>8</v>
      </c>
      <c r="AC77" s="76">
        <v>3</v>
      </c>
      <c r="AD77" s="76">
        <v>0</v>
      </c>
      <c r="AE77" s="76">
        <v>0</v>
      </c>
      <c r="AF77" s="76">
        <v>12</v>
      </c>
      <c r="AG77" s="76">
        <v>215</v>
      </c>
      <c r="AH77" s="76">
        <v>166</v>
      </c>
      <c r="AI77" s="76">
        <v>5</v>
      </c>
      <c r="AJ77" s="76">
        <v>0</v>
      </c>
      <c r="AK77" s="76">
        <v>13</v>
      </c>
      <c r="AL77" s="76">
        <v>4</v>
      </c>
      <c r="AM77" s="76">
        <v>3</v>
      </c>
      <c r="AN77" s="76">
        <v>2888</v>
      </c>
      <c r="AO77" s="202" t="s">
        <v>161</v>
      </c>
      <c r="AP77" s="202" t="s">
        <v>243</v>
      </c>
      <c r="AQ77" s="202" t="s">
        <v>243</v>
      </c>
      <c r="AR77" s="202">
        <v>0</v>
      </c>
      <c r="AS77" s="202">
        <v>0</v>
      </c>
      <c r="AT77" s="202">
        <v>0</v>
      </c>
      <c r="AU77" s="202">
        <v>0</v>
      </c>
      <c r="AV77" s="202">
        <v>0</v>
      </c>
      <c r="AW77" s="202">
        <v>0</v>
      </c>
      <c r="AX77" s="202" t="s">
        <v>243</v>
      </c>
      <c r="AY77" s="202">
        <v>6</v>
      </c>
    </row>
    <row r="78" spans="1:51" ht="12.75" customHeight="1" x14ac:dyDescent="0.2">
      <c r="A78" s="76">
        <v>13</v>
      </c>
      <c r="B78" s="41" t="s">
        <v>501</v>
      </c>
      <c r="C78" s="76" t="s">
        <v>161</v>
      </c>
      <c r="D78" s="76">
        <v>11</v>
      </c>
      <c r="E78" s="76">
        <v>8</v>
      </c>
      <c r="F78" s="76">
        <v>3.35</v>
      </c>
      <c r="G78" s="76">
        <v>29</v>
      </c>
      <c r="H78" s="76">
        <v>29</v>
      </c>
      <c r="I78" s="76">
        <v>0</v>
      </c>
      <c r="J78" s="76">
        <v>0</v>
      </c>
      <c r="K78" s="76">
        <v>0</v>
      </c>
      <c r="L78" s="76">
        <v>0</v>
      </c>
      <c r="M78" s="76">
        <v>188.1</v>
      </c>
      <c r="N78" s="76">
        <v>146</v>
      </c>
      <c r="O78" s="76">
        <v>74</v>
      </c>
      <c r="P78" s="76">
        <v>70</v>
      </c>
      <c r="Q78" s="76">
        <v>23</v>
      </c>
      <c r="R78" s="76">
        <v>53</v>
      </c>
      <c r="S78" s="76">
        <v>1</v>
      </c>
      <c r="T78" s="76">
        <v>180</v>
      </c>
      <c r="U78" s="76">
        <v>748</v>
      </c>
      <c r="V78" s="76">
        <v>188.1</v>
      </c>
      <c r="W78" s="76">
        <v>0.218</v>
      </c>
      <c r="X78" s="76">
        <v>1.06</v>
      </c>
      <c r="Y78" s="76"/>
      <c r="Z78" t="s">
        <v>501</v>
      </c>
      <c r="AA78" s="76" t="s">
        <v>161</v>
      </c>
      <c r="AB78" s="76">
        <v>9</v>
      </c>
      <c r="AC78" s="76">
        <v>1</v>
      </c>
      <c r="AD78" s="76">
        <v>0</v>
      </c>
      <c r="AE78" s="76">
        <v>0</v>
      </c>
      <c r="AF78" s="76">
        <v>13</v>
      </c>
      <c r="AG78" s="76">
        <v>167</v>
      </c>
      <c r="AH78" s="76">
        <v>193</v>
      </c>
      <c r="AI78" s="76">
        <v>4</v>
      </c>
      <c r="AJ78" s="76">
        <v>0</v>
      </c>
      <c r="AK78" s="76">
        <v>15</v>
      </c>
      <c r="AL78" s="76">
        <v>5</v>
      </c>
      <c r="AM78" s="76">
        <v>0</v>
      </c>
      <c r="AN78" s="76">
        <v>2853</v>
      </c>
      <c r="AO78" s="202" t="s">
        <v>161</v>
      </c>
      <c r="AP78" s="202">
        <v>0.66700000000000004</v>
      </c>
      <c r="AQ78" s="202">
        <v>0.94</v>
      </c>
      <c r="AR78" s="202">
        <v>0.32300000000000001</v>
      </c>
      <c r="AS78" s="202">
        <v>0.314</v>
      </c>
      <c r="AT78" s="202">
        <v>0.63700000000000001</v>
      </c>
      <c r="AU78" s="202">
        <v>6.68</v>
      </c>
      <c r="AV78" s="202">
        <v>3.48</v>
      </c>
      <c r="AW78" s="202">
        <v>8.7100000000000009</v>
      </c>
      <c r="AX78" s="202">
        <v>1.92</v>
      </c>
      <c r="AY78" s="202">
        <v>16.52</v>
      </c>
    </row>
    <row r="79" spans="1:51" ht="12.75" customHeight="1" x14ac:dyDescent="0.2">
      <c r="A79" s="76">
        <v>6</v>
      </c>
      <c r="B79" s="41" t="s">
        <v>503</v>
      </c>
      <c r="C79" s="76" t="s">
        <v>161</v>
      </c>
      <c r="D79" s="76">
        <v>19</v>
      </c>
      <c r="E79" s="76">
        <v>5</v>
      </c>
      <c r="F79" s="76">
        <v>2.44</v>
      </c>
      <c r="G79" s="76">
        <v>32</v>
      </c>
      <c r="H79" s="76">
        <v>32</v>
      </c>
      <c r="I79" s="76">
        <v>2</v>
      </c>
      <c r="J79" s="76">
        <v>0</v>
      </c>
      <c r="K79" s="76">
        <v>0</v>
      </c>
      <c r="L79" s="76">
        <v>0</v>
      </c>
      <c r="M79" s="76">
        <v>202.2</v>
      </c>
      <c r="N79" s="76">
        <v>154</v>
      </c>
      <c r="O79" s="76">
        <v>57</v>
      </c>
      <c r="P79" s="76">
        <v>55</v>
      </c>
      <c r="Q79" s="76">
        <v>21</v>
      </c>
      <c r="R79" s="76">
        <v>52</v>
      </c>
      <c r="S79" s="76">
        <v>0</v>
      </c>
      <c r="T79" s="76">
        <v>197</v>
      </c>
      <c r="U79" s="76">
        <v>796</v>
      </c>
      <c r="V79" s="76">
        <v>202.2</v>
      </c>
      <c r="W79" s="76">
        <v>0.21099999999999999</v>
      </c>
      <c r="X79" s="76">
        <v>1.02</v>
      </c>
      <c r="Y79" s="76"/>
      <c r="Z79" t="s">
        <v>503</v>
      </c>
      <c r="AA79" s="76" t="s">
        <v>161</v>
      </c>
      <c r="AB79" s="76">
        <v>6</v>
      </c>
      <c r="AC79" s="76">
        <v>0</v>
      </c>
      <c r="AD79" s="76">
        <v>0</v>
      </c>
      <c r="AE79" s="76">
        <v>0</v>
      </c>
      <c r="AF79" s="76">
        <v>15</v>
      </c>
      <c r="AG79" s="76">
        <v>200</v>
      </c>
      <c r="AH79" s="76">
        <v>187</v>
      </c>
      <c r="AI79" s="76">
        <v>4</v>
      </c>
      <c r="AJ79" s="76">
        <v>0</v>
      </c>
      <c r="AK79" s="76">
        <v>28</v>
      </c>
      <c r="AL79" s="76">
        <v>13</v>
      </c>
      <c r="AM79" s="76">
        <v>0</v>
      </c>
      <c r="AN79" s="76">
        <v>3161</v>
      </c>
      <c r="AO79" s="202" t="s">
        <v>161</v>
      </c>
      <c r="AP79" s="202" t="s">
        <v>243</v>
      </c>
      <c r="AQ79" s="202">
        <v>2</v>
      </c>
      <c r="AR79" s="202">
        <v>0.316</v>
      </c>
      <c r="AS79" s="202">
        <v>0.25</v>
      </c>
      <c r="AT79" s="202">
        <v>0.56599999999999995</v>
      </c>
      <c r="AU79" s="202">
        <v>7.71</v>
      </c>
      <c r="AV79" s="202">
        <v>5.79</v>
      </c>
      <c r="AW79" s="202">
        <v>5.79</v>
      </c>
      <c r="AX79" s="202">
        <v>1.33</v>
      </c>
      <c r="AY79" s="202">
        <v>15.43</v>
      </c>
    </row>
    <row r="80" spans="1:51" ht="12.75" customHeight="1" x14ac:dyDescent="0.2">
      <c r="A80" s="76">
        <v>26</v>
      </c>
      <c r="B80" t="s">
        <v>488</v>
      </c>
      <c r="C80" s="76" t="s">
        <v>161</v>
      </c>
      <c r="D80" s="76">
        <v>0</v>
      </c>
      <c r="E80" s="76">
        <v>0</v>
      </c>
      <c r="F80" s="76">
        <v>18</v>
      </c>
      <c r="G80" s="76">
        <v>1</v>
      </c>
      <c r="H80" s="76">
        <v>1</v>
      </c>
      <c r="I80" s="76">
        <v>0</v>
      </c>
      <c r="J80" s="76">
        <v>0</v>
      </c>
      <c r="K80" s="76">
        <v>0</v>
      </c>
      <c r="L80" s="76">
        <v>0</v>
      </c>
      <c r="M80" s="76">
        <v>3</v>
      </c>
      <c r="N80" s="76">
        <v>6</v>
      </c>
      <c r="O80" s="76">
        <v>6</v>
      </c>
      <c r="P80" s="76">
        <v>6</v>
      </c>
      <c r="Q80" s="76">
        <v>3</v>
      </c>
      <c r="R80" s="76">
        <v>2</v>
      </c>
      <c r="S80" s="76">
        <v>0</v>
      </c>
      <c r="T80" s="76">
        <v>2</v>
      </c>
      <c r="U80" s="76">
        <v>18</v>
      </c>
      <c r="V80" s="76">
        <v>3</v>
      </c>
      <c r="W80" s="76">
        <v>0.42899999999999999</v>
      </c>
      <c r="X80" s="76">
        <v>2.67</v>
      </c>
      <c r="Y80" s="76"/>
      <c r="Z80" t="s">
        <v>488</v>
      </c>
      <c r="AA80" s="76" t="s">
        <v>161</v>
      </c>
      <c r="AB80" s="76">
        <v>1</v>
      </c>
      <c r="AC80" s="76">
        <v>0</v>
      </c>
      <c r="AD80" s="76">
        <v>0</v>
      </c>
      <c r="AE80" s="76">
        <v>0</v>
      </c>
      <c r="AF80" s="76">
        <v>0</v>
      </c>
      <c r="AG80" s="76">
        <v>5</v>
      </c>
      <c r="AH80" s="76">
        <v>2</v>
      </c>
      <c r="AI80" s="76">
        <v>1</v>
      </c>
      <c r="AJ80" s="76">
        <v>0</v>
      </c>
      <c r="AK80" s="76">
        <v>0</v>
      </c>
      <c r="AL80" s="76">
        <v>0</v>
      </c>
      <c r="AM80" s="76">
        <v>0</v>
      </c>
      <c r="AN80" s="76">
        <v>57</v>
      </c>
      <c r="AO80" s="202" t="s">
        <v>161</v>
      </c>
      <c r="AP80" s="202">
        <v>1</v>
      </c>
      <c r="AQ80" s="202">
        <v>0.71</v>
      </c>
      <c r="AR80" s="202">
        <v>0.36</v>
      </c>
      <c r="AS80" s="202">
        <v>0.70799999999999996</v>
      </c>
      <c r="AT80" s="202">
        <v>1.0680000000000001</v>
      </c>
      <c r="AU80" s="202">
        <v>6.35</v>
      </c>
      <c r="AV80" s="202">
        <v>1.59</v>
      </c>
      <c r="AW80" s="202">
        <v>12.71</v>
      </c>
      <c r="AX80" s="202">
        <v>4</v>
      </c>
      <c r="AY80" s="202">
        <v>18.88</v>
      </c>
    </row>
    <row r="81" spans="1:51" ht="12.75" customHeight="1" x14ac:dyDescent="0.2">
      <c r="A81" s="76">
        <v>24</v>
      </c>
      <c r="B81" t="s">
        <v>1428</v>
      </c>
      <c r="C81" s="76" t="s">
        <v>161</v>
      </c>
      <c r="D81" s="76">
        <v>0</v>
      </c>
      <c r="E81" s="76">
        <v>0</v>
      </c>
      <c r="F81" s="76">
        <v>6.75</v>
      </c>
      <c r="G81" s="76">
        <v>1</v>
      </c>
      <c r="H81" s="76">
        <v>0</v>
      </c>
      <c r="I81" s="76">
        <v>0</v>
      </c>
      <c r="J81" s="76">
        <v>0</v>
      </c>
      <c r="K81" s="76">
        <v>0</v>
      </c>
      <c r="L81" s="76">
        <v>0</v>
      </c>
      <c r="M81" s="76">
        <v>1.1000000000000001</v>
      </c>
      <c r="N81" s="76">
        <v>4</v>
      </c>
      <c r="O81" s="76">
        <v>1</v>
      </c>
      <c r="P81" s="76">
        <v>1</v>
      </c>
      <c r="Q81" s="76">
        <v>0</v>
      </c>
      <c r="R81" s="76">
        <v>0</v>
      </c>
      <c r="S81" s="76">
        <v>0</v>
      </c>
      <c r="T81" s="76">
        <v>0</v>
      </c>
      <c r="U81" s="76">
        <v>9</v>
      </c>
      <c r="V81" s="76">
        <v>1.1000000000000001</v>
      </c>
      <c r="W81" s="76">
        <v>0.5</v>
      </c>
      <c r="X81" s="76">
        <v>3</v>
      </c>
      <c r="Y81" s="76"/>
      <c r="Z81" t="s">
        <v>1428</v>
      </c>
      <c r="AA81" s="76" t="s">
        <v>161</v>
      </c>
      <c r="AB81" s="76">
        <v>1</v>
      </c>
      <c r="AC81" s="76">
        <v>0</v>
      </c>
      <c r="AD81" s="76">
        <v>1</v>
      </c>
      <c r="AE81" s="76">
        <v>0</v>
      </c>
      <c r="AF81" s="76">
        <v>0</v>
      </c>
      <c r="AG81" s="76">
        <v>2</v>
      </c>
      <c r="AH81" s="76">
        <v>2</v>
      </c>
      <c r="AI81" s="76">
        <v>0</v>
      </c>
      <c r="AJ81" s="76">
        <v>0</v>
      </c>
      <c r="AK81" s="76">
        <v>0</v>
      </c>
      <c r="AL81" s="76">
        <v>0</v>
      </c>
      <c r="AM81" s="76">
        <v>0</v>
      </c>
      <c r="AN81" s="76">
        <v>31</v>
      </c>
      <c r="AO81" s="202" t="s">
        <v>161</v>
      </c>
      <c r="AP81" s="202">
        <v>0</v>
      </c>
      <c r="AQ81" s="202">
        <v>1.08</v>
      </c>
      <c r="AR81" s="202">
        <v>0.34699999999999998</v>
      </c>
      <c r="AS81" s="202">
        <v>0.48899999999999999</v>
      </c>
      <c r="AT81" s="202">
        <v>0.83599999999999997</v>
      </c>
      <c r="AU81" s="202">
        <v>5.29</v>
      </c>
      <c r="AV81" s="202">
        <v>2.38</v>
      </c>
      <c r="AW81" s="202">
        <v>11.12</v>
      </c>
      <c r="AX81" s="202">
        <v>2.2200000000000002</v>
      </c>
      <c r="AY81" s="202">
        <v>16.38</v>
      </c>
    </row>
    <row r="82" spans="1:51" ht="12.75" customHeight="1" x14ac:dyDescent="0.2">
      <c r="A82" s="76">
        <v>9</v>
      </c>
      <c r="B82" s="41" t="s">
        <v>1206</v>
      </c>
      <c r="C82" s="76" t="s">
        <v>161</v>
      </c>
      <c r="D82" s="76">
        <v>1</v>
      </c>
      <c r="E82" s="76">
        <v>1</v>
      </c>
      <c r="F82" s="76">
        <v>2.82</v>
      </c>
      <c r="G82" s="76">
        <v>17</v>
      </c>
      <c r="H82" s="76">
        <v>5</v>
      </c>
      <c r="I82" s="76">
        <v>0</v>
      </c>
      <c r="J82" s="76">
        <v>0</v>
      </c>
      <c r="K82" s="76">
        <v>0</v>
      </c>
      <c r="L82" s="76">
        <v>0</v>
      </c>
      <c r="M82" s="76">
        <v>38.1</v>
      </c>
      <c r="N82" s="76">
        <v>30</v>
      </c>
      <c r="O82" s="76">
        <v>15</v>
      </c>
      <c r="P82" s="76">
        <v>12</v>
      </c>
      <c r="Q82" s="76">
        <v>5</v>
      </c>
      <c r="R82" s="76">
        <v>20</v>
      </c>
      <c r="S82" s="76">
        <v>0</v>
      </c>
      <c r="T82" s="76">
        <v>38</v>
      </c>
      <c r="U82" s="76">
        <v>164</v>
      </c>
      <c r="V82" s="76">
        <v>38.1</v>
      </c>
      <c r="W82" s="76">
        <v>0.217</v>
      </c>
      <c r="X82" s="76">
        <v>1.3</v>
      </c>
      <c r="Y82" s="76"/>
      <c r="Z82" t="s">
        <v>1206</v>
      </c>
      <c r="AA82" s="76" t="s">
        <v>161</v>
      </c>
      <c r="AB82" s="76">
        <v>4</v>
      </c>
      <c r="AC82" s="76">
        <v>0</v>
      </c>
      <c r="AD82" s="76">
        <v>5</v>
      </c>
      <c r="AE82" s="76">
        <v>2</v>
      </c>
      <c r="AF82" s="76">
        <v>5</v>
      </c>
      <c r="AG82" s="76">
        <v>53</v>
      </c>
      <c r="AH82" s="76">
        <v>19</v>
      </c>
      <c r="AI82" s="76">
        <v>5</v>
      </c>
      <c r="AJ82" s="76">
        <v>0</v>
      </c>
      <c r="AK82" s="76">
        <v>1</v>
      </c>
      <c r="AL82" s="76">
        <v>0</v>
      </c>
      <c r="AM82" s="76">
        <v>0</v>
      </c>
      <c r="AN82" s="76">
        <v>625</v>
      </c>
      <c r="AO82" s="202" t="s">
        <v>161</v>
      </c>
      <c r="AP82" s="202">
        <v>0.58799999999999997</v>
      </c>
      <c r="AQ82" s="202">
        <v>0.9</v>
      </c>
      <c r="AR82" s="202">
        <v>0.28899999999999998</v>
      </c>
      <c r="AS82" s="202">
        <v>0.42499999999999999</v>
      </c>
      <c r="AT82" s="202">
        <v>0.71399999999999997</v>
      </c>
      <c r="AU82" s="202">
        <v>9.07</v>
      </c>
      <c r="AV82" s="202">
        <v>2.11</v>
      </c>
      <c r="AW82" s="202">
        <v>8.33</v>
      </c>
      <c r="AX82" s="202">
        <v>4.3</v>
      </c>
      <c r="AY82" s="202">
        <v>16.12</v>
      </c>
    </row>
    <row r="83" spans="1:51" ht="12.75" customHeight="1" x14ac:dyDescent="0.2">
      <c r="A83" s="76">
        <v>1</v>
      </c>
      <c r="B83" t="s">
        <v>638</v>
      </c>
      <c r="C83" s="76" t="s">
        <v>161</v>
      </c>
      <c r="D83" s="76">
        <v>1</v>
      </c>
      <c r="E83" s="76">
        <v>0</v>
      </c>
      <c r="F83" s="76">
        <v>0</v>
      </c>
      <c r="G83" s="76">
        <v>3</v>
      </c>
      <c r="H83" s="76">
        <v>0</v>
      </c>
      <c r="I83" s="76">
        <v>0</v>
      </c>
      <c r="J83" s="76">
        <v>0</v>
      </c>
      <c r="K83" s="76">
        <v>0</v>
      </c>
      <c r="L83" s="76">
        <v>0</v>
      </c>
      <c r="M83" s="76">
        <v>2</v>
      </c>
      <c r="N83" s="76">
        <v>2</v>
      </c>
      <c r="O83" s="76">
        <v>0</v>
      </c>
      <c r="P83" s="76">
        <v>0</v>
      </c>
      <c r="Q83" s="76">
        <v>0</v>
      </c>
      <c r="R83" s="76">
        <v>2</v>
      </c>
      <c r="S83" s="76">
        <v>0</v>
      </c>
      <c r="T83" s="76">
        <v>4</v>
      </c>
      <c r="U83" s="76">
        <v>10</v>
      </c>
      <c r="V83" s="76">
        <v>2</v>
      </c>
      <c r="W83" s="76">
        <v>0.25</v>
      </c>
      <c r="X83" s="76">
        <v>2</v>
      </c>
      <c r="Y83" s="76"/>
      <c r="Z83" t="s">
        <v>638</v>
      </c>
      <c r="AA83" s="76" t="s">
        <v>161</v>
      </c>
      <c r="AB83" s="76">
        <v>0</v>
      </c>
      <c r="AC83" s="76">
        <v>0</v>
      </c>
      <c r="AD83" s="76">
        <v>0</v>
      </c>
      <c r="AE83" s="76">
        <v>0</v>
      </c>
      <c r="AF83" s="76">
        <v>0</v>
      </c>
      <c r="AG83" s="76">
        <v>0</v>
      </c>
      <c r="AH83" s="76">
        <v>2</v>
      </c>
      <c r="AI83" s="76">
        <v>0</v>
      </c>
      <c r="AJ83" s="76">
        <v>0</v>
      </c>
      <c r="AK83" s="76">
        <v>1</v>
      </c>
      <c r="AL83" s="76">
        <v>0</v>
      </c>
      <c r="AM83" s="76">
        <v>0</v>
      </c>
      <c r="AN83" s="76">
        <v>55</v>
      </c>
      <c r="AO83" s="202" t="s">
        <v>161</v>
      </c>
      <c r="AP83" s="202">
        <v>0.78600000000000003</v>
      </c>
      <c r="AQ83" s="202">
        <v>1.76</v>
      </c>
      <c r="AR83" s="202">
        <v>0.23599999999999999</v>
      </c>
      <c r="AS83" s="202">
        <v>0.27100000000000002</v>
      </c>
      <c r="AT83" s="202">
        <v>0.50700000000000001</v>
      </c>
      <c r="AU83" s="202">
        <v>9.2799999999999994</v>
      </c>
      <c r="AV83" s="202">
        <v>1.89</v>
      </c>
      <c r="AW83" s="202">
        <v>5.9</v>
      </c>
      <c r="AX83" s="202">
        <v>4.92</v>
      </c>
      <c r="AY83" s="202">
        <v>15.01</v>
      </c>
    </row>
    <row r="84" spans="1:51" ht="12.75" customHeight="1" x14ac:dyDescent="0.2">
      <c r="A84" s="76">
        <v>21</v>
      </c>
      <c r="B84" s="41" t="s">
        <v>823</v>
      </c>
      <c r="C84" s="76" t="s">
        <v>161</v>
      </c>
      <c r="D84" s="76">
        <v>1</v>
      </c>
      <c r="E84" s="76">
        <v>1</v>
      </c>
      <c r="F84" s="76">
        <v>5.48</v>
      </c>
      <c r="G84" s="76">
        <v>16</v>
      </c>
      <c r="H84" s="76">
        <v>0</v>
      </c>
      <c r="I84" s="76">
        <v>0</v>
      </c>
      <c r="J84" s="76">
        <v>0</v>
      </c>
      <c r="K84" s="76">
        <v>0</v>
      </c>
      <c r="L84" s="76">
        <v>0</v>
      </c>
      <c r="M84" s="76">
        <v>21.1</v>
      </c>
      <c r="N84" s="76">
        <v>20</v>
      </c>
      <c r="O84" s="76">
        <v>16</v>
      </c>
      <c r="P84" s="76">
        <v>13</v>
      </c>
      <c r="Q84" s="76">
        <v>3</v>
      </c>
      <c r="R84" s="76">
        <v>14</v>
      </c>
      <c r="S84" s="76">
        <v>0</v>
      </c>
      <c r="T84" s="76">
        <v>22</v>
      </c>
      <c r="U84" s="76">
        <v>101</v>
      </c>
      <c r="V84" s="76">
        <v>21.1</v>
      </c>
      <c r="W84" s="76">
        <v>0.23300000000000001</v>
      </c>
      <c r="X84" s="76">
        <v>1.59</v>
      </c>
      <c r="Y84" s="76"/>
      <c r="Z84" t="s">
        <v>823</v>
      </c>
      <c r="AA84" s="76" t="s">
        <v>161</v>
      </c>
      <c r="AB84" s="76">
        <v>1</v>
      </c>
      <c r="AC84" s="76">
        <v>0</v>
      </c>
      <c r="AD84" s="76">
        <v>7</v>
      </c>
      <c r="AE84" s="76">
        <v>1</v>
      </c>
      <c r="AF84" s="76">
        <v>0</v>
      </c>
      <c r="AG84" s="76">
        <v>19</v>
      </c>
      <c r="AH84" s="76">
        <v>25</v>
      </c>
      <c r="AI84" s="76">
        <v>0</v>
      </c>
      <c r="AJ84" s="76">
        <v>0</v>
      </c>
      <c r="AK84" s="76">
        <v>2</v>
      </c>
      <c r="AL84" s="76">
        <v>1</v>
      </c>
      <c r="AM84" s="76">
        <v>0</v>
      </c>
      <c r="AN84" s="76">
        <v>391</v>
      </c>
      <c r="AO84" s="202" t="s">
        <v>161</v>
      </c>
      <c r="AP84" s="202">
        <v>0.6</v>
      </c>
      <c r="AQ84" s="202">
        <v>1.36</v>
      </c>
      <c r="AR84" s="202">
        <v>0.26300000000000001</v>
      </c>
      <c r="AS84" s="202">
        <v>0.30499999999999999</v>
      </c>
      <c r="AT84" s="202">
        <v>0.56799999999999995</v>
      </c>
      <c r="AU84" s="202">
        <v>8.8699999999999992</v>
      </c>
      <c r="AV84" s="202">
        <v>1.93</v>
      </c>
      <c r="AW84" s="202">
        <v>7.07</v>
      </c>
      <c r="AX84" s="202">
        <v>4.5999999999999996</v>
      </c>
      <c r="AY84" s="202">
        <v>15.41</v>
      </c>
    </row>
    <row r="85" spans="1:51" ht="12.75" customHeight="1" x14ac:dyDescent="0.2">
      <c r="A85" s="76">
        <v>18</v>
      </c>
      <c r="B85" t="s">
        <v>1427</v>
      </c>
      <c r="C85" s="76" t="s">
        <v>161</v>
      </c>
      <c r="D85" s="76">
        <v>0</v>
      </c>
      <c r="E85" s="76">
        <v>0</v>
      </c>
      <c r="F85" s="76">
        <v>4</v>
      </c>
      <c r="G85" s="76">
        <v>11</v>
      </c>
      <c r="H85" s="76">
        <v>0</v>
      </c>
      <c r="I85" s="76">
        <v>0</v>
      </c>
      <c r="J85" s="76">
        <v>0</v>
      </c>
      <c r="K85" s="76">
        <v>1</v>
      </c>
      <c r="L85" s="76">
        <v>1</v>
      </c>
      <c r="M85" s="76">
        <v>9</v>
      </c>
      <c r="N85" s="76">
        <v>5</v>
      </c>
      <c r="O85" s="76">
        <v>4</v>
      </c>
      <c r="P85" s="76">
        <v>4</v>
      </c>
      <c r="Q85" s="76">
        <v>1</v>
      </c>
      <c r="R85" s="76">
        <v>3</v>
      </c>
      <c r="S85" s="76">
        <v>1</v>
      </c>
      <c r="T85" s="76">
        <v>13</v>
      </c>
      <c r="U85" s="76">
        <v>35</v>
      </c>
      <c r="V85" s="76">
        <v>9</v>
      </c>
      <c r="W85" s="76">
        <v>0.156</v>
      </c>
      <c r="X85" s="76">
        <v>0.89</v>
      </c>
      <c r="Y85" s="76"/>
      <c r="Z85" t="s">
        <v>1427</v>
      </c>
      <c r="AA85" s="76" t="s">
        <v>161</v>
      </c>
      <c r="AB85" s="76">
        <v>0</v>
      </c>
      <c r="AC85" s="76">
        <v>1</v>
      </c>
      <c r="AD85" s="76">
        <v>2</v>
      </c>
      <c r="AE85" s="76">
        <v>2</v>
      </c>
      <c r="AF85" s="76">
        <v>0</v>
      </c>
      <c r="AG85" s="76">
        <v>5</v>
      </c>
      <c r="AH85" s="76">
        <v>9</v>
      </c>
      <c r="AI85" s="76">
        <v>1</v>
      </c>
      <c r="AJ85" s="76">
        <v>0</v>
      </c>
      <c r="AK85" s="76">
        <v>0</v>
      </c>
      <c r="AL85" s="76">
        <v>0</v>
      </c>
      <c r="AM85" s="76">
        <v>0</v>
      </c>
      <c r="AN85" s="76">
        <v>133</v>
      </c>
      <c r="AO85" s="202" t="s">
        <v>161</v>
      </c>
      <c r="AP85" s="202">
        <v>0.66700000000000004</v>
      </c>
      <c r="AQ85" s="202">
        <v>2.59</v>
      </c>
      <c r="AR85" s="202">
        <v>0.30399999999999999</v>
      </c>
      <c r="AS85" s="202">
        <v>0.41</v>
      </c>
      <c r="AT85" s="202">
        <v>0.71399999999999997</v>
      </c>
      <c r="AU85" s="202">
        <v>4.68</v>
      </c>
      <c r="AV85" s="202">
        <v>1.49</v>
      </c>
      <c r="AW85" s="202">
        <v>9.99</v>
      </c>
      <c r="AX85" s="202">
        <v>3.14</v>
      </c>
      <c r="AY85" s="202">
        <v>14.53</v>
      </c>
    </row>
    <row r="86" spans="1:51" ht="12.75" customHeight="1" x14ac:dyDescent="0.2">
      <c r="A86" s="76">
        <v>25</v>
      </c>
      <c r="B86" t="s">
        <v>630</v>
      </c>
      <c r="C86" s="76" t="s">
        <v>161</v>
      </c>
      <c r="D86" s="76">
        <v>0</v>
      </c>
      <c r="E86" s="76">
        <v>1</v>
      </c>
      <c r="F86" s="76">
        <v>9</v>
      </c>
      <c r="G86" s="76">
        <v>5</v>
      </c>
      <c r="H86" s="76">
        <v>0</v>
      </c>
      <c r="I86" s="76">
        <v>0</v>
      </c>
      <c r="J86" s="76">
        <v>0</v>
      </c>
      <c r="K86" s="76">
        <v>0</v>
      </c>
      <c r="L86" s="76">
        <v>0</v>
      </c>
      <c r="M86" s="76">
        <v>4</v>
      </c>
      <c r="N86" s="76">
        <v>6</v>
      </c>
      <c r="O86" s="76">
        <v>5</v>
      </c>
      <c r="P86" s="76">
        <v>4</v>
      </c>
      <c r="Q86" s="76">
        <v>2</v>
      </c>
      <c r="R86" s="76">
        <v>1</v>
      </c>
      <c r="S86" s="76">
        <v>0</v>
      </c>
      <c r="T86" s="76">
        <v>5</v>
      </c>
      <c r="U86" s="76">
        <v>19</v>
      </c>
      <c r="V86" s="76">
        <v>4</v>
      </c>
      <c r="W86" s="76">
        <v>0.35299999999999998</v>
      </c>
      <c r="X86" s="76">
        <v>1.75</v>
      </c>
      <c r="Y86" s="76"/>
      <c r="Z86" t="s">
        <v>630</v>
      </c>
      <c r="AA86" s="76" t="s">
        <v>161</v>
      </c>
      <c r="AB86" s="76">
        <v>1</v>
      </c>
      <c r="AC86" s="76">
        <v>0</v>
      </c>
      <c r="AD86" s="76">
        <v>0</v>
      </c>
      <c r="AE86" s="76">
        <v>0</v>
      </c>
      <c r="AF86" s="76">
        <v>0</v>
      </c>
      <c r="AG86" s="76">
        <v>2</v>
      </c>
      <c r="AH86" s="76">
        <v>4</v>
      </c>
      <c r="AI86" s="76">
        <v>0</v>
      </c>
      <c r="AJ86" s="76">
        <v>0</v>
      </c>
      <c r="AK86" s="76">
        <v>0</v>
      </c>
      <c r="AL86" s="76">
        <v>0</v>
      </c>
      <c r="AM86" s="76">
        <v>0</v>
      </c>
      <c r="AN86" s="76">
        <v>89</v>
      </c>
      <c r="AO86" s="202" t="s">
        <v>161</v>
      </c>
      <c r="AP86" s="202">
        <v>0.33300000000000002</v>
      </c>
      <c r="AQ86" s="202">
        <v>4.67</v>
      </c>
      <c r="AR86" s="202">
        <v>0.4</v>
      </c>
      <c r="AS86" s="202">
        <v>0.60599999999999998</v>
      </c>
      <c r="AT86" s="202">
        <v>1.006</v>
      </c>
      <c r="AU86" s="202">
        <v>4.91</v>
      </c>
      <c r="AV86" s="202">
        <v>2.4500000000000002</v>
      </c>
      <c r="AW86" s="202">
        <v>14.73</v>
      </c>
      <c r="AX86" s="202">
        <v>2</v>
      </c>
      <c r="AY86" s="202">
        <v>19.09</v>
      </c>
    </row>
    <row r="87" spans="1:51" ht="12.75" customHeight="1" x14ac:dyDescent="0.2">
      <c r="A87" s="76">
        <v>20</v>
      </c>
      <c r="B87" t="s">
        <v>752</v>
      </c>
      <c r="C87" s="76" t="s">
        <v>161</v>
      </c>
      <c r="D87" s="76">
        <v>0</v>
      </c>
      <c r="E87" s="76">
        <v>0</v>
      </c>
      <c r="F87" s="76">
        <v>4.7</v>
      </c>
      <c r="G87" s="76">
        <v>8</v>
      </c>
      <c r="H87" s="76">
        <v>0</v>
      </c>
      <c r="I87" s="76">
        <v>0</v>
      </c>
      <c r="J87" s="76">
        <v>0</v>
      </c>
      <c r="K87" s="76">
        <v>0</v>
      </c>
      <c r="L87" s="76">
        <v>0</v>
      </c>
      <c r="M87" s="76">
        <v>7.2</v>
      </c>
      <c r="N87" s="76">
        <v>5</v>
      </c>
      <c r="O87" s="76">
        <v>4</v>
      </c>
      <c r="P87" s="76">
        <v>4</v>
      </c>
      <c r="Q87" s="76">
        <v>1</v>
      </c>
      <c r="R87" s="76">
        <v>8</v>
      </c>
      <c r="S87" s="76">
        <v>2</v>
      </c>
      <c r="T87" s="76">
        <v>10</v>
      </c>
      <c r="U87" s="76">
        <v>35</v>
      </c>
      <c r="V87" s="76">
        <v>7.2</v>
      </c>
      <c r="W87" s="76">
        <v>0.2</v>
      </c>
      <c r="X87" s="76">
        <v>1.7</v>
      </c>
      <c r="Y87" s="76"/>
      <c r="Z87" t="s">
        <v>752</v>
      </c>
      <c r="AA87" s="76" t="s">
        <v>161</v>
      </c>
      <c r="AB87" s="76">
        <v>0</v>
      </c>
      <c r="AC87" s="76">
        <v>2</v>
      </c>
      <c r="AD87" s="76">
        <v>4</v>
      </c>
      <c r="AE87" s="76">
        <v>1</v>
      </c>
      <c r="AF87" s="76">
        <v>1</v>
      </c>
      <c r="AG87" s="76">
        <v>3</v>
      </c>
      <c r="AH87" s="76">
        <v>9</v>
      </c>
      <c r="AI87" s="76">
        <v>3</v>
      </c>
      <c r="AJ87" s="76">
        <v>0</v>
      </c>
      <c r="AK87" s="76">
        <v>2</v>
      </c>
      <c r="AL87" s="76">
        <v>0</v>
      </c>
      <c r="AM87" s="76">
        <v>0</v>
      </c>
      <c r="AN87" s="76">
        <v>144</v>
      </c>
      <c r="AO87" s="202" t="s">
        <v>161</v>
      </c>
      <c r="AP87" s="202">
        <v>1</v>
      </c>
      <c r="AQ87" s="202">
        <v>2.33</v>
      </c>
      <c r="AR87" s="202">
        <v>0.3</v>
      </c>
      <c r="AS87" s="202">
        <v>0.27900000000000003</v>
      </c>
      <c r="AT87" s="202">
        <v>0.57899999999999996</v>
      </c>
      <c r="AU87" s="202">
        <v>11.25</v>
      </c>
      <c r="AV87" s="202">
        <v>3</v>
      </c>
      <c r="AW87" s="202">
        <v>6</v>
      </c>
      <c r="AX87" s="202">
        <v>3.75</v>
      </c>
      <c r="AY87" s="202">
        <v>17.420000000000002</v>
      </c>
    </row>
    <row r="88" spans="1:51" ht="12.75" customHeight="1" x14ac:dyDescent="0.2">
      <c r="A88" s="76">
        <v>23</v>
      </c>
      <c r="B88" t="s">
        <v>1104</v>
      </c>
      <c r="C88" s="76" t="s">
        <v>161</v>
      </c>
      <c r="D88" s="76">
        <v>0</v>
      </c>
      <c r="E88" s="76">
        <v>1</v>
      </c>
      <c r="F88" s="76">
        <v>6.43</v>
      </c>
      <c r="G88" s="76">
        <v>25</v>
      </c>
      <c r="H88" s="76">
        <v>0</v>
      </c>
      <c r="I88" s="76">
        <v>0</v>
      </c>
      <c r="J88" s="76">
        <v>0</v>
      </c>
      <c r="K88" s="76">
        <v>1</v>
      </c>
      <c r="L88" s="76">
        <v>1</v>
      </c>
      <c r="M88" s="76">
        <v>14</v>
      </c>
      <c r="N88" s="76">
        <v>23</v>
      </c>
      <c r="O88" s="76">
        <v>14</v>
      </c>
      <c r="P88" s="76">
        <v>10</v>
      </c>
      <c r="Q88" s="76">
        <v>0</v>
      </c>
      <c r="R88" s="76">
        <v>7</v>
      </c>
      <c r="S88" s="76">
        <v>3</v>
      </c>
      <c r="T88" s="76">
        <v>7</v>
      </c>
      <c r="U88" s="76">
        <v>72</v>
      </c>
      <c r="V88" s="76">
        <v>14</v>
      </c>
      <c r="W88" s="76">
        <v>0.377</v>
      </c>
      <c r="X88" s="76">
        <v>2.14</v>
      </c>
      <c r="Y88" s="76"/>
      <c r="Z88" t="s">
        <v>1104</v>
      </c>
      <c r="AA88" s="76" t="s">
        <v>161</v>
      </c>
      <c r="AB88" s="76">
        <v>2</v>
      </c>
      <c r="AC88" s="76">
        <v>3</v>
      </c>
      <c r="AD88" s="76">
        <v>9</v>
      </c>
      <c r="AE88" s="76">
        <v>1</v>
      </c>
      <c r="AF88" s="76">
        <v>1</v>
      </c>
      <c r="AG88" s="76">
        <v>28</v>
      </c>
      <c r="AH88" s="76">
        <v>5</v>
      </c>
      <c r="AI88" s="76">
        <v>1</v>
      </c>
      <c r="AJ88" s="76">
        <v>0</v>
      </c>
      <c r="AK88" s="76">
        <v>3</v>
      </c>
      <c r="AL88" s="76">
        <v>0</v>
      </c>
      <c r="AM88" s="76">
        <v>0</v>
      </c>
      <c r="AN88" s="76">
        <v>243</v>
      </c>
      <c r="AO88" s="202" t="s">
        <v>161</v>
      </c>
      <c r="AP88" s="202">
        <v>0.66700000000000004</v>
      </c>
      <c r="AQ88" s="202">
        <v>0.85</v>
      </c>
      <c r="AR88" s="202">
        <v>0.33600000000000002</v>
      </c>
      <c r="AS88" s="202">
        <v>0.52400000000000002</v>
      </c>
      <c r="AT88" s="202">
        <v>0.86</v>
      </c>
      <c r="AU88" s="202">
        <v>9.7899999999999991</v>
      </c>
      <c r="AV88" s="202">
        <v>4.3899999999999997</v>
      </c>
      <c r="AW88" s="202">
        <v>8.7799999999999994</v>
      </c>
      <c r="AX88" s="202">
        <v>2.23</v>
      </c>
      <c r="AY88" s="202">
        <v>19.5</v>
      </c>
    </row>
    <row r="89" spans="1:51" ht="12.75" customHeight="1" x14ac:dyDescent="0.2">
      <c r="A89" s="76">
        <v>14</v>
      </c>
      <c r="B89" s="41" t="s">
        <v>351</v>
      </c>
      <c r="C89" s="76" t="s">
        <v>161</v>
      </c>
      <c r="D89" s="76">
        <v>2</v>
      </c>
      <c r="E89" s="76">
        <v>3</v>
      </c>
      <c r="F89" s="76">
        <v>3.53</v>
      </c>
      <c r="G89" s="76">
        <v>54</v>
      </c>
      <c r="H89" s="76">
        <v>0</v>
      </c>
      <c r="I89" s="76">
        <v>0</v>
      </c>
      <c r="J89" s="76">
        <v>0</v>
      </c>
      <c r="K89" s="76">
        <v>18</v>
      </c>
      <c r="L89" s="76">
        <v>23</v>
      </c>
      <c r="M89" s="76">
        <v>51</v>
      </c>
      <c r="N89" s="76">
        <v>42</v>
      </c>
      <c r="O89" s="76">
        <v>20</v>
      </c>
      <c r="P89" s="76">
        <v>20</v>
      </c>
      <c r="Q89" s="76">
        <v>8</v>
      </c>
      <c r="R89" s="76">
        <v>8</v>
      </c>
      <c r="S89" s="76">
        <v>0</v>
      </c>
      <c r="T89" s="76">
        <v>58</v>
      </c>
      <c r="U89" s="76">
        <v>200</v>
      </c>
      <c r="V89" s="76">
        <v>51</v>
      </c>
      <c r="W89" s="76">
        <v>0.22500000000000001</v>
      </c>
      <c r="X89" s="76">
        <v>0.98</v>
      </c>
      <c r="Y89" s="76"/>
      <c r="Z89" t="s">
        <v>351</v>
      </c>
      <c r="AA89" s="76" t="s">
        <v>161</v>
      </c>
      <c r="AB89" s="76">
        <v>2</v>
      </c>
      <c r="AC89" s="76">
        <v>0</v>
      </c>
      <c r="AD89" s="76">
        <v>35</v>
      </c>
      <c r="AE89" s="76">
        <v>7</v>
      </c>
      <c r="AF89" s="76">
        <v>4</v>
      </c>
      <c r="AG89" s="76">
        <v>47</v>
      </c>
      <c r="AH89" s="76">
        <v>43</v>
      </c>
      <c r="AI89" s="76">
        <v>3</v>
      </c>
      <c r="AJ89" s="76">
        <v>0</v>
      </c>
      <c r="AK89" s="76">
        <v>5</v>
      </c>
      <c r="AL89" s="76">
        <v>0</v>
      </c>
      <c r="AM89" s="76">
        <v>1</v>
      </c>
      <c r="AN89" s="76">
        <v>785</v>
      </c>
      <c r="AO89" s="202" t="s">
        <v>161</v>
      </c>
      <c r="AP89" s="202">
        <v>0.47799999999999998</v>
      </c>
      <c r="AQ89" s="202">
        <v>1.29</v>
      </c>
      <c r="AR89" s="202">
        <v>0.28799999999999998</v>
      </c>
      <c r="AS89" s="202">
        <v>0.373</v>
      </c>
      <c r="AT89" s="202">
        <v>0.66100000000000003</v>
      </c>
      <c r="AU89" s="202">
        <v>9.09</v>
      </c>
      <c r="AV89" s="202">
        <v>2.06</v>
      </c>
      <c r="AW89" s="202">
        <v>8.0299999999999994</v>
      </c>
      <c r="AX89" s="202">
        <v>4.4000000000000004</v>
      </c>
      <c r="AY89" s="202">
        <v>15.54</v>
      </c>
    </row>
    <row r="90" spans="1:51" ht="12.75" customHeight="1" x14ac:dyDescent="0.2">
      <c r="A90" s="76">
        <v>7</v>
      </c>
      <c r="B90" s="41" t="s">
        <v>521</v>
      </c>
      <c r="C90" s="76" t="s">
        <v>161</v>
      </c>
      <c r="D90" s="76">
        <v>1</v>
      </c>
      <c r="E90" s="76">
        <v>1</v>
      </c>
      <c r="F90" s="76">
        <v>2.5099999999999998</v>
      </c>
      <c r="G90" s="76">
        <v>16</v>
      </c>
      <c r="H90" s="76">
        <v>0</v>
      </c>
      <c r="I90" s="76">
        <v>0</v>
      </c>
      <c r="J90" s="76">
        <v>0</v>
      </c>
      <c r="K90" s="76">
        <v>0</v>
      </c>
      <c r="L90" s="76">
        <v>0</v>
      </c>
      <c r="M90" s="76">
        <v>14.1</v>
      </c>
      <c r="N90" s="76">
        <v>11</v>
      </c>
      <c r="O90" s="76">
        <v>4</v>
      </c>
      <c r="P90" s="76">
        <v>4</v>
      </c>
      <c r="Q90" s="76">
        <v>4</v>
      </c>
      <c r="R90" s="76">
        <v>5</v>
      </c>
      <c r="S90" s="76">
        <v>0</v>
      </c>
      <c r="T90" s="76">
        <v>15</v>
      </c>
      <c r="U90" s="76">
        <v>57</v>
      </c>
      <c r="V90" s="76">
        <v>14.1</v>
      </c>
      <c r="W90" s="76">
        <v>0.216</v>
      </c>
      <c r="X90" s="76">
        <v>1.1200000000000001</v>
      </c>
      <c r="Y90" s="76"/>
      <c r="Z90" t="s">
        <v>521</v>
      </c>
      <c r="AA90" s="76" t="s">
        <v>161</v>
      </c>
      <c r="AB90" s="76">
        <v>1</v>
      </c>
      <c r="AC90" s="76">
        <v>0</v>
      </c>
      <c r="AD90" s="76">
        <v>3</v>
      </c>
      <c r="AE90" s="76">
        <v>1</v>
      </c>
      <c r="AF90" s="76">
        <v>0</v>
      </c>
      <c r="AG90" s="76">
        <v>11</v>
      </c>
      <c r="AH90" s="76">
        <v>14</v>
      </c>
      <c r="AI90" s="76">
        <v>0</v>
      </c>
      <c r="AJ90" s="76">
        <v>0</v>
      </c>
      <c r="AK90" s="76">
        <v>0</v>
      </c>
      <c r="AL90" s="76">
        <v>1</v>
      </c>
      <c r="AM90" s="76">
        <v>1</v>
      </c>
      <c r="AN90" s="76">
        <v>213</v>
      </c>
      <c r="AO90" s="202" t="s">
        <v>161</v>
      </c>
      <c r="AP90" s="202" t="s">
        <v>243</v>
      </c>
      <c r="AQ90" s="202">
        <v>3</v>
      </c>
      <c r="AR90" s="202">
        <v>0.46400000000000002</v>
      </c>
      <c r="AS90" s="202">
        <v>0.60899999999999999</v>
      </c>
      <c r="AT90" s="202">
        <v>1.073</v>
      </c>
      <c r="AU90" s="202">
        <v>12</v>
      </c>
      <c r="AV90" s="202">
        <v>7.5</v>
      </c>
      <c r="AW90" s="202">
        <v>12</v>
      </c>
      <c r="AX90" s="202">
        <v>1.6</v>
      </c>
      <c r="AY90" s="202">
        <v>19.170000000000002</v>
      </c>
    </row>
    <row r="91" spans="1:51" ht="12.75" customHeight="1" x14ac:dyDescent="0.2">
      <c r="A91" s="76">
        <v>10</v>
      </c>
      <c r="B91" s="41" t="s">
        <v>342</v>
      </c>
      <c r="C91" s="76" t="s">
        <v>161</v>
      </c>
      <c r="D91" s="76">
        <v>2</v>
      </c>
      <c r="E91" s="76">
        <v>2</v>
      </c>
      <c r="F91" s="76">
        <v>2.85</v>
      </c>
      <c r="G91" s="76">
        <v>54</v>
      </c>
      <c r="H91" s="76">
        <v>0</v>
      </c>
      <c r="I91" s="76">
        <v>0</v>
      </c>
      <c r="J91" s="76">
        <v>0</v>
      </c>
      <c r="K91" s="76">
        <v>0</v>
      </c>
      <c r="L91" s="76">
        <v>4</v>
      </c>
      <c r="M91" s="76">
        <v>47.1</v>
      </c>
      <c r="N91" s="76">
        <v>27</v>
      </c>
      <c r="O91" s="76">
        <v>16</v>
      </c>
      <c r="P91" s="76">
        <v>15</v>
      </c>
      <c r="Q91" s="76">
        <v>4</v>
      </c>
      <c r="R91" s="76">
        <v>15</v>
      </c>
      <c r="S91" s="76">
        <v>1</v>
      </c>
      <c r="T91" s="76">
        <v>60</v>
      </c>
      <c r="U91" s="76">
        <v>187</v>
      </c>
      <c r="V91" s="76">
        <v>47.1</v>
      </c>
      <c r="W91" s="76">
        <v>0.16300000000000001</v>
      </c>
      <c r="X91" s="76">
        <v>0.89</v>
      </c>
      <c r="Y91" s="76"/>
      <c r="Z91" t="s">
        <v>342</v>
      </c>
      <c r="AA91" s="76" t="s">
        <v>161</v>
      </c>
      <c r="AB91" s="76">
        <v>4</v>
      </c>
      <c r="AC91" s="76">
        <v>1</v>
      </c>
      <c r="AD91" s="76">
        <v>8</v>
      </c>
      <c r="AE91" s="76">
        <v>21</v>
      </c>
      <c r="AF91" s="76">
        <v>3</v>
      </c>
      <c r="AG91" s="76">
        <v>54</v>
      </c>
      <c r="AH91" s="76">
        <v>27</v>
      </c>
      <c r="AI91" s="76">
        <v>7</v>
      </c>
      <c r="AJ91" s="76">
        <v>0</v>
      </c>
      <c r="AK91" s="76">
        <v>0</v>
      </c>
      <c r="AL91" s="76">
        <v>0</v>
      </c>
      <c r="AM91" s="76">
        <v>0</v>
      </c>
      <c r="AN91" s="76">
        <v>729</v>
      </c>
      <c r="AO91" s="202" t="s">
        <v>161</v>
      </c>
      <c r="AP91" s="202">
        <v>0.66700000000000004</v>
      </c>
      <c r="AQ91" s="202">
        <v>0.49</v>
      </c>
      <c r="AR91" s="202">
        <v>0.29799999999999999</v>
      </c>
      <c r="AS91" s="202">
        <v>0.46700000000000003</v>
      </c>
      <c r="AT91" s="202">
        <v>0.76400000000000001</v>
      </c>
      <c r="AU91" s="202">
        <v>6.79</v>
      </c>
      <c r="AV91" s="202">
        <v>2.0099999999999998</v>
      </c>
      <c r="AW91" s="202">
        <v>8.9499999999999993</v>
      </c>
      <c r="AX91" s="202">
        <v>3.38</v>
      </c>
      <c r="AY91" s="202">
        <v>15.19</v>
      </c>
    </row>
    <row r="92" spans="1:51" ht="12.75" customHeight="1" x14ac:dyDescent="0.2">
      <c r="A92" s="76">
        <v>22</v>
      </c>
      <c r="B92" t="s">
        <v>586</v>
      </c>
      <c r="C92" s="76" t="s">
        <v>161</v>
      </c>
      <c r="D92" s="76">
        <v>3</v>
      </c>
      <c r="E92" s="76">
        <v>2</v>
      </c>
      <c r="F92" s="76">
        <v>5.91</v>
      </c>
      <c r="G92" s="76">
        <v>29</v>
      </c>
      <c r="H92" s="76">
        <v>1</v>
      </c>
      <c r="I92" s="76">
        <v>0</v>
      </c>
      <c r="J92" s="76">
        <v>0</v>
      </c>
      <c r="K92" s="76">
        <v>0</v>
      </c>
      <c r="L92" s="76">
        <v>1</v>
      </c>
      <c r="M92" s="76">
        <v>35</v>
      </c>
      <c r="N92" s="76">
        <v>31</v>
      </c>
      <c r="O92" s="76">
        <v>24</v>
      </c>
      <c r="P92" s="76">
        <v>23</v>
      </c>
      <c r="Q92" s="76">
        <v>7</v>
      </c>
      <c r="R92" s="76">
        <v>19</v>
      </c>
      <c r="S92" s="76">
        <v>4</v>
      </c>
      <c r="T92" s="76">
        <v>27</v>
      </c>
      <c r="U92" s="76">
        <v>152</v>
      </c>
      <c r="V92" s="76">
        <v>35</v>
      </c>
      <c r="W92" s="76">
        <v>0.23799999999999999</v>
      </c>
      <c r="X92" s="76">
        <v>1.43</v>
      </c>
      <c r="Y92" s="76"/>
      <c r="Z92" t="s">
        <v>586</v>
      </c>
      <c r="AA92" s="76" t="s">
        <v>161</v>
      </c>
      <c r="AB92" s="76">
        <v>0</v>
      </c>
      <c r="AC92" s="76">
        <v>4</v>
      </c>
      <c r="AD92" s="76">
        <v>4</v>
      </c>
      <c r="AE92" s="76">
        <v>6</v>
      </c>
      <c r="AF92" s="76">
        <v>1</v>
      </c>
      <c r="AG92" s="76">
        <v>39</v>
      </c>
      <c r="AH92" s="76">
        <v>36</v>
      </c>
      <c r="AI92" s="76">
        <v>0</v>
      </c>
      <c r="AJ92" s="76">
        <v>0</v>
      </c>
      <c r="AK92" s="76">
        <v>4</v>
      </c>
      <c r="AL92" s="76">
        <v>1</v>
      </c>
      <c r="AM92" s="76">
        <v>0</v>
      </c>
      <c r="AN92" s="76">
        <v>665</v>
      </c>
      <c r="AO92" s="202" t="s">
        <v>161</v>
      </c>
      <c r="AP92" s="202" t="s">
        <v>243</v>
      </c>
      <c r="AQ92" s="202">
        <v>2</v>
      </c>
      <c r="AR92" s="202">
        <v>0</v>
      </c>
      <c r="AS92" s="202">
        <v>0</v>
      </c>
      <c r="AT92" s="202">
        <v>0</v>
      </c>
      <c r="AU92" s="202">
        <v>0</v>
      </c>
      <c r="AV92" s="202">
        <v>0</v>
      </c>
      <c r="AW92" s="202">
        <v>0</v>
      </c>
      <c r="AX92" s="202" t="s">
        <v>243</v>
      </c>
      <c r="AY92" s="202">
        <v>9.5</v>
      </c>
    </row>
    <row r="93" spans="1:51" ht="12.75" customHeight="1" x14ac:dyDescent="0.2">
      <c r="A93" s="76">
        <v>11</v>
      </c>
      <c r="B93" s="41" t="s">
        <v>343</v>
      </c>
      <c r="C93" s="76" t="s">
        <v>161</v>
      </c>
      <c r="D93" s="76">
        <v>4</v>
      </c>
      <c r="E93" s="76">
        <v>0</v>
      </c>
      <c r="F93" s="76">
        <v>2.95</v>
      </c>
      <c r="G93" s="76">
        <v>77</v>
      </c>
      <c r="H93" s="76">
        <v>0</v>
      </c>
      <c r="I93" s="76">
        <v>0</v>
      </c>
      <c r="J93" s="76">
        <v>0</v>
      </c>
      <c r="K93" s="76">
        <v>0</v>
      </c>
      <c r="L93" s="76">
        <v>1</v>
      </c>
      <c r="M93" s="76">
        <v>61</v>
      </c>
      <c r="N93" s="76">
        <v>45</v>
      </c>
      <c r="O93" s="76">
        <v>24</v>
      </c>
      <c r="P93" s="76">
        <v>20</v>
      </c>
      <c r="Q93" s="76">
        <v>8</v>
      </c>
      <c r="R93" s="76">
        <v>24</v>
      </c>
      <c r="S93" s="76">
        <v>2</v>
      </c>
      <c r="T93" s="76">
        <v>47</v>
      </c>
      <c r="U93" s="76">
        <v>252</v>
      </c>
      <c r="V93" s="76">
        <v>61</v>
      </c>
      <c r="W93" s="76">
        <v>0.19900000000000001</v>
      </c>
      <c r="X93" s="76">
        <v>1.1299999999999999</v>
      </c>
      <c r="Y93" s="76"/>
      <c r="Z93" t="s">
        <v>343</v>
      </c>
      <c r="AA93" s="76" t="s">
        <v>161</v>
      </c>
      <c r="AB93" s="76">
        <v>1</v>
      </c>
      <c r="AC93" s="76">
        <v>2</v>
      </c>
      <c r="AD93" s="76">
        <v>16</v>
      </c>
      <c r="AE93" s="76">
        <v>12</v>
      </c>
      <c r="AF93" s="76">
        <v>3</v>
      </c>
      <c r="AG93" s="76">
        <v>59</v>
      </c>
      <c r="AH93" s="76">
        <v>76</v>
      </c>
      <c r="AI93" s="76">
        <v>0</v>
      </c>
      <c r="AJ93" s="76">
        <v>0</v>
      </c>
      <c r="AK93" s="76">
        <v>2</v>
      </c>
      <c r="AL93" s="76">
        <v>1</v>
      </c>
      <c r="AM93" s="76">
        <v>1</v>
      </c>
      <c r="AN93" s="76">
        <v>1016</v>
      </c>
      <c r="AO93" s="202" t="s">
        <v>161</v>
      </c>
      <c r="AP93" s="202">
        <v>0.53300000000000003</v>
      </c>
      <c r="AQ93" s="202">
        <v>1.49</v>
      </c>
      <c r="AR93" s="202">
        <v>0.29599999999999999</v>
      </c>
      <c r="AS93" s="202">
        <v>0.38</v>
      </c>
      <c r="AT93" s="202">
        <v>0.67700000000000005</v>
      </c>
      <c r="AU93" s="202">
        <v>8.35</v>
      </c>
      <c r="AV93" s="202">
        <v>2.15</v>
      </c>
      <c r="AW93" s="202">
        <v>8.3000000000000007</v>
      </c>
      <c r="AX93" s="202">
        <v>3.88</v>
      </c>
      <c r="AY93" s="202">
        <v>15.52</v>
      </c>
    </row>
    <row r="94" spans="1:51" ht="12.75" customHeight="1" x14ac:dyDescent="0.2">
      <c r="A94" s="76">
        <v>3</v>
      </c>
      <c r="B94" t="s">
        <v>1425</v>
      </c>
      <c r="C94" s="76" t="s">
        <v>161</v>
      </c>
      <c r="D94" s="76">
        <v>1</v>
      </c>
      <c r="E94" s="76">
        <v>0</v>
      </c>
      <c r="F94" s="76">
        <v>1.1299999999999999</v>
      </c>
      <c r="G94" s="76">
        <v>8</v>
      </c>
      <c r="H94" s="76">
        <v>1</v>
      </c>
      <c r="I94" s="76">
        <v>0</v>
      </c>
      <c r="J94" s="76">
        <v>0</v>
      </c>
      <c r="K94" s="76">
        <v>0</v>
      </c>
      <c r="L94" s="76">
        <v>0</v>
      </c>
      <c r="M94" s="76">
        <v>16</v>
      </c>
      <c r="N94" s="76">
        <v>12</v>
      </c>
      <c r="O94" s="76">
        <v>3</v>
      </c>
      <c r="P94" s="76">
        <v>2</v>
      </c>
      <c r="Q94" s="76">
        <v>0</v>
      </c>
      <c r="R94" s="76">
        <v>5</v>
      </c>
      <c r="S94" s="76">
        <v>0</v>
      </c>
      <c r="T94" s="76">
        <v>17</v>
      </c>
      <c r="U94" s="76">
        <v>66</v>
      </c>
      <c r="V94" s="76">
        <v>16</v>
      </c>
      <c r="W94" s="76">
        <v>0.20699999999999999</v>
      </c>
      <c r="X94" s="76">
        <v>1.06</v>
      </c>
      <c r="Y94" s="76"/>
      <c r="Z94" t="s">
        <v>1425</v>
      </c>
      <c r="AA94" s="76" t="s">
        <v>161</v>
      </c>
      <c r="AB94" s="76">
        <v>1</v>
      </c>
      <c r="AC94" s="76">
        <v>0</v>
      </c>
      <c r="AD94" s="76">
        <v>1</v>
      </c>
      <c r="AE94" s="76">
        <v>0</v>
      </c>
      <c r="AF94" s="76">
        <v>1</v>
      </c>
      <c r="AG94" s="76">
        <v>17</v>
      </c>
      <c r="AH94" s="76">
        <v>14</v>
      </c>
      <c r="AI94" s="76">
        <v>0</v>
      </c>
      <c r="AJ94" s="76">
        <v>0</v>
      </c>
      <c r="AK94" s="76">
        <v>0</v>
      </c>
      <c r="AL94" s="76">
        <v>0</v>
      </c>
      <c r="AM94" s="76">
        <v>0</v>
      </c>
      <c r="AN94" s="76">
        <v>249</v>
      </c>
      <c r="AO94" s="202" t="s">
        <v>161</v>
      </c>
      <c r="AP94" s="202">
        <v>1</v>
      </c>
      <c r="AQ94" s="202">
        <v>2.86</v>
      </c>
      <c r="AR94" s="202">
        <v>0.22600000000000001</v>
      </c>
      <c r="AS94" s="202">
        <v>0.26800000000000002</v>
      </c>
      <c r="AT94" s="202">
        <v>0.49399999999999999</v>
      </c>
      <c r="AU94" s="202">
        <v>11.65</v>
      </c>
      <c r="AV94" s="202">
        <v>2.65</v>
      </c>
      <c r="AW94" s="202">
        <v>4.24</v>
      </c>
      <c r="AX94" s="202">
        <v>4.4000000000000004</v>
      </c>
      <c r="AY94" s="202">
        <v>13.59</v>
      </c>
    </row>
    <row r="95" spans="1:51" ht="12.75" customHeight="1" x14ac:dyDescent="0.2">
      <c r="A95" s="225" t="s">
        <v>105</v>
      </c>
      <c r="B95" s="225" t="s">
        <v>106</v>
      </c>
      <c r="C95" s="225" t="s">
        <v>157</v>
      </c>
      <c r="D95" s="225" t="s">
        <v>85</v>
      </c>
      <c r="E95" s="225" t="s">
        <v>86</v>
      </c>
      <c r="F95" s="225" t="s">
        <v>107</v>
      </c>
      <c r="G95" s="225" t="s">
        <v>108</v>
      </c>
      <c r="H95" s="225" t="s">
        <v>88</v>
      </c>
      <c r="I95" s="225" t="s">
        <v>89</v>
      </c>
      <c r="J95" s="225" t="s">
        <v>1073</v>
      </c>
      <c r="K95" s="225" t="s">
        <v>90</v>
      </c>
      <c r="L95" s="225" t="s">
        <v>158</v>
      </c>
      <c r="M95" s="225" t="s">
        <v>91</v>
      </c>
      <c r="N95" s="225" t="s">
        <v>92</v>
      </c>
      <c r="O95" s="225" t="s">
        <v>93</v>
      </c>
      <c r="P95" s="225" t="s">
        <v>94</v>
      </c>
      <c r="Q95" s="225" t="s">
        <v>95</v>
      </c>
      <c r="R95" s="225" t="s">
        <v>96</v>
      </c>
      <c r="S95" s="225" t="s">
        <v>98</v>
      </c>
      <c r="T95" s="225" t="s">
        <v>97</v>
      </c>
      <c r="U95" s="225" t="s">
        <v>109</v>
      </c>
      <c r="V95" s="225" t="s">
        <v>91</v>
      </c>
      <c r="W95" s="225" t="s">
        <v>1071</v>
      </c>
      <c r="X95" s="225" t="s">
        <v>1072</v>
      </c>
      <c r="Y95" s="225"/>
      <c r="Z95" s="225" t="s">
        <v>106</v>
      </c>
      <c r="AA95" s="225" t="s">
        <v>157</v>
      </c>
      <c r="AB95" s="225" t="s">
        <v>1074</v>
      </c>
      <c r="AC95" s="225" t="s">
        <v>98</v>
      </c>
      <c r="AD95" s="225" t="s">
        <v>1075</v>
      </c>
      <c r="AE95" s="225" t="s">
        <v>1076</v>
      </c>
      <c r="AF95" s="225" t="s">
        <v>1077</v>
      </c>
      <c r="AG95" s="225" t="s">
        <v>1066</v>
      </c>
      <c r="AH95" s="225" t="s">
        <v>1067</v>
      </c>
      <c r="AI95" s="225" t="s">
        <v>1078</v>
      </c>
      <c r="AJ95" s="225" t="s">
        <v>1079</v>
      </c>
      <c r="AK95" s="225" t="s">
        <v>1057</v>
      </c>
      <c r="AL95" s="225" t="s">
        <v>1058</v>
      </c>
      <c r="AM95" s="225" t="s">
        <v>1080</v>
      </c>
      <c r="AN95" s="225" t="s">
        <v>1069</v>
      </c>
      <c r="AO95" s="202" t="s">
        <v>161</v>
      </c>
      <c r="AP95" s="202">
        <v>0.25</v>
      </c>
      <c r="AQ95" s="202">
        <v>1.34</v>
      </c>
      <c r="AR95" s="202">
        <v>0.26800000000000002</v>
      </c>
      <c r="AS95" s="202">
        <v>0.27</v>
      </c>
      <c r="AT95" s="202">
        <v>0.53800000000000003</v>
      </c>
      <c r="AU95" s="202">
        <v>10.72</v>
      </c>
      <c r="AV95" s="202">
        <v>3.84</v>
      </c>
      <c r="AW95" s="202">
        <v>5.16</v>
      </c>
      <c r="AX95" s="202">
        <v>2.79</v>
      </c>
      <c r="AY95" s="202">
        <v>15.56</v>
      </c>
    </row>
    <row r="96" spans="1:51" ht="12.75" customHeight="1" x14ac:dyDescent="0.2">
      <c r="A96" s="76">
        <v>9</v>
      </c>
      <c r="B96" s="41" t="s">
        <v>1431</v>
      </c>
      <c r="C96" s="76" t="s">
        <v>162</v>
      </c>
      <c r="D96" s="76">
        <v>4</v>
      </c>
      <c r="E96" s="76">
        <v>4</v>
      </c>
      <c r="F96" s="76">
        <v>4</v>
      </c>
      <c r="G96" s="76">
        <v>13</v>
      </c>
      <c r="H96" s="76">
        <v>13</v>
      </c>
      <c r="I96" s="76">
        <v>0</v>
      </c>
      <c r="J96" s="76">
        <v>0</v>
      </c>
      <c r="K96" s="76">
        <v>0</v>
      </c>
      <c r="L96" s="76">
        <v>0</v>
      </c>
      <c r="M96" s="76">
        <v>69.2</v>
      </c>
      <c r="N96" s="76">
        <v>64</v>
      </c>
      <c r="O96" s="76">
        <v>32</v>
      </c>
      <c r="P96" s="76">
        <v>31</v>
      </c>
      <c r="Q96" s="76">
        <v>13</v>
      </c>
      <c r="R96" s="76">
        <v>20</v>
      </c>
      <c r="S96" s="76">
        <v>1</v>
      </c>
      <c r="T96" s="76">
        <v>47</v>
      </c>
      <c r="U96" s="76">
        <v>287</v>
      </c>
      <c r="V96" s="76">
        <v>69.2</v>
      </c>
      <c r="W96" s="76">
        <v>0.251</v>
      </c>
      <c r="X96" s="76">
        <v>1.21</v>
      </c>
      <c r="Y96" s="76"/>
      <c r="Z96" t="s">
        <v>1431</v>
      </c>
      <c r="AA96" s="76" t="s">
        <v>162</v>
      </c>
      <c r="AB96" s="76">
        <v>5</v>
      </c>
      <c r="AC96" s="76">
        <v>1</v>
      </c>
      <c r="AD96" s="76">
        <v>0</v>
      </c>
      <c r="AE96" s="76">
        <v>0</v>
      </c>
      <c r="AF96" s="76">
        <v>8</v>
      </c>
      <c r="AG96" s="76">
        <v>63</v>
      </c>
      <c r="AH96" s="76">
        <v>88</v>
      </c>
      <c r="AI96" s="76">
        <v>0</v>
      </c>
      <c r="AJ96" s="76">
        <v>0</v>
      </c>
      <c r="AK96" s="76">
        <v>4</v>
      </c>
      <c r="AL96" s="76">
        <v>1</v>
      </c>
      <c r="AM96" s="76">
        <v>2</v>
      </c>
      <c r="AN96" s="76">
        <v>1107</v>
      </c>
      <c r="AO96" s="202" t="s">
        <v>162</v>
      </c>
      <c r="AP96" s="202">
        <v>0.5</v>
      </c>
      <c r="AQ96" s="202">
        <v>0.59</v>
      </c>
      <c r="AR96" s="202">
        <v>0.29099999999999998</v>
      </c>
      <c r="AS96" s="202">
        <v>0.23499999999999999</v>
      </c>
      <c r="AT96" s="202">
        <v>0.52700000000000002</v>
      </c>
      <c r="AU96" s="202">
        <v>15.74</v>
      </c>
      <c r="AV96" s="202">
        <v>4.4800000000000004</v>
      </c>
      <c r="AW96" s="202">
        <v>5.83</v>
      </c>
      <c r="AX96" s="202">
        <v>3.52</v>
      </c>
      <c r="AY96" s="202">
        <v>17.62</v>
      </c>
    </row>
    <row r="97" spans="1:51" ht="12.75" customHeight="1" x14ac:dyDescent="0.2">
      <c r="A97" s="76">
        <v>19</v>
      </c>
      <c r="B97" t="s">
        <v>362</v>
      </c>
      <c r="C97" s="76" t="s">
        <v>162</v>
      </c>
      <c r="D97" s="76">
        <v>2</v>
      </c>
      <c r="E97" s="76">
        <v>3</v>
      </c>
      <c r="F97" s="76">
        <v>6.65</v>
      </c>
      <c r="G97" s="76">
        <v>6</v>
      </c>
      <c r="H97" s="76">
        <v>6</v>
      </c>
      <c r="I97" s="76">
        <v>0</v>
      </c>
      <c r="J97" s="76">
        <v>0</v>
      </c>
      <c r="K97" s="76">
        <v>0</v>
      </c>
      <c r="L97" s="76">
        <v>0</v>
      </c>
      <c r="M97" s="76">
        <v>23</v>
      </c>
      <c r="N97" s="76">
        <v>35</v>
      </c>
      <c r="O97" s="76">
        <v>19</v>
      </c>
      <c r="P97" s="76">
        <v>17</v>
      </c>
      <c r="Q97" s="76">
        <v>2</v>
      </c>
      <c r="R97" s="76">
        <v>7</v>
      </c>
      <c r="S97" s="76">
        <v>0</v>
      </c>
      <c r="T97" s="76">
        <v>27</v>
      </c>
      <c r="U97" s="76">
        <v>111</v>
      </c>
      <c r="V97" s="76">
        <v>23</v>
      </c>
      <c r="W97" s="76">
        <v>0.35</v>
      </c>
      <c r="X97" s="76">
        <v>1.83</v>
      </c>
      <c r="Y97" s="76"/>
      <c r="Z97" t="s">
        <v>362</v>
      </c>
      <c r="AA97" s="76" t="s">
        <v>162</v>
      </c>
      <c r="AB97" s="76">
        <v>2</v>
      </c>
      <c r="AC97" s="76">
        <v>0</v>
      </c>
      <c r="AD97" s="76">
        <v>0</v>
      </c>
      <c r="AE97" s="76">
        <v>0</v>
      </c>
      <c r="AF97" s="76">
        <v>1</v>
      </c>
      <c r="AG97" s="76">
        <v>19</v>
      </c>
      <c r="AH97" s="76">
        <v>21</v>
      </c>
      <c r="AI97" s="76">
        <v>1</v>
      </c>
      <c r="AJ97" s="76">
        <v>0</v>
      </c>
      <c r="AK97" s="76">
        <v>5</v>
      </c>
      <c r="AL97" s="76">
        <v>1</v>
      </c>
      <c r="AM97" s="76">
        <v>0</v>
      </c>
      <c r="AN97" s="76">
        <v>458</v>
      </c>
      <c r="AO97" s="202" t="s">
        <v>162</v>
      </c>
      <c r="AP97" s="202">
        <v>0.8</v>
      </c>
      <c r="AQ97" s="202">
        <v>0.9</v>
      </c>
      <c r="AR97" s="202">
        <v>0.29699999999999999</v>
      </c>
      <c r="AS97" s="202">
        <v>0.36599999999999999</v>
      </c>
      <c r="AT97" s="202">
        <v>0.66300000000000003</v>
      </c>
      <c r="AU97" s="202">
        <v>7.27</v>
      </c>
      <c r="AV97" s="202">
        <v>4.34</v>
      </c>
      <c r="AW97" s="202">
        <v>6.16</v>
      </c>
      <c r="AX97" s="202">
        <v>1.68</v>
      </c>
      <c r="AY97" s="202">
        <v>17.39</v>
      </c>
    </row>
    <row r="98" spans="1:51" ht="12.75" customHeight="1" x14ac:dyDescent="0.2">
      <c r="A98" s="76">
        <v>10</v>
      </c>
      <c r="B98" s="41" t="s">
        <v>359</v>
      </c>
      <c r="C98" s="76" t="s">
        <v>162</v>
      </c>
      <c r="D98" s="76">
        <v>2</v>
      </c>
      <c r="E98" s="76">
        <v>5</v>
      </c>
      <c r="F98" s="76">
        <v>4.1399999999999997</v>
      </c>
      <c r="G98" s="76">
        <v>65</v>
      </c>
      <c r="H98" s="76">
        <v>0</v>
      </c>
      <c r="I98" s="76">
        <v>0</v>
      </c>
      <c r="J98" s="76">
        <v>0</v>
      </c>
      <c r="K98" s="76">
        <v>17</v>
      </c>
      <c r="L98" s="76">
        <v>23</v>
      </c>
      <c r="M98" s="76">
        <v>63</v>
      </c>
      <c r="N98" s="76">
        <v>54</v>
      </c>
      <c r="O98" s="76">
        <v>30</v>
      </c>
      <c r="P98" s="76">
        <v>29</v>
      </c>
      <c r="Q98" s="76">
        <v>5</v>
      </c>
      <c r="R98" s="76">
        <v>37</v>
      </c>
      <c r="S98" s="76">
        <v>1</v>
      </c>
      <c r="T98" s="76">
        <v>49</v>
      </c>
      <c r="U98" s="76">
        <v>271</v>
      </c>
      <c r="V98" s="76">
        <v>63</v>
      </c>
      <c r="W98" s="76">
        <v>0.23599999999999999</v>
      </c>
      <c r="X98" s="76">
        <v>1.44</v>
      </c>
      <c r="Y98" s="76"/>
      <c r="Z98" t="s">
        <v>359</v>
      </c>
      <c r="AA98" s="76" t="s">
        <v>162</v>
      </c>
      <c r="AB98" s="76">
        <v>3</v>
      </c>
      <c r="AC98" s="76">
        <v>1</v>
      </c>
      <c r="AD98" s="76">
        <v>34</v>
      </c>
      <c r="AE98" s="76">
        <v>8</v>
      </c>
      <c r="AF98" s="76">
        <v>5</v>
      </c>
      <c r="AG98" s="76">
        <v>68</v>
      </c>
      <c r="AH98" s="76">
        <v>60</v>
      </c>
      <c r="AI98" s="76">
        <v>3</v>
      </c>
      <c r="AJ98" s="76">
        <v>1</v>
      </c>
      <c r="AK98" s="76">
        <v>0</v>
      </c>
      <c r="AL98" s="76">
        <v>5</v>
      </c>
      <c r="AM98" s="76">
        <v>4</v>
      </c>
      <c r="AN98" s="76">
        <v>1095</v>
      </c>
      <c r="AO98" s="202" t="s">
        <v>162</v>
      </c>
      <c r="AP98" s="202">
        <v>0</v>
      </c>
      <c r="AQ98" s="202">
        <v>0.9</v>
      </c>
      <c r="AR98" s="202">
        <v>0.38300000000000001</v>
      </c>
      <c r="AS98" s="202">
        <v>0.42699999999999999</v>
      </c>
      <c r="AT98" s="202">
        <v>0.81100000000000005</v>
      </c>
      <c r="AU98" s="202">
        <v>10.53</v>
      </c>
      <c r="AV98" s="202">
        <v>6.75</v>
      </c>
      <c r="AW98" s="202">
        <v>8.3699999999999992</v>
      </c>
      <c r="AX98" s="202">
        <v>1.56</v>
      </c>
      <c r="AY98" s="202">
        <v>19.98</v>
      </c>
    </row>
    <row r="99" spans="1:51" ht="12.75" customHeight="1" x14ac:dyDescent="0.2">
      <c r="A99" s="76">
        <v>22</v>
      </c>
      <c r="B99" s="41" t="s">
        <v>1200</v>
      </c>
      <c r="C99" s="76" t="s">
        <v>162</v>
      </c>
      <c r="D99" s="76">
        <v>0</v>
      </c>
      <c r="E99" s="76">
        <v>3</v>
      </c>
      <c r="F99" s="76">
        <v>7.4</v>
      </c>
      <c r="G99" s="76">
        <v>23</v>
      </c>
      <c r="H99" s="76">
        <v>0</v>
      </c>
      <c r="I99" s="76">
        <v>0</v>
      </c>
      <c r="J99" s="76">
        <v>0</v>
      </c>
      <c r="K99" s="76">
        <v>0</v>
      </c>
      <c r="L99" s="76">
        <v>1</v>
      </c>
      <c r="M99" s="76">
        <v>24.1</v>
      </c>
      <c r="N99" s="76">
        <v>32</v>
      </c>
      <c r="O99" s="76">
        <v>21</v>
      </c>
      <c r="P99" s="76">
        <v>20</v>
      </c>
      <c r="Q99" s="76">
        <v>3</v>
      </c>
      <c r="R99" s="76">
        <v>12</v>
      </c>
      <c r="S99" s="76">
        <v>2</v>
      </c>
      <c r="T99" s="76">
        <v>21</v>
      </c>
      <c r="U99" s="76">
        <v>117</v>
      </c>
      <c r="V99" s="76">
        <v>24.1</v>
      </c>
      <c r="W99" s="76">
        <v>0.32300000000000001</v>
      </c>
      <c r="X99" s="76">
        <v>1.81</v>
      </c>
      <c r="Y99" s="76"/>
      <c r="Z99" t="s">
        <v>1200</v>
      </c>
      <c r="AA99" s="76" t="s">
        <v>162</v>
      </c>
      <c r="AB99" s="76">
        <v>3</v>
      </c>
      <c r="AC99" s="76">
        <v>2</v>
      </c>
      <c r="AD99" s="76">
        <v>3</v>
      </c>
      <c r="AE99" s="76">
        <v>3</v>
      </c>
      <c r="AF99" s="76">
        <v>2</v>
      </c>
      <c r="AG99" s="76">
        <v>24</v>
      </c>
      <c r="AH99" s="76">
        <v>25</v>
      </c>
      <c r="AI99" s="76">
        <v>1</v>
      </c>
      <c r="AJ99" s="76">
        <v>0</v>
      </c>
      <c r="AK99" s="76">
        <v>3</v>
      </c>
      <c r="AL99" s="76">
        <v>0</v>
      </c>
      <c r="AM99" s="76">
        <v>0</v>
      </c>
      <c r="AN99" s="76">
        <v>431</v>
      </c>
      <c r="AO99" s="202" t="s">
        <v>162</v>
      </c>
      <c r="AP99" s="202">
        <v>0.64300000000000002</v>
      </c>
      <c r="AQ99" s="202">
        <v>1.58</v>
      </c>
      <c r="AR99" s="202">
        <v>0.28899999999999998</v>
      </c>
      <c r="AS99" s="202">
        <v>0.377</v>
      </c>
      <c r="AT99" s="202">
        <v>0.66600000000000004</v>
      </c>
      <c r="AU99" s="202">
        <v>5.93</v>
      </c>
      <c r="AV99" s="202">
        <v>2.2400000000000002</v>
      </c>
      <c r="AW99" s="202">
        <v>8.1</v>
      </c>
      <c r="AX99" s="202">
        <v>2.65</v>
      </c>
      <c r="AY99" s="202">
        <v>14.6</v>
      </c>
    </row>
    <row r="100" spans="1:51" ht="12.75" customHeight="1" x14ac:dyDescent="0.2">
      <c r="A100" s="76">
        <v>30</v>
      </c>
      <c r="B100" t="s">
        <v>1166</v>
      </c>
      <c r="C100" s="76" t="s">
        <v>162</v>
      </c>
      <c r="D100" s="76">
        <v>0</v>
      </c>
      <c r="E100" s="76">
        <v>0</v>
      </c>
      <c r="F100" s="76">
        <v>11.12</v>
      </c>
      <c r="G100" s="76">
        <v>5</v>
      </c>
      <c r="H100" s="76">
        <v>0</v>
      </c>
      <c r="I100" s="76">
        <v>0</v>
      </c>
      <c r="J100" s="76">
        <v>0</v>
      </c>
      <c r="K100" s="76">
        <v>0</v>
      </c>
      <c r="L100" s="76">
        <v>0</v>
      </c>
      <c r="M100" s="76">
        <v>5.2</v>
      </c>
      <c r="N100" s="76">
        <v>7</v>
      </c>
      <c r="O100" s="76">
        <v>7</v>
      </c>
      <c r="P100" s="76">
        <v>7</v>
      </c>
      <c r="Q100" s="76">
        <v>1</v>
      </c>
      <c r="R100" s="76">
        <v>4</v>
      </c>
      <c r="S100" s="76">
        <v>0</v>
      </c>
      <c r="T100" s="76">
        <v>2</v>
      </c>
      <c r="U100" s="76">
        <v>28</v>
      </c>
      <c r="V100" s="76">
        <v>5.2</v>
      </c>
      <c r="W100" s="76">
        <v>0.318</v>
      </c>
      <c r="X100" s="76">
        <v>1.94</v>
      </c>
      <c r="Y100" s="76"/>
      <c r="Z100" t="s">
        <v>1166</v>
      </c>
      <c r="AA100" s="76" t="s">
        <v>162</v>
      </c>
      <c r="AB100" s="76">
        <v>1</v>
      </c>
      <c r="AC100" s="76">
        <v>0</v>
      </c>
      <c r="AD100" s="76">
        <v>1</v>
      </c>
      <c r="AE100" s="76">
        <v>0</v>
      </c>
      <c r="AF100" s="76">
        <v>0</v>
      </c>
      <c r="AG100" s="76">
        <v>5</v>
      </c>
      <c r="AH100" s="76">
        <v>9</v>
      </c>
      <c r="AI100" s="76">
        <v>1</v>
      </c>
      <c r="AJ100" s="76">
        <v>0</v>
      </c>
      <c r="AK100" s="76">
        <v>1</v>
      </c>
      <c r="AL100" s="76">
        <v>1</v>
      </c>
      <c r="AM100" s="76">
        <v>0</v>
      </c>
      <c r="AN100" s="76">
        <v>110</v>
      </c>
      <c r="AO100" s="202" t="s">
        <v>162</v>
      </c>
      <c r="AP100" s="202">
        <v>0</v>
      </c>
      <c r="AQ100" s="202">
        <v>0.8</v>
      </c>
      <c r="AR100" s="202">
        <v>0.42199999999999999</v>
      </c>
      <c r="AS100" s="202">
        <v>0.504</v>
      </c>
      <c r="AT100" s="202">
        <v>0.92600000000000005</v>
      </c>
      <c r="AU100" s="202">
        <v>8.27</v>
      </c>
      <c r="AV100" s="202">
        <v>5.79</v>
      </c>
      <c r="AW100" s="202">
        <v>11.57</v>
      </c>
      <c r="AX100" s="202">
        <v>1.43</v>
      </c>
      <c r="AY100" s="202">
        <v>20.27</v>
      </c>
    </row>
    <row r="101" spans="1:51" ht="12.75" customHeight="1" x14ac:dyDescent="0.2">
      <c r="A101" s="76">
        <v>20</v>
      </c>
      <c r="B101" t="s">
        <v>619</v>
      </c>
      <c r="C101" s="76" t="s">
        <v>162</v>
      </c>
      <c r="D101" s="76">
        <v>0</v>
      </c>
      <c r="E101" s="76">
        <v>0</v>
      </c>
      <c r="F101" s="76">
        <v>6.75</v>
      </c>
      <c r="G101" s="76">
        <v>7</v>
      </c>
      <c r="H101" s="76">
        <v>0</v>
      </c>
      <c r="I101" s="76">
        <v>0</v>
      </c>
      <c r="J101" s="76">
        <v>0</v>
      </c>
      <c r="K101" s="76">
        <v>0</v>
      </c>
      <c r="L101" s="76">
        <v>0</v>
      </c>
      <c r="M101" s="76">
        <v>8</v>
      </c>
      <c r="N101" s="76">
        <v>5</v>
      </c>
      <c r="O101" s="76">
        <v>6</v>
      </c>
      <c r="P101" s="76">
        <v>6</v>
      </c>
      <c r="Q101" s="76">
        <v>1</v>
      </c>
      <c r="R101" s="76">
        <v>10</v>
      </c>
      <c r="S101" s="76">
        <v>0</v>
      </c>
      <c r="T101" s="76">
        <v>10</v>
      </c>
      <c r="U101" s="76">
        <v>40</v>
      </c>
      <c r="V101" s="76">
        <v>8</v>
      </c>
      <c r="W101" s="76">
        <v>0.17199999999999999</v>
      </c>
      <c r="X101" s="76">
        <v>1.88</v>
      </c>
      <c r="Y101" s="76"/>
      <c r="Z101" t="s">
        <v>619</v>
      </c>
      <c r="AA101" s="76" t="s">
        <v>162</v>
      </c>
      <c r="AB101" s="76">
        <v>1</v>
      </c>
      <c r="AC101" s="76">
        <v>0</v>
      </c>
      <c r="AD101" s="76">
        <v>0</v>
      </c>
      <c r="AE101" s="76">
        <v>2</v>
      </c>
      <c r="AF101" s="76">
        <v>0</v>
      </c>
      <c r="AG101" s="76">
        <v>6</v>
      </c>
      <c r="AH101" s="76">
        <v>8</v>
      </c>
      <c r="AI101" s="76">
        <v>1</v>
      </c>
      <c r="AJ101" s="76">
        <v>0</v>
      </c>
      <c r="AK101" s="76">
        <v>0</v>
      </c>
      <c r="AL101" s="76">
        <v>0</v>
      </c>
      <c r="AM101" s="76">
        <v>0</v>
      </c>
      <c r="AN101" s="76">
        <v>173</v>
      </c>
      <c r="AO101" s="202" t="s">
        <v>162</v>
      </c>
      <c r="AP101" s="202">
        <v>0.3</v>
      </c>
      <c r="AQ101" s="202">
        <v>1.3</v>
      </c>
      <c r="AR101" s="202">
        <v>0.29699999999999999</v>
      </c>
      <c r="AS101" s="202">
        <v>0.38500000000000001</v>
      </c>
      <c r="AT101" s="202">
        <v>0.68200000000000005</v>
      </c>
      <c r="AU101" s="202">
        <v>9.82</v>
      </c>
      <c r="AV101" s="202">
        <v>2.64</v>
      </c>
      <c r="AW101" s="202">
        <v>7.65</v>
      </c>
      <c r="AX101" s="202">
        <v>3.71</v>
      </c>
      <c r="AY101" s="202">
        <v>16.43</v>
      </c>
    </row>
    <row r="102" spans="1:51" ht="12.75" customHeight="1" x14ac:dyDescent="0.2">
      <c r="A102" s="76">
        <v>5</v>
      </c>
      <c r="B102" s="41" t="s">
        <v>767</v>
      </c>
      <c r="C102" s="76" t="s">
        <v>162</v>
      </c>
      <c r="D102" s="76">
        <v>9</v>
      </c>
      <c r="E102" s="76">
        <v>5</v>
      </c>
      <c r="F102" s="76">
        <v>3.28</v>
      </c>
      <c r="G102" s="76">
        <v>20</v>
      </c>
      <c r="H102" s="76">
        <v>20</v>
      </c>
      <c r="I102" s="76">
        <v>1</v>
      </c>
      <c r="J102" s="76">
        <v>1</v>
      </c>
      <c r="K102" s="76">
        <v>0</v>
      </c>
      <c r="L102" s="76">
        <v>0</v>
      </c>
      <c r="M102" s="76">
        <v>123.1</v>
      </c>
      <c r="N102" s="76">
        <v>120</v>
      </c>
      <c r="O102" s="76">
        <v>51</v>
      </c>
      <c r="P102" s="76">
        <v>45</v>
      </c>
      <c r="Q102" s="76">
        <v>16</v>
      </c>
      <c r="R102" s="76">
        <v>30</v>
      </c>
      <c r="S102" s="76">
        <v>2</v>
      </c>
      <c r="T102" s="76">
        <v>105</v>
      </c>
      <c r="U102" s="76">
        <v>507</v>
      </c>
      <c r="V102" s="76">
        <v>123.1</v>
      </c>
      <c r="W102" s="76">
        <v>0.25900000000000001</v>
      </c>
      <c r="X102" s="76">
        <v>1.22</v>
      </c>
      <c r="Y102" s="76"/>
      <c r="Z102" t="s">
        <v>767</v>
      </c>
      <c r="AA102" s="76" t="s">
        <v>162</v>
      </c>
      <c r="AB102" s="76">
        <v>4</v>
      </c>
      <c r="AC102" s="76">
        <v>2</v>
      </c>
      <c r="AD102" s="76">
        <v>0</v>
      </c>
      <c r="AE102" s="76">
        <v>0</v>
      </c>
      <c r="AF102" s="76">
        <v>12</v>
      </c>
      <c r="AG102" s="76">
        <v>122</v>
      </c>
      <c r="AH102" s="76">
        <v>126</v>
      </c>
      <c r="AI102" s="76">
        <v>6</v>
      </c>
      <c r="AJ102" s="76">
        <v>1</v>
      </c>
      <c r="AK102" s="76">
        <v>9</v>
      </c>
      <c r="AL102" s="76">
        <v>6</v>
      </c>
      <c r="AM102" s="76">
        <v>3</v>
      </c>
      <c r="AN102" s="76">
        <v>1968</v>
      </c>
      <c r="AO102" s="202" t="s">
        <v>162</v>
      </c>
      <c r="AP102" s="202">
        <v>0</v>
      </c>
      <c r="AQ102" s="202">
        <v>0.56000000000000005</v>
      </c>
      <c r="AR102" s="202">
        <v>0.32800000000000001</v>
      </c>
      <c r="AS102" s="202">
        <v>0.54</v>
      </c>
      <c r="AT102" s="202">
        <v>0.86799999999999999</v>
      </c>
      <c r="AU102" s="202">
        <v>8.76</v>
      </c>
      <c r="AV102" s="202">
        <v>5.84</v>
      </c>
      <c r="AW102" s="202">
        <v>8.0299999999999994</v>
      </c>
      <c r="AX102" s="202">
        <v>1.5</v>
      </c>
      <c r="AY102" s="202">
        <v>19.14</v>
      </c>
    </row>
    <row r="103" spans="1:51" ht="12.75" customHeight="1" x14ac:dyDescent="0.2">
      <c r="A103" s="76">
        <v>28</v>
      </c>
      <c r="B103" t="s">
        <v>1435</v>
      </c>
      <c r="C103" s="76" t="s">
        <v>162</v>
      </c>
      <c r="D103" s="76">
        <v>0</v>
      </c>
      <c r="E103" s="76">
        <v>0</v>
      </c>
      <c r="F103" s="76">
        <v>9.4499999999999993</v>
      </c>
      <c r="G103" s="76">
        <v>6</v>
      </c>
      <c r="H103" s="76">
        <v>0</v>
      </c>
      <c r="I103" s="76">
        <v>0</v>
      </c>
      <c r="J103" s="76">
        <v>0</v>
      </c>
      <c r="K103" s="76">
        <v>0</v>
      </c>
      <c r="L103" s="76">
        <v>0</v>
      </c>
      <c r="M103" s="76">
        <v>6.2</v>
      </c>
      <c r="N103" s="76">
        <v>10</v>
      </c>
      <c r="O103" s="76">
        <v>9</v>
      </c>
      <c r="P103" s="76">
        <v>7</v>
      </c>
      <c r="Q103" s="76">
        <v>2</v>
      </c>
      <c r="R103" s="76">
        <v>7</v>
      </c>
      <c r="S103" s="76">
        <v>0</v>
      </c>
      <c r="T103" s="76">
        <v>3</v>
      </c>
      <c r="U103" s="76">
        <v>36</v>
      </c>
      <c r="V103" s="76">
        <v>6.2</v>
      </c>
      <c r="W103" s="76">
        <v>0.37</v>
      </c>
      <c r="X103" s="76">
        <v>2.5499999999999998</v>
      </c>
      <c r="Y103" s="76"/>
      <c r="Z103" t="s">
        <v>1435</v>
      </c>
      <c r="AA103" s="76" t="s">
        <v>162</v>
      </c>
      <c r="AB103" s="76">
        <v>0</v>
      </c>
      <c r="AC103" s="76">
        <v>0</v>
      </c>
      <c r="AD103" s="76">
        <v>0</v>
      </c>
      <c r="AE103" s="76">
        <v>0</v>
      </c>
      <c r="AF103" s="76">
        <v>3</v>
      </c>
      <c r="AG103" s="76">
        <v>10</v>
      </c>
      <c r="AH103" s="76">
        <v>6</v>
      </c>
      <c r="AI103" s="76">
        <v>0</v>
      </c>
      <c r="AJ103" s="76">
        <v>0</v>
      </c>
      <c r="AK103" s="76">
        <v>0</v>
      </c>
      <c r="AL103" s="76">
        <v>0</v>
      </c>
      <c r="AM103" s="76">
        <v>0</v>
      </c>
      <c r="AN103" s="76">
        <v>145</v>
      </c>
      <c r="AO103" s="202" t="s">
        <v>162</v>
      </c>
      <c r="AP103" s="202">
        <v>0.33300000000000002</v>
      </c>
      <c r="AQ103" s="202">
        <v>1.1599999999999999</v>
      </c>
      <c r="AR103" s="202">
        <v>0.29499999999999998</v>
      </c>
      <c r="AS103" s="202">
        <v>0.38</v>
      </c>
      <c r="AT103" s="202">
        <v>0.67500000000000004</v>
      </c>
      <c r="AU103" s="202">
        <v>6.4</v>
      </c>
      <c r="AV103" s="202">
        <v>1.67</v>
      </c>
      <c r="AW103" s="202">
        <v>8.91</v>
      </c>
      <c r="AX103" s="202">
        <v>3.83</v>
      </c>
      <c r="AY103" s="202">
        <v>15.37</v>
      </c>
    </row>
    <row r="104" spans="1:51" ht="12.75" customHeight="1" x14ac:dyDescent="0.2">
      <c r="A104" s="76">
        <v>4</v>
      </c>
      <c r="B104" s="41" t="s">
        <v>755</v>
      </c>
      <c r="C104" s="76" t="s">
        <v>162</v>
      </c>
      <c r="D104" s="76">
        <v>1</v>
      </c>
      <c r="E104" s="76">
        <v>1</v>
      </c>
      <c r="F104" s="76">
        <v>3.14</v>
      </c>
      <c r="G104" s="76">
        <v>45</v>
      </c>
      <c r="H104" s="76">
        <v>0</v>
      </c>
      <c r="I104" s="76">
        <v>0</v>
      </c>
      <c r="J104" s="76">
        <v>0</v>
      </c>
      <c r="K104" s="76">
        <v>0</v>
      </c>
      <c r="L104" s="76">
        <v>1</v>
      </c>
      <c r="M104" s="76">
        <v>43</v>
      </c>
      <c r="N104" s="76">
        <v>36</v>
      </c>
      <c r="O104" s="76">
        <v>20</v>
      </c>
      <c r="P104" s="76">
        <v>15</v>
      </c>
      <c r="Q104" s="76">
        <v>8</v>
      </c>
      <c r="R104" s="76">
        <v>19</v>
      </c>
      <c r="S104" s="76">
        <v>1</v>
      </c>
      <c r="T104" s="76">
        <v>37</v>
      </c>
      <c r="U104" s="76">
        <v>182</v>
      </c>
      <c r="V104" s="76">
        <v>43</v>
      </c>
      <c r="W104" s="76">
        <v>0.224</v>
      </c>
      <c r="X104" s="76">
        <v>1.28</v>
      </c>
      <c r="Y104" s="76"/>
      <c r="Z104" t="s">
        <v>755</v>
      </c>
      <c r="AA104" s="76" t="s">
        <v>162</v>
      </c>
      <c r="AB104" s="76">
        <v>1</v>
      </c>
      <c r="AC104" s="76">
        <v>1</v>
      </c>
      <c r="AD104" s="76">
        <v>11</v>
      </c>
      <c r="AE104" s="76">
        <v>4</v>
      </c>
      <c r="AF104" s="76">
        <v>4</v>
      </c>
      <c r="AG104" s="76">
        <v>49</v>
      </c>
      <c r="AH104" s="76">
        <v>40</v>
      </c>
      <c r="AI104" s="76">
        <v>5</v>
      </c>
      <c r="AJ104" s="76">
        <v>0</v>
      </c>
      <c r="AK104" s="76">
        <v>5</v>
      </c>
      <c r="AL104" s="76">
        <v>1</v>
      </c>
      <c r="AM104" s="76">
        <v>1</v>
      </c>
      <c r="AN104" s="76">
        <v>767</v>
      </c>
      <c r="AO104" s="202" t="s">
        <v>162</v>
      </c>
      <c r="AP104" s="202">
        <v>0.33300000000000002</v>
      </c>
      <c r="AQ104" s="202">
        <v>2</v>
      </c>
      <c r="AR104" s="202">
        <v>0.34100000000000003</v>
      </c>
      <c r="AS104" s="202">
        <v>0.45600000000000002</v>
      </c>
      <c r="AT104" s="202">
        <v>0.79700000000000004</v>
      </c>
      <c r="AU104" s="202">
        <v>6.5</v>
      </c>
      <c r="AV104" s="202">
        <v>6</v>
      </c>
      <c r="AW104" s="202">
        <v>7.5</v>
      </c>
      <c r="AX104" s="202">
        <v>1.08</v>
      </c>
      <c r="AY104" s="202">
        <v>18.78</v>
      </c>
    </row>
    <row r="105" spans="1:51" ht="12.75" customHeight="1" x14ac:dyDescent="0.2">
      <c r="A105" s="76">
        <v>7</v>
      </c>
      <c r="B105" s="41" t="s">
        <v>806</v>
      </c>
      <c r="C105" s="76" t="s">
        <v>162</v>
      </c>
      <c r="D105" s="76">
        <v>10</v>
      </c>
      <c r="E105" s="76">
        <v>11</v>
      </c>
      <c r="F105" s="76">
        <v>3.98</v>
      </c>
      <c r="G105" s="76">
        <v>31</v>
      </c>
      <c r="H105" s="76">
        <v>31</v>
      </c>
      <c r="I105" s="76">
        <v>1</v>
      </c>
      <c r="J105" s="76">
        <v>0</v>
      </c>
      <c r="K105" s="76">
        <v>0</v>
      </c>
      <c r="L105" s="76">
        <v>0</v>
      </c>
      <c r="M105" s="76">
        <v>172</v>
      </c>
      <c r="N105" s="76">
        <v>150</v>
      </c>
      <c r="O105" s="76">
        <v>86</v>
      </c>
      <c r="P105" s="76">
        <v>76</v>
      </c>
      <c r="Q105" s="76">
        <v>29</v>
      </c>
      <c r="R105" s="76">
        <v>84</v>
      </c>
      <c r="S105" s="76">
        <v>2</v>
      </c>
      <c r="T105" s="76">
        <v>145</v>
      </c>
      <c r="U105" s="76">
        <v>734</v>
      </c>
      <c r="V105" s="76">
        <v>172</v>
      </c>
      <c r="W105" s="76">
        <v>0.23599999999999999</v>
      </c>
      <c r="X105" s="76">
        <v>1.36</v>
      </c>
      <c r="Y105" s="76"/>
      <c r="Z105" t="s">
        <v>806</v>
      </c>
      <c r="AA105" s="76" t="s">
        <v>162</v>
      </c>
      <c r="AB105" s="76">
        <v>4</v>
      </c>
      <c r="AC105" s="76">
        <v>2</v>
      </c>
      <c r="AD105" s="76">
        <v>0</v>
      </c>
      <c r="AE105" s="76">
        <v>0</v>
      </c>
      <c r="AF105" s="76">
        <v>17</v>
      </c>
      <c r="AG105" s="76">
        <v>161</v>
      </c>
      <c r="AH105" s="76">
        <v>190</v>
      </c>
      <c r="AI105" s="76">
        <v>6</v>
      </c>
      <c r="AJ105" s="76">
        <v>2</v>
      </c>
      <c r="AK105" s="76">
        <v>15</v>
      </c>
      <c r="AL105" s="76">
        <v>6</v>
      </c>
      <c r="AM105" s="76">
        <v>3</v>
      </c>
      <c r="AN105" s="76">
        <v>2884</v>
      </c>
      <c r="AO105" s="202" t="s">
        <v>162</v>
      </c>
      <c r="AP105" s="202">
        <v>0</v>
      </c>
      <c r="AQ105" s="202">
        <v>2.11</v>
      </c>
      <c r="AR105" s="202">
        <v>0.39200000000000002</v>
      </c>
      <c r="AS105" s="202">
        <v>0.61699999999999999</v>
      </c>
      <c r="AT105" s="202">
        <v>1.0089999999999999</v>
      </c>
      <c r="AU105" s="202">
        <v>2.38</v>
      </c>
      <c r="AV105" s="202">
        <v>3.18</v>
      </c>
      <c r="AW105" s="202">
        <v>12.71</v>
      </c>
      <c r="AX105" s="202">
        <v>0.75</v>
      </c>
      <c r="AY105" s="202">
        <v>15.09</v>
      </c>
    </row>
    <row r="106" spans="1:51" ht="12.75" customHeight="1" x14ac:dyDescent="0.2">
      <c r="A106" s="76">
        <v>25</v>
      </c>
      <c r="B106" t="s">
        <v>1434</v>
      </c>
      <c r="C106" s="76" t="s">
        <v>162</v>
      </c>
      <c r="D106" s="76">
        <v>0</v>
      </c>
      <c r="E106" s="76">
        <v>0</v>
      </c>
      <c r="F106" s="76">
        <v>8.3800000000000008</v>
      </c>
      <c r="G106" s="76">
        <v>6</v>
      </c>
      <c r="H106" s="76">
        <v>0</v>
      </c>
      <c r="I106" s="76">
        <v>0</v>
      </c>
      <c r="J106" s="76">
        <v>0</v>
      </c>
      <c r="K106" s="76">
        <v>0</v>
      </c>
      <c r="L106" s="76">
        <v>1</v>
      </c>
      <c r="M106" s="76">
        <v>9.1999999999999993</v>
      </c>
      <c r="N106" s="76">
        <v>15</v>
      </c>
      <c r="O106" s="76">
        <v>10</v>
      </c>
      <c r="P106" s="76">
        <v>9</v>
      </c>
      <c r="Q106" s="76">
        <v>3</v>
      </c>
      <c r="R106" s="76">
        <v>6</v>
      </c>
      <c r="S106" s="76">
        <v>1</v>
      </c>
      <c r="T106" s="76">
        <v>8</v>
      </c>
      <c r="U106" s="76">
        <v>48</v>
      </c>
      <c r="V106" s="76">
        <v>9.1999999999999993</v>
      </c>
      <c r="W106" s="76">
        <v>0.35699999999999998</v>
      </c>
      <c r="X106" s="76">
        <v>2.17</v>
      </c>
      <c r="Y106" s="76"/>
      <c r="Z106" t="s">
        <v>1434</v>
      </c>
      <c r="AA106" s="76" t="s">
        <v>162</v>
      </c>
      <c r="AB106" s="76">
        <v>0</v>
      </c>
      <c r="AC106" s="76">
        <v>1</v>
      </c>
      <c r="AD106" s="76">
        <v>1</v>
      </c>
      <c r="AE106" s="76">
        <v>0</v>
      </c>
      <c r="AF106" s="76">
        <v>2</v>
      </c>
      <c r="AG106" s="76">
        <v>11</v>
      </c>
      <c r="AH106" s="76">
        <v>8</v>
      </c>
      <c r="AI106" s="76">
        <v>0</v>
      </c>
      <c r="AJ106" s="76">
        <v>0</v>
      </c>
      <c r="AK106" s="76">
        <v>0</v>
      </c>
      <c r="AL106" s="76">
        <v>0</v>
      </c>
      <c r="AM106" s="76">
        <v>0</v>
      </c>
      <c r="AN106" s="76">
        <v>194</v>
      </c>
      <c r="AO106" s="202" t="s">
        <v>162</v>
      </c>
      <c r="AP106" s="202">
        <v>0.42899999999999999</v>
      </c>
      <c r="AQ106" s="202">
        <v>1.27</v>
      </c>
      <c r="AR106" s="202">
        <v>0.371</v>
      </c>
      <c r="AS106" s="202">
        <v>0.54600000000000004</v>
      </c>
      <c r="AT106" s="202">
        <v>0.91700000000000004</v>
      </c>
      <c r="AU106" s="202">
        <v>7.04</v>
      </c>
      <c r="AV106" s="202">
        <v>2.66</v>
      </c>
      <c r="AW106" s="202">
        <v>12.17</v>
      </c>
      <c r="AX106" s="202">
        <v>2.64</v>
      </c>
      <c r="AY106" s="202">
        <v>16.54</v>
      </c>
    </row>
    <row r="107" spans="1:51" ht="12.75" customHeight="1" x14ac:dyDescent="0.2">
      <c r="A107" s="76">
        <v>1</v>
      </c>
      <c r="B107" t="s">
        <v>1429</v>
      </c>
      <c r="C107" s="76" t="s">
        <v>162</v>
      </c>
      <c r="D107" s="76">
        <v>0</v>
      </c>
      <c r="E107" s="76">
        <v>0</v>
      </c>
      <c r="F107" s="76">
        <v>0</v>
      </c>
      <c r="G107" s="76">
        <v>1</v>
      </c>
      <c r="H107" s="76">
        <v>0</v>
      </c>
      <c r="I107" s="76">
        <v>0</v>
      </c>
      <c r="J107" s="76">
        <v>0</v>
      </c>
      <c r="K107" s="76">
        <v>0</v>
      </c>
      <c r="L107" s="76">
        <v>0</v>
      </c>
      <c r="M107" s="76">
        <v>1</v>
      </c>
      <c r="N107" s="76">
        <v>0</v>
      </c>
      <c r="O107" s="76">
        <v>0</v>
      </c>
      <c r="P107" s="76">
        <v>0</v>
      </c>
      <c r="Q107" s="76">
        <v>0</v>
      </c>
      <c r="R107" s="76">
        <v>0</v>
      </c>
      <c r="S107" s="76">
        <v>0</v>
      </c>
      <c r="T107" s="76">
        <v>0</v>
      </c>
      <c r="U107" s="76">
        <v>3</v>
      </c>
      <c r="V107" s="76">
        <v>1</v>
      </c>
      <c r="W107" s="76">
        <v>0</v>
      </c>
      <c r="X107" s="76">
        <v>0</v>
      </c>
      <c r="Y107" s="76"/>
      <c r="Z107" t="s">
        <v>1429</v>
      </c>
      <c r="AA107" s="76" t="s">
        <v>162</v>
      </c>
      <c r="AB107" s="76">
        <v>0</v>
      </c>
      <c r="AC107" s="76">
        <v>0</v>
      </c>
      <c r="AD107" s="76">
        <v>1</v>
      </c>
      <c r="AE107" s="76">
        <v>0</v>
      </c>
      <c r="AF107" s="76">
        <v>0</v>
      </c>
      <c r="AG107" s="76">
        <v>1</v>
      </c>
      <c r="AH107" s="76">
        <v>2</v>
      </c>
      <c r="AI107" s="76">
        <v>0</v>
      </c>
      <c r="AJ107" s="76">
        <v>0</v>
      </c>
      <c r="AK107" s="76">
        <v>0</v>
      </c>
      <c r="AL107" s="76">
        <v>0</v>
      </c>
      <c r="AM107" s="76">
        <v>0</v>
      </c>
      <c r="AN107" s="76">
        <v>5</v>
      </c>
      <c r="AO107" s="202" t="s">
        <v>161</v>
      </c>
      <c r="AP107" s="202">
        <v>0.5</v>
      </c>
      <c r="AQ107" s="202">
        <v>1.03</v>
      </c>
      <c r="AR107" s="202">
        <v>0.311</v>
      </c>
      <c r="AS107" s="202">
        <v>0.45900000000000002</v>
      </c>
      <c r="AT107" s="202">
        <v>0.77</v>
      </c>
      <c r="AU107" s="202">
        <v>8.6300000000000008</v>
      </c>
      <c r="AV107" s="202">
        <v>3.06</v>
      </c>
      <c r="AW107" s="202">
        <v>8.35</v>
      </c>
      <c r="AX107" s="202">
        <v>2.82</v>
      </c>
      <c r="AY107" s="202">
        <v>16.52</v>
      </c>
    </row>
    <row r="108" spans="1:51" ht="12.75" customHeight="1" x14ac:dyDescent="0.2">
      <c r="A108" s="76">
        <v>31</v>
      </c>
      <c r="B108" t="s">
        <v>357</v>
      </c>
      <c r="C108" s="76" t="s">
        <v>162</v>
      </c>
      <c r="D108" s="76">
        <v>1</v>
      </c>
      <c r="E108" s="76">
        <v>2</v>
      </c>
      <c r="F108" s="76">
        <v>13.5</v>
      </c>
      <c r="G108" s="76">
        <v>18</v>
      </c>
      <c r="H108" s="76">
        <v>0</v>
      </c>
      <c r="I108" s="76">
        <v>0</v>
      </c>
      <c r="J108" s="76">
        <v>0</v>
      </c>
      <c r="K108" s="76">
        <v>1</v>
      </c>
      <c r="L108" s="76">
        <v>2</v>
      </c>
      <c r="M108" s="76">
        <v>18.2</v>
      </c>
      <c r="N108" s="76">
        <v>29</v>
      </c>
      <c r="O108" s="76">
        <v>29</v>
      </c>
      <c r="P108" s="76">
        <v>28</v>
      </c>
      <c r="Q108" s="76">
        <v>9</v>
      </c>
      <c r="R108" s="76">
        <v>12</v>
      </c>
      <c r="S108" s="76">
        <v>1</v>
      </c>
      <c r="T108" s="76">
        <v>15</v>
      </c>
      <c r="U108" s="76">
        <v>97</v>
      </c>
      <c r="V108" s="76">
        <v>18.2</v>
      </c>
      <c r="W108" s="76">
        <v>0.34499999999999997</v>
      </c>
      <c r="X108" s="76">
        <v>2.2000000000000002</v>
      </c>
      <c r="Y108" s="76"/>
      <c r="Z108" t="s">
        <v>357</v>
      </c>
      <c r="AA108" s="76" t="s">
        <v>162</v>
      </c>
      <c r="AB108" s="76">
        <v>1</v>
      </c>
      <c r="AC108" s="76">
        <v>1</v>
      </c>
      <c r="AD108" s="76">
        <v>8</v>
      </c>
      <c r="AE108" s="76">
        <v>1</v>
      </c>
      <c r="AF108" s="76">
        <v>1</v>
      </c>
      <c r="AG108" s="76">
        <v>17</v>
      </c>
      <c r="AH108" s="76">
        <v>23</v>
      </c>
      <c r="AI108" s="76">
        <v>0</v>
      </c>
      <c r="AJ108" s="76">
        <v>0</v>
      </c>
      <c r="AK108" s="76">
        <v>0</v>
      </c>
      <c r="AL108" s="76">
        <v>0</v>
      </c>
      <c r="AM108" s="76">
        <v>0</v>
      </c>
      <c r="AN108" s="76">
        <v>414</v>
      </c>
      <c r="AO108" s="202" t="s">
        <v>162</v>
      </c>
      <c r="AP108" s="202">
        <v>0.25</v>
      </c>
      <c r="AQ108" s="202">
        <v>0.95</v>
      </c>
      <c r="AR108" s="202">
        <v>0.34</v>
      </c>
      <c r="AS108" s="202">
        <v>0.438</v>
      </c>
      <c r="AT108" s="202">
        <v>0.77800000000000002</v>
      </c>
      <c r="AU108" s="202">
        <v>5.22</v>
      </c>
      <c r="AV108" s="202">
        <v>2.16</v>
      </c>
      <c r="AW108" s="202">
        <v>10.26</v>
      </c>
      <c r="AX108" s="202">
        <v>2.42</v>
      </c>
      <c r="AY108" s="202">
        <v>15.78</v>
      </c>
    </row>
    <row r="109" spans="1:51" ht="12.75" customHeight="1" x14ac:dyDescent="0.2">
      <c r="A109" s="76">
        <v>2</v>
      </c>
      <c r="B109" s="41" t="s">
        <v>1106</v>
      </c>
      <c r="C109" s="76" t="s">
        <v>162</v>
      </c>
      <c r="D109" s="76">
        <v>3</v>
      </c>
      <c r="E109" s="76">
        <v>2</v>
      </c>
      <c r="F109" s="76">
        <v>2.5299999999999998</v>
      </c>
      <c r="G109" s="76">
        <v>37</v>
      </c>
      <c r="H109" s="76">
        <v>5</v>
      </c>
      <c r="I109" s="76">
        <v>0</v>
      </c>
      <c r="J109" s="76">
        <v>0</v>
      </c>
      <c r="K109" s="76">
        <v>6</v>
      </c>
      <c r="L109" s="76">
        <v>8</v>
      </c>
      <c r="M109" s="76">
        <v>78.099999999999994</v>
      </c>
      <c r="N109" s="76">
        <v>63</v>
      </c>
      <c r="O109" s="76">
        <v>22</v>
      </c>
      <c r="P109" s="76">
        <v>22</v>
      </c>
      <c r="Q109" s="76">
        <v>7</v>
      </c>
      <c r="R109" s="76">
        <v>26</v>
      </c>
      <c r="S109" s="76">
        <v>1</v>
      </c>
      <c r="T109" s="76">
        <v>83</v>
      </c>
      <c r="U109" s="76">
        <v>325</v>
      </c>
      <c r="V109" s="76">
        <v>78.099999999999994</v>
      </c>
      <c r="W109" s="76">
        <v>0.216</v>
      </c>
      <c r="X109" s="76">
        <v>1.1399999999999999</v>
      </c>
      <c r="Y109" s="76"/>
      <c r="Z109" t="s">
        <v>1106</v>
      </c>
      <c r="AA109" s="76" t="s">
        <v>162</v>
      </c>
      <c r="AB109" s="76">
        <v>5</v>
      </c>
      <c r="AC109" s="76">
        <v>1</v>
      </c>
      <c r="AD109" s="76">
        <v>15</v>
      </c>
      <c r="AE109" s="76">
        <v>7</v>
      </c>
      <c r="AF109" s="76">
        <v>3</v>
      </c>
      <c r="AG109" s="76">
        <v>69</v>
      </c>
      <c r="AH109" s="76">
        <v>79</v>
      </c>
      <c r="AI109" s="76">
        <v>3</v>
      </c>
      <c r="AJ109" s="76">
        <v>1</v>
      </c>
      <c r="AK109" s="76">
        <v>0</v>
      </c>
      <c r="AL109" s="76">
        <v>1</v>
      </c>
      <c r="AM109" s="76">
        <v>0</v>
      </c>
      <c r="AN109" s="76">
        <v>1245</v>
      </c>
      <c r="AO109" s="202" t="s">
        <v>161</v>
      </c>
      <c r="AP109" s="202">
        <v>0.55600000000000005</v>
      </c>
      <c r="AQ109" s="202">
        <v>0.73</v>
      </c>
      <c r="AR109" s="202">
        <v>0.30099999999999999</v>
      </c>
      <c r="AS109" s="202">
        <v>0.36199999999999999</v>
      </c>
      <c r="AT109" s="202">
        <v>0.66300000000000003</v>
      </c>
      <c r="AU109" s="202">
        <v>10.55</v>
      </c>
      <c r="AV109" s="202">
        <v>3.49</v>
      </c>
      <c r="AW109" s="202">
        <v>7.69</v>
      </c>
      <c r="AX109" s="202">
        <v>3.03</v>
      </c>
      <c r="AY109" s="202">
        <v>17.07</v>
      </c>
    </row>
    <row r="110" spans="1:51" ht="12.75" customHeight="1" x14ac:dyDescent="0.2">
      <c r="A110" s="76">
        <v>18</v>
      </c>
      <c r="B110" s="41" t="s">
        <v>1109</v>
      </c>
      <c r="C110" s="76" t="s">
        <v>162</v>
      </c>
      <c r="D110" s="76">
        <v>1</v>
      </c>
      <c r="E110" s="76">
        <v>7</v>
      </c>
      <c r="F110" s="76">
        <v>6.43</v>
      </c>
      <c r="G110" s="76">
        <v>14</v>
      </c>
      <c r="H110" s="76">
        <v>14</v>
      </c>
      <c r="I110" s="76">
        <v>0</v>
      </c>
      <c r="J110" s="76">
        <v>0</v>
      </c>
      <c r="K110" s="76">
        <v>0</v>
      </c>
      <c r="L110" s="76">
        <v>0</v>
      </c>
      <c r="M110" s="76">
        <v>70</v>
      </c>
      <c r="N110" s="76">
        <v>84</v>
      </c>
      <c r="O110" s="76">
        <v>54</v>
      </c>
      <c r="P110" s="76">
        <v>50</v>
      </c>
      <c r="Q110" s="76">
        <v>14</v>
      </c>
      <c r="R110" s="76">
        <v>31</v>
      </c>
      <c r="S110" s="76">
        <v>0</v>
      </c>
      <c r="T110" s="76">
        <v>58</v>
      </c>
      <c r="U110" s="76">
        <v>318</v>
      </c>
      <c r="V110" s="76">
        <v>70</v>
      </c>
      <c r="W110" s="76">
        <v>0.30299999999999999</v>
      </c>
      <c r="X110" s="76">
        <v>1.64</v>
      </c>
      <c r="Y110" s="76"/>
      <c r="Z110" t="s">
        <v>1109</v>
      </c>
      <c r="AA110" s="76" t="s">
        <v>162</v>
      </c>
      <c r="AB110" s="76">
        <v>1</v>
      </c>
      <c r="AC110" s="76">
        <v>0</v>
      </c>
      <c r="AD110" s="76">
        <v>0</v>
      </c>
      <c r="AE110" s="76">
        <v>0</v>
      </c>
      <c r="AF110" s="76">
        <v>6</v>
      </c>
      <c r="AG110" s="76">
        <v>79</v>
      </c>
      <c r="AH110" s="76">
        <v>65</v>
      </c>
      <c r="AI110" s="76">
        <v>1</v>
      </c>
      <c r="AJ110" s="76">
        <v>1</v>
      </c>
      <c r="AK110" s="76">
        <v>10</v>
      </c>
      <c r="AL110" s="76">
        <v>3</v>
      </c>
      <c r="AM110" s="76">
        <v>2</v>
      </c>
      <c r="AN110" s="76">
        <v>1264</v>
      </c>
      <c r="AO110" s="202" t="s">
        <v>162</v>
      </c>
      <c r="AP110" s="202">
        <v>0.2</v>
      </c>
      <c r="AQ110" s="202">
        <v>0.86</v>
      </c>
      <c r="AR110" s="202">
        <v>0.40899999999999997</v>
      </c>
      <c r="AS110" s="202">
        <v>0.61599999999999999</v>
      </c>
      <c r="AT110" s="202">
        <v>1.0249999999999999</v>
      </c>
      <c r="AU110" s="202">
        <v>4.76</v>
      </c>
      <c r="AV110" s="202">
        <v>5.08</v>
      </c>
      <c r="AW110" s="202">
        <v>11.44</v>
      </c>
      <c r="AX110" s="202">
        <v>0.94</v>
      </c>
      <c r="AY110" s="202">
        <v>18.920000000000002</v>
      </c>
    </row>
    <row r="111" spans="1:51" ht="12.75" customHeight="1" x14ac:dyDescent="0.2">
      <c r="A111" s="76">
        <v>3</v>
      </c>
      <c r="B111" s="41" t="s">
        <v>1108</v>
      </c>
      <c r="C111" s="76" t="s">
        <v>162</v>
      </c>
      <c r="D111" s="76">
        <v>2</v>
      </c>
      <c r="E111" s="76">
        <v>1</v>
      </c>
      <c r="F111" s="76">
        <v>2.88</v>
      </c>
      <c r="G111" s="76">
        <v>35</v>
      </c>
      <c r="H111" s="76">
        <v>0</v>
      </c>
      <c r="I111" s="76">
        <v>0</v>
      </c>
      <c r="J111" s="76">
        <v>0</v>
      </c>
      <c r="K111" s="76">
        <v>0</v>
      </c>
      <c r="L111" s="76">
        <v>2</v>
      </c>
      <c r="M111" s="76">
        <v>50</v>
      </c>
      <c r="N111" s="76">
        <v>41</v>
      </c>
      <c r="O111" s="76">
        <v>16</v>
      </c>
      <c r="P111" s="76">
        <v>16</v>
      </c>
      <c r="Q111" s="76">
        <v>5</v>
      </c>
      <c r="R111" s="76">
        <v>13</v>
      </c>
      <c r="S111" s="76">
        <v>0</v>
      </c>
      <c r="T111" s="76">
        <v>48</v>
      </c>
      <c r="U111" s="76">
        <v>202</v>
      </c>
      <c r="V111" s="76">
        <v>50</v>
      </c>
      <c r="W111" s="76">
        <v>0.224</v>
      </c>
      <c r="X111" s="76">
        <v>1.08</v>
      </c>
      <c r="Y111" s="76"/>
      <c r="Z111" t="s">
        <v>1108</v>
      </c>
      <c r="AA111" s="76" t="s">
        <v>162</v>
      </c>
      <c r="AB111" s="76">
        <v>6</v>
      </c>
      <c r="AC111" s="76">
        <v>0</v>
      </c>
      <c r="AD111" s="76">
        <v>4</v>
      </c>
      <c r="AE111" s="76">
        <v>10</v>
      </c>
      <c r="AF111" s="76">
        <v>10</v>
      </c>
      <c r="AG111" s="76">
        <v>72</v>
      </c>
      <c r="AH111" s="76">
        <v>22</v>
      </c>
      <c r="AI111" s="76">
        <v>2</v>
      </c>
      <c r="AJ111" s="76">
        <v>2</v>
      </c>
      <c r="AK111" s="76">
        <v>1</v>
      </c>
      <c r="AL111" s="76">
        <v>0</v>
      </c>
      <c r="AM111" s="76">
        <v>0</v>
      </c>
      <c r="AN111" s="76">
        <v>755</v>
      </c>
      <c r="AO111" s="102" t="s">
        <v>157</v>
      </c>
      <c r="AP111" s="102" t="s">
        <v>1081</v>
      </c>
      <c r="AQ111" s="102" t="s">
        <v>1068</v>
      </c>
      <c r="AR111" s="102" t="s">
        <v>1059</v>
      </c>
      <c r="AS111" s="102" t="s">
        <v>1060</v>
      </c>
      <c r="AT111" s="102" t="s">
        <v>1061</v>
      </c>
      <c r="AU111" s="102" t="s">
        <v>1092</v>
      </c>
      <c r="AV111" s="102" t="s">
        <v>1093</v>
      </c>
      <c r="AW111" s="102" t="s">
        <v>1094</v>
      </c>
      <c r="AX111" s="102" t="s">
        <v>1095</v>
      </c>
      <c r="AY111" s="102" t="s">
        <v>1096</v>
      </c>
    </row>
    <row r="112" spans="1:51" ht="12.75" customHeight="1" x14ac:dyDescent="0.2">
      <c r="A112" s="76">
        <v>15</v>
      </c>
      <c r="B112" t="s">
        <v>1433</v>
      </c>
      <c r="C112" s="76" t="s">
        <v>162</v>
      </c>
      <c r="D112" s="76">
        <v>0</v>
      </c>
      <c r="E112" s="76">
        <v>0</v>
      </c>
      <c r="F112" s="76">
        <v>6.23</v>
      </c>
      <c r="G112" s="76">
        <v>5</v>
      </c>
      <c r="H112" s="76">
        <v>0</v>
      </c>
      <c r="I112" s="76">
        <v>0</v>
      </c>
      <c r="J112" s="76">
        <v>0</v>
      </c>
      <c r="K112" s="76">
        <v>0</v>
      </c>
      <c r="L112" s="76">
        <v>0</v>
      </c>
      <c r="M112" s="76">
        <v>4.0999999999999996</v>
      </c>
      <c r="N112" s="76">
        <v>5</v>
      </c>
      <c r="O112" s="76">
        <v>3</v>
      </c>
      <c r="P112" s="76">
        <v>3</v>
      </c>
      <c r="Q112" s="76">
        <v>1</v>
      </c>
      <c r="R112" s="76">
        <v>5</v>
      </c>
      <c r="S112" s="76">
        <v>0</v>
      </c>
      <c r="T112" s="76">
        <v>1</v>
      </c>
      <c r="U112" s="76">
        <v>20</v>
      </c>
      <c r="V112" s="76">
        <v>4.0999999999999996</v>
      </c>
      <c r="W112" s="76">
        <v>0.35699999999999998</v>
      </c>
      <c r="X112" s="76">
        <v>2.31</v>
      </c>
      <c r="Y112" s="76"/>
      <c r="Z112" t="s">
        <v>1433</v>
      </c>
      <c r="AA112" s="76" t="s">
        <v>162</v>
      </c>
      <c r="AB112" s="76">
        <v>0</v>
      </c>
      <c r="AC112" s="76">
        <v>0</v>
      </c>
      <c r="AD112" s="76">
        <v>2</v>
      </c>
      <c r="AE112" s="76">
        <v>0</v>
      </c>
      <c r="AF112" s="76">
        <v>2</v>
      </c>
      <c r="AG112" s="76">
        <v>4</v>
      </c>
      <c r="AH112" s="76">
        <v>5</v>
      </c>
      <c r="AI112" s="76">
        <v>0</v>
      </c>
      <c r="AJ112" s="76">
        <v>0</v>
      </c>
      <c r="AK112" s="76">
        <v>0</v>
      </c>
      <c r="AL112" s="76">
        <v>1</v>
      </c>
      <c r="AM112" s="76">
        <v>0</v>
      </c>
      <c r="AN112" s="76">
        <v>82</v>
      </c>
      <c r="AO112" s="202" t="s">
        <v>162</v>
      </c>
      <c r="AP112" s="202">
        <v>0.5</v>
      </c>
      <c r="AQ112" s="202">
        <v>2</v>
      </c>
      <c r="AR112" s="202">
        <v>0.30199999999999999</v>
      </c>
      <c r="AS112" s="202">
        <v>0.47699999999999998</v>
      </c>
      <c r="AT112" s="202">
        <v>0.77900000000000003</v>
      </c>
      <c r="AU112" s="202">
        <v>9.1300000000000008</v>
      </c>
      <c r="AV112" s="202">
        <v>3.04</v>
      </c>
      <c r="AW112" s="202">
        <v>7.99</v>
      </c>
      <c r="AX112" s="202">
        <v>3</v>
      </c>
      <c r="AY112" s="202">
        <v>14.96</v>
      </c>
    </row>
    <row r="113" spans="1:51" ht="12.75" customHeight="1" x14ac:dyDescent="0.2">
      <c r="A113" s="76">
        <v>29</v>
      </c>
      <c r="B113" t="s">
        <v>1436</v>
      </c>
      <c r="C113" s="76" t="s">
        <v>162</v>
      </c>
      <c r="D113" s="76">
        <v>0</v>
      </c>
      <c r="E113" s="76">
        <v>1</v>
      </c>
      <c r="F113" s="76">
        <v>11</v>
      </c>
      <c r="G113" s="76">
        <v>3</v>
      </c>
      <c r="H113" s="76">
        <v>2</v>
      </c>
      <c r="I113" s="76">
        <v>0</v>
      </c>
      <c r="J113" s="76">
        <v>0</v>
      </c>
      <c r="K113" s="76">
        <v>0</v>
      </c>
      <c r="L113" s="76">
        <v>0</v>
      </c>
      <c r="M113" s="76">
        <v>9</v>
      </c>
      <c r="N113" s="76">
        <v>16</v>
      </c>
      <c r="O113" s="76">
        <v>12</v>
      </c>
      <c r="P113" s="76">
        <v>11</v>
      </c>
      <c r="Q113" s="76">
        <v>5</v>
      </c>
      <c r="R113" s="76">
        <v>9</v>
      </c>
      <c r="S113" s="76">
        <v>0</v>
      </c>
      <c r="T113" s="76">
        <v>8</v>
      </c>
      <c r="U113" s="76">
        <v>54</v>
      </c>
      <c r="V113" s="76">
        <v>9</v>
      </c>
      <c r="W113" s="76">
        <v>0.38100000000000001</v>
      </c>
      <c r="X113" s="76">
        <v>2.78</v>
      </c>
      <c r="Y113" s="76"/>
      <c r="Z113" t="s">
        <v>1436</v>
      </c>
      <c r="AA113" s="76" t="s">
        <v>162</v>
      </c>
      <c r="AB113" s="76">
        <v>1</v>
      </c>
      <c r="AC113" s="76">
        <v>0</v>
      </c>
      <c r="AD113" s="76">
        <v>0</v>
      </c>
      <c r="AE113" s="76">
        <v>0</v>
      </c>
      <c r="AF113" s="76">
        <v>1</v>
      </c>
      <c r="AG113" s="76">
        <v>12</v>
      </c>
      <c r="AH113" s="76">
        <v>8</v>
      </c>
      <c r="AI113" s="76">
        <v>1</v>
      </c>
      <c r="AJ113" s="76">
        <v>0</v>
      </c>
      <c r="AK113" s="76">
        <v>1</v>
      </c>
      <c r="AL113" s="76">
        <v>0</v>
      </c>
      <c r="AM113" s="76">
        <v>0</v>
      </c>
      <c r="AN113" s="76">
        <v>203</v>
      </c>
      <c r="AO113" s="202" t="s">
        <v>162</v>
      </c>
      <c r="AP113" s="202">
        <v>0.25</v>
      </c>
      <c r="AQ113" s="202">
        <v>0.84</v>
      </c>
      <c r="AR113" s="202">
        <v>0.373</v>
      </c>
      <c r="AS113" s="202">
        <v>0.48</v>
      </c>
      <c r="AT113" s="202">
        <v>0.85299999999999998</v>
      </c>
      <c r="AU113" s="202">
        <v>7.22</v>
      </c>
      <c r="AV113" s="202">
        <v>4.47</v>
      </c>
      <c r="AW113" s="202">
        <v>11.52</v>
      </c>
      <c r="AX113" s="202">
        <v>1.62</v>
      </c>
      <c r="AY113" s="202">
        <v>19.95</v>
      </c>
    </row>
    <row r="114" spans="1:51" ht="12.75" customHeight="1" x14ac:dyDescent="0.2">
      <c r="A114" s="76">
        <v>16</v>
      </c>
      <c r="B114" t="s">
        <v>1140</v>
      </c>
      <c r="C114" s="76" t="s">
        <v>162</v>
      </c>
      <c r="D114" s="76">
        <v>0</v>
      </c>
      <c r="E114" s="76">
        <v>0</v>
      </c>
      <c r="F114" s="76">
        <v>6.3</v>
      </c>
      <c r="G114" s="76">
        <v>7</v>
      </c>
      <c r="H114" s="76">
        <v>0</v>
      </c>
      <c r="I114" s="76">
        <v>0</v>
      </c>
      <c r="J114" s="76">
        <v>0</v>
      </c>
      <c r="K114" s="76">
        <v>0</v>
      </c>
      <c r="L114" s="76">
        <v>0</v>
      </c>
      <c r="M114" s="76">
        <v>10</v>
      </c>
      <c r="N114" s="76">
        <v>9</v>
      </c>
      <c r="O114" s="76">
        <v>7</v>
      </c>
      <c r="P114" s="76">
        <v>7</v>
      </c>
      <c r="Q114" s="76">
        <v>2</v>
      </c>
      <c r="R114" s="76">
        <v>8</v>
      </c>
      <c r="S114" s="76">
        <v>0</v>
      </c>
      <c r="T114" s="76">
        <v>9</v>
      </c>
      <c r="U114" s="76">
        <v>47</v>
      </c>
      <c r="V114" s="76">
        <v>10</v>
      </c>
      <c r="W114" s="76">
        <v>0.23699999999999999</v>
      </c>
      <c r="X114" s="76">
        <v>1.7</v>
      </c>
      <c r="Y114" s="76"/>
      <c r="Z114" t="s">
        <v>1140</v>
      </c>
      <c r="AA114" s="76" t="s">
        <v>162</v>
      </c>
      <c r="AB114" s="76">
        <v>0</v>
      </c>
      <c r="AC114" s="76">
        <v>0</v>
      </c>
      <c r="AD114" s="76">
        <v>3</v>
      </c>
      <c r="AE114" s="76">
        <v>0</v>
      </c>
      <c r="AF114" s="76">
        <v>0</v>
      </c>
      <c r="AG114" s="76">
        <v>9</v>
      </c>
      <c r="AH114" s="76">
        <v>12</v>
      </c>
      <c r="AI114" s="76">
        <v>0</v>
      </c>
      <c r="AJ114" s="76">
        <v>0</v>
      </c>
      <c r="AK114" s="76">
        <v>0</v>
      </c>
      <c r="AL114" s="76">
        <v>0</v>
      </c>
      <c r="AM114" s="76">
        <v>0</v>
      </c>
      <c r="AN114" s="76">
        <v>192</v>
      </c>
      <c r="AO114" s="202" t="s">
        <v>162</v>
      </c>
      <c r="AP114" s="202">
        <v>0</v>
      </c>
      <c r="AQ114" s="202">
        <v>1.1100000000000001</v>
      </c>
      <c r="AR114" s="202">
        <v>0.36</v>
      </c>
      <c r="AS114" s="202">
        <v>0.48899999999999999</v>
      </c>
      <c r="AT114" s="202">
        <v>0.84899999999999998</v>
      </c>
      <c r="AU114" s="202">
        <v>11.81</v>
      </c>
      <c r="AV114" s="202">
        <v>4.22</v>
      </c>
      <c r="AW114" s="202">
        <v>10.97</v>
      </c>
      <c r="AX114" s="202">
        <v>2.8</v>
      </c>
      <c r="AY114" s="202">
        <v>19.97</v>
      </c>
    </row>
    <row r="115" spans="1:51" ht="12.75" customHeight="1" x14ac:dyDescent="0.2">
      <c r="A115" s="76">
        <v>24</v>
      </c>
      <c r="B115" t="s">
        <v>1107</v>
      </c>
      <c r="C115" s="76" t="s">
        <v>162</v>
      </c>
      <c r="D115" s="76">
        <v>0</v>
      </c>
      <c r="E115" s="76">
        <v>3</v>
      </c>
      <c r="F115" s="76">
        <v>8.02</v>
      </c>
      <c r="G115" s="76">
        <v>5</v>
      </c>
      <c r="H115" s="76">
        <v>5</v>
      </c>
      <c r="I115" s="76">
        <v>0</v>
      </c>
      <c r="J115" s="76">
        <v>0</v>
      </c>
      <c r="K115" s="76">
        <v>0</v>
      </c>
      <c r="L115" s="76">
        <v>0</v>
      </c>
      <c r="M115" s="76">
        <v>21.1</v>
      </c>
      <c r="N115" s="76">
        <v>26</v>
      </c>
      <c r="O115" s="76">
        <v>22</v>
      </c>
      <c r="P115" s="76">
        <v>19</v>
      </c>
      <c r="Q115" s="76">
        <v>10</v>
      </c>
      <c r="R115" s="76">
        <v>10</v>
      </c>
      <c r="S115" s="76">
        <v>1</v>
      </c>
      <c r="T115" s="76">
        <v>10</v>
      </c>
      <c r="U115" s="76">
        <v>105</v>
      </c>
      <c r="V115" s="76">
        <v>21.1</v>
      </c>
      <c r="W115" s="76">
        <v>0.29199999999999998</v>
      </c>
      <c r="X115" s="76">
        <v>1.69</v>
      </c>
      <c r="Y115" s="76"/>
      <c r="Z115" t="s">
        <v>1107</v>
      </c>
      <c r="AA115" s="76" t="s">
        <v>162</v>
      </c>
      <c r="AB115" s="76">
        <v>1</v>
      </c>
      <c r="AC115" s="76">
        <v>1</v>
      </c>
      <c r="AD115" s="76">
        <v>0</v>
      </c>
      <c r="AE115" s="76">
        <v>0</v>
      </c>
      <c r="AF115" s="76">
        <v>1</v>
      </c>
      <c r="AG115" s="76">
        <v>30</v>
      </c>
      <c r="AH115" s="76">
        <v>27</v>
      </c>
      <c r="AI115" s="76">
        <v>0</v>
      </c>
      <c r="AJ115" s="76">
        <v>0</v>
      </c>
      <c r="AK115" s="76">
        <v>3</v>
      </c>
      <c r="AL115" s="76">
        <v>1</v>
      </c>
      <c r="AM115" s="76">
        <v>0</v>
      </c>
      <c r="AN115" s="76">
        <v>416</v>
      </c>
      <c r="AO115" s="202" t="s">
        <v>162</v>
      </c>
      <c r="AP115" s="202">
        <v>0.308</v>
      </c>
      <c r="AQ115" s="202">
        <v>1.03</v>
      </c>
      <c r="AR115" s="202">
        <v>0.378</v>
      </c>
      <c r="AS115" s="202">
        <v>0.503</v>
      </c>
      <c r="AT115" s="202">
        <v>0.88200000000000001</v>
      </c>
      <c r="AU115" s="202">
        <v>6.59</v>
      </c>
      <c r="AV115" s="202">
        <v>4.53</v>
      </c>
      <c r="AW115" s="202">
        <v>10.4</v>
      </c>
      <c r="AX115" s="202">
        <v>1.46</v>
      </c>
      <c r="AY115" s="202">
        <v>17.62</v>
      </c>
    </row>
    <row r="116" spans="1:51" ht="12.75" customHeight="1" x14ac:dyDescent="0.2">
      <c r="A116" s="76">
        <v>12</v>
      </c>
      <c r="B116" s="41" t="s">
        <v>1215</v>
      </c>
      <c r="C116" s="76" t="s">
        <v>162</v>
      </c>
      <c r="D116" s="76">
        <v>5</v>
      </c>
      <c r="E116" s="76">
        <v>7</v>
      </c>
      <c r="F116" s="76">
        <v>4.66</v>
      </c>
      <c r="G116" s="76">
        <v>64</v>
      </c>
      <c r="H116" s="76">
        <v>0</v>
      </c>
      <c r="I116" s="76">
        <v>0</v>
      </c>
      <c r="J116" s="76">
        <v>0</v>
      </c>
      <c r="K116" s="76">
        <v>2</v>
      </c>
      <c r="L116" s="76">
        <v>5</v>
      </c>
      <c r="M116" s="76">
        <v>65.2</v>
      </c>
      <c r="N116" s="76">
        <v>59</v>
      </c>
      <c r="O116" s="76">
        <v>35</v>
      </c>
      <c r="P116" s="76">
        <v>34</v>
      </c>
      <c r="Q116" s="76">
        <v>14</v>
      </c>
      <c r="R116" s="76">
        <v>32</v>
      </c>
      <c r="S116" s="76">
        <v>1</v>
      </c>
      <c r="T116" s="76">
        <v>68</v>
      </c>
      <c r="U116" s="76">
        <v>290</v>
      </c>
      <c r="V116" s="76">
        <v>65.2</v>
      </c>
      <c r="W116" s="76">
        <v>0.23699999999999999</v>
      </c>
      <c r="X116" s="76">
        <v>1.39</v>
      </c>
      <c r="Y116" s="76"/>
      <c r="Z116" t="s">
        <v>1215</v>
      </c>
      <c r="AA116" s="76" t="s">
        <v>162</v>
      </c>
      <c r="AB116" s="76">
        <v>6</v>
      </c>
      <c r="AC116" s="76">
        <v>1</v>
      </c>
      <c r="AD116" s="76">
        <v>34</v>
      </c>
      <c r="AE116" s="76">
        <v>3</v>
      </c>
      <c r="AF116" s="76">
        <v>4</v>
      </c>
      <c r="AG116" s="76">
        <v>44</v>
      </c>
      <c r="AH116" s="76">
        <v>81</v>
      </c>
      <c r="AI116" s="76">
        <v>4</v>
      </c>
      <c r="AJ116" s="76">
        <v>0</v>
      </c>
      <c r="AK116" s="76">
        <v>5</v>
      </c>
      <c r="AL116" s="76">
        <v>2</v>
      </c>
      <c r="AM116" s="76">
        <v>0</v>
      </c>
      <c r="AN116" s="76">
        <v>1138</v>
      </c>
      <c r="AO116" s="202" t="s">
        <v>162</v>
      </c>
      <c r="AP116" s="202">
        <v>0.53800000000000003</v>
      </c>
      <c r="AQ116" s="202">
        <v>0.97</v>
      </c>
      <c r="AR116" s="202">
        <v>0.25</v>
      </c>
      <c r="AS116" s="202">
        <v>0.32700000000000001</v>
      </c>
      <c r="AT116" s="202">
        <v>0.57699999999999996</v>
      </c>
      <c r="AU116" s="202">
        <v>8.27</v>
      </c>
      <c r="AV116" s="202">
        <v>2</v>
      </c>
      <c r="AW116" s="202">
        <v>6.41</v>
      </c>
      <c r="AX116" s="202">
        <v>4.1399999999999997</v>
      </c>
      <c r="AY116" s="202">
        <v>14.76</v>
      </c>
    </row>
    <row r="117" spans="1:51" ht="12.75" customHeight="1" x14ac:dyDescent="0.2">
      <c r="A117" s="76">
        <v>26</v>
      </c>
      <c r="B117" t="s">
        <v>407</v>
      </c>
      <c r="C117" s="76" t="s">
        <v>162</v>
      </c>
      <c r="D117" s="76">
        <v>0</v>
      </c>
      <c r="E117" s="76">
        <v>0</v>
      </c>
      <c r="F117" s="76">
        <v>8.59</v>
      </c>
      <c r="G117" s="76">
        <v>10</v>
      </c>
      <c r="H117" s="76">
        <v>0</v>
      </c>
      <c r="I117" s="76">
        <v>0</v>
      </c>
      <c r="J117" s="76">
        <v>0</v>
      </c>
      <c r="K117" s="76">
        <v>0</v>
      </c>
      <c r="L117" s="76">
        <v>0</v>
      </c>
      <c r="M117" s="76">
        <v>7.1</v>
      </c>
      <c r="N117" s="76">
        <v>11</v>
      </c>
      <c r="O117" s="76">
        <v>7</v>
      </c>
      <c r="P117" s="76">
        <v>7</v>
      </c>
      <c r="Q117" s="76">
        <v>1</v>
      </c>
      <c r="R117" s="76">
        <v>7</v>
      </c>
      <c r="S117" s="76">
        <v>0</v>
      </c>
      <c r="T117" s="76">
        <v>5</v>
      </c>
      <c r="U117" s="76">
        <v>39</v>
      </c>
      <c r="V117" s="76">
        <v>7.1</v>
      </c>
      <c r="W117" s="76">
        <v>0.35499999999999998</v>
      </c>
      <c r="X117" s="76">
        <v>2.4500000000000002</v>
      </c>
      <c r="Y117" s="76"/>
      <c r="Z117" t="s">
        <v>407</v>
      </c>
      <c r="AA117" s="76" t="s">
        <v>162</v>
      </c>
      <c r="AB117" s="76">
        <v>1</v>
      </c>
      <c r="AC117" s="76">
        <v>0</v>
      </c>
      <c r="AD117" s="76">
        <v>3</v>
      </c>
      <c r="AE117" s="76">
        <v>2</v>
      </c>
      <c r="AF117" s="76">
        <v>0</v>
      </c>
      <c r="AG117" s="76">
        <v>9</v>
      </c>
      <c r="AH117" s="76">
        <v>6</v>
      </c>
      <c r="AI117" s="76">
        <v>0</v>
      </c>
      <c r="AJ117" s="76">
        <v>0</v>
      </c>
      <c r="AK117" s="76">
        <v>0</v>
      </c>
      <c r="AL117" s="76">
        <v>0</v>
      </c>
      <c r="AM117" s="76">
        <v>0</v>
      </c>
      <c r="AN117" s="76">
        <v>133</v>
      </c>
      <c r="AO117" s="202" t="s">
        <v>162</v>
      </c>
      <c r="AP117" s="202">
        <v>0.33300000000000002</v>
      </c>
      <c r="AQ117" s="202">
        <v>1.46</v>
      </c>
      <c r="AR117" s="202">
        <v>0.35099999999999998</v>
      </c>
      <c r="AS117" s="202">
        <v>0.40400000000000003</v>
      </c>
      <c r="AT117" s="202">
        <v>0.755</v>
      </c>
      <c r="AU117" s="202">
        <v>5.73</v>
      </c>
      <c r="AV117" s="202">
        <v>2.78</v>
      </c>
      <c r="AW117" s="202">
        <v>10.96</v>
      </c>
      <c r="AX117" s="202">
        <v>2.06</v>
      </c>
      <c r="AY117" s="202">
        <v>16.8</v>
      </c>
    </row>
    <row r="118" spans="1:51" ht="12.75" customHeight="1" x14ac:dyDescent="0.2">
      <c r="A118" s="76">
        <v>17</v>
      </c>
      <c r="B118" t="s">
        <v>424</v>
      </c>
      <c r="C118" s="76" t="s">
        <v>162</v>
      </c>
      <c r="D118" s="76">
        <v>1</v>
      </c>
      <c r="E118" s="76">
        <v>3</v>
      </c>
      <c r="F118" s="76">
        <v>6.4</v>
      </c>
      <c r="G118" s="76">
        <v>27</v>
      </c>
      <c r="H118" s="76">
        <v>0</v>
      </c>
      <c r="I118" s="76">
        <v>0</v>
      </c>
      <c r="J118" s="76">
        <v>0</v>
      </c>
      <c r="K118" s="76">
        <v>1</v>
      </c>
      <c r="L118" s="76">
        <v>4</v>
      </c>
      <c r="M118" s="76">
        <v>32.1</v>
      </c>
      <c r="N118" s="76">
        <v>35</v>
      </c>
      <c r="O118" s="76">
        <v>24</v>
      </c>
      <c r="P118" s="76">
        <v>23</v>
      </c>
      <c r="Q118" s="76">
        <v>7</v>
      </c>
      <c r="R118" s="76">
        <v>9</v>
      </c>
      <c r="S118" s="76">
        <v>2</v>
      </c>
      <c r="T118" s="76">
        <v>28</v>
      </c>
      <c r="U118" s="76">
        <v>139</v>
      </c>
      <c r="V118" s="76">
        <v>32.1</v>
      </c>
      <c r="W118" s="76">
        <v>0.27800000000000002</v>
      </c>
      <c r="X118" s="76">
        <v>1.36</v>
      </c>
      <c r="Y118" s="76"/>
      <c r="Z118" t="s">
        <v>424</v>
      </c>
      <c r="AA118" s="76" t="s">
        <v>162</v>
      </c>
      <c r="AB118" s="76">
        <v>0</v>
      </c>
      <c r="AC118" s="76">
        <v>2</v>
      </c>
      <c r="AD118" s="76">
        <v>7</v>
      </c>
      <c r="AE118" s="76">
        <v>1</v>
      </c>
      <c r="AF118" s="76">
        <v>0</v>
      </c>
      <c r="AG118" s="76">
        <v>44</v>
      </c>
      <c r="AH118" s="76">
        <v>23</v>
      </c>
      <c r="AI118" s="76">
        <v>3</v>
      </c>
      <c r="AJ118" s="76">
        <v>0</v>
      </c>
      <c r="AK118" s="76">
        <v>1</v>
      </c>
      <c r="AL118" s="76">
        <v>2</v>
      </c>
      <c r="AM118" s="76">
        <v>1</v>
      </c>
      <c r="AN118" s="76">
        <v>499</v>
      </c>
      <c r="AO118" s="202" t="s">
        <v>162</v>
      </c>
      <c r="AP118" s="202" t="s">
        <v>243</v>
      </c>
      <c r="AQ118" s="202">
        <v>5</v>
      </c>
      <c r="AR118" s="202">
        <v>0.308</v>
      </c>
      <c r="AS118" s="202">
        <v>0.27300000000000002</v>
      </c>
      <c r="AT118" s="202">
        <v>0.57999999999999996</v>
      </c>
      <c r="AU118" s="202">
        <v>9</v>
      </c>
      <c r="AV118" s="202">
        <v>3</v>
      </c>
      <c r="AW118" s="202">
        <v>6</v>
      </c>
      <c r="AX118" s="202">
        <v>3</v>
      </c>
      <c r="AY118" s="202">
        <v>19.670000000000002</v>
      </c>
    </row>
    <row r="119" spans="1:51" ht="12.75" customHeight="1" x14ac:dyDescent="0.2">
      <c r="A119" s="76">
        <v>21</v>
      </c>
      <c r="B119" s="41" t="s">
        <v>1124</v>
      </c>
      <c r="C119" s="76" t="s">
        <v>162</v>
      </c>
      <c r="D119" s="76">
        <v>0</v>
      </c>
      <c r="E119" s="76">
        <v>7</v>
      </c>
      <c r="F119" s="76">
        <v>7.36</v>
      </c>
      <c r="G119" s="76">
        <v>10</v>
      </c>
      <c r="H119" s="76">
        <v>10</v>
      </c>
      <c r="I119" s="76">
        <v>0</v>
      </c>
      <c r="J119" s="76">
        <v>0</v>
      </c>
      <c r="K119" s="76">
        <v>0</v>
      </c>
      <c r="L119" s="76">
        <v>0</v>
      </c>
      <c r="M119" s="76">
        <v>47.2</v>
      </c>
      <c r="N119" s="76">
        <v>67</v>
      </c>
      <c r="O119" s="76">
        <v>47</v>
      </c>
      <c r="P119" s="76">
        <v>39</v>
      </c>
      <c r="Q119" s="76">
        <v>12</v>
      </c>
      <c r="R119" s="76">
        <v>19</v>
      </c>
      <c r="S119" s="76">
        <v>2</v>
      </c>
      <c r="T119" s="76">
        <v>43</v>
      </c>
      <c r="U119" s="76">
        <v>230</v>
      </c>
      <c r="V119" s="76">
        <v>47.2</v>
      </c>
      <c r="W119" s="76">
        <v>0.32800000000000001</v>
      </c>
      <c r="X119" s="76">
        <v>1.8</v>
      </c>
      <c r="Y119" s="76"/>
      <c r="Z119" t="s">
        <v>1124</v>
      </c>
      <c r="AA119" s="76" t="s">
        <v>162</v>
      </c>
      <c r="AB119" s="76">
        <v>4</v>
      </c>
      <c r="AC119" s="76">
        <v>2</v>
      </c>
      <c r="AD119" s="76">
        <v>0</v>
      </c>
      <c r="AE119" s="76">
        <v>0</v>
      </c>
      <c r="AF119" s="76">
        <v>5</v>
      </c>
      <c r="AG119" s="76">
        <v>62</v>
      </c>
      <c r="AH119" s="76">
        <v>34</v>
      </c>
      <c r="AI119" s="76">
        <v>2</v>
      </c>
      <c r="AJ119" s="76">
        <v>2</v>
      </c>
      <c r="AK119" s="76">
        <v>8</v>
      </c>
      <c r="AL119" s="76">
        <v>0</v>
      </c>
      <c r="AM119" s="76">
        <v>0</v>
      </c>
      <c r="AN119" s="76">
        <v>884</v>
      </c>
      <c r="AO119" s="202" t="s">
        <v>162</v>
      </c>
      <c r="AP119" s="202">
        <v>0.16700000000000001</v>
      </c>
      <c r="AQ119" s="202">
        <v>0.89</v>
      </c>
      <c r="AR119" s="202">
        <v>0.36199999999999999</v>
      </c>
      <c r="AS119" s="202">
        <v>0.49</v>
      </c>
      <c r="AT119" s="202">
        <v>0.85199999999999998</v>
      </c>
      <c r="AU119" s="202">
        <v>10.51</v>
      </c>
      <c r="AV119" s="202">
        <v>3.44</v>
      </c>
      <c r="AW119" s="202">
        <v>10.51</v>
      </c>
      <c r="AX119" s="202">
        <v>3.05</v>
      </c>
      <c r="AY119" s="202">
        <v>18.36</v>
      </c>
    </row>
    <row r="120" spans="1:51" ht="12.75" customHeight="1" x14ac:dyDescent="0.2">
      <c r="A120" s="76">
        <v>11</v>
      </c>
      <c r="B120" t="s">
        <v>1110</v>
      </c>
      <c r="C120" s="76" t="s">
        <v>162</v>
      </c>
      <c r="D120" s="76">
        <v>0</v>
      </c>
      <c r="E120" s="76">
        <v>1</v>
      </c>
      <c r="F120" s="76">
        <v>4.3499999999999996</v>
      </c>
      <c r="G120" s="76">
        <v>18</v>
      </c>
      <c r="H120" s="76">
        <v>2</v>
      </c>
      <c r="I120" s="76">
        <v>0</v>
      </c>
      <c r="J120" s="76">
        <v>0</v>
      </c>
      <c r="K120" s="76">
        <v>0</v>
      </c>
      <c r="L120" s="76">
        <v>0</v>
      </c>
      <c r="M120" s="76">
        <v>39.1</v>
      </c>
      <c r="N120" s="76">
        <v>40</v>
      </c>
      <c r="O120" s="76">
        <v>24</v>
      </c>
      <c r="P120" s="76">
        <v>19</v>
      </c>
      <c r="Q120" s="76">
        <v>9</v>
      </c>
      <c r="R120" s="76">
        <v>27</v>
      </c>
      <c r="S120" s="76">
        <v>2</v>
      </c>
      <c r="T120" s="76">
        <v>42</v>
      </c>
      <c r="U120" s="76">
        <v>188</v>
      </c>
      <c r="V120" s="76">
        <v>39.1</v>
      </c>
      <c r="W120" s="76">
        <v>0.255</v>
      </c>
      <c r="X120" s="76">
        <v>1.7</v>
      </c>
      <c r="Y120" s="76"/>
      <c r="Z120" t="s">
        <v>1110</v>
      </c>
      <c r="AA120" s="76" t="s">
        <v>162</v>
      </c>
      <c r="AB120" s="76">
        <v>2</v>
      </c>
      <c r="AC120" s="76">
        <v>2</v>
      </c>
      <c r="AD120" s="76">
        <v>2</v>
      </c>
      <c r="AE120" s="76">
        <v>0</v>
      </c>
      <c r="AF120" s="76">
        <v>1</v>
      </c>
      <c r="AG120" s="76">
        <v>33</v>
      </c>
      <c r="AH120" s="76">
        <v>44</v>
      </c>
      <c r="AI120" s="76">
        <v>3</v>
      </c>
      <c r="AJ120" s="76">
        <v>0</v>
      </c>
      <c r="AK120" s="76">
        <v>4</v>
      </c>
      <c r="AL120" s="76">
        <v>1</v>
      </c>
      <c r="AM120" s="76">
        <v>0</v>
      </c>
      <c r="AN120" s="76">
        <v>796</v>
      </c>
      <c r="AO120" s="202" t="s">
        <v>162</v>
      </c>
      <c r="AP120" s="202" t="s">
        <v>243</v>
      </c>
      <c r="AQ120" s="202">
        <v>0.75</v>
      </c>
      <c r="AR120" s="202">
        <v>0.34699999999999998</v>
      </c>
      <c r="AS120" s="202">
        <v>0.379</v>
      </c>
      <c r="AT120" s="202">
        <v>0.72499999999999998</v>
      </c>
      <c r="AU120" s="202">
        <v>6.11</v>
      </c>
      <c r="AV120" s="202">
        <v>6.43</v>
      </c>
      <c r="AW120" s="202">
        <v>7.07</v>
      </c>
      <c r="AX120" s="202">
        <v>0.95</v>
      </c>
      <c r="AY120" s="202">
        <v>18.32</v>
      </c>
    </row>
    <row r="121" spans="1:51" ht="12.75" customHeight="1" x14ac:dyDescent="0.2">
      <c r="A121" s="76">
        <v>27</v>
      </c>
      <c r="B121" s="41" t="s">
        <v>358</v>
      </c>
      <c r="C121" s="76" t="s">
        <v>162</v>
      </c>
      <c r="D121" s="76">
        <v>2</v>
      </c>
      <c r="E121" s="76">
        <v>7</v>
      </c>
      <c r="F121" s="76">
        <v>9.36</v>
      </c>
      <c r="G121" s="76">
        <v>15</v>
      </c>
      <c r="H121" s="76">
        <v>11</v>
      </c>
      <c r="I121" s="76">
        <v>0</v>
      </c>
      <c r="J121" s="76">
        <v>0</v>
      </c>
      <c r="K121" s="76">
        <v>0</v>
      </c>
      <c r="L121" s="76">
        <v>0</v>
      </c>
      <c r="M121" s="76">
        <v>58.2</v>
      </c>
      <c r="N121" s="76">
        <v>89</v>
      </c>
      <c r="O121" s="76">
        <v>64</v>
      </c>
      <c r="P121" s="76">
        <v>61</v>
      </c>
      <c r="Q121" s="76">
        <v>15</v>
      </c>
      <c r="R121" s="76">
        <v>31</v>
      </c>
      <c r="S121" s="76">
        <v>2</v>
      </c>
      <c r="T121" s="76">
        <v>39</v>
      </c>
      <c r="U121" s="76">
        <v>298</v>
      </c>
      <c r="V121" s="76">
        <v>58.2</v>
      </c>
      <c r="W121" s="76">
        <v>0.34899999999999998</v>
      </c>
      <c r="X121" s="76">
        <v>2.0499999999999998</v>
      </c>
      <c r="Y121" s="76"/>
      <c r="Z121" t="s">
        <v>358</v>
      </c>
      <c r="AA121" s="76" t="s">
        <v>162</v>
      </c>
      <c r="AB121" s="76">
        <v>8</v>
      </c>
      <c r="AC121" s="76">
        <v>2</v>
      </c>
      <c r="AD121" s="76">
        <v>1</v>
      </c>
      <c r="AE121" s="76">
        <v>0</v>
      </c>
      <c r="AF121" s="76">
        <v>6</v>
      </c>
      <c r="AG121" s="76">
        <v>79</v>
      </c>
      <c r="AH121" s="76">
        <v>52</v>
      </c>
      <c r="AI121" s="76">
        <v>3</v>
      </c>
      <c r="AJ121" s="76">
        <v>0</v>
      </c>
      <c r="AK121" s="76">
        <v>4</v>
      </c>
      <c r="AL121" s="76">
        <v>2</v>
      </c>
      <c r="AM121" s="76">
        <v>0</v>
      </c>
      <c r="AN121" s="76">
        <v>1120</v>
      </c>
      <c r="AO121" s="202" t="s">
        <v>162</v>
      </c>
      <c r="AP121" s="202">
        <v>0.5</v>
      </c>
      <c r="AQ121" s="202">
        <v>0.87</v>
      </c>
      <c r="AR121" s="202">
        <v>0.32</v>
      </c>
      <c r="AS121" s="202">
        <v>0.40899999999999997</v>
      </c>
      <c r="AT121" s="202">
        <v>0.72899999999999998</v>
      </c>
      <c r="AU121" s="202">
        <v>4.63</v>
      </c>
      <c r="AV121" s="202">
        <v>3.86</v>
      </c>
      <c r="AW121" s="202">
        <v>8.49</v>
      </c>
      <c r="AX121" s="202">
        <v>1.2</v>
      </c>
      <c r="AY121" s="202">
        <v>15.86</v>
      </c>
    </row>
    <row r="122" spans="1:51" ht="12.75" customHeight="1" x14ac:dyDescent="0.2">
      <c r="A122" s="76">
        <v>13</v>
      </c>
      <c r="B122" s="41" t="s">
        <v>521</v>
      </c>
      <c r="C122" s="76" t="s">
        <v>162</v>
      </c>
      <c r="D122" s="76">
        <v>3</v>
      </c>
      <c r="E122" s="76">
        <v>3</v>
      </c>
      <c r="F122" s="76">
        <v>4.68</v>
      </c>
      <c r="G122" s="76">
        <v>32</v>
      </c>
      <c r="H122" s="76">
        <v>2</v>
      </c>
      <c r="I122" s="76">
        <v>0</v>
      </c>
      <c r="J122" s="76">
        <v>0</v>
      </c>
      <c r="K122" s="76">
        <v>0</v>
      </c>
      <c r="L122" s="76">
        <v>0</v>
      </c>
      <c r="M122" s="76">
        <v>59.2</v>
      </c>
      <c r="N122" s="76">
        <v>57</v>
      </c>
      <c r="O122" s="76">
        <v>32</v>
      </c>
      <c r="P122" s="76">
        <v>31</v>
      </c>
      <c r="Q122" s="76">
        <v>11</v>
      </c>
      <c r="R122" s="76">
        <v>26</v>
      </c>
      <c r="S122" s="76">
        <v>1</v>
      </c>
      <c r="T122" s="76">
        <v>48</v>
      </c>
      <c r="U122" s="76">
        <v>260</v>
      </c>
      <c r="V122" s="76">
        <v>59.2</v>
      </c>
      <c r="W122" s="76">
        <v>0.247</v>
      </c>
      <c r="X122" s="76">
        <v>1.39</v>
      </c>
      <c r="Y122" s="76"/>
      <c r="Z122" t="s">
        <v>521</v>
      </c>
      <c r="AA122" s="76" t="s">
        <v>162</v>
      </c>
      <c r="AB122" s="76">
        <v>1</v>
      </c>
      <c r="AC122" s="76">
        <v>1</v>
      </c>
      <c r="AD122" s="76">
        <v>8</v>
      </c>
      <c r="AE122" s="76">
        <v>1</v>
      </c>
      <c r="AF122" s="76">
        <v>1</v>
      </c>
      <c r="AG122" s="76">
        <v>53</v>
      </c>
      <c r="AH122" s="76">
        <v>75</v>
      </c>
      <c r="AI122" s="76">
        <v>1</v>
      </c>
      <c r="AJ122" s="76">
        <v>0</v>
      </c>
      <c r="AK122" s="76">
        <v>8</v>
      </c>
      <c r="AL122" s="76">
        <v>2</v>
      </c>
      <c r="AM122" s="76">
        <v>0</v>
      </c>
      <c r="AN122" s="76">
        <v>1042</v>
      </c>
      <c r="AO122" s="202" t="s">
        <v>162</v>
      </c>
      <c r="AP122" s="202">
        <v>0.40899999999999997</v>
      </c>
      <c r="AQ122" s="202">
        <v>1.05</v>
      </c>
      <c r="AR122" s="202">
        <v>0.32800000000000001</v>
      </c>
      <c r="AS122" s="202">
        <v>0.41399999999999998</v>
      </c>
      <c r="AT122" s="202">
        <v>0.74199999999999999</v>
      </c>
      <c r="AU122" s="202">
        <v>7.36</v>
      </c>
      <c r="AV122" s="202">
        <v>2.68</v>
      </c>
      <c r="AW122" s="202">
        <v>9.4499999999999993</v>
      </c>
      <c r="AX122" s="202">
        <v>2.75</v>
      </c>
      <c r="AY122" s="202">
        <v>15.77</v>
      </c>
    </row>
    <row r="123" spans="1:51" ht="12.75" customHeight="1" x14ac:dyDescent="0.2">
      <c r="A123" s="76">
        <v>32</v>
      </c>
      <c r="B123" t="s">
        <v>1437</v>
      </c>
      <c r="C123" s="76" t="s">
        <v>162</v>
      </c>
      <c r="D123" s="76">
        <v>0</v>
      </c>
      <c r="E123" s="76">
        <v>0</v>
      </c>
      <c r="F123" s="76">
        <v>19.29</v>
      </c>
      <c r="G123" s="76">
        <v>2</v>
      </c>
      <c r="H123" s="76">
        <v>0</v>
      </c>
      <c r="I123" s="76">
        <v>0</v>
      </c>
      <c r="J123" s="76">
        <v>0</v>
      </c>
      <c r="K123" s="76">
        <v>0</v>
      </c>
      <c r="L123" s="76">
        <v>0</v>
      </c>
      <c r="M123" s="76">
        <v>2.1</v>
      </c>
      <c r="N123" s="76">
        <v>6</v>
      </c>
      <c r="O123" s="76">
        <v>5</v>
      </c>
      <c r="P123" s="76">
        <v>5</v>
      </c>
      <c r="Q123" s="76">
        <v>2</v>
      </c>
      <c r="R123" s="76">
        <v>3</v>
      </c>
      <c r="S123" s="76">
        <v>0</v>
      </c>
      <c r="T123" s="76">
        <v>2</v>
      </c>
      <c r="U123" s="76">
        <v>16</v>
      </c>
      <c r="V123" s="76">
        <v>2.1</v>
      </c>
      <c r="W123" s="76">
        <v>0.46200000000000002</v>
      </c>
      <c r="X123" s="76">
        <v>3.86</v>
      </c>
      <c r="Y123" s="76"/>
      <c r="Z123" t="s">
        <v>1437</v>
      </c>
      <c r="AA123" s="76" t="s">
        <v>162</v>
      </c>
      <c r="AB123" s="76">
        <v>0</v>
      </c>
      <c r="AC123" s="76">
        <v>0</v>
      </c>
      <c r="AD123" s="76">
        <v>1</v>
      </c>
      <c r="AE123" s="76">
        <v>0</v>
      </c>
      <c r="AF123" s="76">
        <v>0</v>
      </c>
      <c r="AG123" s="76">
        <v>4</v>
      </c>
      <c r="AH123" s="76">
        <v>1</v>
      </c>
      <c r="AI123" s="76">
        <v>0</v>
      </c>
      <c r="AJ123" s="76">
        <v>0</v>
      </c>
      <c r="AK123" s="76">
        <v>0</v>
      </c>
      <c r="AL123" s="76">
        <v>0</v>
      </c>
      <c r="AM123" s="76">
        <v>0</v>
      </c>
      <c r="AN123" s="76">
        <v>58</v>
      </c>
      <c r="AO123" s="102" t="s">
        <v>157</v>
      </c>
      <c r="AP123" s="102" t="s">
        <v>1081</v>
      </c>
      <c r="AQ123" s="102" t="s">
        <v>1068</v>
      </c>
      <c r="AR123" s="102" t="s">
        <v>1059</v>
      </c>
      <c r="AS123" s="102" t="s">
        <v>1060</v>
      </c>
      <c r="AT123" s="102" t="s">
        <v>1061</v>
      </c>
      <c r="AU123" s="102" t="s">
        <v>1092</v>
      </c>
      <c r="AV123" s="102" t="s">
        <v>1093</v>
      </c>
      <c r="AW123" s="102" t="s">
        <v>1094</v>
      </c>
      <c r="AX123" s="102" t="s">
        <v>1095</v>
      </c>
      <c r="AY123" s="102" t="s">
        <v>1096</v>
      </c>
    </row>
    <row r="124" spans="1:51" ht="12.75" customHeight="1" x14ac:dyDescent="0.2">
      <c r="A124" s="76">
        <v>14</v>
      </c>
      <c r="B124" t="s">
        <v>1432</v>
      </c>
      <c r="C124" s="76" t="s">
        <v>162</v>
      </c>
      <c r="D124" s="76">
        <v>2</v>
      </c>
      <c r="E124" s="76">
        <v>3</v>
      </c>
      <c r="F124" s="76">
        <v>6.08</v>
      </c>
      <c r="G124" s="76">
        <v>8</v>
      </c>
      <c r="H124" s="76">
        <v>8</v>
      </c>
      <c r="I124" s="76">
        <v>0</v>
      </c>
      <c r="J124" s="76">
        <v>0</v>
      </c>
      <c r="K124" s="76">
        <v>0</v>
      </c>
      <c r="L124" s="76">
        <v>0</v>
      </c>
      <c r="M124" s="76">
        <v>37</v>
      </c>
      <c r="N124" s="76">
        <v>41</v>
      </c>
      <c r="O124" s="76">
        <v>26</v>
      </c>
      <c r="P124" s="76">
        <v>25</v>
      </c>
      <c r="Q124" s="76">
        <v>9</v>
      </c>
      <c r="R124" s="76">
        <v>19</v>
      </c>
      <c r="S124" s="76">
        <v>1</v>
      </c>
      <c r="T124" s="76">
        <v>31</v>
      </c>
      <c r="U124" s="76">
        <v>170</v>
      </c>
      <c r="V124" s="76">
        <v>37</v>
      </c>
      <c r="W124" s="76">
        <v>0.27900000000000003</v>
      </c>
      <c r="X124" s="76">
        <v>1.62</v>
      </c>
      <c r="Y124" s="76"/>
      <c r="Z124" t="s">
        <v>1432</v>
      </c>
      <c r="AA124" s="76" t="s">
        <v>162</v>
      </c>
      <c r="AB124" s="76">
        <v>4</v>
      </c>
      <c r="AC124" s="76">
        <v>1</v>
      </c>
      <c r="AD124" s="76">
        <v>0</v>
      </c>
      <c r="AE124" s="76">
        <v>0</v>
      </c>
      <c r="AF124" s="76">
        <v>3</v>
      </c>
      <c r="AG124" s="76">
        <v>31</v>
      </c>
      <c r="AH124" s="76">
        <v>44</v>
      </c>
      <c r="AI124" s="76">
        <v>2</v>
      </c>
      <c r="AJ124" s="76">
        <v>1</v>
      </c>
      <c r="AK124" s="76">
        <v>0</v>
      </c>
      <c r="AL124" s="76">
        <v>0</v>
      </c>
      <c r="AM124" s="76">
        <v>0</v>
      </c>
      <c r="AN124" s="76">
        <v>721</v>
      </c>
      <c r="AO124" s="202" t="s">
        <v>162</v>
      </c>
      <c r="AP124" s="202">
        <v>0.66700000000000004</v>
      </c>
      <c r="AQ124" s="202">
        <v>1.21</v>
      </c>
      <c r="AR124" s="202">
        <v>0.313</v>
      </c>
      <c r="AS124" s="202">
        <v>0.441</v>
      </c>
      <c r="AT124" s="202">
        <v>0.755</v>
      </c>
      <c r="AU124" s="202">
        <v>10.44</v>
      </c>
      <c r="AV124" s="202">
        <v>2.69</v>
      </c>
      <c r="AW124" s="202">
        <v>8.65</v>
      </c>
      <c r="AX124" s="202">
        <v>3.89</v>
      </c>
      <c r="AY124" s="202">
        <v>16.97</v>
      </c>
    </row>
    <row r="125" spans="1:51" ht="12.75" customHeight="1" x14ac:dyDescent="0.2">
      <c r="A125" s="76">
        <v>6</v>
      </c>
      <c r="B125" s="41" t="s">
        <v>601</v>
      </c>
      <c r="C125" s="76" t="s">
        <v>162</v>
      </c>
      <c r="D125" s="76">
        <v>14</v>
      </c>
      <c r="E125" s="76">
        <v>8</v>
      </c>
      <c r="F125" s="76">
        <v>3.76</v>
      </c>
      <c r="G125" s="76">
        <v>34</v>
      </c>
      <c r="H125" s="76">
        <v>31</v>
      </c>
      <c r="I125" s="76">
        <v>0</v>
      </c>
      <c r="J125" s="76">
        <v>0</v>
      </c>
      <c r="K125" s="76">
        <v>0</v>
      </c>
      <c r="L125" s="76">
        <v>0</v>
      </c>
      <c r="M125" s="76">
        <v>191.1</v>
      </c>
      <c r="N125" s="76">
        <v>154</v>
      </c>
      <c r="O125" s="76">
        <v>80</v>
      </c>
      <c r="P125" s="76">
        <v>80</v>
      </c>
      <c r="Q125" s="76">
        <v>31</v>
      </c>
      <c r="R125" s="76">
        <v>73</v>
      </c>
      <c r="S125" s="76">
        <v>4</v>
      </c>
      <c r="T125" s="76">
        <v>162</v>
      </c>
      <c r="U125" s="76">
        <v>792</v>
      </c>
      <c r="V125" s="76">
        <v>191.1</v>
      </c>
      <c r="W125" s="76">
        <v>0.22</v>
      </c>
      <c r="X125" s="76">
        <v>1.19</v>
      </c>
      <c r="Y125" s="76"/>
      <c r="Z125" t="s">
        <v>601</v>
      </c>
      <c r="AA125" s="76" t="s">
        <v>162</v>
      </c>
      <c r="AB125" s="76">
        <v>11</v>
      </c>
      <c r="AC125" s="76">
        <v>4</v>
      </c>
      <c r="AD125" s="76">
        <v>0</v>
      </c>
      <c r="AE125" s="76">
        <v>0</v>
      </c>
      <c r="AF125" s="76">
        <v>10</v>
      </c>
      <c r="AG125" s="76">
        <v>146</v>
      </c>
      <c r="AH125" s="76">
        <v>246</v>
      </c>
      <c r="AI125" s="76">
        <v>3</v>
      </c>
      <c r="AJ125" s="76">
        <v>1</v>
      </c>
      <c r="AK125" s="76">
        <v>12</v>
      </c>
      <c r="AL125" s="76">
        <v>7</v>
      </c>
      <c r="AM125" s="76">
        <v>1</v>
      </c>
      <c r="AN125" s="76">
        <v>3061</v>
      </c>
      <c r="AO125" s="202" t="s">
        <v>162</v>
      </c>
      <c r="AP125" s="202">
        <v>0.33300000000000002</v>
      </c>
      <c r="AQ125" s="202">
        <v>1</v>
      </c>
      <c r="AR125" s="202">
        <v>0.32200000000000001</v>
      </c>
      <c r="AS125" s="202">
        <v>0.38500000000000001</v>
      </c>
      <c r="AT125" s="202">
        <v>0.70599999999999996</v>
      </c>
      <c r="AU125" s="202">
        <v>4.88</v>
      </c>
      <c r="AV125" s="202">
        <v>2.71</v>
      </c>
      <c r="AW125" s="202">
        <v>9.6300000000000008</v>
      </c>
      <c r="AX125" s="202">
        <v>1.8</v>
      </c>
      <c r="AY125" s="202">
        <v>15.8</v>
      </c>
    </row>
    <row r="126" spans="1:51" ht="12.75" customHeight="1" x14ac:dyDescent="0.2">
      <c r="A126" s="76">
        <v>8</v>
      </c>
      <c r="B126" s="41" t="s">
        <v>1430</v>
      </c>
      <c r="C126" s="76" t="s">
        <v>162</v>
      </c>
      <c r="D126" s="76">
        <v>6</v>
      </c>
      <c r="E126" s="76">
        <v>5</v>
      </c>
      <c r="F126" s="76">
        <v>3.99</v>
      </c>
      <c r="G126" s="76">
        <v>70</v>
      </c>
      <c r="H126" s="76">
        <v>0</v>
      </c>
      <c r="I126" s="76">
        <v>0</v>
      </c>
      <c r="J126" s="76">
        <v>0</v>
      </c>
      <c r="K126" s="76">
        <v>1</v>
      </c>
      <c r="L126" s="76">
        <v>6</v>
      </c>
      <c r="M126" s="76">
        <v>76.2</v>
      </c>
      <c r="N126" s="76">
        <v>72</v>
      </c>
      <c r="O126" s="76">
        <v>38</v>
      </c>
      <c r="P126" s="76">
        <v>34</v>
      </c>
      <c r="Q126" s="76">
        <v>9</v>
      </c>
      <c r="R126" s="76">
        <v>38</v>
      </c>
      <c r="S126" s="76">
        <v>3</v>
      </c>
      <c r="T126" s="76">
        <v>81</v>
      </c>
      <c r="U126" s="76">
        <v>330</v>
      </c>
      <c r="V126" s="76">
        <v>76.2</v>
      </c>
      <c r="W126" s="76">
        <v>0.251</v>
      </c>
      <c r="X126" s="76">
        <v>1.43</v>
      </c>
      <c r="Y126" s="76"/>
      <c r="Z126" t="s">
        <v>1430</v>
      </c>
      <c r="AA126" s="76" t="s">
        <v>162</v>
      </c>
      <c r="AB126" s="76">
        <v>2</v>
      </c>
      <c r="AC126" s="76">
        <v>3</v>
      </c>
      <c r="AD126" s="76">
        <v>21</v>
      </c>
      <c r="AE126" s="76">
        <v>15</v>
      </c>
      <c r="AF126" s="76">
        <v>8</v>
      </c>
      <c r="AG126" s="76">
        <v>85</v>
      </c>
      <c r="AH126" s="76">
        <v>52</v>
      </c>
      <c r="AI126" s="76">
        <v>8</v>
      </c>
      <c r="AJ126" s="76">
        <v>0</v>
      </c>
      <c r="AK126" s="76">
        <v>8</v>
      </c>
      <c r="AL126" s="76">
        <v>1</v>
      </c>
      <c r="AM126" s="76">
        <v>0</v>
      </c>
      <c r="AN126" s="76">
        <v>1313</v>
      </c>
      <c r="AO126" s="202" t="s">
        <v>162</v>
      </c>
      <c r="AP126" s="202">
        <v>0.5</v>
      </c>
      <c r="AQ126" s="202">
        <v>0.32</v>
      </c>
      <c r="AR126" s="202">
        <v>0.40300000000000002</v>
      </c>
      <c r="AS126" s="202">
        <v>0.51600000000000001</v>
      </c>
      <c r="AT126" s="202">
        <v>0.91900000000000004</v>
      </c>
      <c r="AU126" s="202">
        <v>7.47</v>
      </c>
      <c r="AV126" s="202">
        <v>7.47</v>
      </c>
      <c r="AW126" s="202">
        <v>9.77</v>
      </c>
      <c r="AX126" s="202">
        <v>1</v>
      </c>
      <c r="AY126" s="202">
        <v>17.87</v>
      </c>
    </row>
    <row r="127" spans="1:51" ht="12.75" customHeight="1" x14ac:dyDescent="0.2">
      <c r="A127" s="76">
        <v>23</v>
      </c>
      <c r="B127" t="s">
        <v>1346</v>
      </c>
      <c r="C127" s="76" t="s">
        <v>162</v>
      </c>
      <c r="D127" s="76">
        <v>0</v>
      </c>
      <c r="E127" s="76">
        <v>2</v>
      </c>
      <c r="F127" s="76">
        <v>7.62</v>
      </c>
      <c r="G127" s="76">
        <v>4</v>
      </c>
      <c r="H127" s="76">
        <v>2</v>
      </c>
      <c r="I127" s="76">
        <v>0</v>
      </c>
      <c r="J127" s="76">
        <v>0</v>
      </c>
      <c r="K127" s="76">
        <v>0</v>
      </c>
      <c r="L127" s="76">
        <v>0</v>
      </c>
      <c r="M127" s="76">
        <v>13</v>
      </c>
      <c r="N127" s="76">
        <v>25</v>
      </c>
      <c r="O127" s="76">
        <v>16</v>
      </c>
      <c r="P127" s="76">
        <v>11</v>
      </c>
      <c r="Q127" s="76">
        <v>2</v>
      </c>
      <c r="R127" s="76">
        <v>2</v>
      </c>
      <c r="S127" s="76">
        <v>0</v>
      </c>
      <c r="T127" s="76">
        <v>6</v>
      </c>
      <c r="U127" s="76">
        <v>64</v>
      </c>
      <c r="V127" s="76">
        <v>13</v>
      </c>
      <c r="W127" s="76">
        <v>0.41699999999999998</v>
      </c>
      <c r="X127" s="76">
        <v>2.08</v>
      </c>
      <c r="Y127" s="76"/>
      <c r="Z127" t="s">
        <v>1346</v>
      </c>
      <c r="AA127" s="76" t="s">
        <v>162</v>
      </c>
      <c r="AB127" s="76">
        <v>0</v>
      </c>
      <c r="AC127" s="76">
        <v>0</v>
      </c>
      <c r="AD127" s="76">
        <v>0</v>
      </c>
      <c r="AE127" s="76">
        <v>0</v>
      </c>
      <c r="AF127" s="76">
        <v>2</v>
      </c>
      <c r="AG127" s="76">
        <v>15</v>
      </c>
      <c r="AH127" s="76">
        <v>16</v>
      </c>
      <c r="AI127" s="76">
        <v>1</v>
      </c>
      <c r="AJ127" s="76">
        <v>0</v>
      </c>
      <c r="AK127" s="76">
        <v>1</v>
      </c>
      <c r="AL127" s="76">
        <v>1</v>
      </c>
      <c r="AM127" s="76">
        <v>0</v>
      </c>
      <c r="AN127" s="76">
        <v>230</v>
      </c>
      <c r="AO127" s="202" t="s">
        <v>162</v>
      </c>
      <c r="AP127" s="202">
        <v>0</v>
      </c>
      <c r="AQ127" s="202">
        <v>1.81</v>
      </c>
      <c r="AR127" s="202">
        <v>0.28000000000000003</v>
      </c>
      <c r="AS127" s="202">
        <v>0.39200000000000002</v>
      </c>
      <c r="AT127" s="202">
        <v>0.67200000000000004</v>
      </c>
      <c r="AU127" s="202">
        <v>6.75</v>
      </c>
      <c r="AV127" s="202">
        <v>3.15</v>
      </c>
      <c r="AW127" s="202">
        <v>7.2</v>
      </c>
      <c r="AX127" s="202">
        <v>2.14</v>
      </c>
      <c r="AY127" s="202">
        <v>15.15</v>
      </c>
    </row>
    <row r="128" spans="1:51" ht="12.75" customHeight="1" x14ac:dyDescent="0.2">
      <c r="A128" s="225" t="s">
        <v>105</v>
      </c>
      <c r="B128" s="225" t="s">
        <v>106</v>
      </c>
      <c r="C128" s="225" t="s">
        <v>157</v>
      </c>
      <c r="D128" s="225" t="s">
        <v>85</v>
      </c>
      <c r="E128" s="225" t="s">
        <v>86</v>
      </c>
      <c r="F128" s="225" t="s">
        <v>107</v>
      </c>
      <c r="G128" s="225" t="s">
        <v>108</v>
      </c>
      <c r="H128" s="225" t="s">
        <v>88</v>
      </c>
      <c r="I128" s="225" t="s">
        <v>89</v>
      </c>
      <c r="J128" s="225" t="s">
        <v>1073</v>
      </c>
      <c r="K128" s="225" t="s">
        <v>90</v>
      </c>
      <c r="L128" s="225" t="s">
        <v>158</v>
      </c>
      <c r="M128" s="225" t="s">
        <v>91</v>
      </c>
      <c r="N128" s="225" t="s">
        <v>92</v>
      </c>
      <c r="O128" s="225" t="s">
        <v>93</v>
      </c>
      <c r="P128" s="225" t="s">
        <v>94</v>
      </c>
      <c r="Q128" s="225" t="s">
        <v>95</v>
      </c>
      <c r="R128" s="225" t="s">
        <v>96</v>
      </c>
      <c r="S128" s="225" t="s">
        <v>98</v>
      </c>
      <c r="T128" s="225" t="s">
        <v>97</v>
      </c>
      <c r="U128" s="225" t="s">
        <v>109</v>
      </c>
      <c r="V128" s="225" t="s">
        <v>91</v>
      </c>
      <c r="W128" s="225" t="s">
        <v>1071</v>
      </c>
      <c r="X128" s="225" t="s">
        <v>1072</v>
      </c>
      <c r="Y128" s="225"/>
      <c r="Z128" s="225" t="s">
        <v>106</v>
      </c>
      <c r="AA128" s="225" t="s">
        <v>157</v>
      </c>
      <c r="AB128" s="225" t="s">
        <v>1074</v>
      </c>
      <c r="AC128" s="225" t="s">
        <v>98</v>
      </c>
      <c r="AD128" s="225" t="s">
        <v>1075</v>
      </c>
      <c r="AE128" s="225" t="s">
        <v>1076</v>
      </c>
      <c r="AF128" s="225" t="s">
        <v>1077</v>
      </c>
      <c r="AG128" s="225" t="s">
        <v>1066</v>
      </c>
      <c r="AH128" s="225" t="s">
        <v>1067</v>
      </c>
      <c r="AI128" s="225" t="s">
        <v>1078</v>
      </c>
      <c r="AJ128" s="225" t="s">
        <v>1079</v>
      </c>
      <c r="AK128" s="225" t="s">
        <v>1057</v>
      </c>
      <c r="AL128" s="225" t="s">
        <v>1058</v>
      </c>
      <c r="AM128" s="225" t="s">
        <v>1080</v>
      </c>
      <c r="AN128" s="225" t="s">
        <v>1069</v>
      </c>
      <c r="AO128" s="202" t="s">
        <v>163</v>
      </c>
      <c r="AP128" s="202">
        <v>0.44400000000000001</v>
      </c>
      <c r="AQ128" s="202">
        <v>1.33</v>
      </c>
      <c r="AR128" s="202">
        <v>0.35199999999999998</v>
      </c>
      <c r="AS128" s="202">
        <v>0.35199999999999998</v>
      </c>
      <c r="AT128" s="202">
        <v>0.70399999999999996</v>
      </c>
      <c r="AU128" s="202">
        <v>10.02</v>
      </c>
      <c r="AV128" s="202">
        <v>5.17</v>
      </c>
      <c r="AW128" s="202">
        <v>9.0500000000000007</v>
      </c>
      <c r="AX128" s="202">
        <v>1.94</v>
      </c>
      <c r="AY128" s="202">
        <v>19.22</v>
      </c>
    </row>
    <row r="129" spans="1:51" ht="12.75" customHeight="1" x14ac:dyDescent="0.2">
      <c r="A129" s="76">
        <v>2</v>
      </c>
      <c r="B129" s="41" t="s">
        <v>1438</v>
      </c>
      <c r="C129" s="76" t="s">
        <v>163</v>
      </c>
      <c r="D129" s="76">
        <v>5</v>
      </c>
      <c r="E129" s="76">
        <v>6</v>
      </c>
      <c r="F129" s="76">
        <v>3.54</v>
      </c>
      <c r="G129" s="76">
        <v>19</v>
      </c>
      <c r="H129" s="76">
        <v>19</v>
      </c>
      <c r="I129" s="76">
        <v>0</v>
      </c>
      <c r="J129" s="76">
        <v>0</v>
      </c>
      <c r="K129" s="76">
        <v>0</v>
      </c>
      <c r="L129" s="76">
        <v>0</v>
      </c>
      <c r="M129" s="76">
        <v>114.1</v>
      </c>
      <c r="N129" s="76">
        <v>119</v>
      </c>
      <c r="O129" s="76">
        <v>50</v>
      </c>
      <c r="P129" s="76">
        <v>45</v>
      </c>
      <c r="Q129" s="76">
        <v>12</v>
      </c>
      <c r="R129" s="76">
        <v>28</v>
      </c>
      <c r="S129" s="76">
        <v>2</v>
      </c>
      <c r="T129" s="76">
        <v>99</v>
      </c>
      <c r="U129" s="76">
        <v>478</v>
      </c>
      <c r="V129" s="76">
        <v>114.1</v>
      </c>
      <c r="W129" s="76">
        <v>0.27200000000000002</v>
      </c>
      <c r="X129" s="76">
        <v>1.29</v>
      </c>
      <c r="Y129" s="76"/>
      <c r="Z129" t="s">
        <v>1438</v>
      </c>
      <c r="AA129" s="76" t="s">
        <v>163</v>
      </c>
      <c r="AB129" s="76">
        <v>3</v>
      </c>
      <c r="AC129" s="76">
        <v>2</v>
      </c>
      <c r="AD129" s="76">
        <v>0</v>
      </c>
      <c r="AE129" s="76">
        <v>0</v>
      </c>
      <c r="AF129" s="76">
        <v>13</v>
      </c>
      <c r="AG129" s="76">
        <v>140</v>
      </c>
      <c r="AH129" s="76">
        <v>88</v>
      </c>
      <c r="AI129" s="76">
        <v>4</v>
      </c>
      <c r="AJ129" s="76">
        <v>3</v>
      </c>
      <c r="AK129" s="76">
        <v>7</v>
      </c>
      <c r="AL129" s="76">
        <v>2</v>
      </c>
      <c r="AM129" s="76">
        <v>3</v>
      </c>
      <c r="AN129" s="76">
        <v>1793</v>
      </c>
      <c r="AO129" s="202" t="s">
        <v>163</v>
      </c>
      <c r="AP129" s="202">
        <v>0.33300000000000002</v>
      </c>
      <c r="AQ129" s="202">
        <v>0.27</v>
      </c>
      <c r="AR129" s="202">
        <v>0.314</v>
      </c>
      <c r="AS129" s="202">
        <v>0.435</v>
      </c>
      <c r="AT129" s="202">
        <v>0.749</v>
      </c>
      <c r="AU129" s="202">
        <v>9.15</v>
      </c>
      <c r="AV129" s="202">
        <v>2.75</v>
      </c>
      <c r="AW129" s="202">
        <v>9.84</v>
      </c>
      <c r="AX129" s="202">
        <v>3.33</v>
      </c>
      <c r="AY129" s="202">
        <v>17.77</v>
      </c>
    </row>
    <row r="130" spans="1:51" ht="12.75" customHeight="1" x14ac:dyDescent="0.2">
      <c r="A130" s="76">
        <v>21</v>
      </c>
      <c r="B130" t="s">
        <v>759</v>
      </c>
      <c r="C130" s="76" t="s">
        <v>163</v>
      </c>
      <c r="D130" s="76">
        <v>1</v>
      </c>
      <c r="E130" s="76">
        <v>3</v>
      </c>
      <c r="F130" s="76">
        <v>8.39</v>
      </c>
      <c r="G130" s="76">
        <v>15</v>
      </c>
      <c r="H130" s="76">
        <v>1</v>
      </c>
      <c r="I130" s="76">
        <v>0</v>
      </c>
      <c r="J130" s="76">
        <v>0</v>
      </c>
      <c r="K130" s="76">
        <v>0</v>
      </c>
      <c r="L130" s="76">
        <v>1</v>
      </c>
      <c r="M130" s="76">
        <v>24.2</v>
      </c>
      <c r="N130" s="76">
        <v>39</v>
      </c>
      <c r="O130" s="76">
        <v>24</v>
      </c>
      <c r="P130" s="76">
        <v>23</v>
      </c>
      <c r="Q130" s="76">
        <v>7</v>
      </c>
      <c r="R130" s="76">
        <v>6</v>
      </c>
      <c r="S130" s="76">
        <v>0</v>
      </c>
      <c r="T130" s="76">
        <v>22</v>
      </c>
      <c r="U130" s="76">
        <v>119</v>
      </c>
      <c r="V130" s="76">
        <v>24.2</v>
      </c>
      <c r="W130" s="76">
        <v>0.35499999999999998</v>
      </c>
      <c r="X130" s="76">
        <v>1.82</v>
      </c>
      <c r="Y130" s="76"/>
      <c r="Z130" t="s">
        <v>759</v>
      </c>
      <c r="AA130" s="76" t="s">
        <v>163</v>
      </c>
      <c r="AB130" s="76">
        <v>0</v>
      </c>
      <c r="AC130" s="76">
        <v>0</v>
      </c>
      <c r="AD130" s="76">
        <v>5</v>
      </c>
      <c r="AE130" s="76">
        <v>0</v>
      </c>
      <c r="AF130" s="76">
        <v>2</v>
      </c>
      <c r="AG130" s="76">
        <v>22</v>
      </c>
      <c r="AH130" s="76">
        <v>30</v>
      </c>
      <c r="AI130" s="76">
        <v>0</v>
      </c>
      <c r="AJ130" s="76">
        <v>0</v>
      </c>
      <c r="AK130" s="76">
        <v>0</v>
      </c>
      <c r="AL130" s="76">
        <v>0</v>
      </c>
      <c r="AM130" s="76">
        <v>0</v>
      </c>
      <c r="AN130" s="76">
        <v>448</v>
      </c>
      <c r="AO130" s="202" t="s">
        <v>163</v>
      </c>
      <c r="AP130" s="202">
        <v>0</v>
      </c>
      <c r="AQ130" s="202">
        <v>1.21</v>
      </c>
      <c r="AR130" s="202">
        <v>0.371</v>
      </c>
      <c r="AS130" s="202">
        <v>0.38500000000000001</v>
      </c>
      <c r="AT130" s="202">
        <v>0.75600000000000001</v>
      </c>
      <c r="AU130" s="202">
        <v>11.21</v>
      </c>
      <c r="AV130" s="202">
        <v>4.33</v>
      </c>
      <c r="AW130" s="202">
        <v>10.19</v>
      </c>
      <c r="AX130" s="202">
        <v>2.59</v>
      </c>
      <c r="AY130" s="202">
        <v>18.62</v>
      </c>
    </row>
    <row r="131" spans="1:51" ht="12.75" customHeight="1" x14ac:dyDescent="0.2">
      <c r="A131" s="76">
        <v>8</v>
      </c>
      <c r="B131" s="41" t="s">
        <v>371</v>
      </c>
      <c r="C131" s="76" t="s">
        <v>163</v>
      </c>
      <c r="D131" s="76">
        <v>14</v>
      </c>
      <c r="E131" s="76">
        <v>8</v>
      </c>
      <c r="F131" s="76">
        <v>4.79</v>
      </c>
      <c r="G131" s="76">
        <v>32</v>
      </c>
      <c r="H131" s="76">
        <v>32</v>
      </c>
      <c r="I131" s="76">
        <v>1</v>
      </c>
      <c r="J131" s="76">
        <v>1</v>
      </c>
      <c r="K131" s="76">
        <v>0</v>
      </c>
      <c r="L131" s="76">
        <v>0</v>
      </c>
      <c r="M131" s="76">
        <v>186</v>
      </c>
      <c r="N131" s="76">
        <v>204</v>
      </c>
      <c r="O131" s="76">
        <v>107</v>
      </c>
      <c r="P131" s="76">
        <v>99</v>
      </c>
      <c r="Q131" s="76">
        <v>22</v>
      </c>
      <c r="R131" s="76">
        <v>59</v>
      </c>
      <c r="S131" s="76">
        <v>5</v>
      </c>
      <c r="T131" s="76">
        <v>138</v>
      </c>
      <c r="U131" s="76">
        <v>814</v>
      </c>
      <c r="V131" s="76">
        <v>186</v>
      </c>
      <c r="W131" s="76">
        <v>0.27800000000000002</v>
      </c>
      <c r="X131" s="76">
        <v>1.41</v>
      </c>
      <c r="Y131" s="76"/>
      <c r="Z131" t="s">
        <v>371</v>
      </c>
      <c r="AA131" s="76" t="s">
        <v>163</v>
      </c>
      <c r="AB131" s="76">
        <v>7</v>
      </c>
      <c r="AC131" s="76">
        <v>5</v>
      </c>
      <c r="AD131" s="76">
        <v>0</v>
      </c>
      <c r="AE131" s="76">
        <v>0</v>
      </c>
      <c r="AF131" s="76">
        <v>11</v>
      </c>
      <c r="AG131" s="76">
        <v>260</v>
      </c>
      <c r="AH131" s="76">
        <v>146</v>
      </c>
      <c r="AI131" s="76">
        <v>4</v>
      </c>
      <c r="AJ131" s="76">
        <v>0</v>
      </c>
      <c r="AK131" s="76">
        <v>8</v>
      </c>
      <c r="AL131" s="76">
        <v>4</v>
      </c>
      <c r="AM131" s="76">
        <v>0</v>
      </c>
      <c r="AN131" s="76">
        <v>3055</v>
      </c>
      <c r="AO131" s="202" t="s">
        <v>163</v>
      </c>
      <c r="AP131" s="202">
        <v>1</v>
      </c>
      <c r="AQ131" s="202">
        <v>1.63</v>
      </c>
      <c r="AR131" s="202">
        <v>0.378</v>
      </c>
      <c r="AS131" s="202">
        <v>0.35899999999999999</v>
      </c>
      <c r="AT131" s="202">
        <v>0.73699999999999999</v>
      </c>
      <c r="AU131" s="202">
        <v>7.84</v>
      </c>
      <c r="AV131" s="202">
        <v>4.3499999999999996</v>
      </c>
      <c r="AW131" s="202">
        <v>9.58</v>
      </c>
      <c r="AX131" s="202">
        <v>1.8</v>
      </c>
      <c r="AY131" s="202">
        <v>18</v>
      </c>
    </row>
    <row r="132" spans="1:51" ht="12.75" customHeight="1" x14ac:dyDescent="0.2">
      <c r="A132" s="76">
        <v>20</v>
      </c>
      <c r="B132" s="41" t="s">
        <v>760</v>
      </c>
      <c r="C132" s="76" t="s">
        <v>163</v>
      </c>
      <c r="D132" s="76">
        <v>2</v>
      </c>
      <c r="E132" s="76">
        <v>5</v>
      </c>
      <c r="F132" s="76">
        <v>7.17</v>
      </c>
      <c r="G132" s="76">
        <v>17</v>
      </c>
      <c r="H132" s="76">
        <v>9</v>
      </c>
      <c r="I132" s="76">
        <v>0</v>
      </c>
      <c r="J132" s="76">
        <v>0</v>
      </c>
      <c r="K132" s="76">
        <v>0</v>
      </c>
      <c r="L132" s="76">
        <v>0</v>
      </c>
      <c r="M132" s="76">
        <v>64</v>
      </c>
      <c r="N132" s="76">
        <v>87</v>
      </c>
      <c r="O132" s="76">
        <v>57</v>
      </c>
      <c r="P132" s="76">
        <v>51</v>
      </c>
      <c r="Q132" s="76">
        <v>13</v>
      </c>
      <c r="R132" s="76">
        <v>21</v>
      </c>
      <c r="S132" s="76">
        <v>1</v>
      </c>
      <c r="T132" s="76">
        <v>47</v>
      </c>
      <c r="U132" s="76">
        <v>293</v>
      </c>
      <c r="V132" s="76">
        <v>64</v>
      </c>
      <c r="W132" s="76">
        <v>0.32800000000000001</v>
      </c>
      <c r="X132" s="76">
        <v>1.69</v>
      </c>
      <c r="Y132" s="76"/>
      <c r="Z132" t="s">
        <v>760</v>
      </c>
      <c r="AA132" s="76" t="s">
        <v>163</v>
      </c>
      <c r="AB132" s="76">
        <v>3</v>
      </c>
      <c r="AC132" s="76">
        <v>1</v>
      </c>
      <c r="AD132" s="76">
        <v>0</v>
      </c>
      <c r="AE132" s="76">
        <v>0</v>
      </c>
      <c r="AF132" s="76">
        <v>6</v>
      </c>
      <c r="AG132" s="76">
        <v>74</v>
      </c>
      <c r="AH132" s="76">
        <v>61</v>
      </c>
      <c r="AI132" s="76">
        <v>1</v>
      </c>
      <c r="AJ132" s="76">
        <v>0</v>
      </c>
      <c r="AK132" s="76">
        <v>4</v>
      </c>
      <c r="AL132" s="76">
        <v>3</v>
      </c>
      <c r="AM132" s="76">
        <v>0</v>
      </c>
      <c r="AN132" s="76">
        <v>1079</v>
      </c>
      <c r="AO132" s="202" t="s">
        <v>163</v>
      </c>
      <c r="AP132" s="202">
        <v>1</v>
      </c>
      <c r="AQ132" s="202">
        <v>1.57</v>
      </c>
      <c r="AR132" s="202">
        <v>0.38700000000000001</v>
      </c>
      <c r="AS132" s="202">
        <v>0.44400000000000001</v>
      </c>
      <c r="AT132" s="202">
        <v>0.83199999999999996</v>
      </c>
      <c r="AU132" s="202">
        <v>3.68</v>
      </c>
      <c r="AV132" s="202">
        <v>3.68</v>
      </c>
      <c r="AW132" s="202">
        <v>9.82</v>
      </c>
      <c r="AX132" s="202">
        <v>1</v>
      </c>
      <c r="AY132" s="202">
        <v>14.32</v>
      </c>
    </row>
    <row r="133" spans="1:51" ht="12.75" customHeight="1" x14ac:dyDescent="0.2">
      <c r="A133" s="76">
        <v>22</v>
      </c>
      <c r="B133" t="s">
        <v>1443</v>
      </c>
      <c r="C133" s="76" t="s">
        <v>163</v>
      </c>
      <c r="D133" s="76">
        <v>1</v>
      </c>
      <c r="E133" s="76">
        <v>0</v>
      </c>
      <c r="F133" s="76">
        <v>9.19</v>
      </c>
      <c r="G133" s="76">
        <v>19</v>
      </c>
      <c r="H133" s="76">
        <v>0</v>
      </c>
      <c r="I133" s="76">
        <v>0</v>
      </c>
      <c r="J133" s="76">
        <v>0</v>
      </c>
      <c r="K133" s="76">
        <v>0</v>
      </c>
      <c r="L133" s="76">
        <v>0</v>
      </c>
      <c r="M133" s="76">
        <v>15.2</v>
      </c>
      <c r="N133" s="76">
        <v>25</v>
      </c>
      <c r="O133" s="76">
        <v>17</v>
      </c>
      <c r="P133" s="76">
        <v>16</v>
      </c>
      <c r="Q133" s="76">
        <v>1</v>
      </c>
      <c r="R133" s="76">
        <v>11</v>
      </c>
      <c r="S133" s="76">
        <v>0</v>
      </c>
      <c r="T133" s="76">
        <v>17</v>
      </c>
      <c r="U133" s="76">
        <v>83</v>
      </c>
      <c r="V133" s="76">
        <v>15.2</v>
      </c>
      <c r="W133" s="76">
        <v>0.373</v>
      </c>
      <c r="X133" s="76">
        <v>2.2999999999999998</v>
      </c>
      <c r="Y133" s="76"/>
      <c r="Z133" t="s">
        <v>1443</v>
      </c>
      <c r="AA133" s="76" t="s">
        <v>163</v>
      </c>
      <c r="AB133" s="76">
        <v>3</v>
      </c>
      <c r="AC133" s="76">
        <v>0</v>
      </c>
      <c r="AD133" s="76">
        <v>7</v>
      </c>
      <c r="AE133" s="76">
        <v>2</v>
      </c>
      <c r="AF133" s="76">
        <v>2</v>
      </c>
      <c r="AG133" s="76">
        <v>12</v>
      </c>
      <c r="AH133" s="76">
        <v>15</v>
      </c>
      <c r="AI133" s="76">
        <v>2</v>
      </c>
      <c r="AJ133" s="76">
        <v>0</v>
      </c>
      <c r="AK133" s="76">
        <v>1</v>
      </c>
      <c r="AL133" s="76">
        <v>1</v>
      </c>
      <c r="AM133" s="76">
        <v>0</v>
      </c>
      <c r="AN133" s="76">
        <v>307</v>
      </c>
      <c r="AO133" s="202" t="s">
        <v>163</v>
      </c>
      <c r="AP133" s="202">
        <v>0.28599999999999998</v>
      </c>
      <c r="AQ133" s="202">
        <v>1.36</v>
      </c>
      <c r="AR133" s="202">
        <v>0.36399999999999999</v>
      </c>
      <c r="AS133" s="202">
        <v>0.38700000000000001</v>
      </c>
      <c r="AT133" s="202">
        <v>0.751</v>
      </c>
      <c r="AU133" s="202">
        <v>5.51</v>
      </c>
      <c r="AV133" s="202">
        <v>3.49</v>
      </c>
      <c r="AW133" s="202">
        <v>9.92</v>
      </c>
      <c r="AX133" s="202">
        <v>1.58</v>
      </c>
      <c r="AY133" s="202">
        <v>15.65</v>
      </c>
    </row>
    <row r="134" spans="1:51" ht="12.75" customHeight="1" x14ac:dyDescent="0.2">
      <c r="A134" s="76">
        <v>19</v>
      </c>
      <c r="B134" t="s">
        <v>1115</v>
      </c>
      <c r="C134" s="76" t="s">
        <v>163</v>
      </c>
      <c r="D134" s="76">
        <v>0</v>
      </c>
      <c r="E134" s="76">
        <v>0</v>
      </c>
      <c r="F134" s="76">
        <v>6.14</v>
      </c>
      <c r="G134" s="76">
        <v>19</v>
      </c>
      <c r="H134" s="76">
        <v>0</v>
      </c>
      <c r="I134" s="76">
        <v>0</v>
      </c>
      <c r="J134" s="76">
        <v>0</v>
      </c>
      <c r="K134" s="76">
        <v>0</v>
      </c>
      <c r="L134" s="76">
        <v>1</v>
      </c>
      <c r="M134" s="76">
        <v>14.2</v>
      </c>
      <c r="N134" s="76">
        <v>18</v>
      </c>
      <c r="O134" s="76">
        <v>10</v>
      </c>
      <c r="P134" s="76">
        <v>10</v>
      </c>
      <c r="Q134" s="76">
        <v>3</v>
      </c>
      <c r="R134" s="76">
        <v>5</v>
      </c>
      <c r="S134" s="76">
        <v>0</v>
      </c>
      <c r="T134" s="76">
        <v>12</v>
      </c>
      <c r="U134" s="76">
        <v>67</v>
      </c>
      <c r="V134" s="76">
        <v>14.2</v>
      </c>
      <c r="W134" s="76">
        <v>0.3</v>
      </c>
      <c r="X134" s="76">
        <v>1.57</v>
      </c>
      <c r="Y134" s="76"/>
      <c r="Z134" t="s">
        <v>1115</v>
      </c>
      <c r="AA134" s="76" t="s">
        <v>163</v>
      </c>
      <c r="AB134" s="76">
        <v>1</v>
      </c>
      <c r="AC134" s="76">
        <v>0</v>
      </c>
      <c r="AD134" s="76">
        <v>4</v>
      </c>
      <c r="AE134" s="76">
        <v>7</v>
      </c>
      <c r="AF134" s="76">
        <v>1</v>
      </c>
      <c r="AG134" s="76">
        <v>21</v>
      </c>
      <c r="AH134" s="76">
        <v>10</v>
      </c>
      <c r="AI134" s="76">
        <v>0</v>
      </c>
      <c r="AJ134" s="76">
        <v>0</v>
      </c>
      <c r="AK134" s="76">
        <v>2</v>
      </c>
      <c r="AL134" s="76">
        <v>0</v>
      </c>
      <c r="AM134" s="76">
        <v>0</v>
      </c>
      <c r="AN134" s="76">
        <v>240</v>
      </c>
      <c r="AO134" s="202" t="s">
        <v>163</v>
      </c>
      <c r="AP134" s="202">
        <v>0.35</v>
      </c>
      <c r="AQ134" s="202">
        <v>0.95</v>
      </c>
      <c r="AR134" s="202">
        <v>0.35899999999999999</v>
      </c>
      <c r="AS134" s="202">
        <v>0.56499999999999995</v>
      </c>
      <c r="AT134" s="202">
        <v>0.92400000000000004</v>
      </c>
      <c r="AU134" s="202">
        <v>5.0599999999999996</v>
      </c>
      <c r="AV134" s="202">
        <v>2.85</v>
      </c>
      <c r="AW134" s="202">
        <v>10.88</v>
      </c>
      <c r="AX134" s="202">
        <v>1.78</v>
      </c>
      <c r="AY134" s="202">
        <v>15.61</v>
      </c>
    </row>
    <row r="135" spans="1:51" ht="12.75" customHeight="1" x14ac:dyDescent="0.2">
      <c r="A135" s="76">
        <v>5</v>
      </c>
      <c r="B135" s="41" t="s">
        <v>1439</v>
      </c>
      <c r="C135" s="76" t="s">
        <v>163</v>
      </c>
      <c r="D135" s="76">
        <v>12</v>
      </c>
      <c r="E135" s="76">
        <v>9</v>
      </c>
      <c r="F135" s="76">
        <v>3.87</v>
      </c>
      <c r="G135" s="76">
        <v>27</v>
      </c>
      <c r="H135" s="76">
        <v>27</v>
      </c>
      <c r="I135" s="76">
        <v>0</v>
      </c>
      <c r="J135" s="76">
        <v>0</v>
      </c>
      <c r="K135" s="76">
        <v>0</v>
      </c>
      <c r="L135" s="76">
        <v>0</v>
      </c>
      <c r="M135" s="76">
        <v>158</v>
      </c>
      <c r="N135" s="76">
        <v>147</v>
      </c>
      <c r="O135" s="76">
        <v>75</v>
      </c>
      <c r="P135" s="76">
        <v>68</v>
      </c>
      <c r="Q135" s="76">
        <v>15</v>
      </c>
      <c r="R135" s="76">
        <v>70</v>
      </c>
      <c r="S135" s="76">
        <v>2</v>
      </c>
      <c r="T135" s="76">
        <v>117</v>
      </c>
      <c r="U135" s="76">
        <v>669</v>
      </c>
      <c r="V135" s="76">
        <v>158</v>
      </c>
      <c r="W135" s="76">
        <v>0.25</v>
      </c>
      <c r="X135" s="76">
        <v>1.37</v>
      </c>
      <c r="Y135" s="76"/>
      <c r="Z135" t="s">
        <v>1439</v>
      </c>
      <c r="AA135" s="76" t="s">
        <v>163</v>
      </c>
      <c r="AB135" s="76">
        <v>5</v>
      </c>
      <c r="AC135" s="76">
        <v>2</v>
      </c>
      <c r="AD135" s="76">
        <v>0</v>
      </c>
      <c r="AE135" s="76">
        <v>0</v>
      </c>
      <c r="AF135" s="76">
        <v>22</v>
      </c>
      <c r="AG135" s="76">
        <v>210</v>
      </c>
      <c r="AH135" s="76">
        <v>120</v>
      </c>
      <c r="AI135" s="76">
        <v>7</v>
      </c>
      <c r="AJ135" s="76">
        <v>0</v>
      </c>
      <c r="AK135" s="76">
        <v>4</v>
      </c>
      <c r="AL135" s="76">
        <v>6</v>
      </c>
      <c r="AM135" s="76">
        <v>0</v>
      </c>
      <c r="AN135" s="76">
        <v>2546</v>
      </c>
      <c r="AO135" s="202" t="s">
        <v>163</v>
      </c>
      <c r="AP135" s="202">
        <v>0.25</v>
      </c>
      <c r="AQ135" s="202">
        <v>1.44</v>
      </c>
      <c r="AR135" s="202">
        <v>0.34300000000000003</v>
      </c>
      <c r="AS135" s="202">
        <v>0.373</v>
      </c>
      <c r="AT135" s="202">
        <v>0.71599999999999997</v>
      </c>
      <c r="AU135" s="202">
        <v>5.45</v>
      </c>
      <c r="AV135" s="202">
        <v>4.3600000000000003</v>
      </c>
      <c r="AW135" s="202">
        <v>8.73</v>
      </c>
      <c r="AX135" s="202">
        <v>1.25</v>
      </c>
      <c r="AY135" s="202">
        <v>17.39</v>
      </c>
    </row>
    <row r="136" spans="1:51" ht="12.75" customHeight="1" x14ac:dyDescent="0.2">
      <c r="A136" s="76">
        <v>16</v>
      </c>
      <c r="B136" s="41" t="s">
        <v>366</v>
      </c>
      <c r="C136" s="76" t="s">
        <v>163</v>
      </c>
      <c r="D136" s="76">
        <v>8</v>
      </c>
      <c r="E136" s="76">
        <v>9</v>
      </c>
      <c r="F136" s="76">
        <v>5.51</v>
      </c>
      <c r="G136" s="76">
        <v>27</v>
      </c>
      <c r="H136" s="76">
        <v>24</v>
      </c>
      <c r="I136" s="76">
        <v>0</v>
      </c>
      <c r="J136" s="76">
        <v>0</v>
      </c>
      <c r="K136" s="76">
        <v>0</v>
      </c>
      <c r="L136" s="76">
        <v>0</v>
      </c>
      <c r="M136" s="76">
        <v>134</v>
      </c>
      <c r="N136" s="76">
        <v>157</v>
      </c>
      <c r="O136" s="76">
        <v>93</v>
      </c>
      <c r="P136" s="76">
        <v>82</v>
      </c>
      <c r="Q136" s="76">
        <v>23</v>
      </c>
      <c r="R136" s="76">
        <v>63</v>
      </c>
      <c r="S136" s="76">
        <v>3</v>
      </c>
      <c r="T136" s="76">
        <v>108</v>
      </c>
      <c r="U136" s="76">
        <v>614</v>
      </c>
      <c r="V136" s="76">
        <v>134</v>
      </c>
      <c r="W136" s="76">
        <v>0.29299999999999998</v>
      </c>
      <c r="X136" s="76">
        <v>1.64</v>
      </c>
      <c r="Y136" s="76"/>
      <c r="Z136" t="s">
        <v>366</v>
      </c>
      <c r="AA136" s="76" t="s">
        <v>163</v>
      </c>
      <c r="AB136" s="76">
        <v>8</v>
      </c>
      <c r="AC136" s="76">
        <v>3</v>
      </c>
      <c r="AD136" s="76">
        <v>0</v>
      </c>
      <c r="AE136" s="76">
        <v>0</v>
      </c>
      <c r="AF136" s="76">
        <v>15</v>
      </c>
      <c r="AG136" s="76">
        <v>152</v>
      </c>
      <c r="AH136" s="76">
        <v>126</v>
      </c>
      <c r="AI136" s="76">
        <v>7</v>
      </c>
      <c r="AJ136" s="76">
        <v>1</v>
      </c>
      <c r="AK136" s="76">
        <v>18</v>
      </c>
      <c r="AL136" s="76">
        <v>4</v>
      </c>
      <c r="AM136" s="76">
        <v>1</v>
      </c>
      <c r="AN136" s="76">
        <v>2343</v>
      </c>
      <c r="AO136" s="202" t="s">
        <v>163</v>
      </c>
      <c r="AP136" s="202">
        <v>0.5</v>
      </c>
      <c r="AQ136" s="202">
        <v>1.4</v>
      </c>
      <c r="AR136" s="202">
        <v>0.34100000000000003</v>
      </c>
      <c r="AS136" s="202">
        <v>0.52</v>
      </c>
      <c r="AT136" s="202">
        <v>0.86099999999999999</v>
      </c>
      <c r="AU136" s="202">
        <v>7.01</v>
      </c>
      <c r="AV136" s="202">
        <v>2.2999999999999998</v>
      </c>
      <c r="AW136" s="202">
        <v>10.91</v>
      </c>
      <c r="AX136" s="202">
        <v>3.05</v>
      </c>
      <c r="AY136" s="202">
        <v>16.600000000000001</v>
      </c>
    </row>
    <row r="137" spans="1:51" ht="12.75" customHeight="1" x14ac:dyDescent="0.2">
      <c r="A137" s="76">
        <v>14</v>
      </c>
      <c r="B137" s="41" t="s">
        <v>1442</v>
      </c>
      <c r="C137" s="76" t="s">
        <v>163</v>
      </c>
      <c r="D137" s="76">
        <v>3</v>
      </c>
      <c r="E137" s="76">
        <v>7</v>
      </c>
      <c r="F137" s="76">
        <v>5.24</v>
      </c>
      <c r="G137" s="76">
        <v>63</v>
      </c>
      <c r="H137" s="76">
        <v>0</v>
      </c>
      <c r="I137" s="76">
        <v>0</v>
      </c>
      <c r="J137" s="76">
        <v>0</v>
      </c>
      <c r="K137" s="76">
        <v>11</v>
      </c>
      <c r="L137" s="76">
        <v>18</v>
      </c>
      <c r="M137" s="76">
        <v>55</v>
      </c>
      <c r="N137" s="76">
        <v>50</v>
      </c>
      <c r="O137" s="76">
        <v>32</v>
      </c>
      <c r="P137" s="76">
        <v>32</v>
      </c>
      <c r="Q137" s="76">
        <v>6</v>
      </c>
      <c r="R137" s="76">
        <v>28</v>
      </c>
      <c r="S137" s="76">
        <v>4</v>
      </c>
      <c r="T137" s="76">
        <v>59</v>
      </c>
      <c r="U137" s="76">
        <v>246</v>
      </c>
      <c r="V137" s="76">
        <v>55</v>
      </c>
      <c r="W137" s="76">
        <v>0.24</v>
      </c>
      <c r="X137" s="76">
        <v>1.42</v>
      </c>
      <c r="Y137" s="76"/>
      <c r="Z137" t="s">
        <v>1442</v>
      </c>
      <c r="AA137" s="76" t="s">
        <v>163</v>
      </c>
      <c r="AB137" s="76">
        <v>5</v>
      </c>
      <c r="AC137" s="76">
        <v>4</v>
      </c>
      <c r="AD137" s="76">
        <v>26</v>
      </c>
      <c r="AE137" s="76">
        <v>11</v>
      </c>
      <c r="AF137" s="76">
        <v>1</v>
      </c>
      <c r="AG137" s="76">
        <v>45</v>
      </c>
      <c r="AH137" s="76">
        <v>59</v>
      </c>
      <c r="AI137" s="76">
        <v>3</v>
      </c>
      <c r="AJ137" s="76">
        <v>0</v>
      </c>
      <c r="AK137" s="76">
        <v>7</v>
      </c>
      <c r="AL137" s="76">
        <v>1</v>
      </c>
      <c r="AM137" s="76">
        <v>0</v>
      </c>
      <c r="AN137" s="76">
        <v>1025</v>
      </c>
      <c r="AO137" s="202" t="s">
        <v>163</v>
      </c>
      <c r="AP137" s="202">
        <v>0</v>
      </c>
      <c r="AQ137" s="202">
        <v>0.88</v>
      </c>
      <c r="AR137" s="202">
        <v>0.372</v>
      </c>
      <c r="AS137" s="202">
        <v>0.48499999999999999</v>
      </c>
      <c r="AT137" s="202">
        <v>0.85599999999999998</v>
      </c>
      <c r="AU137" s="202">
        <v>8.85</v>
      </c>
      <c r="AV137" s="202">
        <v>3.1</v>
      </c>
      <c r="AW137" s="202">
        <v>11.51</v>
      </c>
      <c r="AX137" s="202">
        <v>2.86</v>
      </c>
      <c r="AY137" s="202">
        <v>16.77</v>
      </c>
    </row>
    <row r="138" spans="1:51" ht="12.75" customHeight="1" x14ac:dyDescent="0.2">
      <c r="A138" s="76">
        <v>24</v>
      </c>
      <c r="B138" t="s">
        <v>757</v>
      </c>
      <c r="C138" s="76" t="s">
        <v>163</v>
      </c>
      <c r="D138" s="76">
        <v>0</v>
      </c>
      <c r="E138" s="76">
        <v>0</v>
      </c>
      <c r="F138" s="76">
        <v>12.27</v>
      </c>
      <c r="G138" s="76">
        <v>2</v>
      </c>
      <c r="H138" s="76">
        <v>0</v>
      </c>
      <c r="I138" s="76">
        <v>0</v>
      </c>
      <c r="J138" s="76">
        <v>0</v>
      </c>
      <c r="K138" s="76">
        <v>0</v>
      </c>
      <c r="L138" s="76">
        <v>0</v>
      </c>
      <c r="M138" s="76">
        <v>3.2</v>
      </c>
      <c r="N138" s="76">
        <v>8</v>
      </c>
      <c r="O138" s="76">
        <v>6</v>
      </c>
      <c r="P138" s="76">
        <v>5</v>
      </c>
      <c r="Q138" s="76">
        <v>0</v>
      </c>
      <c r="R138" s="76">
        <v>3</v>
      </c>
      <c r="S138" s="76">
        <v>1</v>
      </c>
      <c r="T138" s="76">
        <v>0</v>
      </c>
      <c r="U138" s="76">
        <v>20</v>
      </c>
      <c r="V138" s="76">
        <v>3.2</v>
      </c>
      <c r="W138" s="76">
        <v>0.5</v>
      </c>
      <c r="X138" s="76">
        <v>3</v>
      </c>
      <c r="Y138" s="76"/>
      <c r="Z138" t="s">
        <v>757</v>
      </c>
      <c r="AA138" s="76" t="s">
        <v>163</v>
      </c>
      <c r="AB138" s="76">
        <v>0</v>
      </c>
      <c r="AC138" s="76">
        <v>1</v>
      </c>
      <c r="AD138" s="76">
        <v>0</v>
      </c>
      <c r="AE138" s="76">
        <v>0</v>
      </c>
      <c r="AF138" s="76">
        <v>2</v>
      </c>
      <c r="AG138" s="76">
        <v>7</v>
      </c>
      <c r="AH138" s="76">
        <v>2</v>
      </c>
      <c r="AI138" s="76">
        <v>0</v>
      </c>
      <c r="AJ138" s="76">
        <v>0</v>
      </c>
      <c r="AK138" s="76">
        <v>0</v>
      </c>
      <c r="AL138" s="76">
        <v>0</v>
      </c>
      <c r="AM138" s="76">
        <v>0</v>
      </c>
      <c r="AN138" s="76">
        <v>62</v>
      </c>
      <c r="AO138" s="202" t="s">
        <v>163</v>
      </c>
      <c r="AP138" s="202">
        <v>0.5</v>
      </c>
      <c r="AQ138" s="202">
        <v>0.64</v>
      </c>
      <c r="AR138" s="202">
        <v>0.248</v>
      </c>
      <c r="AS138" s="202">
        <v>0.30499999999999999</v>
      </c>
      <c r="AT138" s="202">
        <v>0.55300000000000005</v>
      </c>
      <c r="AU138" s="202">
        <v>10.26</v>
      </c>
      <c r="AV138" s="202">
        <v>2.97</v>
      </c>
      <c r="AW138" s="202">
        <v>5.67</v>
      </c>
      <c r="AX138" s="202">
        <v>3.45</v>
      </c>
      <c r="AY138" s="202">
        <v>15.81</v>
      </c>
    </row>
    <row r="139" spans="1:51" ht="12.75" customHeight="1" x14ac:dyDescent="0.2">
      <c r="A139" s="76">
        <v>15</v>
      </c>
      <c r="B139" s="41" t="s">
        <v>416</v>
      </c>
      <c r="C139" s="76" t="s">
        <v>163</v>
      </c>
      <c r="D139" s="76">
        <v>2</v>
      </c>
      <c r="E139" s="76">
        <v>1</v>
      </c>
      <c r="F139" s="76">
        <v>5.31</v>
      </c>
      <c r="G139" s="76">
        <v>40</v>
      </c>
      <c r="H139" s="76">
        <v>0</v>
      </c>
      <c r="I139" s="76">
        <v>0</v>
      </c>
      <c r="J139" s="76">
        <v>0</v>
      </c>
      <c r="K139" s="76">
        <v>1</v>
      </c>
      <c r="L139" s="76">
        <v>2</v>
      </c>
      <c r="M139" s="76">
        <v>40.200000000000003</v>
      </c>
      <c r="N139" s="76">
        <v>41</v>
      </c>
      <c r="O139" s="76">
        <v>25</v>
      </c>
      <c r="P139" s="76">
        <v>24</v>
      </c>
      <c r="Q139" s="76">
        <v>5</v>
      </c>
      <c r="R139" s="76">
        <v>25</v>
      </c>
      <c r="S139" s="76">
        <v>3</v>
      </c>
      <c r="T139" s="76">
        <v>32</v>
      </c>
      <c r="U139" s="76">
        <v>182</v>
      </c>
      <c r="V139" s="76">
        <v>40.200000000000003</v>
      </c>
      <c r="W139" s="76">
        <v>0.26600000000000001</v>
      </c>
      <c r="X139" s="76">
        <v>1.62</v>
      </c>
      <c r="Y139" s="76"/>
      <c r="Z139" t="s">
        <v>416</v>
      </c>
      <c r="AA139" s="76" t="s">
        <v>163</v>
      </c>
      <c r="AB139" s="76">
        <v>1</v>
      </c>
      <c r="AC139" s="76">
        <v>3</v>
      </c>
      <c r="AD139" s="76">
        <v>8</v>
      </c>
      <c r="AE139" s="76">
        <v>0</v>
      </c>
      <c r="AF139" s="76">
        <v>3</v>
      </c>
      <c r="AG139" s="76">
        <v>41</v>
      </c>
      <c r="AH139" s="76">
        <v>42</v>
      </c>
      <c r="AI139" s="76">
        <v>5</v>
      </c>
      <c r="AJ139" s="76">
        <v>0</v>
      </c>
      <c r="AK139" s="76">
        <v>1</v>
      </c>
      <c r="AL139" s="76">
        <v>2</v>
      </c>
      <c r="AM139" s="76">
        <v>0</v>
      </c>
      <c r="AN139" s="76">
        <v>739</v>
      </c>
      <c r="AO139" s="202" t="s">
        <v>163</v>
      </c>
      <c r="AP139" s="202" t="s">
        <v>243</v>
      </c>
      <c r="AQ139" s="202">
        <v>1</v>
      </c>
      <c r="AR139" s="202">
        <v>0.46200000000000002</v>
      </c>
      <c r="AS139" s="202">
        <v>0.67600000000000005</v>
      </c>
      <c r="AT139" s="202">
        <v>1.137</v>
      </c>
      <c r="AU139" s="202">
        <v>8.2200000000000006</v>
      </c>
      <c r="AV139" s="202">
        <v>2.35</v>
      </c>
      <c r="AW139" s="202">
        <v>18.78</v>
      </c>
      <c r="AX139" s="202">
        <v>3.5</v>
      </c>
      <c r="AY139" s="202">
        <v>18.649999999999999</v>
      </c>
    </row>
    <row r="140" spans="1:51" ht="12.75" customHeight="1" x14ac:dyDescent="0.2">
      <c r="A140" s="76">
        <v>6</v>
      </c>
      <c r="B140" s="41" t="s">
        <v>1112</v>
      </c>
      <c r="C140" s="76" t="s">
        <v>163</v>
      </c>
      <c r="D140" s="76">
        <v>10</v>
      </c>
      <c r="E140" s="76">
        <v>10</v>
      </c>
      <c r="F140" s="76">
        <v>4.6100000000000003</v>
      </c>
      <c r="G140" s="76">
        <v>29</v>
      </c>
      <c r="H140" s="76">
        <v>29</v>
      </c>
      <c r="I140" s="76">
        <v>1</v>
      </c>
      <c r="J140" s="76">
        <v>1</v>
      </c>
      <c r="K140" s="76">
        <v>0</v>
      </c>
      <c r="L140" s="76">
        <v>0</v>
      </c>
      <c r="M140" s="76">
        <v>168</v>
      </c>
      <c r="N140" s="76">
        <v>153</v>
      </c>
      <c r="O140" s="76">
        <v>92</v>
      </c>
      <c r="P140" s="76">
        <v>86</v>
      </c>
      <c r="Q140" s="76">
        <v>18</v>
      </c>
      <c r="R140" s="76">
        <v>59</v>
      </c>
      <c r="S140" s="76">
        <v>2</v>
      </c>
      <c r="T140" s="76">
        <v>185</v>
      </c>
      <c r="U140" s="76">
        <v>712</v>
      </c>
      <c r="V140" s="76">
        <v>168</v>
      </c>
      <c r="W140" s="76">
        <v>0.24299999999999999</v>
      </c>
      <c r="X140" s="76">
        <v>1.26</v>
      </c>
      <c r="Y140" s="76"/>
      <c r="Z140" t="s">
        <v>1112</v>
      </c>
      <c r="AA140" s="76" t="s">
        <v>163</v>
      </c>
      <c r="AB140" s="76">
        <v>12</v>
      </c>
      <c r="AC140" s="76">
        <v>2</v>
      </c>
      <c r="AD140" s="76">
        <v>0</v>
      </c>
      <c r="AE140" s="76">
        <v>0</v>
      </c>
      <c r="AF140" s="76">
        <v>10</v>
      </c>
      <c r="AG140" s="76">
        <v>159</v>
      </c>
      <c r="AH140" s="76">
        <v>143</v>
      </c>
      <c r="AI140" s="76">
        <v>7</v>
      </c>
      <c r="AJ140" s="76">
        <v>0</v>
      </c>
      <c r="AK140" s="76">
        <v>10</v>
      </c>
      <c r="AL140" s="76">
        <v>2</v>
      </c>
      <c r="AM140" s="76">
        <v>3</v>
      </c>
      <c r="AN140" s="76">
        <v>2793</v>
      </c>
      <c r="AO140" s="202" t="s">
        <v>163</v>
      </c>
      <c r="AP140" s="202">
        <v>0.23100000000000001</v>
      </c>
      <c r="AQ140" s="202">
        <v>1.78</v>
      </c>
      <c r="AR140" s="202">
        <v>0.40699999999999997</v>
      </c>
      <c r="AS140" s="202">
        <v>0.54600000000000004</v>
      </c>
      <c r="AT140" s="202">
        <v>0.95199999999999996</v>
      </c>
      <c r="AU140" s="202">
        <v>4.99</v>
      </c>
      <c r="AV140" s="202">
        <v>4.76</v>
      </c>
      <c r="AW140" s="202">
        <v>11.57</v>
      </c>
      <c r="AX140" s="202">
        <v>1.05</v>
      </c>
      <c r="AY140" s="202">
        <v>17.09</v>
      </c>
    </row>
    <row r="141" spans="1:51" ht="12.75" customHeight="1" x14ac:dyDescent="0.2">
      <c r="A141" s="76">
        <v>23</v>
      </c>
      <c r="B141" t="s">
        <v>1114</v>
      </c>
      <c r="C141" s="76" t="s">
        <v>163</v>
      </c>
      <c r="D141" s="76">
        <v>0</v>
      </c>
      <c r="E141" s="76">
        <v>0</v>
      </c>
      <c r="F141" s="76">
        <v>9.31</v>
      </c>
      <c r="G141" s="76">
        <v>6</v>
      </c>
      <c r="H141" s="76">
        <v>0</v>
      </c>
      <c r="I141" s="76">
        <v>0</v>
      </c>
      <c r="J141" s="76">
        <v>0</v>
      </c>
      <c r="K141" s="76">
        <v>0</v>
      </c>
      <c r="L141" s="76">
        <v>0</v>
      </c>
      <c r="M141" s="76">
        <v>9.1999999999999993</v>
      </c>
      <c r="N141" s="76">
        <v>16</v>
      </c>
      <c r="O141" s="76">
        <v>10</v>
      </c>
      <c r="P141" s="76">
        <v>10</v>
      </c>
      <c r="Q141" s="76">
        <v>1</v>
      </c>
      <c r="R141" s="76">
        <v>2</v>
      </c>
      <c r="S141" s="76">
        <v>0</v>
      </c>
      <c r="T141" s="76">
        <v>7</v>
      </c>
      <c r="U141" s="76">
        <v>45</v>
      </c>
      <c r="V141" s="76">
        <v>9.1999999999999993</v>
      </c>
      <c r="W141" s="76">
        <v>0.38100000000000001</v>
      </c>
      <c r="X141" s="76">
        <v>1.86</v>
      </c>
      <c r="Y141" s="76"/>
      <c r="Z141" t="s">
        <v>1114</v>
      </c>
      <c r="AA141" s="76" t="s">
        <v>163</v>
      </c>
      <c r="AB141" s="76">
        <v>0</v>
      </c>
      <c r="AC141" s="76">
        <v>0</v>
      </c>
      <c r="AD141" s="76">
        <v>5</v>
      </c>
      <c r="AE141" s="76">
        <v>0</v>
      </c>
      <c r="AF141" s="76">
        <v>1</v>
      </c>
      <c r="AG141" s="76">
        <v>12</v>
      </c>
      <c r="AH141" s="76">
        <v>8</v>
      </c>
      <c r="AI141" s="76">
        <v>0</v>
      </c>
      <c r="AJ141" s="76">
        <v>0</v>
      </c>
      <c r="AK141" s="76">
        <v>1</v>
      </c>
      <c r="AL141" s="76">
        <v>1</v>
      </c>
      <c r="AM141" s="76">
        <v>1</v>
      </c>
      <c r="AN141" s="76">
        <v>155</v>
      </c>
      <c r="AO141" s="202" t="s">
        <v>163</v>
      </c>
      <c r="AP141" s="202">
        <v>0.66700000000000004</v>
      </c>
      <c r="AQ141" s="202">
        <v>1.1000000000000001</v>
      </c>
      <c r="AR141" s="202">
        <v>0.42599999999999999</v>
      </c>
      <c r="AS141" s="202">
        <v>0.39700000000000002</v>
      </c>
      <c r="AT141" s="202">
        <v>0.82299999999999995</v>
      </c>
      <c r="AU141" s="202">
        <v>6.14</v>
      </c>
      <c r="AV141" s="202">
        <v>7.77</v>
      </c>
      <c r="AW141" s="202">
        <v>8.59</v>
      </c>
      <c r="AX141" s="202">
        <v>0.79</v>
      </c>
      <c r="AY141" s="202">
        <v>18.14</v>
      </c>
    </row>
    <row r="142" spans="1:51" ht="12.75" customHeight="1" x14ac:dyDescent="0.2">
      <c r="A142" s="76">
        <v>25</v>
      </c>
      <c r="B142" t="s">
        <v>331</v>
      </c>
      <c r="C142" s="76" t="s">
        <v>163</v>
      </c>
      <c r="D142" s="76">
        <v>0</v>
      </c>
      <c r="E142" s="76">
        <v>0</v>
      </c>
      <c r="F142" s="76">
        <v>13.5</v>
      </c>
      <c r="G142" s="76">
        <v>2</v>
      </c>
      <c r="H142" s="76">
        <v>0</v>
      </c>
      <c r="I142" s="76">
        <v>0</v>
      </c>
      <c r="J142" s="76">
        <v>0</v>
      </c>
      <c r="K142" s="76">
        <v>0</v>
      </c>
      <c r="L142" s="76">
        <v>0</v>
      </c>
      <c r="M142" s="76">
        <v>2</v>
      </c>
      <c r="N142" s="76">
        <v>4</v>
      </c>
      <c r="O142" s="76">
        <v>3</v>
      </c>
      <c r="P142" s="76">
        <v>3</v>
      </c>
      <c r="Q142" s="76">
        <v>1</v>
      </c>
      <c r="R142" s="76">
        <v>2</v>
      </c>
      <c r="S142" s="76">
        <v>0</v>
      </c>
      <c r="T142" s="76">
        <v>1</v>
      </c>
      <c r="U142" s="76">
        <v>12</v>
      </c>
      <c r="V142" s="76">
        <v>2</v>
      </c>
      <c r="W142" s="76">
        <v>0.4</v>
      </c>
      <c r="X142" s="76">
        <v>3</v>
      </c>
      <c r="Y142" s="76"/>
      <c r="Z142" t="s">
        <v>331</v>
      </c>
      <c r="AA142" s="76" t="s">
        <v>163</v>
      </c>
      <c r="AB142" s="76">
        <v>0</v>
      </c>
      <c r="AC142" s="76">
        <v>0</v>
      </c>
      <c r="AD142" s="76">
        <v>0</v>
      </c>
      <c r="AE142" s="76">
        <v>0</v>
      </c>
      <c r="AF142" s="76">
        <v>0</v>
      </c>
      <c r="AG142" s="76">
        <v>1</v>
      </c>
      <c r="AH142" s="76">
        <v>4</v>
      </c>
      <c r="AI142" s="76">
        <v>0</v>
      </c>
      <c r="AJ142" s="76">
        <v>0</v>
      </c>
      <c r="AK142" s="76">
        <v>2</v>
      </c>
      <c r="AL142" s="76">
        <v>0</v>
      </c>
      <c r="AM142" s="76">
        <v>0</v>
      </c>
      <c r="AN142" s="76">
        <v>48</v>
      </c>
      <c r="AO142" s="202" t="s">
        <v>163</v>
      </c>
      <c r="AP142" s="202">
        <v>0.42899999999999999</v>
      </c>
      <c r="AQ142" s="202">
        <v>1.79</v>
      </c>
      <c r="AR142" s="202">
        <v>0.371</v>
      </c>
      <c r="AS142" s="202">
        <v>0.46800000000000003</v>
      </c>
      <c r="AT142" s="202">
        <v>0.83899999999999997</v>
      </c>
      <c r="AU142" s="202">
        <v>6.79</v>
      </c>
      <c r="AV142" s="202">
        <v>4.78</v>
      </c>
      <c r="AW142" s="202">
        <v>8.9499999999999993</v>
      </c>
      <c r="AX142" s="202">
        <v>1.42</v>
      </c>
      <c r="AY142" s="202">
        <v>17.23</v>
      </c>
    </row>
    <row r="143" spans="1:51" ht="12.75" customHeight="1" x14ac:dyDescent="0.2">
      <c r="A143" s="76">
        <v>9</v>
      </c>
      <c r="B143" t="s">
        <v>1440</v>
      </c>
      <c r="C143" s="76" t="s">
        <v>163</v>
      </c>
      <c r="D143" s="76">
        <v>0</v>
      </c>
      <c r="E143" s="76">
        <v>4</v>
      </c>
      <c r="F143" s="76">
        <v>4.88</v>
      </c>
      <c r="G143" s="76">
        <v>8</v>
      </c>
      <c r="H143" s="76">
        <v>6</v>
      </c>
      <c r="I143" s="76">
        <v>0</v>
      </c>
      <c r="J143" s="76">
        <v>0</v>
      </c>
      <c r="K143" s="76">
        <v>0</v>
      </c>
      <c r="L143" s="76">
        <v>0</v>
      </c>
      <c r="M143" s="76">
        <v>31.1</v>
      </c>
      <c r="N143" s="76">
        <v>37</v>
      </c>
      <c r="O143" s="76">
        <v>29</v>
      </c>
      <c r="P143" s="76">
        <v>17</v>
      </c>
      <c r="Q143" s="76">
        <v>7</v>
      </c>
      <c r="R143" s="76">
        <v>17</v>
      </c>
      <c r="S143" s="76">
        <v>1</v>
      </c>
      <c r="T143" s="76">
        <v>22</v>
      </c>
      <c r="U143" s="76">
        <v>147</v>
      </c>
      <c r="V143" s="76">
        <v>31.1</v>
      </c>
      <c r="W143" s="76">
        <v>0.28699999999999998</v>
      </c>
      <c r="X143" s="76">
        <v>1.72</v>
      </c>
      <c r="Y143" s="76"/>
      <c r="Z143" t="s">
        <v>1440</v>
      </c>
      <c r="AA143" s="76" t="s">
        <v>163</v>
      </c>
      <c r="AB143" s="76">
        <v>0</v>
      </c>
      <c r="AC143" s="76">
        <v>1</v>
      </c>
      <c r="AD143" s="76">
        <v>0</v>
      </c>
      <c r="AE143" s="76">
        <v>0</v>
      </c>
      <c r="AF143" s="76">
        <v>4</v>
      </c>
      <c r="AG143" s="76">
        <v>41</v>
      </c>
      <c r="AH143" s="76">
        <v>30</v>
      </c>
      <c r="AI143" s="76">
        <v>4</v>
      </c>
      <c r="AJ143" s="76">
        <v>0</v>
      </c>
      <c r="AK143" s="76">
        <v>1</v>
      </c>
      <c r="AL143" s="76">
        <v>0</v>
      </c>
      <c r="AM143" s="76">
        <v>0</v>
      </c>
      <c r="AN143" s="76">
        <v>556</v>
      </c>
      <c r="AO143" s="202" t="s">
        <v>163</v>
      </c>
      <c r="AP143" s="202">
        <v>0.56299999999999994</v>
      </c>
      <c r="AQ143" s="202">
        <v>1.66</v>
      </c>
      <c r="AR143" s="202">
        <v>0.32500000000000001</v>
      </c>
      <c r="AS143" s="202">
        <v>0.41299999999999998</v>
      </c>
      <c r="AT143" s="202">
        <v>0.73899999999999999</v>
      </c>
      <c r="AU143" s="202">
        <v>8.09</v>
      </c>
      <c r="AV143" s="202">
        <v>3.93</v>
      </c>
      <c r="AW143" s="202">
        <v>8.2799999999999994</v>
      </c>
      <c r="AX143" s="202">
        <v>2.06</v>
      </c>
      <c r="AY143" s="202">
        <v>16.5</v>
      </c>
    </row>
    <row r="144" spans="1:51" ht="12.75" customHeight="1" x14ac:dyDescent="0.2">
      <c r="A144" s="76">
        <v>3</v>
      </c>
      <c r="B144" s="41" t="s">
        <v>585</v>
      </c>
      <c r="C144" s="76" t="s">
        <v>163</v>
      </c>
      <c r="D144" s="76">
        <v>2</v>
      </c>
      <c r="E144" s="76">
        <v>5</v>
      </c>
      <c r="F144" s="76">
        <v>3.69</v>
      </c>
      <c r="G144" s="76">
        <v>66</v>
      </c>
      <c r="H144" s="76">
        <v>0</v>
      </c>
      <c r="I144" s="76">
        <v>0</v>
      </c>
      <c r="J144" s="76">
        <v>0</v>
      </c>
      <c r="K144" s="76">
        <v>1</v>
      </c>
      <c r="L144" s="76">
        <v>4</v>
      </c>
      <c r="M144" s="76">
        <v>46.1</v>
      </c>
      <c r="N144" s="76">
        <v>27</v>
      </c>
      <c r="O144" s="76">
        <v>23</v>
      </c>
      <c r="P144" s="76">
        <v>19</v>
      </c>
      <c r="Q144" s="76">
        <v>4</v>
      </c>
      <c r="R144" s="76">
        <v>20</v>
      </c>
      <c r="S144" s="76">
        <v>5</v>
      </c>
      <c r="T144" s="76">
        <v>57</v>
      </c>
      <c r="U144" s="76">
        <v>187</v>
      </c>
      <c r="V144" s="76">
        <v>46.1</v>
      </c>
      <c r="W144" s="76">
        <v>0.16600000000000001</v>
      </c>
      <c r="X144" s="76">
        <v>1.01</v>
      </c>
      <c r="Y144" s="76"/>
      <c r="Z144" t="s">
        <v>585</v>
      </c>
      <c r="AA144" s="76" t="s">
        <v>163</v>
      </c>
      <c r="AB144" s="76">
        <v>2</v>
      </c>
      <c r="AC144" s="76">
        <v>5</v>
      </c>
      <c r="AD144" s="76">
        <v>9</v>
      </c>
      <c r="AE144" s="76">
        <v>27</v>
      </c>
      <c r="AF144" s="76">
        <v>4</v>
      </c>
      <c r="AG144" s="76">
        <v>50</v>
      </c>
      <c r="AH144" s="76">
        <v>31</v>
      </c>
      <c r="AI144" s="76">
        <v>4</v>
      </c>
      <c r="AJ144" s="76">
        <v>0</v>
      </c>
      <c r="AK144" s="76">
        <v>1</v>
      </c>
      <c r="AL144" s="76">
        <v>0</v>
      </c>
      <c r="AM144" s="76">
        <v>0</v>
      </c>
      <c r="AN144" s="76">
        <v>748</v>
      </c>
      <c r="AO144" s="202" t="s">
        <v>163</v>
      </c>
      <c r="AP144" s="202">
        <v>0.57099999999999995</v>
      </c>
      <c r="AQ144" s="202">
        <v>1.57</v>
      </c>
      <c r="AR144" s="202">
        <v>0.33300000000000002</v>
      </c>
      <c r="AS144" s="202">
        <v>0.438</v>
      </c>
      <c r="AT144" s="202">
        <v>0.77100000000000002</v>
      </c>
      <c r="AU144" s="202">
        <v>7.67</v>
      </c>
      <c r="AV144" s="202">
        <v>3.29</v>
      </c>
      <c r="AW144" s="202">
        <v>9.39</v>
      </c>
      <c r="AX144" s="202">
        <v>2.33</v>
      </c>
      <c r="AY144" s="202">
        <v>16.37</v>
      </c>
    </row>
    <row r="145" spans="1:51" ht="12.75" customHeight="1" x14ac:dyDescent="0.2">
      <c r="A145" s="76">
        <v>18</v>
      </c>
      <c r="B145" s="41" t="s">
        <v>553</v>
      </c>
      <c r="C145" s="76" t="s">
        <v>163</v>
      </c>
      <c r="D145" s="76">
        <v>4</v>
      </c>
      <c r="E145" s="76">
        <v>5</v>
      </c>
      <c r="F145" s="76">
        <v>5.83</v>
      </c>
      <c r="G145" s="76">
        <v>40</v>
      </c>
      <c r="H145" s="76">
        <v>5</v>
      </c>
      <c r="I145" s="76">
        <v>0</v>
      </c>
      <c r="J145" s="76">
        <v>0</v>
      </c>
      <c r="K145" s="76">
        <v>1</v>
      </c>
      <c r="L145" s="76">
        <v>4</v>
      </c>
      <c r="M145" s="76">
        <v>58.2</v>
      </c>
      <c r="N145" s="76">
        <v>69</v>
      </c>
      <c r="O145" s="76">
        <v>46</v>
      </c>
      <c r="P145" s="76">
        <v>38</v>
      </c>
      <c r="Q145" s="76">
        <v>4</v>
      </c>
      <c r="R145" s="76">
        <v>28</v>
      </c>
      <c r="S145" s="76">
        <v>2</v>
      </c>
      <c r="T145" s="76">
        <v>32</v>
      </c>
      <c r="U145" s="76">
        <v>273</v>
      </c>
      <c r="V145" s="76">
        <v>58.2</v>
      </c>
      <c r="W145" s="76">
        <v>0.29099999999999998</v>
      </c>
      <c r="X145" s="76">
        <v>1.65</v>
      </c>
      <c r="Y145" s="76"/>
      <c r="Z145" t="s">
        <v>553</v>
      </c>
      <c r="AA145" s="76" t="s">
        <v>163</v>
      </c>
      <c r="AB145" s="76">
        <v>4</v>
      </c>
      <c r="AC145" s="76">
        <v>2</v>
      </c>
      <c r="AD145" s="76">
        <v>7</v>
      </c>
      <c r="AE145" s="76">
        <v>3</v>
      </c>
      <c r="AF145" s="76">
        <v>6</v>
      </c>
      <c r="AG145" s="76">
        <v>81</v>
      </c>
      <c r="AH145" s="76">
        <v>58</v>
      </c>
      <c r="AI145" s="76">
        <v>5</v>
      </c>
      <c r="AJ145" s="76">
        <v>0</v>
      </c>
      <c r="AK145" s="76">
        <v>6</v>
      </c>
      <c r="AL145" s="76">
        <v>0</v>
      </c>
      <c r="AM145" s="76">
        <v>0</v>
      </c>
      <c r="AN145" s="76">
        <v>957</v>
      </c>
      <c r="AO145" s="202" t="s">
        <v>163</v>
      </c>
      <c r="AP145" s="202">
        <v>0</v>
      </c>
      <c r="AQ145" s="202">
        <v>2</v>
      </c>
      <c r="AR145" s="202">
        <v>0.38300000000000001</v>
      </c>
      <c r="AS145" s="202">
        <v>0.39500000000000002</v>
      </c>
      <c r="AT145" s="202">
        <v>0.77800000000000002</v>
      </c>
      <c r="AU145" s="202">
        <v>10.53</v>
      </c>
      <c r="AV145" s="202">
        <v>7.56</v>
      </c>
      <c r="AW145" s="202">
        <v>8.3699999999999992</v>
      </c>
      <c r="AX145" s="202">
        <v>1.39</v>
      </c>
      <c r="AY145" s="202">
        <v>19.62</v>
      </c>
    </row>
    <row r="146" spans="1:51" ht="12.75" customHeight="1" x14ac:dyDescent="0.2">
      <c r="A146" s="76">
        <v>12</v>
      </c>
      <c r="B146" t="s">
        <v>1441</v>
      </c>
      <c r="C146" s="76" t="s">
        <v>163</v>
      </c>
      <c r="D146" s="76">
        <v>1</v>
      </c>
      <c r="E146" s="76">
        <v>1</v>
      </c>
      <c r="F146" s="76">
        <v>5.23</v>
      </c>
      <c r="G146" s="76">
        <v>6</v>
      </c>
      <c r="H146" s="76">
        <v>3</v>
      </c>
      <c r="I146" s="76">
        <v>0</v>
      </c>
      <c r="J146" s="76">
        <v>0</v>
      </c>
      <c r="K146" s="76">
        <v>0</v>
      </c>
      <c r="L146" s="76">
        <v>0</v>
      </c>
      <c r="M146" s="76">
        <v>20.2</v>
      </c>
      <c r="N146" s="76">
        <v>28</v>
      </c>
      <c r="O146" s="76">
        <v>12</v>
      </c>
      <c r="P146" s="76">
        <v>12</v>
      </c>
      <c r="Q146" s="76">
        <v>2</v>
      </c>
      <c r="R146" s="76">
        <v>6</v>
      </c>
      <c r="S146" s="76">
        <v>0</v>
      </c>
      <c r="T146" s="76">
        <v>15</v>
      </c>
      <c r="U146" s="76">
        <v>98</v>
      </c>
      <c r="V146" s="76">
        <v>20.2</v>
      </c>
      <c r="W146" s="76">
        <v>0.32600000000000001</v>
      </c>
      <c r="X146" s="76">
        <v>1.65</v>
      </c>
      <c r="Y146" s="76"/>
      <c r="Z146" t="s">
        <v>1441</v>
      </c>
      <c r="AA146" s="76" t="s">
        <v>163</v>
      </c>
      <c r="AB146" s="76">
        <v>3</v>
      </c>
      <c r="AC146" s="76">
        <v>0</v>
      </c>
      <c r="AD146" s="76">
        <v>0</v>
      </c>
      <c r="AE146" s="76">
        <v>0</v>
      </c>
      <c r="AF146" s="76">
        <v>0</v>
      </c>
      <c r="AG146" s="76">
        <v>31</v>
      </c>
      <c r="AH146" s="76">
        <v>15</v>
      </c>
      <c r="AI146" s="76">
        <v>0</v>
      </c>
      <c r="AJ146" s="76">
        <v>0</v>
      </c>
      <c r="AK146" s="76">
        <v>2</v>
      </c>
      <c r="AL146" s="76">
        <v>0</v>
      </c>
      <c r="AM146" s="76">
        <v>0</v>
      </c>
      <c r="AN146" s="76">
        <v>351</v>
      </c>
      <c r="AO146" s="202" t="s">
        <v>163</v>
      </c>
      <c r="AP146" s="202">
        <v>0</v>
      </c>
      <c r="AQ146" s="202">
        <v>1.43</v>
      </c>
      <c r="AR146" s="202">
        <v>0.38</v>
      </c>
      <c r="AS146" s="202">
        <v>0.44</v>
      </c>
      <c r="AT146" s="202">
        <v>0.82</v>
      </c>
      <c r="AU146" s="202">
        <v>6.94</v>
      </c>
      <c r="AV146" s="202">
        <v>3.86</v>
      </c>
      <c r="AW146" s="202">
        <v>11.57</v>
      </c>
      <c r="AX146" s="202">
        <v>1.8</v>
      </c>
      <c r="AY146" s="202">
        <v>16.71</v>
      </c>
    </row>
    <row r="147" spans="1:51" ht="12.75" customHeight="1" x14ac:dyDescent="0.2">
      <c r="A147" s="76">
        <v>7</v>
      </c>
      <c r="B147" s="41" t="s">
        <v>632</v>
      </c>
      <c r="C147" s="76" t="s">
        <v>163</v>
      </c>
      <c r="D147" s="76">
        <v>2</v>
      </c>
      <c r="E147" s="76">
        <v>3</v>
      </c>
      <c r="F147" s="76">
        <v>4.7300000000000004</v>
      </c>
      <c r="G147" s="76">
        <v>57</v>
      </c>
      <c r="H147" s="76">
        <v>0</v>
      </c>
      <c r="I147" s="76">
        <v>0</v>
      </c>
      <c r="J147" s="76">
        <v>0</v>
      </c>
      <c r="K147" s="76">
        <v>15</v>
      </c>
      <c r="L147" s="76">
        <v>19</v>
      </c>
      <c r="M147" s="76">
        <v>45.2</v>
      </c>
      <c r="N147" s="76">
        <v>56</v>
      </c>
      <c r="O147" s="76">
        <v>25</v>
      </c>
      <c r="P147" s="76">
        <v>24</v>
      </c>
      <c r="Q147" s="76">
        <v>9</v>
      </c>
      <c r="R147" s="76">
        <v>16</v>
      </c>
      <c r="S147" s="76">
        <v>1</v>
      </c>
      <c r="T147" s="76">
        <v>38</v>
      </c>
      <c r="U147" s="76">
        <v>205</v>
      </c>
      <c r="V147" s="76">
        <v>45.2</v>
      </c>
      <c r="W147" s="76">
        <v>0.30099999999999999</v>
      </c>
      <c r="X147" s="76">
        <v>1.58</v>
      </c>
      <c r="Y147" s="76"/>
      <c r="Z147" t="s">
        <v>632</v>
      </c>
      <c r="AA147" s="76" t="s">
        <v>163</v>
      </c>
      <c r="AB147" s="76">
        <v>3</v>
      </c>
      <c r="AC147" s="76">
        <v>1</v>
      </c>
      <c r="AD147" s="76">
        <v>25</v>
      </c>
      <c r="AE147" s="76">
        <v>4</v>
      </c>
      <c r="AF147" s="76">
        <v>5</v>
      </c>
      <c r="AG147" s="76">
        <v>46</v>
      </c>
      <c r="AH147" s="76">
        <v>46</v>
      </c>
      <c r="AI147" s="76">
        <v>4</v>
      </c>
      <c r="AJ147" s="76">
        <v>0</v>
      </c>
      <c r="AK147" s="76">
        <v>2</v>
      </c>
      <c r="AL147" s="76">
        <v>2</v>
      </c>
      <c r="AM147" s="76">
        <v>0</v>
      </c>
      <c r="AN147" s="76">
        <v>842</v>
      </c>
      <c r="AO147" s="202" t="s">
        <v>163</v>
      </c>
      <c r="AP147" s="202">
        <v>0</v>
      </c>
      <c r="AQ147" s="202">
        <v>0.67</v>
      </c>
      <c r="AR147" s="202">
        <v>0.38500000000000001</v>
      </c>
      <c r="AS147" s="202">
        <v>0.72699999999999998</v>
      </c>
      <c r="AT147" s="202">
        <v>1.1120000000000001</v>
      </c>
      <c r="AU147" s="202">
        <v>10.130000000000001</v>
      </c>
      <c r="AV147" s="202">
        <v>6.75</v>
      </c>
      <c r="AW147" s="202">
        <v>10.130000000000001</v>
      </c>
      <c r="AX147" s="202">
        <v>1.5</v>
      </c>
      <c r="AY147" s="202">
        <v>17.25</v>
      </c>
    </row>
    <row r="148" spans="1:51" ht="12.75" customHeight="1" x14ac:dyDescent="0.2">
      <c r="A148" s="76">
        <v>17</v>
      </c>
      <c r="B148" s="41" t="s">
        <v>593</v>
      </c>
      <c r="C148" s="76" t="s">
        <v>163</v>
      </c>
      <c r="D148" s="76">
        <v>1</v>
      </c>
      <c r="E148" s="76">
        <v>1</v>
      </c>
      <c r="F148" s="76">
        <v>5.7</v>
      </c>
      <c r="G148" s="76">
        <v>40</v>
      </c>
      <c r="H148" s="76">
        <v>0</v>
      </c>
      <c r="I148" s="76">
        <v>0</v>
      </c>
      <c r="J148" s="76">
        <v>0</v>
      </c>
      <c r="K148" s="76">
        <v>0</v>
      </c>
      <c r="L148" s="76">
        <v>0</v>
      </c>
      <c r="M148" s="76">
        <v>42.2</v>
      </c>
      <c r="N148" s="76">
        <v>50</v>
      </c>
      <c r="O148" s="76">
        <v>27</v>
      </c>
      <c r="P148" s="76">
        <v>27</v>
      </c>
      <c r="Q148" s="76">
        <v>6</v>
      </c>
      <c r="R148" s="76">
        <v>20</v>
      </c>
      <c r="S148" s="76">
        <v>0</v>
      </c>
      <c r="T148" s="76">
        <v>45</v>
      </c>
      <c r="U148" s="76">
        <v>194</v>
      </c>
      <c r="V148" s="76">
        <v>42.2</v>
      </c>
      <c r="W148" s="76">
        <v>0.29799999999999999</v>
      </c>
      <c r="X148" s="76">
        <v>1.64</v>
      </c>
      <c r="Y148" s="76"/>
      <c r="Z148" t="s">
        <v>593</v>
      </c>
      <c r="AA148" s="76" t="s">
        <v>163</v>
      </c>
      <c r="AB148" s="76">
        <v>2</v>
      </c>
      <c r="AC148" s="76">
        <v>0</v>
      </c>
      <c r="AD148" s="76">
        <v>13</v>
      </c>
      <c r="AE148" s="76">
        <v>1</v>
      </c>
      <c r="AF148" s="76">
        <v>3</v>
      </c>
      <c r="AG148" s="76">
        <v>30</v>
      </c>
      <c r="AH148" s="76">
        <v>46</v>
      </c>
      <c r="AI148" s="76">
        <v>3</v>
      </c>
      <c r="AJ148" s="76">
        <v>1</v>
      </c>
      <c r="AK148" s="76">
        <v>5</v>
      </c>
      <c r="AL148" s="76">
        <v>0</v>
      </c>
      <c r="AM148" s="76">
        <v>0</v>
      </c>
      <c r="AN148" s="76">
        <v>771</v>
      </c>
      <c r="AO148" s="202" t="s">
        <v>163</v>
      </c>
      <c r="AP148" s="202">
        <v>0.66700000000000004</v>
      </c>
      <c r="AQ148" s="202">
        <v>1.69</v>
      </c>
      <c r="AR148" s="202">
        <v>0.29199999999999998</v>
      </c>
      <c r="AS148" s="202">
        <v>0.4</v>
      </c>
      <c r="AT148" s="202">
        <v>0.69199999999999995</v>
      </c>
      <c r="AU148" s="202">
        <v>8.06</v>
      </c>
      <c r="AV148" s="202">
        <v>1.61</v>
      </c>
      <c r="AW148" s="202">
        <v>8.8699999999999992</v>
      </c>
      <c r="AX148" s="202">
        <v>5</v>
      </c>
      <c r="AY148" s="202">
        <v>13.66</v>
      </c>
    </row>
    <row r="149" spans="1:51" ht="12.75" customHeight="1" x14ac:dyDescent="0.2">
      <c r="A149" s="76">
        <v>10</v>
      </c>
      <c r="B149" s="41" t="s">
        <v>785</v>
      </c>
      <c r="C149" s="76" t="s">
        <v>163</v>
      </c>
      <c r="D149" s="76">
        <v>0</v>
      </c>
      <c r="E149" s="76">
        <v>1</v>
      </c>
      <c r="F149" s="76">
        <v>4.9400000000000004</v>
      </c>
      <c r="G149" s="76">
        <v>30</v>
      </c>
      <c r="H149" s="76">
        <v>0</v>
      </c>
      <c r="I149" s="76">
        <v>0</v>
      </c>
      <c r="J149" s="76">
        <v>0</v>
      </c>
      <c r="K149" s="76">
        <v>0</v>
      </c>
      <c r="L149" s="76">
        <v>0</v>
      </c>
      <c r="M149" s="76">
        <v>23.2</v>
      </c>
      <c r="N149" s="76">
        <v>28</v>
      </c>
      <c r="O149" s="76">
        <v>15</v>
      </c>
      <c r="P149" s="76">
        <v>13</v>
      </c>
      <c r="Q149" s="76">
        <v>6</v>
      </c>
      <c r="R149" s="76">
        <v>8</v>
      </c>
      <c r="S149" s="76">
        <v>1</v>
      </c>
      <c r="T149" s="76">
        <v>24</v>
      </c>
      <c r="U149" s="76">
        <v>109</v>
      </c>
      <c r="V149" s="76">
        <v>23.2</v>
      </c>
      <c r="W149" s="76">
        <v>0.28599999999999998</v>
      </c>
      <c r="X149" s="76">
        <v>1.52</v>
      </c>
      <c r="Y149" s="76"/>
      <c r="Z149" t="s">
        <v>785</v>
      </c>
      <c r="AA149" s="76" t="s">
        <v>163</v>
      </c>
      <c r="AB149" s="76">
        <v>2</v>
      </c>
      <c r="AC149" s="76">
        <v>1</v>
      </c>
      <c r="AD149" s="76">
        <v>8</v>
      </c>
      <c r="AE149" s="76">
        <v>6</v>
      </c>
      <c r="AF149" s="76">
        <v>1</v>
      </c>
      <c r="AG149" s="76">
        <v>27</v>
      </c>
      <c r="AH149" s="76">
        <v>20</v>
      </c>
      <c r="AI149" s="76">
        <v>0</v>
      </c>
      <c r="AJ149" s="76">
        <v>0</v>
      </c>
      <c r="AK149" s="76">
        <v>5</v>
      </c>
      <c r="AL149" s="76">
        <v>1</v>
      </c>
      <c r="AM149" s="76">
        <v>0</v>
      </c>
      <c r="AN149" s="76">
        <v>462</v>
      </c>
      <c r="AO149" s="202" t="s">
        <v>163</v>
      </c>
      <c r="AP149" s="202">
        <v>0</v>
      </c>
      <c r="AQ149" s="202">
        <v>1.38</v>
      </c>
      <c r="AR149" s="202">
        <v>0.28199999999999997</v>
      </c>
      <c r="AS149" s="202">
        <v>0.33300000000000002</v>
      </c>
      <c r="AT149" s="202">
        <v>0.61499999999999999</v>
      </c>
      <c r="AU149" s="202">
        <v>8.5299999999999994</v>
      </c>
      <c r="AV149" s="202">
        <v>2.84</v>
      </c>
      <c r="AW149" s="202">
        <v>7.58</v>
      </c>
      <c r="AX149" s="202">
        <v>3</v>
      </c>
      <c r="AY149" s="202">
        <v>14.58</v>
      </c>
    </row>
    <row r="150" spans="1:51" ht="12.75" customHeight="1" x14ac:dyDescent="0.2">
      <c r="A150" s="76">
        <v>11</v>
      </c>
      <c r="B150" t="s">
        <v>1111</v>
      </c>
      <c r="C150" s="76" t="s">
        <v>163</v>
      </c>
      <c r="D150" s="76">
        <v>1</v>
      </c>
      <c r="E150" s="76">
        <v>1</v>
      </c>
      <c r="F150" s="76">
        <v>5.19</v>
      </c>
      <c r="G150" s="76">
        <v>24</v>
      </c>
      <c r="H150" s="76">
        <v>0</v>
      </c>
      <c r="I150" s="76">
        <v>0</v>
      </c>
      <c r="J150" s="76">
        <v>0</v>
      </c>
      <c r="K150" s="76">
        <v>1</v>
      </c>
      <c r="L150" s="76">
        <v>2</v>
      </c>
      <c r="M150" s="76">
        <v>26</v>
      </c>
      <c r="N150" s="76">
        <v>26</v>
      </c>
      <c r="O150" s="76">
        <v>15</v>
      </c>
      <c r="P150" s="76">
        <v>15</v>
      </c>
      <c r="Q150" s="76">
        <v>3</v>
      </c>
      <c r="R150" s="76">
        <v>11</v>
      </c>
      <c r="S150" s="76">
        <v>2</v>
      </c>
      <c r="T150" s="76">
        <v>20</v>
      </c>
      <c r="U150" s="76">
        <v>113</v>
      </c>
      <c r="V150" s="76">
        <v>26</v>
      </c>
      <c r="W150" s="76">
        <v>0.25700000000000001</v>
      </c>
      <c r="X150" s="76">
        <v>1.42</v>
      </c>
      <c r="Y150" s="76"/>
      <c r="Z150" t="s">
        <v>1111</v>
      </c>
      <c r="AA150" s="76" t="s">
        <v>163</v>
      </c>
      <c r="AB150" s="76">
        <v>1</v>
      </c>
      <c r="AC150" s="76">
        <v>2</v>
      </c>
      <c r="AD150" s="76">
        <v>9</v>
      </c>
      <c r="AE150" s="76">
        <v>1</v>
      </c>
      <c r="AF150" s="76">
        <v>4</v>
      </c>
      <c r="AG150" s="76">
        <v>30</v>
      </c>
      <c r="AH150" s="76">
        <v>25</v>
      </c>
      <c r="AI150" s="76">
        <v>3</v>
      </c>
      <c r="AJ150" s="76">
        <v>0</v>
      </c>
      <c r="AK150" s="76">
        <v>1</v>
      </c>
      <c r="AL150" s="76">
        <v>0</v>
      </c>
      <c r="AM150" s="76">
        <v>0</v>
      </c>
      <c r="AN150" s="76">
        <v>437</v>
      </c>
      <c r="AO150" s="202" t="s">
        <v>163</v>
      </c>
      <c r="AP150" s="202">
        <v>0.5</v>
      </c>
      <c r="AQ150" s="202">
        <v>2.35</v>
      </c>
      <c r="AR150" s="202">
        <v>0.34</v>
      </c>
      <c r="AS150" s="202">
        <v>0.51900000000000002</v>
      </c>
      <c r="AT150" s="202">
        <v>0.85899999999999999</v>
      </c>
      <c r="AU150" s="202">
        <v>5.66</v>
      </c>
      <c r="AV150" s="202">
        <v>3.29</v>
      </c>
      <c r="AW150" s="202">
        <v>9.61</v>
      </c>
      <c r="AX150" s="202">
        <v>1.72</v>
      </c>
      <c r="AY150" s="202">
        <v>15.63</v>
      </c>
    </row>
    <row r="151" spans="1:51" ht="12.75" customHeight="1" x14ac:dyDescent="0.2">
      <c r="A151" s="76">
        <v>1</v>
      </c>
      <c r="B151" s="41" t="s">
        <v>364</v>
      </c>
      <c r="C151" s="76" t="s">
        <v>163</v>
      </c>
      <c r="D151" s="76">
        <v>1</v>
      </c>
      <c r="E151" s="76">
        <v>3</v>
      </c>
      <c r="F151" s="76">
        <v>2.67</v>
      </c>
      <c r="G151" s="76">
        <v>34</v>
      </c>
      <c r="H151" s="76">
        <v>0</v>
      </c>
      <c r="I151" s="76">
        <v>0</v>
      </c>
      <c r="J151" s="76">
        <v>0</v>
      </c>
      <c r="K151" s="76">
        <v>7</v>
      </c>
      <c r="L151" s="76">
        <v>12</v>
      </c>
      <c r="M151" s="76">
        <v>27</v>
      </c>
      <c r="N151" s="76">
        <v>18</v>
      </c>
      <c r="O151" s="76">
        <v>9</v>
      </c>
      <c r="P151" s="76">
        <v>8</v>
      </c>
      <c r="Q151" s="76">
        <v>3</v>
      </c>
      <c r="R151" s="76">
        <v>7</v>
      </c>
      <c r="S151" s="76">
        <v>0</v>
      </c>
      <c r="T151" s="76">
        <v>35</v>
      </c>
      <c r="U151" s="76">
        <v>107</v>
      </c>
      <c r="V151" s="76">
        <v>27</v>
      </c>
      <c r="W151" s="76">
        <v>0.184</v>
      </c>
      <c r="X151" s="76">
        <v>0.93</v>
      </c>
      <c r="Y151" s="76"/>
      <c r="Z151" t="s">
        <v>364</v>
      </c>
      <c r="AA151" s="76" t="s">
        <v>163</v>
      </c>
      <c r="AB151" s="76">
        <v>2</v>
      </c>
      <c r="AC151" s="76">
        <v>0</v>
      </c>
      <c r="AD151" s="76">
        <v>19</v>
      </c>
      <c r="AE151" s="76">
        <v>4</v>
      </c>
      <c r="AF151" s="76">
        <v>1</v>
      </c>
      <c r="AG151" s="76">
        <v>30</v>
      </c>
      <c r="AH151" s="76">
        <v>15</v>
      </c>
      <c r="AI151" s="76">
        <v>4</v>
      </c>
      <c r="AJ151" s="76">
        <v>0</v>
      </c>
      <c r="AK151" s="76">
        <v>2</v>
      </c>
      <c r="AL151" s="76">
        <v>0</v>
      </c>
      <c r="AM151" s="76">
        <v>0</v>
      </c>
      <c r="AN151" s="76">
        <v>458</v>
      </c>
      <c r="AO151" s="202" t="s">
        <v>163</v>
      </c>
      <c r="AP151" s="202">
        <v>0.75</v>
      </c>
      <c r="AQ151" s="202">
        <v>0.85</v>
      </c>
      <c r="AR151" s="202">
        <v>0.34200000000000003</v>
      </c>
      <c r="AS151" s="202">
        <v>0.48499999999999999</v>
      </c>
      <c r="AT151" s="202">
        <v>0.82699999999999996</v>
      </c>
      <c r="AU151" s="202">
        <v>4.87</v>
      </c>
      <c r="AV151" s="202">
        <v>1.98</v>
      </c>
      <c r="AW151" s="202">
        <v>10.8</v>
      </c>
      <c r="AX151" s="202">
        <v>2.4700000000000002</v>
      </c>
      <c r="AY151" s="202">
        <v>16.39</v>
      </c>
    </row>
    <row r="152" spans="1:51" ht="12.75" customHeight="1" x14ac:dyDescent="0.2">
      <c r="A152" s="76">
        <v>13</v>
      </c>
      <c r="B152" s="41" t="s">
        <v>387</v>
      </c>
      <c r="C152" s="76" t="s">
        <v>163</v>
      </c>
      <c r="D152" s="76">
        <v>2</v>
      </c>
      <c r="E152" s="76">
        <v>0</v>
      </c>
      <c r="F152" s="76">
        <v>5.23</v>
      </c>
      <c r="G152" s="76">
        <v>44</v>
      </c>
      <c r="H152" s="76">
        <v>0</v>
      </c>
      <c r="I152" s="76">
        <v>0</v>
      </c>
      <c r="J152" s="76">
        <v>0</v>
      </c>
      <c r="K152" s="76">
        <v>0</v>
      </c>
      <c r="L152" s="76">
        <v>1</v>
      </c>
      <c r="M152" s="76">
        <v>32.200000000000003</v>
      </c>
      <c r="N152" s="76">
        <v>43</v>
      </c>
      <c r="O152" s="76">
        <v>22</v>
      </c>
      <c r="P152" s="76">
        <v>19</v>
      </c>
      <c r="Q152" s="76">
        <v>5</v>
      </c>
      <c r="R152" s="76">
        <v>9</v>
      </c>
      <c r="S152" s="76">
        <v>1</v>
      </c>
      <c r="T152" s="76">
        <v>22</v>
      </c>
      <c r="U152" s="76">
        <v>152</v>
      </c>
      <c r="V152" s="76">
        <v>32.200000000000003</v>
      </c>
      <c r="W152" s="76">
        <v>0.30499999999999999</v>
      </c>
      <c r="X152" s="76">
        <v>1.59</v>
      </c>
      <c r="Y152" s="76"/>
      <c r="Z152" t="s">
        <v>387</v>
      </c>
      <c r="AA152" s="76" t="s">
        <v>163</v>
      </c>
      <c r="AB152" s="76">
        <v>0</v>
      </c>
      <c r="AC152" s="76">
        <v>1</v>
      </c>
      <c r="AD152" s="76">
        <v>14</v>
      </c>
      <c r="AE152" s="76">
        <v>4</v>
      </c>
      <c r="AF152" s="76">
        <v>1</v>
      </c>
      <c r="AG152" s="76">
        <v>47</v>
      </c>
      <c r="AH152" s="76">
        <v>31</v>
      </c>
      <c r="AI152" s="76">
        <v>1</v>
      </c>
      <c r="AJ152" s="76">
        <v>0</v>
      </c>
      <c r="AK152" s="76">
        <v>3</v>
      </c>
      <c r="AL152" s="76">
        <v>0</v>
      </c>
      <c r="AM152" s="76">
        <v>0</v>
      </c>
      <c r="AN152" s="76">
        <v>534</v>
      </c>
      <c r="AO152" s="202" t="s">
        <v>163</v>
      </c>
      <c r="AP152" s="202" t="s">
        <v>243</v>
      </c>
      <c r="AQ152" s="202">
        <v>0.94</v>
      </c>
      <c r="AR152" s="202">
        <v>0.36699999999999999</v>
      </c>
      <c r="AS152" s="202">
        <v>0.42099999999999999</v>
      </c>
      <c r="AT152" s="202">
        <v>0.78800000000000003</v>
      </c>
      <c r="AU152" s="202">
        <v>6.89</v>
      </c>
      <c r="AV152" s="202">
        <v>5.79</v>
      </c>
      <c r="AW152" s="202">
        <v>9.09</v>
      </c>
      <c r="AX152" s="202">
        <v>1.19</v>
      </c>
      <c r="AY152" s="202">
        <v>18.21</v>
      </c>
    </row>
    <row r="153" spans="1:51" ht="12.75" customHeight="1" x14ac:dyDescent="0.2">
      <c r="A153" s="76">
        <v>4</v>
      </c>
      <c r="B153" s="41" t="s">
        <v>348</v>
      </c>
      <c r="C153" s="76" t="s">
        <v>163</v>
      </c>
      <c r="D153" s="76">
        <v>3</v>
      </c>
      <c r="E153" s="76">
        <v>5</v>
      </c>
      <c r="F153" s="76">
        <v>3.74</v>
      </c>
      <c r="G153" s="76">
        <v>29</v>
      </c>
      <c r="H153" s="76">
        <v>7</v>
      </c>
      <c r="I153" s="76">
        <v>0</v>
      </c>
      <c r="J153" s="76">
        <v>0</v>
      </c>
      <c r="K153" s="76">
        <v>0</v>
      </c>
      <c r="L153" s="76">
        <v>1</v>
      </c>
      <c r="M153" s="76">
        <v>84.1</v>
      </c>
      <c r="N153" s="76">
        <v>82</v>
      </c>
      <c r="O153" s="76">
        <v>36</v>
      </c>
      <c r="P153" s="76">
        <v>35</v>
      </c>
      <c r="Q153" s="76">
        <v>5</v>
      </c>
      <c r="R153" s="76">
        <v>23</v>
      </c>
      <c r="S153" s="76">
        <v>2</v>
      </c>
      <c r="T153" s="76">
        <v>69</v>
      </c>
      <c r="U153" s="76">
        <v>350</v>
      </c>
      <c r="V153" s="76">
        <v>84.1</v>
      </c>
      <c r="W153" s="76">
        <v>0.25900000000000001</v>
      </c>
      <c r="X153" s="76">
        <v>1.25</v>
      </c>
      <c r="Y153" s="76"/>
      <c r="Z153" t="s">
        <v>348</v>
      </c>
      <c r="AA153" s="76" t="s">
        <v>163</v>
      </c>
      <c r="AB153" s="76">
        <v>3</v>
      </c>
      <c r="AC153" s="76">
        <v>2</v>
      </c>
      <c r="AD153" s="76">
        <v>1</v>
      </c>
      <c r="AE153" s="76">
        <v>4</v>
      </c>
      <c r="AF153" s="76">
        <v>10</v>
      </c>
      <c r="AG153" s="76">
        <v>124</v>
      </c>
      <c r="AH153" s="76">
        <v>49</v>
      </c>
      <c r="AI153" s="76">
        <v>4</v>
      </c>
      <c r="AJ153" s="76">
        <v>0</v>
      </c>
      <c r="AK153" s="76">
        <v>7</v>
      </c>
      <c r="AL153" s="76">
        <v>2</v>
      </c>
      <c r="AM153" s="76">
        <v>4</v>
      </c>
      <c r="AN153" s="76">
        <v>1264</v>
      </c>
      <c r="AO153" s="202" t="s">
        <v>163</v>
      </c>
      <c r="AP153" s="202">
        <v>1</v>
      </c>
      <c r="AQ153" s="202">
        <v>2</v>
      </c>
      <c r="AR153" s="202">
        <v>0.37</v>
      </c>
      <c r="AS153" s="202">
        <v>0.378</v>
      </c>
      <c r="AT153" s="202">
        <v>0.748</v>
      </c>
      <c r="AU153" s="202">
        <v>4.3499999999999996</v>
      </c>
      <c r="AV153" s="202">
        <v>6.97</v>
      </c>
      <c r="AW153" s="202">
        <v>7.84</v>
      </c>
      <c r="AX153" s="202">
        <v>0.63</v>
      </c>
      <c r="AY153" s="202">
        <v>16.260000000000002</v>
      </c>
    </row>
    <row r="154" spans="1:51" ht="12.75" customHeight="1" x14ac:dyDescent="0.2">
      <c r="A154" s="225" t="s">
        <v>105</v>
      </c>
      <c r="B154" s="225" t="s">
        <v>106</v>
      </c>
      <c r="C154" s="225" t="s">
        <v>157</v>
      </c>
      <c r="D154" s="225" t="s">
        <v>85</v>
      </c>
      <c r="E154" s="225" t="s">
        <v>86</v>
      </c>
      <c r="F154" s="225" t="s">
        <v>107</v>
      </c>
      <c r="G154" s="225" t="s">
        <v>108</v>
      </c>
      <c r="H154" s="225" t="s">
        <v>88</v>
      </c>
      <c r="I154" s="225" t="s">
        <v>89</v>
      </c>
      <c r="J154" s="225" t="s">
        <v>1073</v>
      </c>
      <c r="K154" s="225" t="s">
        <v>90</v>
      </c>
      <c r="L154" s="225" t="s">
        <v>158</v>
      </c>
      <c r="M154" s="225" t="s">
        <v>91</v>
      </c>
      <c r="N154" s="225" t="s">
        <v>92</v>
      </c>
      <c r="O154" s="225" t="s">
        <v>93</v>
      </c>
      <c r="P154" s="225" t="s">
        <v>94</v>
      </c>
      <c r="Q154" s="225" t="s">
        <v>95</v>
      </c>
      <c r="R154" s="225" t="s">
        <v>96</v>
      </c>
      <c r="S154" s="225" t="s">
        <v>98</v>
      </c>
      <c r="T154" s="225" t="s">
        <v>97</v>
      </c>
      <c r="U154" s="225" t="s">
        <v>109</v>
      </c>
      <c r="V154" s="225" t="s">
        <v>91</v>
      </c>
      <c r="W154" s="225" t="s">
        <v>1071</v>
      </c>
      <c r="X154" s="225" t="s">
        <v>1072</v>
      </c>
      <c r="Y154" s="225"/>
      <c r="Z154" s="225" t="s">
        <v>106</v>
      </c>
      <c r="AA154" s="225" t="s">
        <v>157</v>
      </c>
      <c r="AB154" s="225" t="s">
        <v>1074</v>
      </c>
      <c r="AC154" s="225" t="s">
        <v>98</v>
      </c>
      <c r="AD154" s="225" t="s">
        <v>1075</v>
      </c>
      <c r="AE154" s="225" t="s">
        <v>1076</v>
      </c>
      <c r="AF154" s="225" t="s">
        <v>1077</v>
      </c>
      <c r="AG154" s="225" t="s">
        <v>1066</v>
      </c>
      <c r="AH154" s="225" t="s">
        <v>1067</v>
      </c>
      <c r="AI154" s="225" t="s">
        <v>1078</v>
      </c>
      <c r="AJ154" s="225" t="s">
        <v>1079</v>
      </c>
      <c r="AK154" s="225" t="s">
        <v>1057</v>
      </c>
      <c r="AL154" s="225" t="s">
        <v>1058</v>
      </c>
      <c r="AM154" s="225" t="s">
        <v>1080</v>
      </c>
      <c r="AN154" s="225" t="s">
        <v>1069</v>
      </c>
      <c r="AO154" s="202" t="s">
        <v>163</v>
      </c>
      <c r="AP154" s="202">
        <v>1</v>
      </c>
      <c r="AQ154" s="202">
        <v>1.67</v>
      </c>
      <c r="AR154" s="202">
        <v>0.17100000000000001</v>
      </c>
      <c r="AS154" s="202">
        <v>9.4E-2</v>
      </c>
      <c r="AT154" s="202">
        <v>0.26500000000000001</v>
      </c>
      <c r="AU154" s="202">
        <v>11.32</v>
      </c>
      <c r="AV154" s="202">
        <v>1.74</v>
      </c>
      <c r="AW154" s="202">
        <v>2.61</v>
      </c>
      <c r="AX154" s="202">
        <v>6.5</v>
      </c>
      <c r="AY154" s="202">
        <v>13.74</v>
      </c>
    </row>
    <row r="155" spans="1:51" ht="12.75" customHeight="1" x14ac:dyDescent="0.2">
      <c r="A155" s="76">
        <v>31</v>
      </c>
      <c r="B155" t="s">
        <v>604</v>
      </c>
      <c r="C155" s="76" t="s">
        <v>165</v>
      </c>
      <c r="D155" s="76">
        <v>1</v>
      </c>
      <c r="E155" s="76">
        <v>2</v>
      </c>
      <c r="F155" s="76">
        <v>11.91</v>
      </c>
      <c r="G155" s="76">
        <v>4</v>
      </c>
      <c r="H155" s="76">
        <v>3</v>
      </c>
      <c r="I155" s="76">
        <v>0</v>
      </c>
      <c r="J155" s="76">
        <v>0</v>
      </c>
      <c r="K155" s="76">
        <v>0</v>
      </c>
      <c r="L155" s="76">
        <v>0</v>
      </c>
      <c r="M155" s="76">
        <v>11.1</v>
      </c>
      <c r="N155" s="76">
        <v>25</v>
      </c>
      <c r="O155" s="76">
        <v>15</v>
      </c>
      <c r="P155" s="76">
        <v>15</v>
      </c>
      <c r="Q155" s="76">
        <v>4</v>
      </c>
      <c r="R155" s="76">
        <v>4</v>
      </c>
      <c r="S155" s="76">
        <v>0</v>
      </c>
      <c r="T155" s="76">
        <v>5</v>
      </c>
      <c r="U155" s="76">
        <v>62</v>
      </c>
      <c r="V155" s="76">
        <v>11.1</v>
      </c>
      <c r="W155" s="76">
        <v>0.44600000000000001</v>
      </c>
      <c r="X155" s="76">
        <v>2.56</v>
      </c>
      <c r="Y155" s="76"/>
      <c r="Z155" t="s">
        <v>604</v>
      </c>
      <c r="AA155" s="76" t="s">
        <v>165</v>
      </c>
      <c r="AB155" s="76">
        <v>0</v>
      </c>
      <c r="AC155" s="76">
        <v>0</v>
      </c>
      <c r="AD155" s="76">
        <v>0</v>
      </c>
      <c r="AE155" s="76">
        <v>0</v>
      </c>
      <c r="AF155" s="76">
        <v>0</v>
      </c>
      <c r="AG155" s="76">
        <v>19</v>
      </c>
      <c r="AH155" s="76">
        <v>9</v>
      </c>
      <c r="AI155" s="76">
        <v>2</v>
      </c>
      <c r="AJ155" s="76">
        <v>0</v>
      </c>
      <c r="AK155" s="76">
        <v>1</v>
      </c>
      <c r="AL155" s="76">
        <v>1</v>
      </c>
      <c r="AM155" s="76">
        <v>1</v>
      </c>
      <c r="AN155" s="76">
        <v>209</v>
      </c>
      <c r="AO155" s="202" t="s">
        <v>165</v>
      </c>
      <c r="AP155" s="202">
        <v>0.5</v>
      </c>
      <c r="AQ155" s="202">
        <v>1.36</v>
      </c>
      <c r="AR155" s="202">
        <v>0.30099999999999999</v>
      </c>
      <c r="AS155" s="202">
        <v>0.34300000000000003</v>
      </c>
      <c r="AT155" s="202">
        <v>0.64500000000000002</v>
      </c>
      <c r="AU155" s="202">
        <v>9</v>
      </c>
      <c r="AV155" s="202">
        <v>3</v>
      </c>
      <c r="AW155" s="202">
        <v>8</v>
      </c>
      <c r="AX155" s="202">
        <v>3</v>
      </c>
      <c r="AY155" s="202">
        <v>16.72</v>
      </c>
    </row>
    <row r="156" spans="1:51" ht="12.75" customHeight="1" x14ac:dyDescent="0.2">
      <c r="A156" s="76">
        <v>10</v>
      </c>
      <c r="B156" s="41" t="s">
        <v>333</v>
      </c>
      <c r="C156" s="76" t="s">
        <v>165</v>
      </c>
      <c r="D156" s="76">
        <v>3</v>
      </c>
      <c r="E156" s="76">
        <v>0</v>
      </c>
      <c r="F156" s="76">
        <v>3.2</v>
      </c>
      <c r="G156" s="76">
        <v>27</v>
      </c>
      <c r="H156" s="76">
        <v>0</v>
      </c>
      <c r="I156" s="76">
        <v>0</v>
      </c>
      <c r="J156" s="76">
        <v>0</v>
      </c>
      <c r="K156" s="76">
        <v>0</v>
      </c>
      <c r="L156" s="76">
        <v>1</v>
      </c>
      <c r="M156" s="76">
        <v>19.2</v>
      </c>
      <c r="N156" s="76">
        <v>12</v>
      </c>
      <c r="O156" s="76">
        <v>8</v>
      </c>
      <c r="P156" s="76">
        <v>7</v>
      </c>
      <c r="Q156" s="76">
        <v>0</v>
      </c>
      <c r="R156" s="76">
        <v>10</v>
      </c>
      <c r="S156" s="76">
        <v>4</v>
      </c>
      <c r="T156" s="76">
        <v>28</v>
      </c>
      <c r="U156" s="76">
        <v>82</v>
      </c>
      <c r="V156" s="76">
        <v>19.2</v>
      </c>
      <c r="W156" s="76">
        <v>0.17599999999999999</v>
      </c>
      <c r="X156" s="76">
        <v>1.1200000000000001</v>
      </c>
      <c r="Y156" s="76"/>
      <c r="Z156" t="s">
        <v>333</v>
      </c>
      <c r="AA156" s="76" t="s">
        <v>165</v>
      </c>
      <c r="AB156" s="76">
        <v>2</v>
      </c>
      <c r="AC156" s="76">
        <v>4</v>
      </c>
      <c r="AD156" s="76">
        <v>3</v>
      </c>
      <c r="AE156" s="76">
        <v>3</v>
      </c>
      <c r="AF156" s="76">
        <v>1</v>
      </c>
      <c r="AG156" s="76">
        <v>18</v>
      </c>
      <c r="AH156" s="76">
        <v>12</v>
      </c>
      <c r="AI156" s="76">
        <v>1</v>
      </c>
      <c r="AJ156" s="76">
        <v>0</v>
      </c>
      <c r="AK156" s="76">
        <v>2</v>
      </c>
      <c r="AL156" s="76">
        <v>1</v>
      </c>
      <c r="AM156" s="76">
        <v>1</v>
      </c>
      <c r="AN156" s="76">
        <v>327</v>
      </c>
      <c r="AO156" s="202" t="s">
        <v>165</v>
      </c>
      <c r="AP156" s="202">
        <v>0.5</v>
      </c>
      <c r="AQ156" s="202">
        <v>1.56</v>
      </c>
      <c r="AR156" s="202">
        <v>0.32400000000000001</v>
      </c>
      <c r="AS156" s="202">
        <v>0.38100000000000001</v>
      </c>
      <c r="AT156" s="202">
        <v>0.70499999999999996</v>
      </c>
      <c r="AU156" s="202">
        <v>8.07</v>
      </c>
      <c r="AV156" s="202">
        <v>3.7</v>
      </c>
      <c r="AW156" s="202">
        <v>8.56</v>
      </c>
      <c r="AX156" s="202">
        <v>2.1800000000000002</v>
      </c>
      <c r="AY156" s="202">
        <v>16.27</v>
      </c>
    </row>
    <row r="157" spans="1:51" ht="12.75" customHeight="1" x14ac:dyDescent="0.2">
      <c r="A157" s="76">
        <v>9</v>
      </c>
      <c r="B157" s="41" t="s">
        <v>763</v>
      </c>
      <c r="C157" s="76" t="s">
        <v>165</v>
      </c>
      <c r="D157" s="76">
        <v>3</v>
      </c>
      <c r="E157" s="76">
        <v>2</v>
      </c>
      <c r="F157" s="76">
        <v>3.04</v>
      </c>
      <c r="G157" s="76">
        <v>73</v>
      </c>
      <c r="H157" s="76">
        <v>0</v>
      </c>
      <c r="I157" s="76">
        <v>0</v>
      </c>
      <c r="J157" s="76">
        <v>0</v>
      </c>
      <c r="K157" s="76">
        <v>0</v>
      </c>
      <c r="L157" s="76">
        <v>2</v>
      </c>
      <c r="M157" s="76">
        <v>74</v>
      </c>
      <c r="N157" s="76">
        <v>52</v>
      </c>
      <c r="O157" s="76">
        <v>27</v>
      </c>
      <c r="P157" s="76">
        <v>25</v>
      </c>
      <c r="Q157" s="76">
        <v>11</v>
      </c>
      <c r="R157" s="76">
        <v>22</v>
      </c>
      <c r="S157" s="76">
        <v>0</v>
      </c>
      <c r="T157" s="76">
        <v>83</v>
      </c>
      <c r="U157" s="76">
        <v>295</v>
      </c>
      <c r="V157" s="76">
        <v>74</v>
      </c>
      <c r="W157" s="76">
        <v>0.19500000000000001</v>
      </c>
      <c r="X157" s="76">
        <v>1</v>
      </c>
      <c r="Y157" s="76"/>
      <c r="Z157" t="s">
        <v>763</v>
      </c>
      <c r="AA157" s="76" t="s">
        <v>165</v>
      </c>
      <c r="AB157" s="76">
        <v>2</v>
      </c>
      <c r="AC157" s="76">
        <v>0</v>
      </c>
      <c r="AD157" s="76">
        <v>10</v>
      </c>
      <c r="AE157" s="76">
        <v>23</v>
      </c>
      <c r="AF157" s="76">
        <v>3</v>
      </c>
      <c r="AG157" s="76">
        <v>65</v>
      </c>
      <c r="AH157" s="76">
        <v>70</v>
      </c>
      <c r="AI157" s="76">
        <v>3</v>
      </c>
      <c r="AJ157" s="76">
        <v>2</v>
      </c>
      <c r="AK157" s="76">
        <v>4</v>
      </c>
      <c r="AL157" s="76">
        <v>3</v>
      </c>
      <c r="AM157" s="76">
        <v>0</v>
      </c>
      <c r="AN157" s="76">
        <v>1178</v>
      </c>
      <c r="AO157" s="202" t="s">
        <v>165</v>
      </c>
      <c r="AP157" s="202">
        <v>0</v>
      </c>
      <c r="AQ157" s="202">
        <v>0.8</v>
      </c>
      <c r="AR157" s="202">
        <v>0.42099999999999999</v>
      </c>
      <c r="AS157" s="202">
        <v>0.53100000000000003</v>
      </c>
      <c r="AT157" s="202">
        <v>0.95199999999999996</v>
      </c>
      <c r="AU157" s="202">
        <v>5.63</v>
      </c>
      <c r="AV157" s="202">
        <v>6.75</v>
      </c>
      <c r="AW157" s="202">
        <v>11.25</v>
      </c>
      <c r="AX157" s="202">
        <v>0.83</v>
      </c>
      <c r="AY157" s="202">
        <v>20</v>
      </c>
    </row>
    <row r="158" spans="1:51" ht="12.75" customHeight="1" x14ac:dyDescent="0.2">
      <c r="A158" s="76">
        <v>7</v>
      </c>
      <c r="B158" s="41" t="s">
        <v>1151</v>
      </c>
      <c r="C158" s="76" t="s">
        <v>165</v>
      </c>
      <c r="D158" s="76">
        <v>7</v>
      </c>
      <c r="E158" s="76">
        <v>2</v>
      </c>
      <c r="F158" s="76">
        <v>2.48</v>
      </c>
      <c r="G158" s="76">
        <v>75</v>
      </c>
      <c r="H158" s="76">
        <v>0</v>
      </c>
      <c r="I158" s="76">
        <v>0</v>
      </c>
      <c r="J158" s="76">
        <v>0</v>
      </c>
      <c r="K158" s="76">
        <v>0</v>
      </c>
      <c r="L158" s="76">
        <v>1</v>
      </c>
      <c r="M158" s="76">
        <v>80</v>
      </c>
      <c r="N158" s="76">
        <v>55</v>
      </c>
      <c r="O158" s="76">
        <v>23</v>
      </c>
      <c r="P158" s="76">
        <v>22</v>
      </c>
      <c r="Q158" s="76">
        <v>7</v>
      </c>
      <c r="R158" s="76">
        <v>26</v>
      </c>
      <c r="S158" s="76">
        <v>4</v>
      </c>
      <c r="T158" s="76">
        <v>80</v>
      </c>
      <c r="U158" s="76">
        <v>315</v>
      </c>
      <c r="V158" s="76">
        <v>80</v>
      </c>
      <c r="W158" s="76">
        <v>0.19400000000000001</v>
      </c>
      <c r="X158" s="76">
        <v>1.01</v>
      </c>
      <c r="Y158" s="76"/>
      <c r="Z158" t="s">
        <v>1151</v>
      </c>
      <c r="AA158" s="76" t="s">
        <v>165</v>
      </c>
      <c r="AB158" s="76">
        <v>2</v>
      </c>
      <c r="AC158" s="76">
        <v>4</v>
      </c>
      <c r="AD158" s="76">
        <v>15</v>
      </c>
      <c r="AE158" s="76">
        <v>28</v>
      </c>
      <c r="AF158" s="76">
        <v>5</v>
      </c>
      <c r="AG158" s="76">
        <v>58</v>
      </c>
      <c r="AH158" s="76">
        <v>94</v>
      </c>
      <c r="AI158" s="76">
        <v>3</v>
      </c>
      <c r="AJ158" s="76">
        <v>0</v>
      </c>
      <c r="AK158" s="76">
        <v>9</v>
      </c>
      <c r="AL158" s="76">
        <v>1</v>
      </c>
      <c r="AM158" s="76">
        <v>0</v>
      </c>
      <c r="AN158" s="76">
        <v>1278</v>
      </c>
      <c r="AO158" s="202" t="s">
        <v>165</v>
      </c>
      <c r="AP158" s="202">
        <v>0.66700000000000004</v>
      </c>
      <c r="AQ158" s="202">
        <v>0.78</v>
      </c>
      <c r="AR158" s="202">
        <v>0.28799999999999998</v>
      </c>
      <c r="AS158" s="202">
        <v>0.40500000000000003</v>
      </c>
      <c r="AT158" s="202">
        <v>0.69299999999999995</v>
      </c>
      <c r="AU158" s="202">
        <v>10.59</v>
      </c>
      <c r="AV158" s="202">
        <v>1.94</v>
      </c>
      <c r="AW158" s="202">
        <v>8.2899999999999991</v>
      </c>
      <c r="AX158" s="202">
        <v>5.45</v>
      </c>
      <c r="AY158" s="202">
        <v>16.29</v>
      </c>
    </row>
    <row r="159" spans="1:51" ht="12.75" customHeight="1" x14ac:dyDescent="0.2">
      <c r="A159" s="76">
        <v>28</v>
      </c>
      <c r="B159" t="s">
        <v>748</v>
      </c>
      <c r="C159" s="76" t="s">
        <v>165</v>
      </c>
      <c r="D159" s="76">
        <v>1</v>
      </c>
      <c r="E159" s="76">
        <v>4</v>
      </c>
      <c r="F159" s="76">
        <v>6.83</v>
      </c>
      <c r="G159" s="76">
        <v>6</v>
      </c>
      <c r="H159" s="76">
        <v>6</v>
      </c>
      <c r="I159" s="76">
        <v>0</v>
      </c>
      <c r="J159" s="76">
        <v>0</v>
      </c>
      <c r="K159" s="76">
        <v>0</v>
      </c>
      <c r="L159" s="76">
        <v>0</v>
      </c>
      <c r="M159" s="76">
        <v>27.2</v>
      </c>
      <c r="N159" s="76">
        <v>33</v>
      </c>
      <c r="O159" s="76">
        <v>21</v>
      </c>
      <c r="P159" s="76">
        <v>21</v>
      </c>
      <c r="Q159" s="76">
        <v>7</v>
      </c>
      <c r="R159" s="76">
        <v>9</v>
      </c>
      <c r="S159" s="76">
        <v>1</v>
      </c>
      <c r="T159" s="76">
        <v>25</v>
      </c>
      <c r="U159" s="76">
        <v>122</v>
      </c>
      <c r="V159" s="76">
        <v>27.2</v>
      </c>
      <c r="W159" s="76">
        <v>0.30299999999999999</v>
      </c>
      <c r="X159" s="76">
        <v>1.52</v>
      </c>
      <c r="Y159" s="76"/>
      <c r="Z159" t="s">
        <v>748</v>
      </c>
      <c r="AA159" s="76" t="s">
        <v>165</v>
      </c>
      <c r="AB159" s="76">
        <v>2</v>
      </c>
      <c r="AC159" s="76">
        <v>1</v>
      </c>
      <c r="AD159" s="76">
        <v>0</v>
      </c>
      <c r="AE159" s="76">
        <v>0</v>
      </c>
      <c r="AF159" s="76">
        <v>2</v>
      </c>
      <c r="AG159" s="76">
        <v>24</v>
      </c>
      <c r="AH159" s="76">
        <v>29</v>
      </c>
      <c r="AI159" s="76">
        <v>0</v>
      </c>
      <c r="AJ159" s="76">
        <v>0</v>
      </c>
      <c r="AK159" s="76">
        <v>5</v>
      </c>
      <c r="AL159" s="76">
        <v>1</v>
      </c>
      <c r="AM159" s="76">
        <v>0</v>
      </c>
      <c r="AN159" s="76">
        <v>470</v>
      </c>
      <c r="AO159" s="202" t="s">
        <v>165</v>
      </c>
      <c r="AP159" s="202" t="s">
        <v>243</v>
      </c>
      <c r="AQ159" s="202">
        <v>1.33</v>
      </c>
      <c r="AR159" s="202">
        <v>0.31</v>
      </c>
      <c r="AS159" s="202">
        <v>0.316</v>
      </c>
      <c r="AT159" s="202">
        <v>0.625</v>
      </c>
      <c r="AU159" s="202">
        <v>6.97</v>
      </c>
      <c r="AV159" s="202">
        <v>2.61</v>
      </c>
      <c r="AW159" s="202">
        <v>8.7100000000000009</v>
      </c>
      <c r="AX159" s="202">
        <v>2.67</v>
      </c>
      <c r="AY159" s="202">
        <v>16.940000000000001</v>
      </c>
    </row>
    <row r="160" spans="1:51" ht="12.75" customHeight="1" x14ac:dyDescent="0.2">
      <c r="A160" s="76">
        <v>18</v>
      </c>
      <c r="B160" s="41" t="s">
        <v>600</v>
      </c>
      <c r="C160" s="76" t="s">
        <v>165</v>
      </c>
      <c r="D160" s="76">
        <v>1</v>
      </c>
      <c r="E160" s="76">
        <v>0</v>
      </c>
      <c r="F160" s="76">
        <v>4.21</v>
      </c>
      <c r="G160" s="76">
        <v>23</v>
      </c>
      <c r="H160" s="76">
        <v>0</v>
      </c>
      <c r="I160" s="76">
        <v>0</v>
      </c>
      <c r="J160" s="76">
        <v>0</v>
      </c>
      <c r="K160" s="76">
        <v>0</v>
      </c>
      <c r="L160" s="76">
        <v>1</v>
      </c>
      <c r="M160" s="76">
        <v>25.2</v>
      </c>
      <c r="N160" s="76">
        <v>28</v>
      </c>
      <c r="O160" s="76">
        <v>14</v>
      </c>
      <c r="P160" s="76">
        <v>12</v>
      </c>
      <c r="Q160" s="76">
        <v>3</v>
      </c>
      <c r="R160" s="76">
        <v>8</v>
      </c>
      <c r="S160" s="76">
        <v>3</v>
      </c>
      <c r="T160" s="76">
        <v>21</v>
      </c>
      <c r="U160" s="76">
        <v>109</v>
      </c>
      <c r="V160" s="76">
        <v>25.2</v>
      </c>
      <c r="W160" s="76">
        <v>0.27700000000000002</v>
      </c>
      <c r="X160" s="76">
        <v>1.4</v>
      </c>
      <c r="Y160" s="76"/>
      <c r="Z160" t="s">
        <v>600</v>
      </c>
      <c r="AA160" s="76" t="s">
        <v>165</v>
      </c>
      <c r="AB160" s="76">
        <v>0</v>
      </c>
      <c r="AC160" s="76">
        <v>3</v>
      </c>
      <c r="AD160" s="76">
        <v>3</v>
      </c>
      <c r="AE160" s="76">
        <v>4</v>
      </c>
      <c r="AF160" s="76">
        <v>3</v>
      </c>
      <c r="AG160" s="76">
        <v>25</v>
      </c>
      <c r="AH160" s="76">
        <v>27</v>
      </c>
      <c r="AI160" s="76">
        <v>0</v>
      </c>
      <c r="AJ160" s="76">
        <v>0</v>
      </c>
      <c r="AK160" s="76">
        <v>1</v>
      </c>
      <c r="AL160" s="76">
        <v>1</v>
      </c>
      <c r="AM160" s="76">
        <v>0</v>
      </c>
      <c r="AN160" s="76">
        <v>442</v>
      </c>
      <c r="AO160" s="202" t="s">
        <v>165</v>
      </c>
      <c r="AP160" s="202">
        <v>0.66700000000000004</v>
      </c>
      <c r="AQ160" s="202">
        <v>0.51</v>
      </c>
      <c r="AR160" s="202">
        <v>0.215</v>
      </c>
      <c r="AS160" s="202">
        <v>0.29799999999999999</v>
      </c>
      <c r="AT160" s="202">
        <v>0.51300000000000001</v>
      </c>
      <c r="AU160" s="202">
        <v>13.76</v>
      </c>
      <c r="AV160" s="202">
        <v>1.38</v>
      </c>
      <c r="AW160" s="202">
        <v>5.68</v>
      </c>
      <c r="AX160" s="202">
        <v>10</v>
      </c>
      <c r="AY160" s="202">
        <v>15.19</v>
      </c>
    </row>
    <row r="161" spans="1:51" ht="12.75" customHeight="1" x14ac:dyDescent="0.2">
      <c r="A161" s="76">
        <v>21</v>
      </c>
      <c r="B161" s="41" t="s">
        <v>554</v>
      </c>
      <c r="C161" s="76" t="s">
        <v>165</v>
      </c>
      <c r="D161" s="76">
        <v>2</v>
      </c>
      <c r="E161" s="76">
        <v>1</v>
      </c>
      <c r="F161" s="76">
        <v>4.6900000000000004</v>
      </c>
      <c r="G161" s="76">
        <v>61</v>
      </c>
      <c r="H161" s="76">
        <v>0</v>
      </c>
      <c r="I161" s="76">
        <v>0</v>
      </c>
      <c r="J161" s="76">
        <v>0</v>
      </c>
      <c r="K161" s="76">
        <v>0</v>
      </c>
      <c r="L161" s="76">
        <v>2</v>
      </c>
      <c r="M161" s="76">
        <v>48</v>
      </c>
      <c r="N161" s="76">
        <v>45</v>
      </c>
      <c r="O161" s="76">
        <v>27</v>
      </c>
      <c r="P161" s="76">
        <v>25</v>
      </c>
      <c r="Q161" s="76">
        <v>5</v>
      </c>
      <c r="R161" s="76">
        <v>24</v>
      </c>
      <c r="S161" s="76">
        <v>2</v>
      </c>
      <c r="T161" s="76">
        <v>45</v>
      </c>
      <c r="U161" s="76">
        <v>211</v>
      </c>
      <c r="V161" s="76">
        <v>48</v>
      </c>
      <c r="W161" s="76">
        <v>0.25</v>
      </c>
      <c r="X161" s="76">
        <v>1.44</v>
      </c>
      <c r="Y161" s="76"/>
      <c r="Z161" t="s">
        <v>554</v>
      </c>
      <c r="AA161" s="76" t="s">
        <v>165</v>
      </c>
      <c r="AB161" s="76">
        <v>3</v>
      </c>
      <c r="AC161" s="76">
        <v>2</v>
      </c>
      <c r="AD161" s="76">
        <v>11</v>
      </c>
      <c r="AE161" s="76">
        <v>10</v>
      </c>
      <c r="AF161" s="76">
        <v>3</v>
      </c>
      <c r="AG161" s="76">
        <v>40</v>
      </c>
      <c r="AH161" s="76">
        <v>54</v>
      </c>
      <c r="AI161" s="76">
        <v>3</v>
      </c>
      <c r="AJ161" s="76">
        <v>0</v>
      </c>
      <c r="AK161" s="76">
        <v>1</v>
      </c>
      <c r="AL161" s="76">
        <v>1</v>
      </c>
      <c r="AM161" s="76">
        <v>0</v>
      </c>
      <c r="AN161" s="76">
        <v>889</v>
      </c>
      <c r="AO161" s="202" t="s">
        <v>165</v>
      </c>
      <c r="AP161" s="202">
        <v>0</v>
      </c>
      <c r="AQ161" s="202">
        <v>1.55</v>
      </c>
      <c r="AR161" s="202">
        <v>0.35599999999999998</v>
      </c>
      <c r="AS161" s="202">
        <v>0.52100000000000002</v>
      </c>
      <c r="AT161" s="202">
        <v>0.877</v>
      </c>
      <c r="AU161" s="202">
        <v>6.66</v>
      </c>
      <c r="AV161" s="202">
        <v>2.2200000000000002</v>
      </c>
      <c r="AW161" s="202">
        <v>11.47</v>
      </c>
      <c r="AX161" s="202">
        <v>3</v>
      </c>
      <c r="AY161" s="202">
        <v>16.07</v>
      </c>
    </row>
    <row r="162" spans="1:51" ht="12.75" customHeight="1" x14ac:dyDescent="0.2">
      <c r="A162" s="76">
        <v>6</v>
      </c>
      <c r="B162" t="s">
        <v>1444</v>
      </c>
      <c r="C162" s="76" t="s">
        <v>165</v>
      </c>
      <c r="D162" s="76">
        <v>0</v>
      </c>
      <c r="E162" s="76">
        <v>1</v>
      </c>
      <c r="F162" s="76">
        <v>2.0499999999999998</v>
      </c>
      <c r="G162" s="76">
        <v>25</v>
      </c>
      <c r="H162" s="76">
        <v>0</v>
      </c>
      <c r="I162" s="76">
        <v>0</v>
      </c>
      <c r="J162" s="76">
        <v>0</v>
      </c>
      <c r="K162" s="76">
        <v>0</v>
      </c>
      <c r="L162" s="76">
        <v>2</v>
      </c>
      <c r="M162" s="76">
        <v>26.1</v>
      </c>
      <c r="N162" s="76">
        <v>14</v>
      </c>
      <c r="O162" s="76">
        <v>7</v>
      </c>
      <c r="P162" s="76">
        <v>6</v>
      </c>
      <c r="Q162" s="76">
        <v>4</v>
      </c>
      <c r="R162" s="76">
        <v>6</v>
      </c>
      <c r="S162" s="76">
        <v>0</v>
      </c>
      <c r="T162" s="76">
        <v>39</v>
      </c>
      <c r="U162" s="76">
        <v>101</v>
      </c>
      <c r="V162" s="76">
        <v>26.1</v>
      </c>
      <c r="W162" s="76">
        <v>0.14899999999999999</v>
      </c>
      <c r="X162" s="76">
        <v>0.76</v>
      </c>
      <c r="Y162" s="76"/>
      <c r="Z162" t="s">
        <v>1444</v>
      </c>
      <c r="AA162" s="76" t="s">
        <v>165</v>
      </c>
      <c r="AB162" s="76">
        <v>1</v>
      </c>
      <c r="AC162" s="76">
        <v>0</v>
      </c>
      <c r="AD162" s="76">
        <v>0</v>
      </c>
      <c r="AE162" s="76">
        <v>6</v>
      </c>
      <c r="AF162" s="76">
        <v>0</v>
      </c>
      <c r="AG162" s="76">
        <v>13</v>
      </c>
      <c r="AH162" s="76">
        <v>28</v>
      </c>
      <c r="AI162" s="76">
        <v>0</v>
      </c>
      <c r="AJ162" s="76">
        <v>0</v>
      </c>
      <c r="AK162" s="76">
        <v>0</v>
      </c>
      <c r="AL162" s="76">
        <v>1</v>
      </c>
      <c r="AM162" s="76">
        <v>1</v>
      </c>
      <c r="AN162" s="76">
        <v>468</v>
      </c>
      <c r="AO162" s="202" t="s">
        <v>165</v>
      </c>
      <c r="AP162" s="202">
        <v>0</v>
      </c>
      <c r="AQ162" s="202">
        <v>1.9</v>
      </c>
      <c r="AR162" s="202">
        <v>0.29199999999999998</v>
      </c>
      <c r="AS162" s="202">
        <v>0.36199999999999999</v>
      </c>
      <c r="AT162" s="202">
        <v>0.65400000000000003</v>
      </c>
      <c r="AU162" s="202">
        <v>10.34</v>
      </c>
      <c r="AV162" s="202">
        <v>2.87</v>
      </c>
      <c r="AW162" s="202">
        <v>7.47</v>
      </c>
      <c r="AX162" s="202">
        <v>3.6</v>
      </c>
      <c r="AY162" s="202">
        <v>15.96</v>
      </c>
    </row>
    <row r="163" spans="1:51" ht="12.75" customHeight="1" x14ac:dyDescent="0.2">
      <c r="A163" s="76">
        <v>26</v>
      </c>
      <c r="B163" t="s">
        <v>1449</v>
      </c>
      <c r="C163" s="76" t="s">
        <v>165</v>
      </c>
      <c r="D163" s="76">
        <v>2</v>
      </c>
      <c r="E163" s="76">
        <v>0</v>
      </c>
      <c r="F163" s="76">
        <v>6.35</v>
      </c>
      <c r="G163" s="76">
        <v>4</v>
      </c>
      <c r="H163" s="76">
        <v>4</v>
      </c>
      <c r="I163" s="76">
        <v>0</v>
      </c>
      <c r="J163" s="76">
        <v>0</v>
      </c>
      <c r="K163" s="76">
        <v>0</v>
      </c>
      <c r="L163" s="76">
        <v>0</v>
      </c>
      <c r="M163" s="76">
        <v>17</v>
      </c>
      <c r="N163" s="76">
        <v>19</v>
      </c>
      <c r="O163" s="76">
        <v>17</v>
      </c>
      <c r="P163" s="76">
        <v>12</v>
      </c>
      <c r="Q163" s="76">
        <v>5</v>
      </c>
      <c r="R163" s="76">
        <v>7</v>
      </c>
      <c r="S163" s="76">
        <v>1</v>
      </c>
      <c r="T163" s="76">
        <v>15</v>
      </c>
      <c r="U163" s="76">
        <v>80</v>
      </c>
      <c r="V163" s="76">
        <v>17</v>
      </c>
      <c r="W163" s="76">
        <v>0.28799999999999998</v>
      </c>
      <c r="X163" s="76">
        <v>1.53</v>
      </c>
      <c r="Y163" s="76"/>
      <c r="Z163" t="s">
        <v>1449</v>
      </c>
      <c r="AA163" s="76" t="s">
        <v>165</v>
      </c>
      <c r="AB163" s="76">
        <v>3</v>
      </c>
      <c r="AC163" s="76">
        <v>1</v>
      </c>
      <c r="AD163" s="76">
        <v>0</v>
      </c>
      <c r="AE163" s="76">
        <v>0</v>
      </c>
      <c r="AF163" s="76">
        <v>0</v>
      </c>
      <c r="AG163" s="76">
        <v>20</v>
      </c>
      <c r="AH163" s="76">
        <v>16</v>
      </c>
      <c r="AI163" s="76">
        <v>0</v>
      </c>
      <c r="AJ163" s="76">
        <v>0</v>
      </c>
      <c r="AK163" s="76">
        <v>0</v>
      </c>
      <c r="AL163" s="76">
        <v>0</v>
      </c>
      <c r="AM163" s="76">
        <v>1</v>
      </c>
      <c r="AN163" s="76">
        <v>302</v>
      </c>
      <c r="AO163" s="202" t="s">
        <v>165</v>
      </c>
      <c r="AP163" s="202">
        <v>0.75</v>
      </c>
      <c r="AQ163" s="202">
        <v>0.61</v>
      </c>
      <c r="AR163" s="202">
        <v>0.29799999999999999</v>
      </c>
      <c r="AS163" s="202">
        <v>0.442</v>
      </c>
      <c r="AT163" s="202">
        <v>0.74</v>
      </c>
      <c r="AU163" s="202">
        <v>7.45</v>
      </c>
      <c r="AV163" s="202">
        <v>2.48</v>
      </c>
      <c r="AW163" s="202">
        <v>8.69</v>
      </c>
      <c r="AX163" s="202">
        <v>3</v>
      </c>
      <c r="AY163" s="202">
        <v>16.62</v>
      </c>
    </row>
    <row r="164" spans="1:51" ht="12.75" customHeight="1" x14ac:dyDescent="0.2">
      <c r="A164" s="76">
        <v>8</v>
      </c>
      <c r="B164" t="s">
        <v>550</v>
      </c>
      <c r="C164" s="76" t="s">
        <v>165</v>
      </c>
      <c r="D164" s="76">
        <v>1</v>
      </c>
      <c r="E164" s="76">
        <v>0</v>
      </c>
      <c r="F164" s="76">
        <v>2.79</v>
      </c>
      <c r="G164" s="76">
        <v>22</v>
      </c>
      <c r="H164" s="76">
        <v>0</v>
      </c>
      <c r="I164" s="76">
        <v>0</v>
      </c>
      <c r="J164" s="76">
        <v>0</v>
      </c>
      <c r="K164" s="76">
        <v>0</v>
      </c>
      <c r="L164" s="76">
        <v>0</v>
      </c>
      <c r="M164" s="76">
        <v>19.100000000000001</v>
      </c>
      <c r="N164" s="76">
        <v>20</v>
      </c>
      <c r="O164" s="76">
        <v>8</v>
      </c>
      <c r="P164" s="76">
        <v>6</v>
      </c>
      <c r="Q164" s="76">
        <v>2</v>
      </c>
      <c r="R164" s="76">
        <v>8</v>
      </c>
      <c r="S164" s="76">
        <v>2</v>
      </c>
      <c r="T164" s="76">
        <v>22</v>
      </c>
      <c r="U164" s="76">
        <v>87</v>
      </c>
      <c r="V164" s="76">
        <v>19.100000000000001</v>
      </c>
      <c r="W164" s="76">
        <v>0.25600000000000001</v>
      </c>
      <c r="X164" s="76">
        <v>1.45</v>
      </c>
      <c r="Y164" s="76"/>
      <c r="Z164" t="s">
        <v>550</v>
      </c>
      <c r="AA164" s="76" t="s">
        <v>165</v>
      </c>
      <c r="AB164" s="76">
        <v>1</v>
      </c>
      <c r="AC164" s="76">
        <v>2</v>
      </c>
      <c r="AD164" s="76">
        <v>5</v>
      </c>
      <c r="AE164" s="76">
        <v>2</v>
      </c>
      <c r="AF164" s="76">
        <v>1</v>
      </c>
      <c r="AG164" s="76">
        <v>11</v>
      </c>
      <c r="AH164" s="76">
        <v>25</v>
      </c>
      <c r="AI164" s="76">
        <v>0</v>
      </c>
      <c r="AJ164" s="76">
        <v>0</v>
      </c>
      <c r="AK164" s="76">
        <v>2</v>
      </c>
      <c r="AL164" s="76">
        <v>0</v>
      </c>
      <c r="AM164" s="76">
        <v>0</v>
      </c>
      <c r="AN164" s="76">
        <v>343</v>
      </c>
      <c r="AO164" s="202" t="s">
        <v>165</v>
      </c>
      <c r="AP164" s="202">
        <v>0</v>
      </c>
      <c r="AQ164" s="202">
        <v>1.0900000000000001</v>
      </c>
      <c r="AR164" s="202">
        <v>0.311</v>
      </c>
      <c r="AS164" s="202">
        <v>0.64300000000000002</v>
      </c>
      <c r="AT164" s="202">
        <v>0.95399999999999996</v>
      </c>
      <c r="AU164" s="202">
        <v>6.55</v>
      </c>
      <c r="AV164" s="202">
        <v>2.4500000000000002</v>
      </c>
      <c r="AW164" s="202">
        <v>9</v>
      </c>
      <c r="AX164" s="202">
        <v>2.67</v>
      </c>
      <c r="AY164" s="202">
        <v>16.82</v>
      </c>
    </row>
    <row r="165" spans="1:51" ht="12.75" customHeight="1" x14ac:dyDescent="0.2">
      <c r="A165" s="76">
        <v>18</v>
      </c>
      <c r="B165" t="s">
        <v>575</v>
      </c>
      <c r="C165" s="76" t="s">
        <v>165</v>
      </c>
      <c r="D165" s="76">
        <v>0</v>
      </c>
      <c r="E165" s="76">
        <v>1</v>
      </c>
      <c r="F165" s="76">
        <v>4.21</v>
      </c>
      <c r="G165" s="76">
        <v>25</v>
      </c>
      <c r="H165" s="76">
        <v>0</v>
      </c>
      <c r="I165" s="76">
        <v>0</v>
      </c>
      <c r="J165" s="76">
        <v>0</v>
      </c>
      <c r="K165" s="76">
        <v>0</v>
      </c>
      <c r="L165" s="76">
        <v>1</v>
      </c>
      <c r="M165" s="76">
        <v>25.2</v>
      </c>
      <c r="N165" s="76">
        <v>24</v>
      </c>
      <c r="O165" s="76">
        <v>12</v>
      </c>
      <c r="P165" s="76">
        <v>12</v>
      </c>
      <c r="Q165" s="76">
        <v>8</v>
      </c>
      <c r="R165" s="76">
        <v>7</v>
      </c>
      <c r="S165" s="76">
        <v>3</v>
      </c>
      <c r="T165" s="76">
        <v>23</v>
      </c>
      <c r="U165" s="76">
        <v>106</v>
      </c>
      <c r="V165" s="76">
        <v>25.2</v>
      </c>
      <c r="W165" s="76">
        <v>0.245</v>
      </c>
      <c r="X165" s="76">
        <v>1.21</v>
      </c>
      <c r="Y165" s="76"/>
      <c r="Z165" t="s">
        <v>575</v>
      </c>
      <c r="AA165" s="76" t="s">
        <v>165</v>
      </c>
      <c r="AB165" s="76">
        <v>0</v>
      </c>
      <c r="AC165" s="76">
        <v>3</v>
      </c>
      <c r="AD165" s="76">
        <v>5</v>
      </c>
      <c r="AE165" s="76">
        <v>5</v>
      </c>
      <c r="AF165" s="76">
        <v>0</v>
      </c>
      <c r="AG165" s="76">
        <v>23</v>
      </c>
      <c r="AH165" s="76">
        <v>29</v>
      </c>
      <c r="AI165" s="76">
        <v>0</v>
      </c>
      <c r="AJ165" s="76">
        <v>0</v>
      </c>
      <c r="AK165" s="76">
        <v>0</v>
      </c>
      <c r="AL165" s="76">
        <v>1</v>
      </c>
      <c r="AM165" s="76">
        <v>0</v>
      </c>
      <c r="AN165" s="76">
        <v>424</v>
      </c>
      <c r="AO165" s="202" t="s">
        <v>165</v>
      </c>
      <c r="AP165" s="202">
        <v>0</v>
      </c>
      <c r="AQ165" s="202">
        <v>3</v>
      </c>
      <c r="AR165" s="202">
        <v>0.442</v>
      </c>
      <c r="AS165" s="202">
        <v>0.52400000000000002</v>
      </c>
      <c r="AT165" s="202">
        <v>0.96599999999999997</v>
      </c>
      <c r="AU165" s="202">
        <v>8.1999999999999993</v>
      </c>
      <c r="AV165" s="202">
        <v>2.89</v>
      </c>
      <c r="AW165" s="202">
        <v>15.43</v>
      </c>
      <c r="AX165" s="202">
        <v>2.83</v>
      </c>
      <c r="AY165" s="202">
        <v>19.18</v>
      </c>
    </row>
    <row r="166" spans="1:51" ht="12.75" customHeight="1" x14ac:dyDescent="0.2">
      <c r="A166" s="76">
        <v>1</v>
      </c>
      <c r="B166" t="s">
        <v>765</v>
      </c>
      <c r="C166" s="76" t="s">
        <v>165</v>
      </c>
      <c r="D166" s="76">
        <v>0</v>
      </c>
      <c r="E166" s="76">
        <v>0</v>
      </c>
      <c r="F166" s="76">
        <v>0</v>
      </c>
      <c r="G166" s="76">
        <v>1</v>
      </c>
      <c r="H166" s="76">
        <v>0</v>
      </c>
      <c r="I166" s="76">
        <v>0</v>
      </c>
      <c r="J166" s="76">
        <v>0</v>
      </c>
      <c r="K166" s="76">
        <v>0</v>
      </c>
      <c r="L166" s="76">
        <v>0</v>
      </c>
      <c r="M166" s="76">
        <v>4</v>
      </c>
      <c r="N166" s="76">
        <v>2</v>
      </c>
      <c r="O166" s="76">
        <v>0</v>
      </c>
      <c r="P166" s="76">
        <v>0</v>
      </c>
      <c r="Q166" s="76">
        <v>0</v>
      </c>
      <c r="R166" s="76">
        <v>1</v>
      </c>
      <c r="S166" s="76">
        <v>0</v>
      </c>
      <c r="T166" s="76">
        <v>3</v>
      </c>
      <c r="U166" s="76">
        <v>15</v>
      </c>
      <c r="V166" s="76">
        <v>4</v>
      </c>
      <c r="W166" s="76">
        <v>0.14299999999999999</v>
      </c>
      <c r="X166" s="76">
        <v>0.75</v>
      </c>
      <c r="Y166" s="76"/>
      <c r="Z166" t="s">
        <v>765</v>
      </c>
      <c r="AA166" s="76" t="s">
        <v>165</v>
      </c>
      <c r="AB166" s="76">
        <v>0</v>
      </c>
      <c r="AC166" s="76">
        <v>0</v>
      </c>
      <c r="AD166" s="76">
        <v>1</v>
      </c>
      <c r="AE166" s="76">
        <v>0</v>
      </c>
      <c r="AF166" s="76">
        <v>0</v>
      </c>
      <c r="AG166" s="76">
        <v>4</v>
      </c>
      <c r="AH166" s="76">
        <v>5</v>
      </c>
      <c r="AI166" s="76">
        <v>0</v>
      </c>
      <c r="AJ166" s="76">
        <v>0</v>
      </c>
      <c r="AK166" s="76">
        <v>0</v>
      </c>
      <c r="AL166" s="76">
        <v>0</v>
      </c>
      <c r="AM166" s="76">
        <v>0</v>
      </c>
      <c r="AN166" s="76">
        <v>52</v>
      </c>
      <c r="AO166" s="202" t="s">
        <v>163</v>
      </c>
      <c r="AP166" s="202">
        <v>0</v>
      </c>
      <c r="AQ166" s="202">
        <v>0.69</v>
      </c>
      <c r="AR166" s="202">
        <v>0.372</v>
      </c>
      <c r="AS166" s="202">
        <v>0.436</v>
      </c>
      <c r="AT166" s="202">
        <v>0.80800000000000005</v>
      </c>
      <c r="AU166" s="202">
        <v>4.82</v>
      </c>
      <c r="AV166" s="202">
        <v>1.93</v>
      </c>
      <c r="AW166" s="202">
        <v>12.54</v>
      </c>
      <c r="AX166" s="202">
        <v>2.5</v>
      </c>
      <c r="AY166" s="202">
        <v>17.79</v>
      </c>
    </row>
    <row r="167" spans="1:51" ht="12.75" customHeight="1" x14ac:dyDescent="0.2">
      <c r="A167" s="76">
        <v>11</v>
      </c>
      <c r="B167" t="s">
        <v>762</v>
      </c>
      <c r="C167" s="76" t="s">
        <v>165</v>
      </c>
      <c r="D167" s="76">
        <v>0</v>
      </c>
      <c r="E167" s="76">
        <v>0</v>
      </c>
      <c r="F167" s="76">
        <v>3.24</v>
      </c>
      <c r="G167" s="76">
        <v>9</v>
      </c>
      <c r="H167" s="76">
        <v>0</v>
      </c>
      <c r="I167" s="76">
        <v>0</v>
      </c>
      <c r="J167" s="76">
        <v>0</v>
      </c>
      <c r="K167" s="76">
        <v>0</v>
      </c>
      <c r="L167" s="76">
        <v>2</v>
      </c>
      <c r="M167" s="76">
        <v>8.1</v>
      </c>
      <c r="N167" s="76">
        <v>9</v>
      </c>
      <c r="O167" s="76">
        <v>3</v>
      </c>
      <c r="P167" s="76">
        <v>3</v>
      </c>
      <c r="Q167" s="76">
        <v>0</v>
      </c>
      <c r="R167" s="76">
        <v>1</v>
      </c>
      <c r="S167" s="76">
        <v>0</v>
      </c>
      <c r="T167" s="76">
        <v>4</v>
      </c>
      <c r="U167" s="76">
        <v>35</v>
      </c>
      <c r="V167" s="76">
        <v>8.1</v>
      </c>
      <c r="W167" s="76">
        <v>0.31</v>
      </c>
      <c r="X167" s="76">
        <v>1.2</v>
      </c>
      <c r="Y167" s="76"/>
      <c r="Z167" t="s">
        <v>762</v>
      </c>
      <c r="AA167" s="76" t="s">
        <v>165</v>
      </c>
      <c r="AB167" s="76">
        <v>1</v>
      </c>
      <c r="AC167" s="76">
        <v>0</v>
      </c>
      <c r="AD167" s="76">
        <v>1</v>
      </c>
      <c r="AE167" s="76">
        <v>1</v>
      </c>
      <c r="AF167" s="76">
        <v>1</v>
      </c>
      <c r="AG167" s="76">
        <v>7</v>
      </c>
      <c r="AH167" s="76">
        <v>13</v>
      </c>
      <c r="AI167" s="76">
        <v>0</v>
      </c>
      <c r="AJ167" s="76">
        <v>0</v>
      </c>
      <c r="AK167" s="76">
        <v>0</v>
      </c>
      <c r="AL167" s="76">
        <v>0</v>
      </c>
      <c r="AM167" s="76">
        <v>0</v>
      </c>
      <c r="AN167" s="76">
        <v>128</v>
      </c>
      <c r="AO167" s="202" t="s">
        <v>165</v>
      </c>
      <c r="AP167" s="202" t="s">
        <v>243</v>
      </c>
      <c r="AQ167" s="202">
        <v>1.57</v>
      </c>
      <c r="AR167" s="202">
        <v>0.375</v>
      </c>
      <c r="AS167" s="202">
        <v>0.441</v>
      </c>
      <c r="AT167" s="202">
        <v>0.81599999999999995</v>
      </c>
      <c r="AU167" s="202">
        <v>7.56</v>
      </c>
      <c r="AV167" s="202">
        <v>6.48</v>
      </c>
      <c r="AW167" s="202">
        <v>9.7200000000000006</v>
      </c>
      <c r="AX167" s="202">
        <v>1.17</v>
      </c>
      <c r="AY167" s="202">
        <v>16.68</v>
      </c>
    </row>
    <row r="168" spans="1:51" ht="12.75" customHeight="1" x14ac:dyDescent="0.2">
      <c r="A168" s="76">
        <v>24</v>
      </c>
      <c r="B168" s="41" t="s">
        <v>398</v>
      </c>
      <c r="C168" s="76" t="s">
        <v>165</v>
      </c>
      <c r="D168" s="76">
        <v>5</v>
      </c>
      <c r="E168" s="76">
        <v>4</v>
      </c>
      <c r="F168" s="76">
        <v>5.53</v>
      </c>
      <c r="G168" s="76">
        <v>37</v>
      </c>
      <c r="H168" s="76">
        <v>0</v>
      </c>
      <c r="I168" s="76">
        <v>0</v>
      </c>
      <c r="J168" s="76">
        <v>0</v>
      </c>
      <c r="K168" s="76">
        <v>0</v>
      </c>
      <c r="L168" s="76">
        <v>1</v>
      </c>
      <c r="M168" s="76">
        <v>40.200000000000003</v>
      </c>
      <c r="N168" s="76">
        <v>40</v>
      </c>
      <c r="O168" s="76">
        <v>26</v>
      </c>
      <c r="P168" s="76">
        <v>25</v>
      </c>
      <c r="Q168" s="76">
        <v>8</v>
      </c>
      <c r="R168" s="76">
        <v>21</v>
      </c>
      <c r="S168" s="76">
        <v>4</v>
      </c>
      <c r="T168" s="76">
        <v>43</v>
      </c>
      <c r="U168" s="76">
        <v>181</v>
      </c>
      <c r="V168" s="76">
        <v>40.200000000000003</v>
      </c>
      <c r="W168" s="76">
        <v>0.253</v>
      </c>
      <c r="X168" s="76">
        <v>1.5</v>
      </c>
      <c r="Y168" s="76"/>
      <c r="Z168" t="s">
        <v>398</v>
      </c>
      <c r="AA168" s="76" t="s">
        <v>165</v>
      </c>
      <c r="AB168" s="76">
        <v>1</v>
      </c>
      <c r="AC168" s="76">
        <v>4</v>
      </c>
      <c r="AD168" s="76">
        <v>10</v>
      </c>
      <c r="AE168" s="76">
        <v>4</v>
      </c>
      <c r="AF168" s="76">
        <v>3</v>
      </c>
      <c r="AG168" s="76">
        <v>40</v>
      </c>
      <c r="AH168" s="76">
        <v>36</v>
      </c>
      <c r="AI168" s="76">
        <v>4</v>
      </c>
      <c r="AJ168" s="76">
        <v>0</v>
      </c>
      <c r="AK168" s="76">
        <v>4</v>
      </c>
      <c r="AL168" s="76">
        <v>0</v>
      </c>
      <c r="AM168" s="76">
        <v>1</v>
      </c>
      <c r="AN168" s="76">
        <v>770</v>
      </c>
      <c r="AO168" s="202" t="s">
        <v>165</v>
      </c>
      <c r="AP168" s="202">
        <v>1</v>
      </c>
      <c r="AQ168" s="202">
        <v>1.06</v>
      </c>
      <c r="AR168" s="202">
        <v>0.29799999999999999</v>
      </c>
      <c r="AS168" s="202">
        <v>0.6</v>
      </c>
      <c r="AT168" s="202">
        <v>0.89800000000000002</v>
      </c>
      <c r="AU168" s="202">
        <v>11.35</v>
      </c>
      <c r="AV168" s="202">
        <v>1.57</v>
      </c>
      <c r="AW168" s="202">
        <v>9.39</v>
      </c>
      <c r="AX168" s="202">
        <v>7.25</v>
      </c>
      <c r="AY168" s="202">
        <v>15.96</v>
      </c>
    </row>
    <row r="169" spans="1:51" ht="12.75" customHeight="1" x14ac:dyDescent="0.2">
      <c r="A169" s="76">
        <v>4</v>
      </c>
      <c r="B169" s="41" t="s">
        <v>532</v>
      </c>
      <c r="C169" s="76" t="s">
        <v>165</v>
      </c>
      <c r="D169" s="76">
        <v>3</v>
      </c>
      <c r="E169" s="76">
        <v>2</v>
      </c>
      <c r="F169" s="76">
        <v>1.83</v>
      </c>
      <c r="G169" s="76">
        <v>6</v>
      </c>
      <c r="H169" s="76">
        <v>6</v>
      </c>
      <c r="I169" s="76">
        <v>0</v>
      </c>
      <c r="J169" s="76">
        <v>0</v>
      </c>
      <c r="K169" s="76">
        <v>0</v>
      </c>
      <c r="L169" s="76">
        <v>0</v>
      </c>
      <c r="M169" s="76">
        <v>34.1</v>
      </c>
      <c r="N169" s="76">
        <v>22</v>
      </c>
      <c r="O169" s="76">
        <v>7</v>
      </c>
      <c r="P169" s="76">
        <v>7</v>
      </c>
      <c r="Q169" s="76">
        <v>2</v>
      </c>
      <c r="R169" s="76">
        <v>5</v>
      </c>
      <c r="S169" s="76">
        <v>0</v>
      </c>
      <c r="T169" s="76">
        <v>39</v>
      </c>
      <c r="U169" s="76">
        <v>128</v>
      </c>
      <c r="V169" s="76">
        <v>34.1</v>
      </c>
      <c r="W169" s="76">
        <v>0.182</v>
      </c>
      <c r="X169" s="76">
        <v>0.79</v>
      </c>
      <c r="Y169" s="76"/>
      <c r="Z169" t="s">
        <v>532</v>
      </c>
      <c r="AA169" s="76" t="s">
        <v>165</v>
      </c>
      <c r="AB169" s="76">
        <v>0</v>
      </c>
      <c r="AC169" s="76">
        <v>0</v>
      </c>
      <c r="AD169" s="76">
        <v>0</v>
      </c>
      <c r="AE169" s="76">
        <v>0</v>
      </c>
      <c r="AF169" s="76">
        <v>0</v>
      </c>
      <c r="AG169" s="76">
        <v>24</v>
      </c>
      <c r="AH169" s="76">
        <v>38</v>
      </c>
      <c r="AI169" s="76">
        <v>0</v>
      </c>
      <c r="AJ169" s="76">
        <v>0</v>
      </c>
      <c r="AK169" s="76">
        <v>1</v>
      </c>
      <c r="AL169" s="76">
        <v>1</v>
      </c>
      <c r="AM169" s="76">
        <v>1</v>
      </c>
      <c r="AN169" s="76">
        <v>511</v>
      </c>
      <c r="AO169" s="102" t="s">
        <v>157</v>
      </c>
      <c r="AP169" s="102" t="s">
        <v>1081</v>
      </c>
      <c r="AQ169" s="102" t="s">
        <v>1068</v>
      </c>
      <c r="AR169" s="102" t="s">
        <v>1059</v>
      </c>
      <c r="AS169" s="102" t="s">
        <v>1060</v>
      </c>
      <c r="AT169" s="102" t="s">
        <v>1061</v>
      </c>
      <c r="AU169" s="102" t="s">
        <v>1092</v>
      </c>
      <c r="AV169" s="102" t="s">
        <v>1093</v>
      </c>
      <c r="AW169" s="102" t="s">
        <v>1094</v>
      </c>
      <c r="AX169" s="102" t="s">
        <v>1095</v>
      </c>
      <c r="AY169" s="102" t="s">
        <v>1096</v>
      </c>
    </row>
    <row r="170" spans="1:51" ht="12.75" customHeight="1" x14ac:dyDescent="0.2">
      <c r="A170" s="76">
        <v>17</v>
      </c>
      <c r="B170" s="41" t="s">
        <v>377</v>
      </c>
      <c r="C170" s="76" t="s">
        <v>165</v>
      </c>
      <c r="D170" s="76">
        <v>1</v>
      </c>
      <c r="E170" s="76">
        <v>1</v>
      </c>
      <c r="F170" s="76">
        <v>4.09</v>
      </c>
      <c r="G170" s="76">
        <v>64</v>
      </c>
      <c r="H170" s="76">
        <v>0</v>
      </c>
      <c r="I170" s="76">
        <v>0</v>
      </c>
      <c r="J170" s="76">
        <v>0</v>
      </c>
      <c r="K170" s="76">
        <v>0</v>
      </c>
      <c r="L170" s="76">
        <v>0</v>
      </c>
      <c r="M170" s="76">
        <v>50.2</v>
      </c>
      <c r="N170" s="76">
        <v>56</v>
      </c>
      <c r="O170" s="76">
        <v>23</v>
      </c>
      <c r="P170" s="76">
        <v>23</v>
      </c>
      <c r="Q170" s="76">
        <v>4</v>
      </c>
      <c r="R170" s="76">
        <v>15</v>
      </c>
      <c r="S170" s="76">
        <v>2</v>
      </c>
      <c r="T170" s="76">
        <v>44</v>
      </c>
      <c r="U170" s="76">
        <v>220</v>
      </c>
      <c r="V170" s="76">
        <v>50.2</v>
      </c>
      <c r="W170" s="76">
        <v>0.28100000000000003</v>
      </c>
      <c r="X170" s="76">
        <v>1.4</v>
      </c>
      <c r="Y170" s="76"/>
      <c r="Z170" t="s">
        <v>377</v>
      </c>
      <c r="AA170" s="76" t="s">
        <v>165</v>
      </c>
      <c r="AB170" s="76">
        <v>3</v>
      </c>
      <c r="AC170" s="76">
        <v>2</v>
      </c>
      <c r="AD170" s="76">
        <v>11</v>
      </c>
      <c r="AE170" s="76">
        <v>2</v>
      </c>
      <c r="AF170" s="76">
        <v>4</v>
      </c>
      <c r="AG170" s="76">
        <v>70</v>
      </c>
      <c r="AH170" s="76">
        <v>32</v>
      </c>
      <c r="AI170" s="76">
        <v>3</v>
      </c>
      <c r="AJ170" s="76">
        <v>0</v>
      </c>
      <c r="AK170" s="76">
        <v>2</v>
      </c>
      <c r="AL170" s="76">
        <v>4</v>
      </c>
      <c r="AM170" s="76">
        <v>1</v>
      </c>
      <c r="AN170" s="76">
        <v>883</v>
      </c>
      <c r="AO170" s="202" t="s">
        <v>165</v>
      </c>
      <c r="AP170" s="202" t="s">
        <v>243</v>
      </c>
      <c r="AQ170" s="202">
        <v>5.5</v>
      </c>
      <c r="AR170" s="202">
        <v>0.44800000000000001</v>
      </c>
      <c r="AS170" s="202">
        <v>0.63</v>
      </c>
      <c r="AT170" s="202">
        <v>1.0780000000000001</v>
      </c>
      <c r="AU170" s="202">
        <v>6</v>
      </c>
      <c r="AV170" s="202">
        <v>1.5</v>
      </c>
      <c r="AW170" s="202">
        <v>16.5</v>
      </c>
      <c r="AX170" s="202">
        <v>4</v>
      </c>
      <c r="AY170" s="202">
        <v>15.67</v>
      </c>
    </row>
    <row r="171" spans="1:51" ht="12.75" customHeight="1" x14ac:dyDescent="0.2">
      <c r="A171" s="76">
        <v>4</v>
      </c>
      <c r="B171" s="41" t="s">
        <v>376</v>
      </c>
      <c r="C171" s="76" t="s">
        <v>165</v>
      </c>
      <c r="D171" s="76">
        <v>3</v>
      </c>
      <c r="E171" s="76">
        <v>2</v>
      </c>
      <c r="F171" s="76">
        <v>1.83</v>
      </c>
      <c r="G171" s="76">
        <v>71</v>
      </c>
      <c r="H171" s="76">
        <v>0</v>
      </c>
      <c r="I171" s="76">
        <v>0</v>
      </c>
      <c r="J171" s="76">
        <v>0</v>
      </c>
      <c r="K171" s="76">
        <v>47</v>
      </c>
      <c r="L171" s="76">
        <v>53</v>
      </c>
      <c r="M171" s="76">
        <v>68.2</v>
      </c>
      <c r="N171" s="76">
        <v>35</v>
      </c>
      <c r="O171" s="76">
        <v>14</v>
      </c>
      <c r="P171" s="76">
        <v>14</v>
      </c>
      <c r="Q171" s="76">
        <v>4</v>
      </c>
      <c r="R171" s="76">
        <v>11</v>
      </c>
      <c r="S171" s="76">
        <v>2</v>
      </c>
      <c r="T171" s="76">
        <v>104</v>
      </c>
      <c r="U171" s="76">
        <v>251</v>
      </c>
      <c r="V171" s="76">
        <v>68.2</v>
      </c>
      <c r="W171" s="76">
        <v>0.15</v>
      </c>
      <c r="X171" s="76">
        <v>0.67</v>
      </c>
      <c r="Y171" s="76"/>
      <c r="Z171" t="s">
        <v>376</v>
      </c>
      <c r="AA171" s="76" t="s">
        <v>165</v>
      </c>
      <c r="AB171" s="76">
        <v>2</v>
      </c>
      <c r="AC171" s="76">
        <v>2</v>
      </c>
      <c r="AD171" s="76">
        <v>63</v>
      </c>
      <c r="AE171" s="76">
        <v>0</v>
      </c>
      <c r="AF171" s="76">
        <v>1</v>
      </c>
      <c r="AG171" s="76">
        <v>36</v>
      </c>
      <c r="AH171" s="76">
        <v>63</v>
      </c>
      <c r="AI171" s="76">
        <v>1</v>
      </c>
      <c r="AJ171" s="76">
        <v>0</v>
      </c>
      <c r="AK171" s="76">
        <v>4</v>
      </c>
      <c r="AL171" s="76">
        <v>1</v>
      </c>
      <c r="AM171" s="76">
        <v>0</v>
      </c>
      <c r="AN171" s="76">
        <v>1002</v>
      </c>
      <c r="AO171" s="202" t="s">
        <v>165</v>
      </c>
      <c r="AP171" s="202">
        <v>0.52600000000000002</v>
      </c>
      <c r="AQ171" s="202">
        <v>3.04</v>
      </c>
      <c r="AR171" s="202">
        <v>0.32400000000000001</v>
      </c>
      <c r="AS171" s="202">
        <v>0.40200000000000002</v>
      </c>
      <c r="AT171" s="202">
        <v>0.72599999999999998</v>
      </c>
      <c r="AU171" s="202">
        <v>5.79</v>
      </c>
      <c r="AV171" s="202">
        <v>2.2999999999999998</v>
      </c>
      <c r="AW171" s="202">
        <v>9.68</v>
      </c>
      <c r="AX171" s="202">
        <v>2.52</v>
      </c>
      <c r="AY171" s="202">
        <v>15.06</v>
      </c>
    </row>
    <row r="172" spans="1:51" ht="12.75" customHeight="1" x14ac:dyDescent="0.2">
      <c r="A172" s="76">
        <v>20</v>
      </c>
      <c r="B172" s="41" t="s">
        <v>530</v>
      </c>
      <c r="C172" s="76" t="s">
        <v>165</v>
      </c>
      <c r="D172" s="76">
        <v>10</v>
      </c>
      <c r="E172" s="76">
        <v>6</v>
      </c>
      <c r="F172" s="76">
        <v>4.5599999999999996</v>
      </c>
      <c r="G172" s="76">
        <v>26</v>
      </c>
      <c r="H172" s="76">
        <v>26</v>
      </c>
      <c r="I172" s="76">
        <v>0</v>
      </c>
      <c r="J172" s="76">
        <v>0</v>
      </c>
      <c r="K172" s="76">
        <v>0</v>
      </c>
      <c r="L172" s="76">
        <v>0</v>
      </c>
      <c r="M172" s="76">
        <v>136.1</v>
      </c>
      <c r="N172" s="76">
        <v>133</v>
      </c>
      <c r="O172" s="76">
        <v>71</v>
      </c>
      <c r="P172" s="76">
        <v>69</v>
      </c>
      <c r="Q172" s="76">
        <v>21</v>
      </c>
      <c r="R172" s="76">
        <v>52</v>
      </c>
      <c r="S172" s="76">
        <v>3</v>
      </c>
      <c r="T172" s="76">
        <v>134</v>
      </c>
      <c r="U172" s="76">
        <v>590</v>
      </c>
      <c r="V172" s="76">
        <v>136.1</v>
      </c>
      <c r="W172" s="76">
        <v>0.253</v>
      </c>
      <c r="X172" s="76">
        <v>1.36</v>
      </c>
      <c r="Y172" s="76"/>
      <c r="Z172" t="s">
        <v>530</v>
      </c>
      <c r="AA172" s="76" t="s">
        <v>165</v>
      </c>
      <c r="AB172" s="76">
        <v>7</v>
      </c>
      <c r="AC172" s="76">
        <v>3</v>
      </c>
      <c r="AD172" s="76">
        <v>0</v>
      </c>
      <c r="AE172" s="76">
        <v>0</v>
      </c>
      <c r="AF172" s="76">
        <v>6</v>
      </c>
      <c r="AG172" s="76">
        <v>133</v>
      </c>
      <c r="AH172" s="76">
        <v>131</v>
      </c>
      <c r="AI172" s="76">
        <v>5</v>
      </c>
      <c r="AJ172" s="76">
        <v>0</v>
      </c>
      <c r="AK172" s="76">
        <v>8</v>
      </c>
      <c r="AL172" s="76">
        <v>3</v>
      </c>
      <c r="AM172" s="76">
        <v>1</v>
      </c>
      <c r="AN172" s="76">
        <v>2392</v>
      </c>
      <c r="AO172" s="202" t="s">
        <v>165</v>
      </c>
      <c r="AP172" s="202">
        <v>0.69599999999999995</v>
      </c>
      <c r="AQ172" s="202">
        <v>1.35</v>
      </c>
      <c r="AR172" s="202">
        <v>0.23699999999999999</v>
      </c>
      <c r="AS172" s="202">
        <v>0.28399999999999997</v>
      </c>
      <c r="AT172" s="202">
        <v>0.52100000000000002</v>
      </c>
      <c r="AU172" s="202">
        <v>11.64</v>
      </c>
      <c r="AV172" s="202">
        <v>1.62</v>
      </c>
      <c r="AW172" s="202">
        <v>6.31</v>
      </c>
      <c r="AX172" s="202">
        <v>7.17</v>
      </c>
      <c r="AY172" s="202">
        <v>14.58</v>
      </c>
    </row>
    <row r="173" spans="1:51" ht="12.75" customHeight="1" x14ac:dyDescent="0.2">
      <c r="A173" s="76">
        <v>3</v>
      </c>
      <c r="B173" s="41" t="s">
        <v>375</v>
      </c>
      <c r="C173" s="76" t="s">
        <v>165</v>
      </c>
      <c r="D173" s="76">
        <v>12</v>
      </c>
      <c r="E173" s="76">
        <v>4</v>
      </c>
      <c r="F173" s="76">
        <v>1.69</v>
      </c>
      <c r="G173" s="76">
        <v>21</v>
      </c>
      <c r="H173" s="76">
        <v>21</v>
      </c>
      <c r="I173" s="76">
        <v>3</v>
      </c>
      <c r="J173" s="76">
        <v>3</v>
      </c>
      <c r="K173" s="76">
        <v>0</v>
      </c>
      <c r="L173" s="76">
        <v>0</v>
      </c>
      <c r="M173" s="76">
        <v>149</v>
      </c>
      <c r="N173" s="76">
        <v>97</v>
      </c>
      <c r="O173" s="76">
        <v>31</v>
      </c>
      <c r="P173" s="76">
        <v>28</v>
      </c>
      <c r="Q173" s="76">
        <v>8</v>
      </c>
      <c r="R173" s="76">
        <v>11</v>
      </c>
      <c r="S173" s="76">
        <v>1</v>
      </c>
      <c r="T173" s="76">
        <v>172</v>
      </c>
      <c r="U173" s="76">
        <v>544</v>
      </c>
      <c r="V173" s="76">
        <v>149</v>
      </c>
      <c r="W173" s="76">
        <v>0.184</v>
      </c>
      <c r="X173" s="76">
        <v>0.72</v>
      </c>
      <c r="Y173" s="76"/>
      <c r="Z173" t="s">
        <v>375</v>
      </c>
      <c r="AA173" s="76" t="s">
        <v>165</v>
      </c>
      <c r="AB173" s="76">
        <v>2</v>
      </c>
      <c r="AC173" s="76">
        <v>1</v>
      </c>
      <c r="AD173" s="76">
        <v>0</v>
      </c>
      <c r="AE173" s="76">
        <v>0</v>
      </c>
      <c r="AF173" s="76">
        <v>9</v>
      </c>
      <c r="AG173" s="76">
        <v>148</v>
      </c>
      <c r="AH173" s="76">
        <v>114</v>
      </c>
      <c r="AI173" s="76">
        <v>5</v>
      </c>
      <c r="AJ173" s="76">
        <v>3</v>
      </c>
      <c r="AK173" s="76">
        <v>1</v>
      </c>
      <c r="AL173" s="76">
        <v>1</v>
      </c>
      <c r="AM173" s="76">
        <v>0</v>
      </c>
      <c r="AN173" s="76">
        <v>2062</v>
      </c>
      <c r="AO173" s="202" t="s">
        <v>163</v>
      </c>
      <c r="AP173" s="202">
        <v>0.375</v>
      </c>
      <c r="AQ173" s="202">
        <v>1.83</v>
      </c>
      <c r="AR173" s="202">
        <v>0.36099999999999999</v>
      </c>
      <c r="AS173" s="202">
        <v>0.505</v>
      </c>
      <c r="AT173" s="202">
        <v>0.86699999999999999</v>
      </c>
      <c r="AU173" s="202">
        <v>5.88</v>
      </c>
      <c r="AV173" s="202">
        <v>2.8</v>
      </c>
      <c r="AW173" s="202">
        <v>11.62</v>
      </c>
      <c r="AX173" s="202">
        <v>2.1</v>
      </c>
      <c r="AY173" s="202">
        <v>16.32</v>
      </c>
    </row>
    <row r="174" spans="1:51" ht="12.75" customHeight="1" x14ac:dyDescent="0.2">
      <c r="A174" s="76">
        <v>12</v>
      </c>
      <c r="B174" s="41" t="s">
        <v>1116</v>
      </c>
      <c r="C174" s="76" t="s">
        <v>165</v>
      </c>
      <c r="D174" s="76">
        <v>2</v>
      </c>
      <c r="E174" s="76">
        <v>2</v>
      </c>
      <c r="F174" s="76">
        <v>3.38</v>
      </c>
      <c r="G174" s="76">
        <v>58</v>
      </c>
      <c r="H174" s="76">
        <v>0</v>
      </c>
      <c r="I174" s="76">
        <v>0</v>
      </c>
      <c r="J174" s="76">
        <v>0</v>
      </c>
      <c r="K174" s="76">
        <v>0</v>
      </c>
      <c r="L174" s="76">
        <v>2</v>
      </c>
      <c r="M174" s="76">
        <v>42.2</v>
      </c>
      <c r="N174" s="76">
        <v>34</v>
      </c>
      <c r="O174" s="76">
        <v>16</v>
      </c>
      <c r="P174" s="76">
        <v>16</v>
      </c>
      <c r="Q174" s="76">
        <v>2</v>
      </c>
      <c r="R174" s="76">
        <v>17</v>
      </c>
      <c r="S174" s="76">
        <v>4</v>
      </c>
      <c r="T174" s="76">
        <v>47</v>
      </c>
      <c r="U174" s="76">
        <v>176</v>
      </c>
      <c r="V174" s="76">
        <v>42.2</v>
      </c>
      <c r="W174" s="76">
        <v>0.219</v>
      </c>
      <c r="X174" s="76">
        <v>1.2</v>
      </c>
      <c r="Y174" s="76"/>
      <c r="Z174" t="s">
        <v>1116</v>
      </c>
      <c r="AA174" s="76" t="s">
        <v>165</v>
      </c>
      <c r="AB174" s="76">
        <v>2</v>
      </c>
      <c r="AC174" s="76">
        <v>4</v>
      </c>
      <c r="AD174" s="76">
        <v>9</v>
      </c>
      <c r="AE174" s="76">
        <v>14</v>
      </c>
      <c r="AF174" s="76">
        <v>3</v>
      </c>
      <c r="AG174" s="76">
        <v>30</v>
      </c>
      <c r="AH174" s="76">
        <v>46</v>
      </c>
      <c r="AI174" s="76">
        <v>1</v>
      </c>
      <c r="AJ174" s="76">
        <v>0</v>
      </c>
      <c r="AK174" s="76">
        <v>4</v>
      </c>
      <c r="AL174" s="76">
        <v>1</v>
      </c>
      <c r="AM174" s="76">
        <v>1</v>
      </c>
      <c r="AN174" s="76">
        <v>716</v>
      </c>
      <c r="AO174" s="202" t="s">
        <v>165</v>
      </c>
      <c r="AP174" s="202">
        <v>0.5</v>
      </c>
      <c r="AQ174" s="202">
        <v>1.98</v>
      </c>
      <c r="AR174" s="202">
        <v>0.35599999999999998</v>
      </c>
      <c r="AS174" s="202">
        <v>0.40500000000000003</v>
      </c>
      <c r="AT174" s="202">
        <v>0.76100000000000001</v>
      </c>
      <c r="AU174" s="202">
        <v>4.9800000000000004</v>
      </c>
      <c r="AV174" s="202">
        <v>3.01</v>
      </c>
      <c r="AW174" s="202">
        <v>10.199999999999999</v>
      </c>
      <c r="AX174" s="202">
        <v>1.65</v>
      </c>
      <c r="AY174" s="202">
        <v>15.21</v>
      </c>
    </row>
    <row r="175" spans="1:51" ht="12.75" customHeight="1" x14ac:dyDescent="0.2">
      <c r="A175" s="76">
        <v>14</v>
      </c>
      <c r="B175" s="41" t="s">
        <v>1446</v>
      </c>
      <c r="C175" s="76" t="s">
        <v>165</v>
      </c>
      <c r="D175" s="76">
        <v>16</v>
      </c>
      <c r="E175" s="76">
        <v>11</v>
      </c>
      <c r="F175" s="76">
        <v>3.48</v>
      </c>
      <c r="G175" s="76">
        <v>32</v>
      </c>
      <c r="H175" s="76">
        <v>32</v>
      </c>
      <c r="I175" s="76">
        <v>0</v>
      </c>
      <c r="J175" s="76">
        <v>0</v>
      </c>
      <c r="K175" s="76">
        <v>0</v>
      </c>
      <c r="L175" s="76">
        <v>0</v>
      </c>
      <c r="M175" s="76">
        <v>175.2</v>
      </c>
      <c r="N175" s="76">
        <v>150</v>
      </c>
      <c r="O175" s="76">
        <v>72</v>
      </c>
      <c r="P175" s="76">
        <v>68</v>
      </c>
      <c r="Q175" s="76">
        <v>20</v>
      </c>
      <c r="R175" s="76">
        <v>50</v>
      </c>
      <c r="S175" s="76">
        <v>6</v>
      </c>
      <c r="T175" s="76">
        <v>179</v>
      </c>
      <c r="U175" s="76">
        <v>716</v>
      </c>
      <c r="V175" s="76">
        <v>175.2</v>
      </c>
      <c r="W175" s="76">
        <v>0.22900000000000001</v>
      </c>
      <c r="X175" s="76">
        <v>1.1399999999999999</v>
      </c>
      <c r="Y175" s="76"/>
      <c r="Z175" t="s">
        <v>1446</v>
      </c>
      <c r="AA175" s="76" t="s">
        <v>165</v>
      </c>
      <c r="AB175" s="76">
        <v>8</v>
      </c>
      <c r="AC175" s="76">
        <v>6</v>
      </c>
      <c r="AD175" s="76">
        <v>0</v>
      </c>
      <c r="AE175" s="76">
        <v>0</v>
      </c>
      <c r="AF175" s="76">
        <v>10</v>
      </c>
      <c r="AG175" s="76">
        <v>172</v>
      </c>
      <c r="AH175" s="76">
        <v>157</v>
      </c>
      <c r="AI175" s="76">
        <v>6</v>
      </c>
      <c r="AJ175" s="76">
        <v>0</v>
      </c>
      <c r="AK175" s="76">
        <v>9</v>
      </c>
      <c r="AL175" s="76">
        <v>4</v>
      </c>
      <c r="AM175" s="76">
        <v>0</v>
      </c>
      <c r="AN175" s="76">
        <v>2930</v>
      </c>
      <c r="AO175" s="202" t="s">
        <v>165</v>
      </c>
      <c r="AP175" s="202">
        <v>0.86399999999999999</v>
      </c>
      <c r="AQ175" s="202">
        <v>1.21</v>
      </c>
      <c r="AR175" s="202">
        <v>0.23100000000000001</v>
      </c>
      <c r="AS175" s="202">
        <v>0.27600000000000002</v>
      </c>
      <c r="AT175" s="202">
        <v>0.50700000000000001</v>
      </c>
      <c r="AU175" s="202">
        <v>8.08</v>
      </c>
      <c r="AV175" s="202">
        <v>1.62</v>
      </c>
      <c r="AW175" s="202">
        <v>5.98</v>
      </c>
      <c r="AX175" s="202">
        <v>5</v>
      </c>
      <c r="AY175" s="202">
        <v>14.55</v>
      </c>
    </row>
    <row r="176" spans="1:51" ht="12.75" customHeight="1" x14ac:dyDescent="0.2">
      <c r="A176" s="76">
        <v>22</v>
      </c>
      <c r="B176" t="s">
        <v>327</v>
      </c>
      <c r="C176" s="76" t="s">
        <v>165</v>
      </c>
      <c r="D176" s="76">
        <v>2</v>
      </c>
      <c r="E176" s="76">
        <v>3</v>
      </c>
      <c r="F176" s="76">
        <v>4.95</v>
      </c>
      <c r="G176" s="76">
        <v>10</v>
      </c>
      <c r="H176" s="76">
        <v>9</v>
      </c>
      <c r="I176" s="76">
        <v>0</v>
      </c>
      <c r="J176" s="76">
        <v>0</v>
      </c>
      <c r="K176" s="76">
        <v>0</v>
      </c>
      <c r="L176" s="76">
        <v>1</v>
      </c>
      <c r="M176" s="76">
        <v>40</v>
      </c>
      <c r="N176" s="76">
        <v>29</v>
      </c>
      <c r="O176" s="76">
        <v>24</v>
      </c>
      <c r="P176" s="76">
        <v>22</v>
      </c>
      <c r="Q176" s="76">
        <v>2</v>
      </c>
      <c r="R176" s="76">
        <v>26</v>
      </c>
      <c r="S176" s="76">
        <v>1</v>
      </c>
      <c r="T176" s="76">
        <v>44</v>
      </c>
      <c r="U176" s="76">
        <v>171</v>
      </c>
      <c r="V176" s="76">
        <v>40</v>
      </c>
      <c r="W176" s="76">
        <v>0.20699999999999999</v>
      </c>
      <c r="X176" s="76">
        <v>1.38</v>
      </c>
      <c r="Y176" s="76"/>
      <c r="Z176" t="s">
        <v>327</v>
      </c>
      <c r="AA176" s="76" t="s">
        <v>165</v>
      </c>
      <c r="AB176" s="76">
        <v>2</v>
      </c>
      <c r="AC176" s="76">
        <v>1</v>
      </c>
      <c r="AD176" s="76">
        <v>0</v>
      </c>
      <c r="AE176" s="76">
        <v>0</v>
      </c>
      <c r="AF176" s="76">
        <v>3</v>
      </c>
      <c r="AG176" s="76">
        <v>29</v>
      </c>
      <c r="AH176" s="76">
        <v>41</v>
      </c>
      <c r="AI176" s="76">
        <v>2</v>
      </c>
      <c r="AJ176" s="76">
        <v>0</v>
      </c>
      <c r="AK176" s="76">
        <v>6</v>
      </c>
      <c r="AL176" s="76">
        <v>2</v>
      </c>
      <c r="AM176" s="76">
        <v>2</v>
      </c>
      <c r="AN176" s="76">
        <v>701</v>
      </c>
      <c r="AO176" s="202" t="s">
        <v>165</v>
      </c>
      <c r="AP176" s="202">
        <v>0</v>
      </c>
      <c r="AQ176" s="202">
        <v>3.5</v>
      </c>
      <c r="AR176" s="202">
        <v>0.5</v>
      </c>
      <c r="AS176" s="202">
        <v>0.73899999999999999</v>
      </c>
      <c r="AT176" s="202">
        <v>1.2390000000000001</v>
      </c>
      <c r="AU176" s="202">
        <v>5.79</v>
      </c>
      <c r="AV176" s="202">
        <v>1.93</v>
      </c>
      <c r="AW176" s="202">
        <v>21.21</v>
      </c>
      <c r="AX176" s="202">
        <v>3</v>
      </c>
      <c r="AY176" s="202">
        <v>19.29</v>
      </c>
    </row>
    <row r="177" spans="1:51" ht="12.75" customHeight="1" x14ac:dyDescent="0.2">
      <c r="A177" s="76">
        <v>27</v>
      </c>
      <c r="B177" s="41" t="s">
        <v>492</v>
      </c>
      <c r="C177" s="76" t="s">
        <v>165</v>
      </c>
      <c r="D177" s="76">
        <v>3</v>
      </c>
      <c r="E177" s="76">
        <v>3</v>
      </c>
      <c r="F177" s="76">
        <v>6.54</v>
      </c>
      <c r="G177" s="76">
        <v>13</v>
      </c>
      <c r="H177" s="76">
        <v>9</v>
      </c>
      <c r="I177" s="76">
        <v>0</v>
      </c>
      <c r="J177" s="76">
        <v>0</v>
      </c>
      <c r="K177" s="76">
        <v>0</v>
      </c>
      <c r="L177" s="76">
        <v>0</v>
      </c>
      <c r="M177" s="76">
        <v>42.2</v>
      </c>
      <c r="N177" s="76">
        <v>48</v>
      </c>
      <c r="O177" s="76">
        <v>33</v>
      </c>
      <c r="P177" s="76">
        <v>31</v>
      </c>
      <c r="Q177" s="76">
        <v>8</v>
      </c>
      <c r="R177" s="76">
        <v>21</v>
      </c>
      <c r="S177" s="76">
        <v>3</v>
      </c>
      <c r="T177" s="76">
        <v>42</v>
      </c>
      <c r="U177" s="76">
        <v>194</v>
      </c>
      <c r="V177" s="76">
        <v>42.2</v>
      </c>
      <c r="W177" s="76">
        <v>0.27900000000000003</v>
      </c>
      <c r="X177" s="76">
        <v>1.62</v>
      </c>
      <c r="Y177" s="76"/>
      <c r="Z177" t="s">
        <v>492</v>
      </c>
      <c r="AA177" s="76" t="s">
        <v>165</v>
      </c>
      <c r="AB177" s="76">
        <v>1</v>
      </c>
      <c r="AC177" s="76">
        <v>3</v>
      </c>
      <c r="AD177" s="76">
        <v>1</v>
      </c>
      <c r="AE177" s="76">
        <v>0</v>
      </c>
      <c r="AF177" s="76">
        <v>7</v>
      </c>
      <c r="AG177" s="76">
        <v>44</v>
      </c>
      <c r="AH177" s="76">
        <v>38</v>
      </c>
      <c r="AI177" s="76">
        <v>4</v>
      </c>
      <c r="AJ177" s="76">
        <v>0</v>
      </c>
      <c r="AK177" s="76">
        <v>2</v>
      </c>
      <c r="AL177" s="76">
        <v>0</v>
      </c>
      <c r="AM177" s="76">
        <v>0</v>
      </c>
      <c r="AN177" s="76">
        <v>802</v>
      </c>
      <c r="AO177" s="202" t="s">
        <v>165</v>
      </c>
      <c r="AP177" s="202">
        <v>0.66700000000000004</v>
      </c>
      <c r="AQ177" s="202">
        <v>1.1299999999999999</v>
      </c>
      <c r="AR177" s="202">
        <v>0.38300000000000001</v>
      </c>
      <c r="AS177" s="202">
        <v>0.52400000000000002</v>
      </c>
      <c r="AT177" s="202">
        <v>0.90700000000000003</v>
      </c>
      <c r="AU177" s="202">
        <v>11.57</v>
      </c>
      <c r="AV177" s="202">
        <v>3.86</v>
      </c>
      <c r="AW177" s="202">
        <v>12.54</v>
      </c>
      <c r="AX177" s="202">
        <v>3</v>
      </c>
      <c r="AY177" s="202">
        <v>20.25</v>
      </c>
    </row>
    <row r="178" spans="1:51" ht="12.75" customHeight="1" x14ac:dyDescent="0.2">
      <c r="A178" s="76">
        <v>2</v>
      </c>
      <c r="B178" t="s">
        <v>1117</v>
      </c>
      <c r="C178" s="76" t="s">
        <v>165</v>
      </c>
      <c r="D178" s="76">
        <v>0</v>
      </c>
      <c r="E178" s="76">
        <v>0</v>
      </c>
      <c r="F178" s="76">
        <v>0.93</v>
      </c>
      <c r="G178" s="76">
        <v>10</v>
      </c>
      <c r="H178" s="76">
        <v>0</v>
      </c>
      <c r="I178" s="76">
        <v>0</v>
      </c>
      <c r="J178" s="76">
        <v>0</v>
      </c>
      <c r="K178" s="76">
        <v>0</v>
      </c>
      <c r="L178" s="76">
        <v>0</v>
      </c>
      <c r="M178" s="76">
        <v>9.1999999999999993</v>
      </c>
      <c r="N178" s="76">
        <v>2</v>
      </c>
      <c r="O178" s="76">
        <v>1</v>
      </c>
      <c r="P178" s="76">
        <v>1</v>
      </c>
      <c r="Q178" s="76">
        <v>1</v>
      </c>
      <c r="R178" s="76">
        <v>4</v>
      </c>
      <c r="S178" s="76">
        <v>0</v>
      </c>
      <c r="T178" s="76">
        <v>13</v>
      </c>
      <c r="U178" s="76">
        <v>35</v>
      </c>
      <c r="V178" s="76">
        <v>9.1999999999999993</v>
      </c>
      <c r="W178" s="76">
        <v>6.5000000000000002E-2</v>
      </c>
      <c r="X178" s="76">
        <v>0.62</v>
      </c>
      <c r="Y178" s="76"/>
      <c r="Z178" t="s">
        <v>1117</v>
      </c>
      <c r="AA178" s="76" t="s">
        <v>165</v>
      </c>
      <c r="AB178" s="76">
        <v>0</v>
      </c>
      <c r="AC178" s="76">
        <v>0</v>
      </c>
      <c r="AD178" s="76">
        <v>4</v>
      </c>
      <c r="AE178" s="76">
        <v>0</v>
      </c>
      <c r="AF178" s="76">
        <v>0</v>
      </c>
      <c r="AG178" s="76">
        <v>6</v>
      </c>
      <c r="AH178" s="76">
        <v>10</v>
      </c>
      <c r="AI178" s="76">
        <v>2</v>
      </c>
      <c r="AJ178" s="76">
        <v>0</v>
      </c>
      <c r="AK178" s="76">
        <v>0</v>
      </c>
      <c r="AL178" s="76">
        <v>0</v>
      </c>
      <c r="AM178" s="76">
        <v>0</v>
      </c>
      <c r="AN178" s="76">
        <v>147</v>
      </c>
      <c r="AO178" s="202" t="s">
        <v>163</v>
      </c>
      <c r="AP178" s="202" t="s">
        <v>243</v>
      </c>
      <c r="AQ178" s="202">
        <v>0.5</v>
      </c>
      <c r="AR178" s="202">
        <v>0.73299999999999998</v>
      </c>
      <c r="AS178" s="202">
        <v>0.91700000000000004</v>
      </c>
      <c r="AT178" s="202">
        <v>1.65</v>
      </c>
      <c r="AU178" s="202">
        <v>9</v>
      </c>
      <c r="AV178" s="202">
        <v>27</v>
      </c>
      <c r="AW178" s="202">
        <v>72</v>
      </c>
      <c r="AX178" s="202">
        <v>0.33</v>
      </c>
      <c r="AY178" s="202">
        <v>60</v>
      </c>
    </row>
    <row r="179" spans="1:51" ht="12.75" customHeight="1" x14ac:dyDescent="0.2">
      <c r="A179" s="76">
        <v>30</v>
      </c>
      <c r="B179" t="s">
        <v>1451</v>
      </c>
      <c r="C179" s="76" t="s">
        <v>165</v>
      </c>
      <c r="D179" s="76">
        <v>0</v>
      </c>
      <c r="E179" s="76">
        <v>1</v>
      </c>
      <c r="F179" s="76">
        <v>11.57</v>
      </c>
      <c r="G179" s="76">
        <v>1</v>
      </c>
      <c r="H179" s="76">
        <v>1</v>
      </c>
      <c r="I179" s="76">
        <v>0</v>
      </c>
      <c r="J179" s="76">
        <v>0</v>
      </c>
      <c r="K179" s="76">
        <v>0</v>
      </c>
      <c r="L179" s="76">
        <v>0</v>
      </c>
      <c r="M179" s="76">
        <v>4.2</v>
      </c>
      <c r="N179" s="76">
        <v>8</v>
      </c>
      <c r="O179" s="76">
        <v>6</v>
      </c>
      <c r="P179" s="76">
        <v>6</v>
      </c>
      <c r="Q179" s="76">
        <v>1</v>
      </c>
      <c r="R179" s="76">
        <v>2</v>
      </c>
      <c r="S179" s="76">
        <v>1</v>
      </c>
      <c r="T179" s="76">
        <v>4</v>
      </c>
      <c r="U179" s="76">
        <v>24</v>
      </c>
      <c r="V179" s="76">
        <v>4.2</v>
      </c>
      <c r="W179" s="76">
        <v>0.36399999999999999</v>
      </c>
      <c r="X179" s="76">
        <v>2.14</v>
      </c>
      <c r="Y179" s="76"/>
      <c r="Z179" t="s">
        <v>1451</v>
      </c>
      <c r="AA179" s="76" t="s">
        <v>165</v>
      </c>
      <c r="AB179" s="76">
        <v>0</v>
      </c>
      <c r="AC179" s="76">
        <v>1</v>
      </c>
      <c r="AD179" s="76">
        <v>0</v>
      </c>
      <c r="AE179" s="76">
        <v>0</v>
      </c>
      <c r="AF179" s="76">
        <v>0</v>
      </c>
      <c r="AG179" s="76">
        <v>6</v>
      </c>
      <c r="AH179" s="76">
        <v>4</v>
      </c>
      <c r="AI179" s="76">
        <v>0</v>
      </c>
      <c r="AJ179" s="76">
        <v>0</v>
      </c>
      <c r="AK179" s="76">
        <v>0</v>
      </c>
      <c r="AL179" s="76">
        <v>0</v>
      </c>
      <c r="AM179" s="76">
        <v>0</v>
      </c>
      <c r="AN179" s="76">
        <v>89</v>
      </c>
      <c r="AO179" s="202" t="s">
        <v>165</v>
      </c>
      <c r="AP179" s="202" t="s">
        <v>243</v>
      </c>
      <c r="AQ179" s="202">
        <v>1.5</v>
      </c>
      <c r="AR179" s="202">
        <v>0.438</v>
      </c>
      <c r="AS179" s="202">
        <v>0.76900000000000002</v>
      </c>
      <c r="AT179" s="202">
        <v>1.2070000000000001</v>
      </c>
      <c r="AU179" s="202">
        <v>10.8</v>
      </c>
      <c r="AV179" s="202">
        <v>2.7</v>
      </c>
      <c r="AW179" s="202">
        <v>10.8</v>
      </c>
      <c r="AX179" s="202">
        <v>4</v>
      </c>
      <c r="AY179" s="202">
        <v>15.3</v>
      </c>
    </row>
    <row r="180" spans="1:51" ht="12.75" customHeight="1" x14ac:dyDescent="0.2">
      <c r="A180" s="76">
        <v>25</v>
      </c>
      <c r="B180" t="s">
        <v>1448</v>
      </c>
      <c r="C180" s="76" t="s">
        <v>165</v>
      </c>
      <c r="D180" s="76">
        <v>2</v>
      </c>
      <c r="E180" s="76">
        <v>2</v>
      </c>
      <c r="F180" s="76">
        <v>5.79</v>
      </c>
      <c r="G180" s="76">
        <v>7</v>
      </c>
      <c r="H180" s="76">
        <v>5</v>
      </c>
      <c r="I180" s="76">
        <v>0</v>
      </c>
      <c r="J180" s="76">
        <v>0</v>
      </c>
      <c r="K180" s="76">
        <v>0</v>
      </c>
      <c r="L180" s="76">
        <v>0</v>
      </c>
      <c r="M180" s="76">
        <v>28</v>
      </c>
      <c r="N180" s="76">
        <v>33</v>
      </c>
      <c r="O180" s="76">
        <v>18</v>
      </c>
      <c r="P180" s="76">
        <v>18</v>
      </c>
      <c r="Q180" s="76">
        <v>7</v>
      </c>
      <c r="R180" s="76">
        <v>12</v>
      </c>
      <c r="S180" s="76">
        <v>1</v>
      </c>
      <c r="T180" s="76">
        <v>25</v>
      </c>
      <c r="U180" s="76">
        <v>126</v>
      </c>
      <c r="V180" s="76">
        <v>28</v>
      </c>
      <c r="W180" s="76">
        <v>0.29199999999999998</v>
      </c>
      <c r="X180" s="76">
        <v>1.61</v>
      </c>
      <c r="Y180" s="76"/>
      <c r="Z180" t="s">
        <v>1448</v>
      </c>
      <c r="AA180" s="76" t="s">
        <v>165</v>
      </c>
      <c r="AB180" s="76">
        <v>0</v>
      </c>
      <c r="AC180" s="76">
        <v>1</v>
      </c>
      <c r="AD180" s="76">
        <v>0</v>
      </c>
      <c r="AE180" s="76">
        <v>0</v>
      </c>
      <c r="AF180" s="76">
        <v>1</v>
      </c>
      <c r="AG180" s="76">
        <v>28</v>
      </c>
      <c r="AH180" s="76">
        <v>28</v>
      </c>
      <c r="AI180" s="76">
        <v>0</v>
      </c>
      <c r="AJ180" s="76">
        <v>0</v>
      </c>
      <c r="AK180" s="76">
        <v>2</v>
      </c>
      <c r="AL180" s="76">
        <v>2</v>
      </c>
      <c r="AM180" s="76">
        <v>0</v>
      </c>
      <c r="AN180" s="76">
        <v>484</v>
      </c>
      <c r="AO180" s="202" t="s">
        <v>165</v>
      </c>
      <c r="AP180" s="202">
        <v>0.25</v>
      </c>
      <c r="AQ180" s="202">
        <v>1.06</v>
      </c>
      <c r="AR180" s="202">
        <v>0.35799999999999998</v>
      </c>
      <c r="AS180" s="202">
        <v>0.38400000000000001</v>
      </c>
      <c r="AT180" s="202">
        <v>0.74199999999999999</v>
      </c>
      <c r="AU180" s="202">
        <v>10.029999999999999</v>
      </c>
      <c r="AV180" s="202">
        <v>4.9400000000000004</v>
      </c>
      <c r="AW180" s="202">
        <v>9.1</v>
      </c>
      <c r="AX180" s="202">
        <v>2.0299999999999998</v>
      </c>
      <c r="AY180" s="202">
        <v>18.57</v>
      </c>
    </row>
    <row r="181" spans="1:51" ht="12.75" customHeight="1" x14ac:dyDescent="0.2">
      <c r="A181" s="76">
        <v>16</v>
      </c>
      <c r="B181" s="41" t="s">
        <v>1447</v>
      </c>
      <c r="C181" s="76" t="s">
        <v>165</v>
      </c>
      <c r="D181" s="76">
        <v>5</v>
      </c>
      <c r="E181" s="76">
        <v>9</v>
      </c>
      <c r="F181" s="76">
        <v>3.96</v>
      </c>
      <c r="G181" s="76">
        <v>22</v>
      </c>
      <c r="H181" s="76">
        <v>14</v>
      </c>
      <c r="I181" s="76">
        <v>0</v>
      </c>
      <c r="J181" s="76">
        <v>0</v>
      </c>
      <c r="K181" s="76">
        <v>0</v>
      </c>
      <c r="L181" s="76">
        <v>0</v>
      </c>
      <c r="M181" s="76">
        <v>100</v>
      </c>
      <c r="N181" s="76">
        <v>96</v>
      </c>
      <c r="O181" s="76">
        <v>46</v>
      </c>
      <c r="P181" s="76">
        <v>44</v>
      </c>
      <c r="Q181" s="76">
        <v>10</v>
      </c>
      <c r="R181" s="76">
        <v>30</v>
      </c>
      <c r="S181" s="76">
        <v>3</v>
      </c>
      <c r="T181" s="76">
        <v>74</v>
      </c>
      <c r="U181" s="76">
        <v>419</v>
      </c>
      <c r="V181" s="76">
        <v>100</v>
      </c>
      <c r="W181" s="76">
        <v>0.25</v>
      </c>
      <c r="X181" s="76">
        <v>1.26</v>
      </c>
      <c r="Y181" s="76"/>
      <c r="Z181" t="s">
        <v>1447</v>
      </c>
      <c r="AA181" s="76" t="s">
        <v>165</v>
      </c>
      <c r="AB181" s="76">
        <v>1</v>
      </c>
      <c r="AC181" s="76">
        <v>3</v>
      </c>
      <c r="AD181" s="76">
        <v>4</v>
      </c>
      <c r="AE181" s="76">
        <v>0</v>
      </c>
      <c r="AF181" s="76">
        <v>7</v>
      </c>
      <c r="AG181" s="76">
        <v>131</v>
      </c>
      <c r="AH181" s="76">
        <v>87</v>
      </c>
      <c r="AI181" s="76">
        <v>6</v>
      </c>
      <c r="AJ181" s="76">
        <v>0</v>
      </c>
      <c r="AK181" s="76">
        <v>9</v>
      </c>
      <c r="AL181" s="76">
        <v>0</v>
      </c>
      <c r="AM181" s="76">
        <v>0</v>
      </c>
      <c r="AN181" s="76">
        <v>1590</v>
      </c>
      <c r="AO181" s="202" t="s">
        <v>165</v>
      </c>
      <c r="AP181" s="202">
        <v>0.85699999999999998</v>
      </c>
      <c r="AQ181" s="202">
        <v>1.84</v>
      </c>
      <c r="AR181" s="202">
        <v>0.33200000000000002</v>
      </c>
      <c r="AS181" s="202">
        <v>0.34100000000000003</v>
      </c>
      <c r="AT181" s="202">
        <v>0.67300000000000004</v>
      </c>
      <c r="AU181" s="202">
        <v>7.98</v>
      </c>
      <c r="AV181" s="202">
        <v>2.86</v>
      </c>
      <c r="AW181" s="202">
        <v>9.61</v>
      </c>
      <c r="AX181" s="202">
        <v>2.79</v>
      </c>
      <c r="AY181" s="202">
        <v>17.18</v>
      </c>
    </row>
    <row r="182" spans="1:51" ht="12.75" customHeight="1" x14ac:dyDescent="0.2">
      <c r="A182" s="76">
        <v>29</v>
      </c>
      <c r="B182" t="s">
        <v>1450</v>
      </c>
      <c r="C182" s="76" t="s">
        <v>165</v>
      </c>
      <c r="D182" s="76">
        <v>0</v>
      </c>
      <c r="E182" s="76">
        <v>1</v>
      </c>
      <c r="F182" s="76">
        <v>11.25</v>
      </c>
      <c r="G182" s="76">
        <v>1</v>
      </c>
      <c r="H182" s="76">
        <v>1</v>
      </c>
      <c r="I182" s="76">
        <v>0</v>
      </c>
      <c r="J182" s="76">
        <v>0</v>
      </c>
      <c r="K182" s="76">
        <v>0</v>
      </c>
      <c r="L182" s="76">
        <v>0</v>
      </c>
      <c r="M182" s="76">
        <v>4</v>
      </c>
      <c r="N182" s="76">
        <v>7</v>
      </c>
      <c r="O182" s="76">
        <v>5</v>
      </c>
      <c r="P182" s="76">
        <v>5</v>
      </c>
      <c r="Q182" s="76">
        <v>1</v>
      </c>
      <c r="R182" s="76">
        <v>0</v>
      </c>
      <c r="S182" s="76">
        <v>0</v>
      </c>
      <c r="T182" s="76">
        <v>3</v>
      </c>
      <c r="U182" s="76">
        <v>19</v>
      </c>
      <c r="V182" s="76">
        <v>4</v>
      </c>
      <c r="W182" s="76">
        <v>0.36799999999999999</v>
      </c>
      <c r="X182" s="76">
        <v>1.75</v>
      </c>
      <c r="Y182" s="76"/>
      <c r="Z182" t="s">
        <v>1450</v>
      </c>
      <c r="AA182" s="76" t="s">
        <v>165</v>
      </c>
      <c r="AB182" s="76">
        <v>0</v>
      </c>
      <c r="AC182" s="76">
        <v>0</v>
      </c>
      <c r="AD182" s="76">
        <v>0</v>
      </c>
      <c r="AE182" s="76">
        <v>0</v>
      </c>
      <c r="AF182" s="76">
        <v>0</v>
      </c>
      <c r="AG182" s="76">
        <v>4</v>
      </c>
      <c r="AH182" s="76">
        <v>5</v>
      </c>
      <c r="AI182" s="76">
        <v>0</v>
      </c>
      <c r="AJ182" s="76">
        <v>0</v>
      </c>
      <c r="AK182" s="76">
        <v>0</v>
      </c>
      <c r="AL182" s="76">
        <v>0</v>
      </c>
      <c r="AM182" s="76">
        <v>0</v>
      </c>
      <c r="AN182" s="76">
        <v>66</v>
      </c>
      <c r="AO182" s="202" t="s">
        <v>165</v>
      </c>
      <c r="AP182" s="202" t="s">
        <v>243</v>
      </c>
      <c r="AQ182" s="202">
        <v>1.17</v>
      </c>
      <c r="AR182" s="202">
        <v>0.32800000000000001</v>
      </c>
      <c r="AS182" s="202">
        <v>0.434</v>
      </c>
      <c r="AT182" s="202">
        <v>0.76200000000000001</v>
      </c>
      <c r="AU182" s="202">
        <v>10.130000000000001</v>
      </c>
      <c r="AV182" s="202">
        <v>4.7300000000000004</v>
      </c>
      <c r="AW182" s="202">
        <v>8.7799999999999994</v>
      </c>
      <c r="AX182" s="202">
        <v>2.14</v>
      </c>
      <c r="AY182" s="202">
        <v>15.83</v>
      </c>
    </row>
    <row r="183" spans="1:51" ht="12.75" customHeight="1" x14ac:dyDescent="0.2">
      <c r="A183" s="76">
        <v>23</v>
      </c>
      <c r="B183" t="s">
        <v>1118</v>
      </c>
      <c r="C183" s="76" t="s">
        <v>165</v>
      </c>
      <c r="D183" s="76">
        <v>0</v>
      </c>
      <c r="E183" s="76">
        <v>1</v>
      </c>
      <c r="F183" s="76">
        <v>5.4</v>
      </c>
      <c r="G183" s="76">
        <v>2</v>
      </c>
      <c r="H183" s="76">
        <v>0</v>
      </c>
      <c r="I183" s="76">
        <v>0</v>
      </c>
      <c r="J183" s="76">
        <v>0</v>
      </c>
      <c r="K183" s="76">
        <v>0</v>
      </c>
      <c r="L183" s="76">
        <v>0</v>
      </c>
      <c r="M183" s="76">
        <v>1.2</v>
      </c>
      <c r="N183" s="76">
        <v>1</v>
      </c>
      <c r="O183" s="76">
        <v>1</v>
      </c>
      <c r="P183" s="76">
        <v>1</v>
      </c>
      <c r="Q183" s="76">
        <v>0</v>
      </c>
      <c r="R183" s="76">
        <v>3</v>
      </c>
      <c r="S183" s="76">
        <v>0</v>
      </c>
      <c r="T183" s="76">
        <v>0</v>
      </c>
      <c r="U183" s="76">
        <v>9</v>
      </c>
      <c r="V183" s="76">
        <v>1.2</v>
      </c>
      <c r="W183" s="76">
        <v>0.16700000000000001</v>
      </c>
      <c r="X183" s="76">
        <v>2.4</v>
      </c>
      <c r="Y183" s="76"/>
      <c r="Z183" t="s">
        <v>1118</v>
      </c>
      <c r="AA183" s="76" t="s">
        <v>165</v>
      </c>
      <c r="AB183" s="76">
        <v>0</v>
      </c>
      <c r="AC183" s="76">
        <v>0</v>
      </c>
      <c r="AD183" s="76">
        <v>2</v>
      </c>
      <c r="AE183" s="76">
        <v>0</v>
      </c>
      <c r="AF183" s="76">
        <v>0</v>
      </c>
      <c r="AG183" s="76">
        <v>0</v>
      </c>
      <c r="AH183" s="76">
        <v>5</v>
      </c>
      <c r="AI183" s="76">
        <v>0</v>
      </c>
      <c r="AJ183" s="76">
        <v>0</v>
      </c>
      <c r="AK183" s="76">
        <v>1</v>
      </c>
      <c r="AL183" s="76">
        <v>0</v>
      </c>
      <c r="AM183" s="76">
        <v>0</v>
      </c>
      <c r="AN183" s="76">
        <v>36</v>
      </c>
      <c r="AO183" s="202" t="s">
        <v>165</v>
      </c>
      <c r="AP183" s="202">
        <v>0.5</v>
      </c>
      <c r="AQ183" s="202">
        <v>1</v>
      </c>
      <c r="AR183" s="202">
        <v>0.28699999999999998</v>
      </c>
      <c r="AS183" s="202">
        <v>0.38400000000000001</v>
      </c>
      <c r="AT183" s="202">
        <v>0.67100000000000004</v>
      </c>
      <c r="AU183" s="202">
        <v>8.8000000000000007</v>
      </c>
      <c r="AV183" s="202">
        <v>2.73</v>
      </c>
      <c r="AW183" s="202">
        <v>7.89</v>
      </c>
      <c r="AX183" s="202">
        <v>3.22</v>
      </c>
      <c r="AY183" s="202">
        <v>16.28</v>
      </c>
    </row>
    <row r="184" spans="1:51" ht="12.75" customHeight="1" x14ac:dyDescent="0.2">
      <c r="A184" s="76">
        <v>13</v>
      </c>
      <c r="B184" s="41" t="s">
        <v>1445</v>
      </c>
      <c r="C184" s="76" t="s">
        <v>165</v>
      </c>
      <c r="D184" s="76">
        <v>5</v>
      </c>
      <c r="E184" s="76">
        <v>2</v>
      </c>
      <c r="F184" s="76">
        <v>3.39</v>
      </c>
      <c r="G184" s="76">
        <v>18</v>
      </c>
      <c r="H184" s="76">
        <v>15</v>
      </c>
      <c r="I184" s="76">
        <v>0</v>
      </c>
      <c r="J184" s="76">
        <v>0</v>
      </c>
      <c r="K184" s="76">
        <v>0</v>
      </c>
      <c r="L184" s="76">
        <v>0</v>
      </c>
      <c r="M184" s="76">
        <v>77</v>
      </c>
      <c r="N184" s="76">
        <v>81</v>
      </c>
      <c r="O184" s="76">
        <v>32</v>
      </c>
      <c r="P184" s="76">
        <v>29</v>
      </c>
      <c r="Q184" s="76">
        <v>5</v>
      </c>
      <c r="R184" s="76">
        <v>31</v>
      </c>
      <c r="S184" s="76">
        <v>0</v>
      </c>
      <c r="T184" s="76">
        <v>84</v>
      </c>
      <c r="U184" s="76">
        <v>336</v>
      </c>
      <c r="V184" s="76">
        <v>77</v>
      </c>
      <c r="W184" s="76">
        <v>0.27400000000000002</v>
      </c>
      <c r="X184" s="76">
        <v>1.45</v>
      </c>
      <c r="Y184" s="76"/>
      <c r="Z184" t="s">
        <v>1445</v>
      </c>
      <c r="AA184" s="76" t="s">
        <v>165</v>
      </c>
      <c r="AB184" s="76">
        <v>4</v>
      </c>
      <c r="AC184" s="76">
        <v>0</v>
      </c>
      <c r="AD184" s="76">
        <v>1</v>
      </c>
      <c r="AE184" s="76">
        <v>0</v>
      </c>
      <c r="AF184" s="76">
        <v>6</v>
      </c>
      <c r="AG184" s="76">
        <v>73</v>
      </c>
      <c r="AH184" s="76">
        <v>63</v>
      </c>
      <c r="AI184" s="76">
        <v>3</v>
      </c>
      <c r="AJ184" s="76">
        <v>0</v>
      </c>
      <c r="AK184" s="76">
        <v>7</v>
      </c>
      <c r="AL184" s="76">
        <v>3</v>
      </c>
      <c r="AM184" s="76">
        <v>6</v>
      </c>
      <c r="AN184" s="76">
        <v>1416</v>
      </c>
      <c r="AO184" s="202" t="s">
        <v>165</v>
      </c>
      <c r="AP184" s="202">
        <v>0.375</v>
      </c>
      <c r="AQ184" s="202">
        <v>0.36</v>
      </c>
      <c r="AR184" s="202">
        <v>0.249</v>
      </c>
      <c r="AS184" s="202">
        <v>0.34599999999999997</v>
      </c>
      <c r="AT184" s="202">
        <v>0.59499999999999997</v>
      </c>
      <c r="AU184" s="202">
        <v>10.8</v>
      </c>
      <c r="AV184" s="202">
        <v>1.59</v>
      </c>
      <c r="AW184" s="202">
        <v>6.99</v>
      </c>
      <c r="AX184" s="202">
        <v>6.8</v>
      </c>
      <c r="AY184" s="202">
        <v>14.86</v>
      </c>
    </row>
    <row r="185" spans="1:51" ht="12.75" customHeight="1" x14ac:dyDescent="0.2">
      <c r="A185" s="76">
        <v>15</v>
      </c>
      <c r="B185" t="s">
        <v>336</v>
      </c>
      <c r="C185" s="76" t="s">
        <v>165</v>
      </c>
      <c r="D185" s="76">
        <v>1</v>
      </c>
      <c r="E185" s="76">
        <v>4</v>
      </c>
      <c r="F185" s="76">
        <v>3.73</v>
      </c>
      <c r="G185" s="76">
        <v>14</v>
      </c>
      <c r="H185" s="76">
        <v>10</v>
      </c>
      <c r="I185" s="76">
        <v>0</v>
      </c>
      <c r="J185" s="76">
        <v>0</v>
      </c>
      <c r="K185" s="76">
        <v>0</v>
      </c>
      <c r="L185" s="76">
        <v>0</v>
      </c>
      <c r="M185" s="76">
        <v>60.1</v>
      </c>
      <c r="N185" s="76">
        <v>56</v>
      </c>
      <c r="O185" s="76">
        <v>30</v>
      </c>
      <c r="P185" s="76">
        <v>25</v>
      </c>
      <c r="Q185" s="76">
        <v>5</v>
      </c>
      <c r="R185" s="76">
        <v>20</v>
      </c>
      <c r="S185" s="76">
        <v>0</v>
      </c>
      <c r="T185" s="76">
        <v>66</v>
      </c>
      <c r="U185" s="76">
        <v>255</v>
      </c>
      <c r="V185" s="76">
        <v>60.1</v>
      </c>
      <c r="W185" s="76">
        <v>0.245</v>
      </c>
      <c r="X185" s="76">
        <v>1.26</v>
      </c>
      <c r="Y185" s="76"/>
      <c r="Z185" t="s">
        <v>336</v>
      </c>
      <c r="AA185" s="76" t="s">
        <v>165</v>
      </c>
      <c r="AB185" s="76">
        <v>3</v>
      </c>
      <c r="AC185" s="76">
        <v>0</v>
      </c>
      <c r="AD185" s="76">
        <v>0</v>
      </c>
      <c r="AE185" s="76">
        <v>0</v>
      </c>
      <c r="AF185" s="76">
        <v>5</v>
      </c>
      <c r="AG185" s="76">
        <v>64</v>
      </c>
      <c r="AH185" s="76">
        <v>45</v>
      </c>
      <c r="AI185" s="76">
        <v>4</v>
      </c>
      <c r="AJ185" s="76">
        <v>0</v>
      </c>
      <c r="AK185" s="76">
        <v>2</v>
      </c>
      <c r="AL185" s="76">
        <v>3</v>
      </c>
      <c r="AM185" s="76">
        <v>2</v>
      </c>
      <c r="AN185" s="76">
        <v>985</v>
      </c>
      <c r="AO185" s="202" t="s">
        <v>165</v>
      </c>
      <c r="AP185" s="202">
        <v>0.375</v>
      </c>
      <c r="AQ185" s="202">
        <v>0.79</v>
      </c>
      <c r="AR185" s="202">
        <v>0.311</v>
      </c>
      <c r="AS185" s="202">
        <v>0.374</v>
      </c>
      <c r="AT185" s="202">
        <v>0.68500000000000005</v>
      </c>
      <c r="AU185" s="202">
        <v>10.38</v>
      </c>
      <c r="AV185" s="202">
        <v>3</v>
      </c>
      <c r="AW185" s="202">
        <v>8.08</v>
      </c>
      <c r="AX185" s="202">
        <v>3.46</v>
      </c>
      <c r="AY185" s="202">
        <v>16.72</v>
      </c>
    </row>
    <row r="186" spans="1:51" ht="12.75" customHeight="1" x14ac:dyDescent="0.2">
      <c r="A186" s="225" t="s">
        <v>105</v>
      </c>
      <c r="B186" s="225" t="s">
        <v>106</v>
      </c>
      <c r="C186" s="225" t="s">
        <v>157</v>
      </c>
      <c r="D186" s="225" t="s">
        <v>85</v>
      </c>
      <c r="E186" s="225" t="s">
        <v>86</v>
      </c>
      <c r="F186" s="225" t="s">
        <v>107</v>
      </c>
      <c r="G186" s="225" t="s">
        <v>108</v>
      </c>
      <c r="H186" s="225" t="s">
        <v>88</v>
      </c>
      <c r="I186" s="225" t="s">
        <v>89</v>
      </c>
      <c r="J186" s="225" t="s">
        <v>1073</v>
      </c>
      <c r="K186" s="225" t="s">
        <v>90</v>
      </c>
      <c r="L186" s="225" t="s">
        <v>158</v>
      </c>
      <c r="M186" s="225" t="s">
        <v>91</v>
      </c>
      <c r="N186" s="225" t="s">
        <v>92</v>
      </c>
      <c r="O186" s="225" t="s">
        <v>93</v>
      </c>
      <c r="P186" s="225" t="s">
        <v>94</v>
      </c>
      <c r="Q186" s="225" t="s">
        <v>95</v>
      </c>
      <c r="R186" s="225" t="s">
        <v>96</v>
      </c>
      <c r="S186" s="225" t="s">
        <v>98</v>
      </c>
      <c r="T186" s="225" t="s">
        <v>97</v>
      </c>
      <c r="U186" s="225" t="s">
        <v>109</v>
      </c>
      <c r="V186" s="225" t="s">
        <v>91</v>
      </c>
      <c r="W186" s="225" t="s">
        <v>1071</v>
      </c>
      <c r="X186" s="225" t="s">
        <v>1072</v>
      </c>
      <c r="Y186" s="225"/>
      <c r="Z186" s="225" t="s">
        <v>106</v>
      </c>
      <c r="AA186" s="225" t="s">
        <v>157</v>
      </c>
      <c r="AB186" s="225" t="s">
        <v>1074</v>
      </c>
      <c r="AC186" s="225" t="s">
        <v>98</v>
      </c>
      <c r="AD186" s="225" t="s">
        <v>1075</v>
      </c>
      <c r="AE186" s="225" t="s">
        <v>1076</v>
      </c>
      <c r="AF186" s="225" t="s">
        <v>1077</v>
      </c>
      <c r="AG186" s="225" t="s">
        <v>1066</v>
      </c>
      <c r="AH186" s="225" t="s">
        <v>1067</v>
      </c>
      <c r="AI186" s="225" t="s">
        <v>1078</v>
      </c>
      <c r="AJ186" s="225" t="s">
        <v>1079</v>
      </c>
      <c r="AK186" s="225" t="s">
        <v>1057</v>
      </c>
      <c r="AL186" s="225" t="s">
        <v>1058</v>
      </c>
      <c r="AM186" s="225" t="s">
        <v>1080</v>
      </c>
      <c r="AN186" s="225" t="s">
        <v>1069</v>
      </c>
      <c r="AO186" s="202" t="s">
        <v>165</v>
      </c>
      <c r="AP186" s="202">
        <v>0.5</v>
      </c>
      <c r="AQ186" s="202">
        <v>1</v>
      </c>
      <c r="AR186" s="202">
        <v>0.48599999999999999</v>
      </c>
      <c r="AS186" s="202">
        <v>0.82399999999999995</v>
      </c>
      <c r="AT186" s="202">
        <v>1.31</v>
      </c>
      <c r="AU186" s="202">
        <v>9</v>
      </c>
      <c r="AV186" s="202">
        <v>3.86</v>
      </c>
      <c r="AW186" s="202">
        <v>19.29</v>
      </c>
      <c r="AX186" s="202">
        <v>2.33</v>
      </c>
      <c r="AY186" s="202">
        <v>18.86</v>
      </c>
    </row>
    <row r="187" spans="1:51" ht="12.75" customHeight="1" x14ac:dyDescent="0.2">
      <c r="A187" s="76">
        <v>8</v>
      </c>
      <c r="B187" s="41" t="s">
        <v>1119</v>
      </c>
      <c r="C187" s="76" t="s">
        <v>244</v>
      </c>
      <c r="D187" s="76">
        <v>6</v>
      </c>
      <c r="E187" s="76">
        <v>3</v>
      </c>
      <c r="F187" s="76">
        <v>2.85</v>
      </c>
      <c r="G187" s="76">
        <v>75</v>
      </c>
      <c r="H187" s="76">
        <v>0</v>
      </c>
      <c r="I187" s="76">
        <v>0</v>
      </c>
      <c r="J187" s="76">
        <v>0</v>
      </c>
      <c r="K187" s="76">
        <v>0</v>
      </c>
      <c r="L187" s="76">
        <v>4</v>
      </c>
      <c r="M187" s="76">
        <v>72.2</v>
      </c>
      <c r="N187" s="76">
        <v>45</v>
      </c>
      <c r="O187" s="76">
        <v>24</v>
      </c>
      <c r="P187" s="76">
        <v>23</v>
      </c>
      <c r="Q187" s="76">
        <v>1</v>
      </c>
      <c r="R187" s="76">
        <v>44</v>
      </c>
      <c r="S187" s="76">
        <v>1</v>
      </c>
      <c r="T187" s="76">
        <v>113</v>
      </c>
      <c r="U187" s="76">
        <v>306</v>
      </c>
      <c r="V187" s="76">
        <v>72.2</v>
      </c>
      <c r="W187" s="76">
        <v>0.17599999999999999</v>
      </c>
      <c r="X187" s="76">
        <v>1.22</v>
      </c>
      <c r="Y187" s="76"/>
      <c r="Z187" t="s">
        <v>1119</v>
      </c>
      <c r="AA187" s="76" t="s">
        <v>244</v>
      </c>
      <c r="AB187" s="76">
        <v>2</v>
      </c>
      <c r="AC187" s="76">
        <v>1</v>
      </c>
      <c r="AD187" s="76">
        <v>6</v>
      </c>
      <c r="AE187" s="76">
        <v>29</v>
      </c>
      <c r="AF187" s="76">
        <v>2</v>
      </c>
      <c r="AG187" s="76">
        <v>66</v>
      </c>
      <c r="AH187" s="76">
        <v>36</v>
      </c>
      <c r="AI187" s="76">
        <v>8</v>
      </c>
      <c r="AJ187" s="76">
        <v>0</v>
      </c>
      <c r="AK187" s="76">
        <v>9</v>
      </c>
      <c r="AL187" s="76">
        <v>2</v>
      </c>
      <c r="AM187" s="76">
        <v>0</v>
      </c>
      <c r="AN187" s="76">
        <v>1337</v>
      </c>
      <c r="AO187" s="202" t="s">
        <v>244</v>
      </c>
      <c r="AP187" s="202">
        <v>0.25</v>
      </c>
      <c r="AQ187" s="202">
        <v>1.71</v>
      </c>
      <c r="AR187" s="202">
        <v>0.35699999999999998</v>
      </c>
      <c r="AS187" s="202">
        <v>0.42499999999999999</v>
      </c>
      <c r="AT187" s="202">
        <v>0.78200000000000003</v>
      </c>
      <c r="AU187" s="202">
        <v>7.88</v>
      </c>
      <c r="AV187" s="202">
        <v>3.94</v>
      </c>
      <c r="AW187" s="202">
        <v>10.41</v>
      </c>
      <c r="AX187" s="202">
        <v>2</v>
      </c>
      <c r="AY187" s="202">
        <v>17.559999999999999</v>
      </c>
    </row>
    <row r="188" spans="1:51" ht="12.75" customHeight="1" x14ac:dyDescent="0.2">
      <c r="A188" s="76">
        <v>15</v>
      </c>
      <c r="B188" t="s">
        <v>498</v>
      </c>
      <c r="C188" s="76" t="s">
        <v>244</v>
      </c>
      <c r="D188" s="76">
        <v>0</v>
      </c>
      <c r="E188" s="76">
        <v>2</v>
      </c>
      <c r="F188" s="76">
        <v>4.5</v>
      </c>
      <c r="G188" s="76">
        <v>15</v>
      </c>
      <c r="H188" s="76">
        <v>0</v>
      </c>
      <c r="I188" s="76">
        <v>0</v>
      </c>
      <c r="J188" s="76">
        <v>0</v>
      </c>
      <c r="K188" s="76">
        <v>0</v>
      </c>
      <c r="L188" s="76">
        <v>1</v>
      </c>
      <c r="M188" s="76">
        <v>14</v>
      </c>
      <c r="N188" s="76">
        <v>21</v>
      </c>
      <c r="O188" s="76">
        <v>9</v>
      </c>
      <c r="P188" s="76">
        <v>7</v>
      </c>
      <c r="Q188" s="76">
        <v>1</v>
      </c>
      <c r="R188" s="76">
        <v>4</v>
      </c>
      <c r="S188" s="76">
        <v>0</v>
      </c>
      <c r="T188" s="76">
        <v>7</v>
      </c>
      <c r="U188" s="76">
        <v>63</v>
      </c>
      <c r="V188" s="76">
        <v>14</v>
      </c>
      <c r="W188" s="76">
        <v>0.36199999999999999</v>
      </c>
      <c r="X188" s="76">
        <v>1.79</v>
      </c>
      <c r="Y188" s="76"/>
      <c r="Z188" t="s">
        <v>498</v>
      </c>
      <c r="AA188" s="76" t="s">
        <v>244</v>
      </c>
      <c r="AB188" s="76">
        <v>0</v>
      </c>
      <c r="AC188" s="76">
        <v>0</v>
      </c>
      <c r="AD188" s="76">
        <v>4</v>
      </c>
      <c r="AE188" s="76">
        <v>2</v>
      </c>
      <c r="AF188" s="76">
        <v>2</v>
      </c>
      <c r="AG188" s="76">
        <v>13</v>
      </c>
      <c r="AH188" s="76">
        <v>18</v>
      </c>
      <c r="AI188" s="76">
        <v>2</v>
      </c>
      <c r="AJ188" s="76">
        <v>0</v>
      </c>
      <c r="AK188" s="76">
        <v>0</v>
      </c>
      <c r="AL188" s="76">
        <v>2</v>
      </c>
      <c r="AM188" s="76">
        <v>1</v>
      </c>
      <c r="AN188" s="76">
        <v>210</v>
      </c>
      <c r="AO188" s="202" t="s">
        <v>244</v>
      </c>
      <c r="AP188" s="202">
        <v>0.85699999999999998</v>
      </c>
      <c r="AQ188" s="202">
        <v>0.7</v>
      </c>
      <c r="AR188" s="202">
        <v>0.29099999999999998</v>
      </c>
      <c r="AS188" s="202">
        <v>0.34699999999999998</v>
      </c>
      <c r="AT188" s="202">
        <v>0.63800000000000001</v>
      </c>
      <c r="AU188" s="202">
        <v>10.99</v>
      </c>
      <c r="AV188" s="202">
        <v>1.95</v>
      </c>
      <c r="AW188" s="202">
        <v>8.49</v>
      </c>
      <c r="AX188" s="202">
        <v>5.64</v>
      </c>
      <c r="AY188" s="202">
        <v>15.34</v>
      </c>
    </row>
    <row r="189" spans="1:51" ht="12.75" customHeight="1" x14ac:dyDescent="0.2">
      <c r="A189" s="76">
        <v>26</v>
      </c>
      <c r="B189" t="s">
        <v>1455</v>
      </c>
      <c r="C189" s="76" t="s">
        <v>244</v>
      </c>
      <c r="D189" s="76">
        <v>0</v>
      </c>
      <c r="E189" s="76">
        <v>1</v>
      </c>
      <c r="F189" s="76">
        <v>7.07</v>
      </c>
      <c r="G189" s="76">
        <v>15</v>
      </c>
      <c r="H189" s="76">
        <v>0</v>
      </c>
      <c r="I189" s="76">
        <v>0</v>
      </c>
      <c r="J189" s="76">
        <v>0</v>
      </c>
      <c r="K189" s="76">
        <v>0</v>
      </c>
      <c r="L189" s="76">
        <v>0</v>
      </c>
      <c r="M189" s="76">
        <v>14</v>
      </c>
      <c r="N189" s="76">
        <v>9</v>
      </c>
      <c r="O189" s="76">
        <v>12</v>
      </c>
      <c r="P189" s="76">
        <v>11</v>
      </c>
      <c r="Q189" s="76">
        <v>2</v>
      </c>
      <c r="R189" s="76">
        <v>5</v>
      </c>
      <c r="S189" s="76">
        <v>1</v>
      </c>
      <c r="T189" s="76">
        <v>14</v>
      </c>
      <c r="U189" s="76">
        <v>59</v>
      </c>
      <c r="V189" s="76">
        <v>14</v>
      </c>
      <c r="W189" s="76">
        <v>0.17299999999999999</v>
      </c>
      <c r="X189" s="76">
        <v>1</v>
      </c>
      <c r="Y189" s="76"/>
      <c r="Z189" t="s">
        <v>1455</v>
      </c>
      <c r="AA189" s="76" t="s">
        <v>244</v>
      </c>
      <c r="AB189" s="76">
        <v>2</v>
      </c>
      <c r="AC189" s="76">
        <v>1</v>
      </c>
      <c r="AD189" s="76">
        <v>2</v>
      </c>
      <c r="AE189" s="76">
        <v>1</v>
      </c>
      <c r="AF189" s="76">
        <v>0</v>
      </c>
      <c r="AG189" s="76">
        <v>18</v>
      </c>
      <c r="AH189" s="76">
        <v>11</v>
      </c>
      <c r="AI189" s="76">
        <v>0</v>
      </c>
      <c r="AJ189" s="76">
        <v>0</v>
      </c>
      <c r="AK189" s="76">
        <v>0</v>
      </c>
      <c r="AL189" s="76">
        <v>0</v>
      </c>
      <c r="AM189" s="76">
        <v>0</v>
      </c>
      <c r="AN189" s="76">
        <v>206</v>
      </c>
      <c r="AO189" s="202" t="s">
        <v>244</v>
      </c>
      <c r="AP189" s="202">
        <v>0.75</v>
      </c>
      <c r="AQ189" s="202">
        <v>0.81</v>
      </c>
      <c r="AR189" s="202">
        <v>0.27300000000000002</v>
      </c>
      <c r="AS189" s="202">
        <v>0.438</v>
      </c>
      <c r="AT189" s="202">
        <v>0.71</v>
      </c>
      <c r="AU189" s="202">
        <v>9.49</v>
      </c>
      <c r="AV189" s="202">
        <v>2.67</v>
      </c>
      <c r="AW189" s="202">
        <v>7.12</v>
      </c>
      <c r="AX189" s="202">
        <v>3.56</v>
      </c>
      <c r="AY189" s="202">
        <v>14.9</v>
      </c>
    </row>
    <row r="190" spans="1:51" ht="12.75" customHeight="1" x14ac:dyDescent="0.2">
      <c r="A190" s="76">
        <v>23</v>
      </c>
      <c r="B190" s="41" t="s">
        <v>442</v>
      </c>
      <c r="C190" s="76" t="s">
        <v>244</v>
      </c>
      <c r="D190" s="76">
        <v>1</v>
      </c>
      <c r="E190" s="76">
        <v>4</v>
      </c>
      <c r="F190" s="76">
        <v>5.98</v>
      </c>
      <c r="G190" s="76">
        <v>12</v>
      </c>
      <c r="H190" s="76">
        <v>11</v>
      </c>
      <c r="I190" s="76">
        <v>0</v>
      </c>
      <c r="J190" s="76">
        <v>0</v>
      </c>
      <c r="K190" s="76">
        <v>0</v>
      </c>
      <c r="L190" s="76">
        <v>0</v>
      </c>
      <c r="M190" s="76">
        <v>52.2</v>
      </c>
      <c r="N190" s="76">
        <v>62</v>
      </c>
      <c r="O190" s="76">
        <v>36</v>
      </c>
      <c r="P190" s="76">
        <v>35</v>
      </c>
      <c r="Q190" s="76">
        <v>6</v>
      </c>
      <c r="R190" s="76">
        <v>30</v>
      </c>
      <c r="S190" s="76">
        <v>3</v>
      </c>
      <c r="T190" s="76">
        <v>45</v>
      </c>
      <c r="U190" s="76">
        <v>241</v>
      </c>
      <c r="V190" s="76">
        <v>52.2</v>
      </c>
      <c r="W190" s="76">
        <v>0.30099999999999999</v>
      </c>
      <c r="X190" s="76">
        <v>1.75</v>
      </c>
      <c r="Y190" s="76"/>
      <c r="Z190" t="s">
        <v>442</v>
      </c>
      <c r="AA190" s="76" t="s">
        <v>244</v>
      </c>
      <c r="AB190" s="76">
        <v>1</v>
      </c>
      <c r="AC190" s="76">
        <v>3</v>
      </c>
      <c r="AD190" s="76">
        <v>1</v>
      </c>
      <c r="AE190" s="76">
        <v>0</v>
      </c>
      <c r="AF190" s="76">
        <v>9</v>
      </c>
      <c r="AG190" s="76">
        <v>55</v>
      </c>
      <c r="AH190" s="76">
        <v>48</v>
      </c>
      <c r="AI190" s="76">
        <v>2</v>
      </c>
      <c r="AJ190" s="76">
        <v>0</v>
      </c>
      <c r="AK190" s="76">
        <v>8</v>
      </c>
      <c r="AL190" s="76">
        <v>3</v>
      </c>
      <c r="AM190" s="76">
        <v>0</v>
      </c>
      <c r="AN190" s="76">
        <v>971</v>
      </c>
      <c r="AO190" s="202" t="s">
        <v>244</v>
      </c>
      <c r="AP190" s="202" t="s">
        <v>243</v>
      </c>
      <c r="AQ190" s="202">
        <v>0.47</v>
      </c>
      <c r="AR190" s="202">
        <v>0.38200000000000001</v>
      </c>
      <c r="AS190" s="202">
        <v>0.46800000000000003</v>
      </c>
      <c r="AT190" s="202">
        <v>0.85</v>
      </c>
      <c r="AU190" s="202">
        <v>4.5</v>
      </c>
      <c r="AV190" s="202">
        <v>4.5</v>
      </c>
      <c r="AW190" s="202">
        <v>11.25</v>
      </c>
      <c r="AX190" s="202">
        <v>1</v>
      </c>
      <c r="AY190" s="202">
        <v>16.670000000000002</v>
      </c>
    </row>
    <row r="191" spans="1:51" ht="12.75" customHeight="1" x14ac:dyDescent="0.2">
      <c r="A191" s="76">
        <v>16</v>
      </c>
      <c r="B191" s="41" t="s">
        <v>1415</v>
      </c>
      <c r="C191" s="76" t="s">
        <v>244</v>
      </c>
      <c r="D191" s="76">
        <v>0</v>
      </c>
      <c r="E191" s="76">
        <v>0</v>
      </c>
      <c r="F191" s="76">
        <v>4.82</v>
      </c>
      <c r="G191" s="76">
        <v>18</v>
      </c>
      <c r="H191" s="76">
        <v>0</v>
      </c>
      <c r="I191" s="76">
        <v>0</v>
      </c>
      <c r="J191" s="76">
        <v>0</v>
      </c>
      <c r="K191" s="76">
        <v>0</v>
      </c>
      <c r="L191" s="76">
        <v>0</v>
      </c>
      <c r="M191" s="76">
        <v>9.1</v>
      </c>
      <c r="N191" s="76">
        <v>11</v>
      </c>
      <c r="O191" s="76">
        <v>5</v>
      </c>
      <c r="P191" s="76">
        <v>5</v>
      </c>
      <c r="Q191" s="76">
        <v>1</v>
      </c>
      <c r="R191" s="76">
        <v>5</v>
      </c>
      <c r="S191" s="76">
        <v>0</v>
      </c>
      <c r="T191" s="76">
        <v>7</v>
      </c>
      <c r="U191" s="76">
        <v>43</v>
      </c>
      <c r="V191" s="76">
        <v>9.1</v>
      </c>
      <c r="W191" s="76">
        <v>0.28899999999999998</v>
      </c>
      <c r="X191" s="76">
        <v>1.71</v>
      </c>
      <c r="Y191" s="76"/>
      <c r="Z191" t="s">
        <v>1415</v>
      </c>
      <c r="AA191" s="76" t="s">
        <v>244</v>
      </c>
      <c r="AB191" s="76">
        <v>0</v>
      </c>
      <c r="AC191" s="76">
        <v>0</v>
      </c>
      <c r="AD191" s="76">
        <v>3</v>
      </c>
      <c r="AE191" s="76">
        <v>2</v>
      </c>
      <c r="AF191" s="76">
        <v>0</v>
      </c>
      <c r="AG191" s="76">
        <v>10</v>
      </c>
      <c r="AH191" s="76">
        <v>10</v>
      </c>
      <c r="AI191" s="76">
        <v>0</v>
      </c>
      <c r="AJ191" s="76">
        <v>0</v>
      </c>
      <c r="AK191" s="76">
        <v>2</v>
      </c>
      <c r="AL191" s="76">
        <v>1</v>
      </c>
      <c r="AM191" s="76">
        <v>1</v>
      </c>
      <c r="AN191" s="76">
        <v>179</v>
      </c>
      <c r="AO191" s="202" t="s">
        <v>244</v>
      </c>
      <c r="AP191" s="202">
        <v>0.33300000000000002</v>
      </c>
      <c r="AQ191" s="202">
        <v>0.59</v>
      </c>
      <c r="AR191" s="202">
        <v>0.36799999999999999</v>
      </c>
      <c r="AS191" s="202">
        <v>0.373</v>
      </c>
      <c r="AT191" s="202">
        <v>0.74099999999999999</v>
      </c>
      <c r="AU191" s="202">
        <v>6.39</v>
      </c>
      <c r="AV191" s="202">
        <v>2.84</v>
      </c>
      <c r="AW191" s="202">
        <v>11.37</v>
      </c>
      <c r="AX191" s="202">
        <v>2.25</v>
      </c>
      <c r="AY191" s="202">
        <v>15.87</v>
      </c>
    </row>
    <row r="192" spans="1:51" ht="12.75" customHeight="1" x14ac:dyDescent="0.2">
      <c r="A192" s="76">
        <v>17</v>
      </c>
      <c r="B192" s="41" t="s">
        <v>490</v>
      </c>
      <c r="C192" s="76" t="s">
        <v>244</v>
      </c>
      <c r="D192" s="76">
        <v>5</v>
      </c>
      <c r="E192" s="76">
        <v>5</v>
      </c>
      <c r="F192" s="76">
        <v>4.96</v>
      </c>
      <c r="G192" s="76">
        <v>22</v>
      </c>
      <c r="H192" s="76">
        <v>22</v>
      </c>
      <c r="I192" s="76">
        <v>0</v>
      </c>
      <c r="J192" s="76">
        <v>0</v>
      </c>
      <c r="K192" s="76">
        <v>0</v>
      </c>
      <c r="L192" s="76">
        <v>0</v>
      </c>
      <c r="M192" s="76">
        <v>123.1</v>
      </c>
      <c r="N192" s="76">
        <v>134</v>
      </c>
      <c r="O192" s="76">
        <v>69</v>
      </c>
      <c r="P192" s="76">
        <v>68</v>
      </c>
      <c r="Q192" s="76">
        <v>22</v>
      </c>
      <c r="R192" s="76">
        <v>24</v>
      </c>
      <c r="S192" s="76">
        <v>0</v>
      </c>
      <c r="T192" s="76">
        <v>100</v>
      </c>
      <c r="U192" s="76">
        <v>520</v>
      </c>
      <c r="V192" s="76">
        <v>123.1</v>
      </c>
      <c r="W192" s="76">
        <v>0.27600000000000002</v>
      </c>
      <c r="X192" s="76">
        <v>1.28</v>
      </c>
      <c r="Y192" s="76"/>
      <c r="Z192" t="s">
        <v>490</v>
      </c>
      <c r="AA192" s="76" t="s">
        <v>244</v>
      </c>
      <c r="AB192" s="76">
        <v>3</v>
      </c>
      <c r="AC192" s="76">
        <v>0</v>
      </c>
      <c r="AD192" s="76">
        <v>0</v>
      </c>
      <c r="AE192" s="76">
        <v>0</v>
      </c>
      <c r="AF192" s="76">
        <v>10</v>
      </c>
      <c r="AG192" s="76">
        <v>123</v>
      </c>
      <c r="AH192" s="76">
        <v>136</v>
      </c>
      <c r="AI192" s="76">
        <v>1</v>
      </c>
      <c r="AJ192" s="76">
        <v>0</v>
      </c>
      <c r="AK192" s="76">
        <v>2</v>
      </c>
      <c r="AL192" s="76">
        <v>0</v>
      </c>
      <c r="AM192" s="76">
        <v>0</v>
      </c>
      <c r="AN192" s="76">
        <v>1918</v>
      </c>
      <c r="AO192" s="202" t="s">
        <v>244</v>
      </c>
      <c r="AP192" s="202">
        <v>0.36399999999999999</v>
      </c>
      <c r="AQ192" s="202">
        <v>1.26</v>
      </c>
      <c r="AR192" s="202">
        <v>0.35199999999999998</v>
      </c>
      <c r="AS192" s="202">
        <v>0.432</v>
      </c>
      <c r="AT192" s="202">
        <v>0.78400000000000003</v>
      </c>
      <c r="AU192" s="202">
        <v>6.46</v>
      </c>
      <c r="AV192" s="202">
        <v>3.09</v>
      </c>
      <c r="AW192" s="202">
        <v>10.32</v>
      </c>
      <c r="AX192" s="202">
        <v>2.09</v>
      </c>
      <c r="AY192" s="202">
        <v>16.64</v>
      </c>
    </row>
    <row r="193" spans="1:51" ht="12.75" customHeight="1" x14ac:dyDescent="0.2">
      <c r="A193" s="76">
        <v>25</v>
      </c>
      <c r="B193" t="s">
        <v>1454</v>
      </c>
      <c r="C193" s="76" t="s">
        <v>244</v>
      </c>
      <c r="D193" s="76">
        <v>1</v>
      </c>
      <c r="E193" s="76">
        <v>0</v>
      </c>
      <c r="F193" s="76">
        <v>6.3</v>
      </c>
      <c r="G193" s="76">
        <v>2</v>
      </c>
      <c r="H193" s="76">
        <v>2</v>
      </c>
      <c r="I193" s="76">
        <v>0</v>
      </c>
      <c r="J193" s="76">
        <v>0</v>
      </c>
      <c r="K193" s="76">
        <v>0</v>
      </c>
      <c r="L193" s="76">
        <v>0</v>
      </c>
      <c r="M193" s="76">
        <v>10</v>
      </c>
      <c r="N193" s="76">
        <v>11</v>
      </c>
      <c r="O193" s="76">
        <v>7</v>
      </c>
      <c r="P193" s="76">
        <v>7</v>
      </c>
      <c r="Q193" s="76">
        <v>5</v>
      </c>
      <c r="R193" s="76">
        <v>8</v>
      </c>
      <c r="S193" s="76">
        <v>0</v>
      </c>
      <c r="T193" s="76">
        <v>6</v>
      </c>
      <c r="U193" s="76">
        <v>47</v>
      </c>
      <c r="V193" s="76">
        <v>10</v>
      </c>
      <c r="W193" s="76">
        <v>0.28899999999999998</v>
      </c>
      <c r="X193" s="76">
        <v>1.9</v>
      </c>
      <c r="Y193" s="76"/>
      <c r="Z193" t="s">
        <v>1454</v>
      </c>
      <c r="AA193" s="76" t="s">
        <v>244</v>
      </c>
      <c r="AB193" s="76">
        <v>1</v>
      </c>
      <c r="AC193" s="76">
        <v>0</v>
      </c>
      <c r="AD193" s="76">
        <v>0</v>
      </c>
      <c r="AE193" s="76">
        <v>0</v>
      </c>
      <c r="AF193" s="76">
        <v>2</v>
      </c>
      <c r="AG193" s="76">
        <v>10</v>
      </c>
      <c r="AH193" s="76">
        <v>11</v>
      </c>
      <c r="AI193" s="76">
        <v>0</v>
      </c>
      <c r="AJ193" s="76">
        <v>0</v>
      </c>
      <c r="AK193" s="76">
        <v>0</v>
      </c>
      <c r="AL193" s="76">
        <v>0</v>
      </c>
      <c r="AM193" s="76">
        <v>0</v>
      </c>
      <c r="AN193" s="76">
        <v>181</v>
      </c>
      <c r="AO193" s="202" t="s">
        <v>244</v>
      </c>
      <c r="AP193" s="202">
        <v>0.55600000000000005</v>
      </c>
      <c r="AQ193" s="202">
        <v>2.27</v>
      </c>
      <c r="AR193" s="202">
        <v>0.35199999999999998</v>
      </c>
      <c r="AS193" s="202">
        <v>0.36899999999999999</v>
      </c>
      <c r="AT193" s="202">
        <v>0.72099999999999997</v>
      </c>
      <c r="AU193" s="202">
        <v>6.71</v>
      </c>
      <c r="AV193" s="202">
        <v>3.71</v>
      </c>
      <c r="AW193" s="202">
        <v>9.57</v>
      </c>
      <c r="AX193" s="202">
        <v>1.81</v>
      </c>
      <c r="AY193" s="202">
        <v>15.97</v>
      </c>
    </row>
    <row r="194" spans="1:51" ht="12.75" customHeight="1" x14ac:dyDescent="0.2">
      <c r="A194" s="76">
        <v>13</v>
      </c>
      <c r="B194" s="41" t="s">
        <v>1121</v>
      </c>
      <c r="C194" s="76" t="s">
        <v>244</v>
      </c>
      <c r="D194" s="76">
        <v>8</v>
      </c>
      <c r="E194" s="76">
        <v>6</v>
      </c>
      <c r="F194" s="76">
        <v>3.85</v>
      </c>
      <c r="G194" s="76">
        <v>25</v>
      </c>
      <c r="H194" s="76">
        <v>25</v>
      </c>
      <c r="I194" s="76">
        <v>0</v>
      </c>
      <c r="J194" s="76">
        <v>0</v>
      </c>
      <c r="K194" s="76">
        <v>0</v>
      </c>
      <c r="L194" s="76">
        <v>0</v>
      </c>
      <c r="M194" s="76">
        <v>133.1</v>
      </c>
      <c r="N194" s="76">
        <v>125</v>
      </c>
      <c r="O194" s="76">
        <v>59</v>
      </c>
      <c r="P194" s="76">
        <v>57</v>
      </c>
      <c r="Q194" s="76">
        <v>13</v>
      </c>
      <c r="R194" s="76">
        <v>62</v>
      </c>
      <c r="S194" s="76">
        <v>7</v>
      </c>
      <c r="T194" s="76">
        <v>124</v>
      </c>
      <c r="U194" s="76">
        <v>584</v>
      </c>
      <c r="V194" s="76">
        <v>133.1</v>
      </c>
      <c r="W194" s="76">
        <v>0.25</v>
      </c>
      <c r="X194" s="76">
        <v>1.4</v>
      </c>
      <c r="Y194" s="76"/>
      <c r="Z194" t="s">
        <v>1121</v>
      </c>
      <c r="AA194" s="76" t="s">
        <v>244</v>
      </c>
      <c r="AB194" s="76">
        <v>11</v>
      </c>
      <c r="AC194" s="76">
        <v>7</v>
      </c>
      <c r="AD194" s="76">
        <v>0</v>
      </c>
      <c r="AE194" s="76">
        <v>0</v>
      </c>
      <c r="AF194" s="76">
        <v>14</v>
      </c>
      <c r="AG194" s="76">
        <v>111</v>
      </c>
      <c r="AH194" s="76">
        <v>150</v>
      </c>
      <c r="AI194" s="76">
        <v>9</v>
      </c>
      <c r="AJ194" s="76">
        <v>0</v>
      </c>
      <c r="AK194" s="76">
        <v>8</v>
      </c>
      <c r="AL194" s="76">
        <v>1</v>
      </c>
      <c r="AM194" s="76">
        <v>1</v>
      </c>
      <c r="AN194" s="76">
        <v>2274</v>
      </c>
      <c r="AO194" s="202" t="s">
        <v>244</v>
      </c>
      <c r="AP194" s="202">
        <v>0.5</v>
      </c>
      <c r="AQ194" s="202">
        <v>2.38</v>
      </c>
      <c r="AR194" s="202">
        <v>0.32600000000000001</v>
      </c>
      <c r="AS194" s="202">
        <v>0.33100000000000002</v>
      </c>
      <c r="AT194" s="202">
        <v>0.65800000000000003</v>
      </c>
      <c r="AU194" s="202">
        <v>8.39</v>
      </c>
      <c r="AV194" s="202">
        <v>3.48</v>
      </c>
      <c r="AW194" s="202">
        <v>8.39</v>
      </c>
      <c r="AX194" s="202">
        <v>2.41</v>
      </c>
      <c r="AY194" s="202">
        <v>15.57</v>
      </c>
    </row>
    <row r="195" spans="1:51" ht="12.75" customHeight="1" x14ac:dyDescent="0.2">
      <c r="A195" s="76">
        <v>22</v>
      </c>
      <c r="B195" t="s">
        <v>547</v>
      </c>
      <c r="C195" s="76" t="s">
        <v>244</v>
      </c>
      <c r="D195" s="76">
        <v>0</v>
      </c>
      <c r="E195" s="76">
        <v>1</v>
      </c>
      <c r="F195" s="76">
        <v>5.95</v>
      </c>
      <c r="G195" s="76">
        <v>4</v>
      </c>
      <c r="H195" s="76">
        <v>4</v>
      </c>
      <c r="I195" s="76">
        <v>0</v>
      </c>
      <c r="J195" s="76">
        <v>0</v>
      </c>
      <c r="K195" s="76">
        <v>0</v>
      </c>
      <c r="L195" s="76">
        <v>0</v>
      </c>
      <c r="M195" s="76">
        <v>19.2</v>
      </c>
      <c r="N195" s="76">
        <v>19</v>
      </c>
      <c r="O195" s="76">
        <v>14</v>
      </c>
      <c r="P195" s="76">
        <v>13</v>
      </c>
      <c r="Q195" s="76">
        <v>0</v>
      </c>
      <c r="R195" s="76">
        <v>16</v>
      </c>
      <c r="S195" s="76">
        <v>2</v>
      </c>
      <c r="T195" s="76">
        <v>11</v>
      </c>
      <c r="U195" s="76">
        <v>92</v>
      </c>
      <c r="V195" s="76">
        <v>19.2</v>
      </c>
      <c r="W195" s="76">
        <v>0.25700000000000001</v>
      </c>
      <c r="X195" s="76">
        <v>1.78</v>
      </c>
      <c r="Y195" s="76"/>
      <c r="Z195" t="s">
        <v>547</v>
      </c>
      <c r="AA195" s="76" t="s">
        <v>244</v>
      </c>
      <c r="AB195" s="76">
        <v>0</v>
      </c>
      <c r="AC195" s="76">
        <v>2</v>
      </c>
      <c r="AD195" s="76">
        <v>0</v>
      </c>
      <c r="AE195" s="76">
        <v>0</v>
      </c>
      <c r="AF195" s="76">
        <v>3</v>
      </c>
      <c r="AG195" s="76">
        <v>39</v>
      </c>
      <c r="AH195" s="76">
        <v>7</v>
      </c>
      <c r="AI195" s="76">
        <v>2</v>
      </c>
      <c r="AJ195" s="76">
        <v>0</v>
      </c>
      <c r="AK195" s="76">
        <v>1</v>
      </c>
      <c r="AL195" s="76">
        <v>0</v>
      </c>
      <c r="AM195" s="76">
        <v>0</v>
      </c>
      <c r="AN195" s="76">
        <v>401</v>
      </c>
      <c r="AO195" s="202" t="s">
        <v>244</v>
      </c>
      <c r="AP195" s="202" t="s">
        <v>243</v>
      </c>
      <c r="AQ195" s="202">
        <v>1.33</v>
      </c>
      <c r="AR195" s="202">
        <v>0.34100000000000003</v>
      </c>
      <c r="AS195" s="202">
        <v>0.35099999999999998</v>
      </c>
      <c r="AT195" s="202">
        <v>0.69299999999999995</v>
      </c>
      <c r="AU195" s="202">
        <v>5.59</v>
      </c>
      <c r="AV195" s="202">
        <v>0.93</v>
      </c>
      <c r="AW195" s="202">
        <v>11.17</v>
      </c>
      <c r="AX195" s="202">
        <v>6</v>
      </c>
      <c r="AY195" s="202">
        <v>13.97</v>
      </c>
    </row>
    <row r="196" spans="1:51" ht="12.75" customHeight="1" x14ac:dyDescent="0.2">
      <c r="A196" s="76">
        <v>28</v>
      </c>
      <c r="B196" t="s">
        <v>777</v>
      </c>
      <c r="C196" s="76" t="s">
        <v>244</v>
      </c>
      <c r="D196" s="76">
        <v>0</v>
      </c>
      <c r="E196" s="76">
        <v>0</v>
      </c>
      <c r="F196" s="76">
        <v>9</v>
      </c>
      <c r="G196" s="76">
        <v>3</v>
      </c>
      <c r="H196" s="76">
        <v>0</v>
      </c>
      <c r="I196" s="76">
        <v>0</v>
      </c>
      <c r="J196" s="76">
        <v>0</v>
      </c>
      <c r="K196" s="76">
        <v>0</v>
      </c>
      <c r="L196" s="76">
        <v>0</v>
      </c>
      <c r="M196" s="76">
        <v>3</v>
      </c>
      <c r="N196" s="76">
        <v>4</v>
      </c>
      <c r="O196" s="76">
        <v>3</v>
      </c>
      <c r="P196" s="76">
        <v>3</v>
      </c>
      <c r="Q196" s="76">
        <v>0</v>
      </c>
      <c r="R196" s="76">
        <v>1</v>
      </c>
      <c r="S196" s="76">
        <v>0</v>
      </c>
      <c r="T196" s="76">
        <v>0</v>
      </c>
      <c r="U196" s="76">
        <v>13</v>
      </c>
      <c r="V196" s="76">
        <v>3</v>
      </c>
      <c r="W196" s="76">
        <v>0.36399999999999999</v>
      </c>
      <c r="X196" s="76">
        <v>1.67</v>
      </c>
      <c r="Y196" s="76"/>
      <c r="Z196" t="s">
        <v>777</v>
      </c>
      <c r="AA196" s="76" t="s">
        <v>244</v>
      </c>
      <c r="AB196" s="76">
        <v>0</v>
      </c>
      <c r="AC196" s="76">
        <v>0</v>
      </c>
      <c r="AD196" s="76">
        <v>3</v>
      </c>
      <c r="AE196" s="76">
        <v>0</v>
      </c>
      <c r="AF196" s="76">
        <v>1</v>
      </c>
      <c r="AG196" s="76">
        <v>6</v>
      </c>
      <c r="AH196" s="76">
        <v>2</v>
      </c>
      <c r="AI196" s="76">
        <v>0</v>
      </c>
      <c r="AJ196" s="76">
        <v>0</v>
      </c>
      <c r="AK196" s="76">
        <v>0</v>
      </c>
      <c r="AL196" s="76">
        <v>0</v>
      </c>
      <c r="AM196" s="76">
        <v>0</v>
      </c>
      <c r="AN196" s="76">
        <v>48</v>
      </c>
      <c r="AO196" s="202" t="s">
        <v>244</v>
      </c>
      <c r="AP196" s="202">
        <v>0.33300000000000002</v>
      </c>
      <c r="AQ196" s="202">
        <v>0.92</v>
      </c>
      <c r="AR196" s="202">
        <v>0.32500000000000001</v>
      </c>
      <c r="AS196" s="202">
        <v>0.40400000000000003</v>
      </c>
      <c r="AT196" s="202">
        <v>0.72899999999999998</v>
      </c>
      <c r="AU196" s="202">
        <v>6.19</v>
      </c>
      <c r="AV196" s="202">
        <v>2.65</v>
      </c>
      <c r="AW196" s="202">
        <v>9.56</v>
      </c>
      <c r="AX196" s="202">
        <v>2.33</v>
      </c>
      <c r="AY196" s="202">
        <v>16.59</v>
      </c>
    </row>
    <row r="197" spans="1:51" ht="12.75" customHeight="1" x14ac:dyDescent="0.2">
      <c r="A197" s="76">
        <v>12</v>
      </c>
      <c r="B197" s="41" t="s">
        <v>388</v>
      </c>
      <c r="C197" s="76" t="s">
        <v>244</v>
      </c>
      <c r="D197" s="76">
        <v>6</v>
      </c>
      <c r="E197" s="76">
        <v>1</v>
      </c>
      <c r="F197" s="76">
        <v>3.4</v>
      </c>
      <c r="G197" s="76">
        <v>51</v>
      </c>
      <c r="H197" s="76">
        <v>0</v>
      </c>
      <c r="I197" s="76">
        <v>0</v>
      </c>
      <c r="J197" s="76">
        <v>0</v>
      </c>
      <c r="K197" s="76">
        <v>0</v>
      </c>
      <c r="L197" s="76">
        <v>4</v>
      </c>
      <c r="M197" s="76">
        <v>42.1</v>
      </c>
      <c r="N197" s="76">
        <v>43</v>
      </c>
      <c r="O197" s="76">
        <v>16</v>
      </c>
      <c r="P197" s="76">
        <v>16</v>
      </c>
      <c r="Q197" s="76">
        <v>5</v>
      </c>
      <c r="R197" s="76">
        <v>11</v>
      </c>
      <c r="S197" s="76">
        <v>0</v>
      </c>
      <c r="T197" s="76">
        <v>38</v>
      </c>
      <c r="U197" s="76">
        <v>176</v>
      </c>
      <c r="V197" s="76">
        <v>42.1</v>
      </c>
      <c r="W197" s="76">
        <v>0.27</v>
      </c>
      <c r="X197" s="76">
        <v>1.28</v>
      </c>
      <c r="Y197" s="76"/>
      <c r="Z197" t="s">
        <v>388</v>
      </c>
      <c r="AA197" s="76" t="s">
        <v>244</v>
      </c>
      <c r="AB197" s="76">
        <v>3</v>
      </c>
      <c r="AC197" s="76">
        <v>0</v>
      </c>
      <c r="AD197" s="76">
        <v>5</v>
      </c>
      <c r="AE197" s="76">
        <v>8</v>
      </c>
      <c r="AF197" s="76">
        <v>3</v>
      </c>
      <c r="AG197" s="76">
        <v>25</v>
      </c>
      <c r="AH197" s="76">
        <v>56</v>
      </c>
      <c r="AI197" s="76">
        <v>2</v>
      </c>
      <c r="AJ197" s="76">
        <v>0</v>
      </c>
      <c r="AK197" s="76">
        <v>1</v>
      </c>
      <c r="AL197" s="76">
        <v>4</v>
      </c>
      <c r="AM197" s="76">
        <v>3</v>
      </c>
      <c r="AN197" s="76">
        <v>720</v>
      </c>
      <c r="AO197" s="202" t="s">
        <v>244</v>
      </c>
      <c r="AP197" s="202">
        <v>0.28599999999999998</v>
      </c>
      <c r="AQ197" s="202">
        <v>0.82</v>
      </c>
      <c r="AR197" s="202">
        <v>0.32800000000000001</v>
      </c>
      <c r="AS197" s="202">
        <v>0.38400000000000001</v>
      </c>
      <c r="AT197" s="202">
        <v>0.71199999999999997</v>
      </c>
      <c r="AU197" s="202">
        <v>10.83</v>
      </c>
      <c r="AV197" s="202">
        <v>4.83</v>
      </c>
      <c r="AW197" s="202">
        <v>7.67</v>
      </c>
      <c r="AX197" s="202">
        <v>2.2400000000000002</v>
      </c>
      <c r="AY197" s="202">
        <v>18.260000000000002</v>
      </c>
    </row>
    <row r="198" spans="1:51" ht="12.75" customHeight="1" x14ac:dyDescent="0.2">
      <c r="A198" s="76">
        <v>30</v>
      </c>
      <c r="B198" t="s">
        <v>1343</v>
      </c>
      <c r="C198" s="76" t="s">
        <v>244</v>
      </c>
      <c r="D198" s="76">
        <v>0</v>
      </c>
      <c r="E198" s="76">
        <v>0</v>
      </c>
      <c r="F198" s="76">
        <v>12</v>
      </c>
      <c r="G198" s="76">
        <v>5</v>
      </c>
      <c r="H198" s="76">
        <v>0</v>
      </c>
      <c r="I198" s="76">
        <v>0</v>
      </c>
      <c r="J198" s="76">
        <v>0</v>
      </c>
      <c r="K198" s="76">
        <v>0</v>
      </c>
      <c r="L198" s="76">
        <v>0</v>
      </c>
      <c r="M198" s="76">
        <v>3</v>
      </c>
      <c r="N198" s="76">
        <v>8</v>
      </c>
      <c r="O198" s="76">
        <v>4</v>
      </c>
      <c r="P198" s="76">
        <v>4</v>
      </c>
      <c r="Q198" s="76">
        <v>1</v>
      </c>
      <c r="R198" s="76">
        <v>2</v>
      </c>
      <c r="S198" s="76">
        <v>0</v>
      </c>
      <c r="T198" s="76">
        <v>2</v>
      </c>
      <c r="U198" s="76">
        <v>19</v>
      </c>
      <c r="V198" s="76">
        <v>3</v>
      </c>
      <c r="W198" s="76">
        <v>0.57099999999999995</v>
      </c>
      <c r="X198" s="76">
        <v>3.33</v>
      </c>
      <c r="Y198" s="76"/>
      <c r="Z198" t="s">
        <v>1343</v>
      </c>
      <c r="AA198" s="76" t="s">
        <v>244</v>
      </c>
      <c r="AB198" s="76">
        <v>1</v>
      </c>
      <c r="AC198" s="76">
        <v>0</v>
      </c>
      <c r="AD198" s="76">
        <v>1</v>
      </c>
      <c r="AE198" s="76">
        <v>0</v>
      </c>
      <c r="AF198" s="76">
        <v>0</v>
      </c>
      <c r="AG198" s="76">
        <v>1</v>
      </c>
      <c r="AH198" s="76">
        <v>5</v>
      </c>
      <c r="AI198" s="76">
        <v>0</v>
      </c>
      <c r="AJ198" s="76">
        <v>0</v>
      </c>
      <c r="AK198" s="76">
        <v>0</v>
      </c>
      <c r="AL198" s="76">
        <v>0</v>
      </c>
      <c r="AM198" s="76">
        <v>0</v>
      </c>
      <c r="AN198" s="76">
        <v>59</v>
      </c>
      <c r="AO198" s="202" t="s">
        <v>244</v>
      </c>
      <c r="AP198" s="202" t="s">
        <v>243</v>
      </c>
      <c r="AQ198" s="202">
        <v>1</v>
      </c>
      <c r="AR198" s="202">
        <v>0.41199999999999998</v>
      </c>
      <c r="AS198" s="202">
        <v>0.375</v>
      </c>
      <c r="AT198" s="202">
        <v>0.78700000000000003</v>
      </c>
      <c r="AU198" s="202">
        <v>2.25</v>
      </c>
      <c r="AV198" s="202">
        <v>2.25</v>
      </c>
      <c r="AW198" s="202">
        <v>13.5</v>
      </c>
      <c r="AX198" s="202">
        <v>1</v>
      </c>
      <c r="AY198" s="202">
        <v>12.75</v>
      </c>
    </row>
    <row r="199" spans="1:51" ht="12.75" customHeight="1" x14ac:dyDescent="0.2">
      <c r="A199" s="76">
        <v>5</v>
      </c>
      <c r="B199" s="41" t="s">
        <v>1120</v>
      </c>
      <c r="C199" s="76" t="s">
        <v>244</v>
      </c>
      <c r="D199" s="76">
        <v>4</v>
      </c>
      <c r="E199" s="76">
        <v>2</v>
      </c>
      <c r="F199" s="76">
        <v>2.4500000000000002</v>
      </c>
      <c r="G199" s="76">
        <v>32</v>
      </c>
      <c r="H199" s="76">
        <v>0</v>
      </c>
      <c r="I199" s="76">
        <v>0</v>
      </c>
      <c r="J199" s="76">
        <v>0</v>
      </c>
      <c r="K199" s="76">
        <v>0</v>
      </c>
      <c r="L199" s="76">
        <v>0</v>
      </c>
      <c r="M199" s="76">
        <v>33</v>
      </c>
      <c r="N199" s="76">
        <v>27</v>
      </c>
      <c r="O199" s="76">
        <v>10</v>
      </c>
      <c r="P199" s="76">
        <v>9</v>
      </c>
      <c r="Q199" s="76">
        <v>2</v>
      </c>
      <c r="R199" s="76">
        <v>16</v>
      </c>
      <c r="S199" s="76">
        <v>2</v>
      </c>
      <c r="T199" s="76">
        <v>32</v>
      </c>
      <c r="U199" s="76">
        <v>142</v>
      </c>
      <c r="V199" s="76">
        <v>33</v>
      </c>
      <c r="W199" s="76">
        <v>0.223</v>
      </c>
      <c r="X199" s="76">
        <v>1.3</v>
      </c>
      <c r="Y199" s="76"/>
      <c r="Z199" t="s">
        <v>1120</v>
      </c>
      <c r="AA199" s="76" t="s">
        <v>244</v>
      </c>
      <c r="AB199" s="76">
        <v>2</v>
      </c>
      <c r="AC199" s="76">
        <v>2</v>
      </c>
      <c r="AD199" s="76">
        <v>7</v>
      </c>
      <c r="AE199" s="76">
        <v>3</v>
      </c>
      <c r="AF199" s="76">
        <v>3</v>
      </c>
      <c r="AG199" s="76">
        <v>18</v>
      </c>
      <c r="AH199" s="76">
        <v>46</v>
      </c>
      <c r="AI199" s="76">
        <v>3</v>
      </c>
      <c r="AJ199" s="76">
        <v>1</v>
      </c>
      <c r="AK199" s="76">
        <v>2</v>
      </c>
      <c r="AL199" s="76">
        <v>1</v>
      </c>
      <c r="AM199" s="76">
        <v>0</v>
      </c>
      <c r="AN199" s="76">
        <v>565</v>
      </c>
      <c r="AO199" s="202" t="s">
        <v>244</v>
      </c>
      <c r="AP199" s="202">
        <v>0</v>
      </c>
      <c r="AQ199" s="202">
        <v>2.2200000000000002</v>
      </c>
      <c r="AR199" s="202">
        <v>0.35699999999999998</v>
      </c>
      <c r="AS199" s="202">
        <v>0.41099999999999998</v>
      </c>
      <c r="AT199" s="202">
        <v>0.76800000000000002</v>
      </c>
      <c r="AU199" s="202">
        <v>3.63</v>
      </c>
      <c r="AV199" s="202">
        <v>2.82</v>
      </c>
      <c r="AW199" s="202">
        <v>11.28</v>
      </c>
      <c r="AX199" s="202">
        <v>1.29</v>
      </c>
      <c r="AY199" s="202">
        <v>14.96</v>
      </c>
    </row>
    <row r="200" spans="1:51" ht="12.75" customHeight="1" x14ac:dyDescent="0.2">
      <c r="A200" s="76">
        <v>19</v>
      </c>
      <c r="B200" t="s">
        <v>1453</v>
      </c>
      <c r="C200" s="76" t="s">
        <v>244</v>
      </c>
      <c r="D200" s="76">
        <v>0</v>
      </c>
      <c r="E200" s="76">
        <v>1</v>
      </c>
      <c r="F200" s="76">
        <v>5.54</v>
      </c>
      <c r="G200" s="76">
        <v>3</v>
      </c>
      <c r="H200" s="76">
        <v>3</v>
      </c>
      <c r="I200" s="76">
        <v>0</v>
      </c>
      <c r="J200" s="76">
        <v>0</v>
      </c>
      <c r="K200" s="76">
        <v>0</v>
      </c>
      <c r="L200" s="76">
        <v>0</v>
      </c>
      <c r="M200" s="76">
        <v>13</v>
      </c>
      <c r="N200" s="76">
        <v>17</v>
      </c>
      <c r="O200" s="76">
        <v>8</v>
      </c>
      <c r="P200" s="76">
        <v>8</v>
      </c>
      <c r="Q200" s="76">
        <v>4</v>
      </c>
      <c r="R200" s="76">
        <v>6</v>
      </c>
      <c r="S200" s="76">
        <v>1</v>
      </c>
      <c r="T200" s="76">
        <v>10</v>
      </c>
      <c r="U200" s="76">
        <v>59</v>
      </c>
      <c r="V200" s="76">
        <v>13</v>
      </c>
      <c r="W200" s="76">
        <v>0.32700000000000001</v>
      </c>
      <c r="X200" s="76">
        <v>1.77</v>
      </c>
      <c r="Y200" s="76"/>
      <c r="Z200" t="s">
        <v>1453</v>
      </c>
      <c r="AA200" s="76" t="s">
        <v>244</v>
      </c>
      <c r="AB200" s="76">
        <v>1</v>
      </c>
      <c r="AC200" s="76">
        <v>1</v>
      </c>
      <c r="AD200" s="76">
        <v>0</v>
      </c>
      <c r="AE200" s="76">
        <v>0</v>
      </c>
      <c r="AF200" s="76">
        <v>4</v>
      </c>
      <c r="AG200" s="76">
        <v>14</v>
      </c>
      <c r="AH200" s="76">
        <v>11</v>
      </c>
      <c r="AI200" s="76">
        <v>0</v>
      </c>
      <c r="AJ200" s="76">
        <v>0</v>
      </c>
      <c r="AK200" s="76">
        <v>1</v>
      </c>
      <c r="AL200" s="76">
        <v>1</v>
      </c>
      <c r="AM200" s="76">
        <v>0</v>
      </c>
      <c r="AN200" s="76">
        <v>214</v>
      </c>
      <c r="AO200" s="202" t="s">
        <v>244</v>
      </c>
      <c r="AP200" s="202">
        <v>0.44</v>
      </c>
      <c r="AQ200" s="202">
        <v>1.08</v>
      </c>
      <c r="AR200" s="202">
        <v>0.33100000000000002</v>
      </c>
      <c r="AS200" s="202">
        <v>0.40799999999999997</v>
      </c>
      <c r="AT200" s="202">
        <v>0.73899999999999999</v>
      </c>
      <c r="AU200" s="202">
        <v>6.58</v>
      </c>
      <c r="AV200" s="202">
        <v>3.7</v>
      </c>
      <c r="AW200" s="202">
        <v>8.65</v>
      </c>
      <c r="AX200" s="202">
        <v>1.78</v>
      </c>
      <c r="AY200" s="202">
        <v>15.89</v>
      </c>
    </row>
    <row r="201" spans="1:51" ht="12.75" customHeight="1" x14ac:dyDescent="0.2">
      <c r="A201" s="76">
        <v>9</v>
      </c>
      <c r="B201" s="41" t="s">
        <v>385</v>
      </c>
      <c r="C201" s="76" t="s">
        <v>244</v>
      </c>
      <c r="D201" s="76">
        <v>16</v>
      </c>
      <c r="E201" s="76">
        <v>8</v>
      </c>
      <c r="F201" s="76">
        <v>2.86</v>
      </c>
      <c r="G201" s="76">
        <v>29</v>
      </c>
      <c r="H201" s="76">
        <v>29</v>
      </c>
      <c r="I201" s="76">
        <v>0</v>
      </c>
      <c r="J201" s="76">
        <v>0</v>
      </c>
      <c r="K201" s="76">
        <v>0</v>
      </c>
      <c r="L201" s="76">
        <v>0</v>
      </c>
      <c r="M201" s="76">
        <v>182.1</v>
      </c>
      <c r="N201" s="76">
        <v>149</v>
      </c>
      <c r="O201" s="76">
        <v>63</v>
      </c>
      <c r="P201" s="76">
        <v>58</v>
      </c>
      <c r="Q201" s="76">
        <v>13</v>
      </c>
      <c r="R201" s="76">
        <v>55</v>
      </c>
      <c r="S201" s="76">
        <v>6</v>
      </c>
      <c r="T201" s="76">
        <v>253</v>
      </c>
      <c r="U201" s="76">
        <v>737</v>
      </c>
      <c r="V201" s="76">
        <v>182.1</v>
      </c>
      <c r="W201" s="76">
        <v>0.224</v>
      </c>
      <c r="X201" s="76">
        <v>1.1200000000000001</v>
      </c>
      <c r="Y201" s="76"/>
      <c r="Z201" t="s">
        <v>385</v>
      </c>
      <c r="AA201" s="76" t="s">
        <v>244</v>
      </c>
      <c r="AB201" s="76">
        <v>6</v>
      </c>
      <c r="AC201" s="76">
        <v>6</v>
      </c>
      <c r="AD201" s="76">
        <v>0</v>
      </c>
      <c r="AE201" s="76">
        <v>0</v>
      </c>
      <c r="AF201" s="76">
        <v>14</v>
      </c>
      <c r="AG201" s="76">
        <v>139</v>
      </c>
      <c r="AH201" s="76">
        <v>135</v>
      </c>
      <c r="AI201" s="76">
        <v>9</v>
      </c>
      <c r="AJ201" s="76">
        <v>1</v>
      </c>
      <c r="AK201" s="76">
        <v>2</v>
      </c>
      <c r="AL201" s="76">
        <v>6</v>
      </c>
      <c r="AM201" s="76">
        <v>0</v>
      </c>
      <c r="AN201" s="76">
        <v>2940</v>
      </c>
      <c r="AO201" s="202" t="s">
        <v>244</v>
      </c>
      <c r="AP201" s="202">
        <v>0.8</v>
      </c>
      <c r="AQ201" s="202">
        <v>0.77</v>
      </c>
      <c r="AR201" s="202">
        <v>0.318</v>
      </c>
      <c r="AS201" s="202">
        <v>0.40500000000000003</v>
      </c>
      <c r="AT201" s="202">
        <v>0.72299999999999998</v>
      </c>
      <c r="AU201" s="202">
        <v>7.93</v>
      </c>
      <c r="AV201" s="202">
        <v>2.82</v>
      </c>
      <c r="AW201" s="202">
        <v>8.73</v>
      </c>
      <c r="AX201" s="202">
        <v>2.81</v>
      </c>
      <c r="AY201" s="202">
        <v>16.45</v>
      </c>
    </row>
    <row r="202" spans="1:51" ht="12.75" customHeight="1" x14ac:dyDescent="0.2">
      <c r="A202" s="76">
        <v>1</v>
      </c>
      <c r="B202" t="s">
        <v>1125</v>
      </c>
      <c r="C202" s="76" t="s">
        <v>244</v>
      </c>
      <c r="D202" s="76">
        <v>0</v>
      </c>
      <c r="E202" s="76">
        <v>0</v>
      </c>
      <c r="F202" s="76">
        <v>0</v>
      </c>
      <c r="G202" s="76">
        <v>1</v>
      </c>
      <c r="H202" s="76">
        <v>1</v>
      </c>
      <c r="I202" s="76">
        <v>0</v>
      </c>
      <c r="J202" s="76">
        <v>0</v>
      </c>
      <c r="K202" s="76">
        <v>0</v>
      </c>
      <c r="L202" s="76">
        <v>0</v>
      </c>
      <c r="M202" s="76">
        <v>3</v>
      </c>
      <c r="N202" s="76">
        <v>1</v>
      </c>
      <c r="O202" s="76">
        <v>0</v>
      </c>
      <c r="P202" s="76">
        <v>0</v>
      </c>
      <c r="Q202" s="76">
        <v>0</v>
      </c>
      <c r="R202" s="76">
        <v>3</v>
      </c>
      <c r="S202" s="76">
        <v>0</v>
      </c>
      <c r="T202" s="76">
        <v>1</v>
      </c>
      <c r="U202" s="76">
        <v>13</v>
      </c>
      <c r="V202" s="76">
        <v>3</v>
      </c>
      <c r="W202" s="76">
        <v>0.1</v>
      </c>
      <c r="X202" s="76">
        <v>1.33</v>
      </c>
      <c r="Y202" s="76"/>
      <c r="Z202" t="s">
        <v>1125</v>
      </c>
      <c r="AA202" s="76" t="s">
        <v>244</v>
      </c>
      <c r="AB202" s="76">
        <v>0</v>
      </c>
      <c r="AC202" s="76">
        <v>0</v>
      </c>
      <c r="AD202" s="76">
        <v>0</v>
      </c>
      <c r="AE202" s="76">
        <v>0</v>
      </c>
      <c r="AF202" s="76">
        <v>0</v>
      </c>
      <c r="AG202" s="76">
        <v>1</v>
      </c>
      <c r="AH202" s="76">
        <v>7</v>
      </c>
      <c r="AI202" s="76">
        <v>0</v>
      </c>
      <c r="AJ202" s="76">
        <v>0</v>
      </c>
      <c r="AK202" s="76">
        <v>0</v>
      </c>
      <c r="AL202" s="76">
        <v>0</v>
      </c>
      <c r="AM202" s="76">
        <v>0</v>
      </c>
      <c r="AN202" s="76">
        <v>59</v>
      </c>
      <c r="AO202" s="202" t="s">
        <v>165</v>
      </c>
      <c r="AP202" s="202" t="s">
        <v>243</v>
      </c>
      <c r="AQ202" s="202">
        <v>0.5</v>
      </c>
      <c r="AR202" s="202">
        <v>0.27300000000000002</v>
      </c>
      <c r="AS202" s="202">
        <v>0.3</v>
      </c>
      <c r="AT202" s="202">
        <v>0.57299999999999995</v>
      </c>
      <c r="AU202" s="202">
        <v>6</v>
      </c>
      <c r="AV202" s="202">
        <v>3</v>
      </c>
      <c r="AW202" s="202">
        <v>6</v>
      </c>
      <c r="AX202" s="202">
        <v>2</v>
      </c>
      <c r="AY202" s="202">
        <v>19</v>
      </c>
    </row>
    <row r="203" spans="1:51" ht="12.75" customHeight="1" x14ac:dyDescent="0.2">
      <c r="A203" s="76">
        <v>30</v>
      </c>
      <c r="B203" t="s">
        <v>1159</v>
      </c>
      <c r="C203" s="76" t="s">
        <v>244</v>
      </c>
      <c r="D203" s="76">
        <v>0</v>
      </c>
      <c r="E203" s="76">
        <v>0</v>
      </c>
      <c r="F203" s="76">
        <v>12</v>
      </c>
      <c r="G203" s="76">
        <v>2</v>
      </c>
      <c r="H203" s="76">
        <v>0</v>
      </c>
      <c r="I203" s="76">
        <v>0</v>
      </c>
      <c r="J203" s="76">
        <v>0</v>
      </c>
      <c r="K203" s="76">
        <v>0</v>
      </c>
      <c r="L203" s="76">
        <v>0</v>
      </c>
      <c r="M203" s="76">
        <v>3</v>
      </c>
      <c r="N203" s="76">
        <v>4</v>
      </c>
      <c r="O203" s="76">
        <v>4</v>
      </c>
      <c r="P203" s="76">
        <v>4</v>
      </c>
      <c r="Q203" s="76">
        <v>1</v>
      </c>
      <c r="R203" s="76">
        <v>3</v>
      </c>
      <c r="S203" s="76">
        <v>1</v>
      </c>
      <c r="T203" s="76">
        <v>3</v>
      </c>
      <c r="U203" s="76">
        <v>16</v>
      </c>
      <c r="V203" s="76">
        <v>3</v>
      </c>
      <c r="W203" s="76">
        <v>0.308</v>
      </c>
      <c r="X203" s="76">
        <v>2.33</v>
      </c>
      <c r="Y203" s="76"/>
      <c r="Z203" t="s">
        <v>1159</v>
      </c>
      <c r="AA203" s="76" t="s">
        <v>244</v>
      </c>
      <c r="AB203" s="76">
        <v>0</v>
      </c>
      <c r="AC203" s="76">
        <v>1</v>
      </c>
      <c r="AD203" s="76">
        <v>2</v>
      </c>
      <c r="AE203" s="76">
        <v>0</v>
      </c>
      <c r="AF203" s="76">
        <v>0</v>
      </c>
      <c r="AG203" s="76">
        <v>2</v>
      </c>
      <c r="AH203" s="76">
        <v>4</v>
      </c>
      <c r="AI203" s="76">
        <v>0</v>
      </c>
      <c r="AJ203" s="76">
        <v>0</v>
      </c>
      <c r="AK203" s="76">
        <v>0</v>
      </c>
      <c r="AL203" s="76">
        <v>0</v>
      </c>
      <c r="AM203" s="76">
        <v>0</v>
      </c>
      <c r="AN203" s="76">
        <v>68</v>
      </c>
      <c r="AO203" s="202" t="s">
        <v>244</v>
      </c>
      <c r="AP203" s="202">
        <v>0</v>
      </c>
      <c r="AQ203" s="202">
        <v>1.1499999999999999</v>
      </c>
      <c r="AR203" s="202">
        <v>0.35199999999999998</v>
      </c>
      <c r="AS203" s="202">
        <v>0.39200000000000002</v>
      </c>
      <c r="AT203" s="202">
        <v>0.74399999999999999</v>
      </c>
      <c r="AU203" s="202">
        <v>6.86</v>
      </c>
      <c r="AV203" s="202">
        <v>5.95</v>
      </c>
      <c r="AW203" s="202">
        <v>7.78</v>
      </c>
      <c r="AX203" s="202">
        <v>1.1499999999999999</v>
      </c>
      <c r="AY203" s="202">
        <v>18.149999999999999</v>
      </c>
    </row>
    <row r="204" spans="1:51" ht="12.75" customHeight="1" x14ac:dyDescent="0.2">
      <c r="A204" s="76">
        <v>21</v>
      </c>
      <c r="B204" t="s">
        <v>352</v>
      </c>
      <c r="C204" s="76" t="s">
        <v>244</v>
      </c>
      <c r="D204" s="76">
        <v>0</v>
      </c>
      <c r="E204" s="76">
        <v>1</v>
      </c>
      <c r="F204" s="76">
        <v>5.91</v>
      </c>
      <c r="G204" s="76">
        <v>8</v>
      </c>
      <c r="H204" s="76">
        <v>0</v>
      </c>
      <c r="I204" s="76">
        <v>0</v>
      </c>
      <c r="J204" s="76">
        <v>0</v>
      </c>
      <c r="K204" s="76">
        <v>0</v>
      </c>
      <c r="L204" s="76">
        <v>0</v>
      </c>
      <c r="M204" s="76">
        <v>10.199999999999999</v>
      </c>
      <c r="N204" s="76">
        <v>13</v>
      </c>
      <c r="O204" s="76">
        <v>7</v>
      </c>
      <c r="P204" s="76">
        <v>7</v>
      </c>
      <c r="Q204" s="76">
        <v>2</v>
      </c>
      <c r="R204" s="76">
        <v>6</v>
      </c>
      <c r="S204" s="76">
        <v>1</v>
      </c>
      <c r="T204" s="76">
        <v>7</v>
      </c>
      <c r="U204" s="76">
        <v>47</v>
      </c>
      <c r="V204" s="76">
        <v>10.199999999999999</v>
      </c>
      <c r="W204" s="76">
        <v>0.317</v>
      </c>
      <c r="X204" s="76">
        <v>1.78</v>
      </c>
      <c r="Y204" s="76"/>
      <c r="Z204" t="s">
        <v>352</v>
      </c>
      <c r="AA204" s="76" t="s">
        <v>244</v>
      </c>
      <c r="AB204" s="76">
        <v>0</v>
      </c>
      <c r="AC204" s="76">
        <v>1</v>
      </c>
      <c r="AD204" s="76">
        <v>3</v>
      </c>
      <c r="AE204" s="76">
        <v>0</v>
      </c>
      <c r="AF204" s="76">
        <v>1</v>
      </c>
      <c r="AG204" s="76">
        <v>7</v>
      </c>
      <c r="AH204" s="76">
        <v>14</v>
      </c>
      <c r="AI204" s="76">
        <v>1</v>
      </c>
      <c r="AJ204" s="76">
        <v>0</v>
      </c>
      <c r="AK204" s="76">
        <v>1</v>
      </c>
      <c r="AL204" s="76">
        <v>0</v>
      </c>
      <c r="AM204" s="76">
        <v>1</v>
      </c>
      <c r="AN204" s="76">
        <v>192</v>
      </c>
      <c r="AO204" s="202" t="s">
        <v>244</v>
      </c>
      <c r="AP204" s="202" t="s">
        <v>243</v>
      </c>
      <c r="AQ204" s="202">
        <v>0.5</v>
      </c>
      <c r="AR204" s="202">
        <v>0.29199999999999998</v>
      </c>
      <c r="AS204" s="202">
        <v>0.52400000000000002</v>
      </c>
      <c r="AT204" s="202">
        <v>0.81499999999999995</v>
      </c>
      <c r="AU204" s="202">
        <v>7.94</v>
      </c>
      <c r="AV204" s="202">
        <v>3.18</v>
      </c>
      <c r="AW204" s="202">
        <v>7.94</v>
      </c>
      <c r="AX204" s="202">
        <v>2.5</v>
      </c>
      <c r="AY204" s="202">
        <v>16.940000000000001</v>
      </c>
    </row>
    <row r="205" spans="1:51" ht="12.75" customHeight="1" x14ac:dyDescent="0.2">
      <c r="A205" s="76">
        <v>14</v>
      </c>
      <c r="B205" s="41" t="s">
        <v>396</v>
      </c>
      <c r="C205" s="76" t="s">
        <v>244</v>
      </c>
      <c r="D205" s="76">
        <v>9</v>
      </c>
      <c r="E205" s="76">
        <v>13</v>
      </c>
      <c r="F205" s="76">
        <v>4.33</v>
      </c>
      <c r="G205" s="76">
        <v>33</v>
      </c>
      <c r="H205" s="76">
        <v>33</v>
      </c>
      <c r="I205" s="76">
        <v>0</v>
      </c>
      <c r="J205" s="76">
        <v>0</v>
      </c>
      <c r="K205" s="76">
        <v>0</v>
      </c>
      <c r="L205" s="76">
        <v>0</v>
      </c>
      <c r="M205" s="76">
        <v>176.2</v>
      </c>
      <c r="N205" s="76">
        <v>176</v>
      </c>
      <c r="O205" s="76">
        <v>93</v>
      </c>
      <c r="P205" s="76">
        <v>85</v>
      </c>
      <c r="Q205" s="76">
        <v>22</v>
      </c>
      <c r="R205" s="76">
        <v>83</v>
      </c>
      <c r="S205" s="76">
        <v>7</v>
      </c>
      <c r="T205" s="76">
        <v>147</v>
      </c>
      <c r="U205" s="76">
        <v>774</v>
      </c>
      <c r="V205" s="76">
        <v>176.2</v>
      </c>
      <c r="W205" s="76">
        <v>0.26100000000000001</v>
      </c>
      <c r="X205" s="76">
        <v>1.47</v>
      </c>
      <c r="Y205" s="76"/>
      <c r="Z205" t="s">
        <v>396</v>
      </c>
      <c r="AA205" s="76" t="s">
        <v>244</v>
      </c>
      <c r="AB205" s="76">
        <v>5</v>
      </c>
      <c r="AC205" s="76">
        <v>7</v>
      </c>
      <c r="AD205" s="76">
        <v>0</v>
      </c>
      <c r="AE205" s="76">
        <v>0</v>
      </c>
      <c r="AF205" s="76">
        <v>10</v>
      </c>
      <c r="AG205" s="76">
        <v>183</v>
      </c>
      <c r="AH205" s="76">
        <v>180</v>
      </c>
      <c r="AI205" s="76">
        <v>9</v>
      </c>
      <c r="AJ205" s="76">
        <v>0</v>
      </c>
      <c r="AK205" s="76">
        <v>9</v>
      </c>
      <c r="AL205" s="76">
        <v>8</v>
      </c>
      <c r="AM205" s="76">
        <v>1</v>
      </c>
      <c r="AN205" s="76">
        <v>3089</v>
      </c>
      <c r="AO205" s="202" t="s">
        <v>244</v>
      </c>
      <c r="AP205" s="202">
        <v>0.66700000000000004</v>
      </c>
      <c r="AQ205" s="202">
        <v>0.83</v>
      </c>
      <c r="AR205" s="202">
        <v>0.30499999999999999</v>
      </c>
      <c r="AS205" s="202">
        <v>0.307</v>
      </c>
      <c r="AT205" s="202">
        <v>0.61199999999999999</v>
      </c>
      <c r="AU205" s="202">
        <v>6.48</v>
      </c>
      <c r="AV205" s="202">
        <v>4.68</v>
      </c>
      <c r="AW205" s="202">
        <v>6.12</v>
      </c>
      <c r="AX205" s="202">
        <v>1.38</v>
      </c>
      <c r="AY205" s="202">
        <v>17.8</v>
      </c>
    </row>
    <row r="206" spans="1:51" ht="12.75" customHeight="1" x14ac:dyDescent="0.2">
      <c r="A206" s="76">
        <v>7</v>
      </c>
      <c r="B206" s="41" t="s">
        <v>616</v>
      </c>
      <c r="C206" s="76" t="s">
        <v>244</v>
      </c>
      <c r="D206" s="76">
        <v>1</v>
      </c>
      <c r="E206" s="76">
        <v>3</v>
      </c>
      <c r="F206" s="76">
        <v>2.82</v>
      </c>
      <c r="G206" s="76">
        <v>55</v>
      </c>
      <c r="H206" s="76">
        <v>0</v>
      </c>
      <c r="I206" s="76">
        <v>0</v>
      </c>
      <c r="J206" s="76">
        <v>0</v>
      </c>
      <c r="K206" s="76">
        <v>1</v>
      </c>
      <c r="L206" s="76">
        <v>2</v>
      </c>
      <c r="M206" s="76">
        <v>67</v>
      </c>
      <c r="N206" s="76">
        <v>49</v>
      </c>
      <c r="O206" s="76">
        <v>26</v>
      </c>
      <c r="P206" s="76">
        <v>21</v>
      </c>
      <c r="Q206" s="76">
        <v>7</v>
      </c>
      <c r="R206" s="76">
        <v>33</v>
      </c>
      <c r="S206" s="76">
        <v>7</v>
      </c>
      <c r="T206" s="76">
        <v>63</v>
      </c>
      <c r="U206" s="76">
        <v>279</v>
      </c>
      <c r="V206" s="76">
        <v>67</v>
      </c>
      <c r="W206" s="76">
        <v>0.20200000000000001</v>
      </c>
      <c r="X206" s="76">
        <v>1.22</v>
      </c>
      <c r="Y206" s="76"/>
      <c r="Z206" t="s">
        <v>616</v>
      </c>
      <c r="AA206" s="76" t="s">
        <v>244</v>
      </c>
      <c r="AB206" s="76">
        <v>2</v>
      </c>
      <c r="AC206" s="76">
        <v>7</v>
      </c>
      <c r="AD206" s="76">
        <v>24</v>
      </c>
      <c r="AE206" s="76">
        <v>3</v>
      </c>
      <c r="AF206" s="76">
        <v>6</v>
      </c>
      <c r="AG206" s="76">
        <v>84</v>
      </c>
      <c r="AH206" s="76">
        <v>48</v>
      </c>
      <c r="AI206" s="76">
        <v>4</v>
      </c>
      <c r="AJ206" s="76">
        <v>0</v>
      </c>
      <c r="AK206" s="76">
        <v>6</v>
      </c>
      <c r="AL206" s="76">
        <v>2</v>
      </c>
      <c r="AM206" s="76">
        <v>0</v>
      </c>
      <c r="AN206" s="76">
        <v>1080</v>
      </c>
      <c r="AO206" s="202" t="s">
        <v>244</v>
      </c>
      <c r="AP206" s="202">
        <v>1</v>
      </c>
      <c r="AQ206" s="202">
        <v>0.74</v>
      </c>
      <c r="AR206" s="202">
        <v>0.23100000000000001</v>
      </c>
      <c r="AS206" s="202">
        <v>0.24299999999999999</v>
      </c>
      <c r="AT206" s="202">
        <v>0.47399999999999998</v>
      </c>
      <c r="AU206" s="202">
        <v>16.84</v>
      </c>
      <c r="AV206" s="202">
        <v>2.0299999999999998</v>
      </c>
      <c r="AW206" s="202">
        <v>5.23</v>
      </c>
      <c r="AX206" s="202">
        <v>8.2899999999999991</v>
      </c>
      <c r="AY206" s="202">
        <v>14.35</v>
      </c>
    </row>
    <row r="207" spans="1:51" ht="12.75" customHeight="1" x14ac:dyDescent="0.2">
      <c r="A207" s="76">
        <v>10</v>
      </c>
      <c r="B207" t="s">
        <v>434</v>
      </c>
      <c r="C207" s="76" t="s">
        <v>244</v>
      </c>
      <c r="D207" s="76">
        <v>0</v>
      </c>
      <c r="E207" s="76">
        <v>0</v>
      </c>
      <c r="F207" s="76">
        <v>3.06</v>
      </c>
      <c r="G207" s="76">
        <v>24</v>
      </c>
      <c r="H207" s="76">
        <v>0</v>
      </c>
      <c r="I207" s="76">
        <v>0</v>
      </c>
      <c r="J207" s="76">
        <v>0</v>
      </c>
      <c r="K207" s="76">
        <v>1</v>
      </c>
      <c r="L207" s="76">
        <v>3</v>
      </c>
      <c r="M207" s="76">
        <v>17.2</v>
      </c>
      <c r="N207" s="76">
        <v>15</v>
      </c>
      <c r="O207" s="76">
        <v>7</v>
      </c>
      <c r="P207" s="76">
        <v>6</v>
      </c>
      <c r="Q207" s="76">
        <v>4</v>
      </c>
      <c r="R207" s="76">
        <v>10</v>
      </c>
      <c r="S207" s="76">
        <v>1</v>
      </c>
      <c r="T207" s="76">
        <v>13</v>
      </c>
      <c r="U207" s="76">
        <v>74</v>
      </c>
      <c r="V207" s="76">
        <v>17.2</v>
      </c>
      <c r="W207" s="76">
        <v>0.23799999999999999</v>
      </c>
      <c r="X207" s="76">
        <v>1.42</v>
      </c>
      <c r="Y207" s="76"/>
      <c r="Z207" t="s">
        <v>434</v>
      </c>
      <c r="AA207" s="76" t="s">
        <v>244</v>
      </c>
      <c r="AB207" s="76">
        <v>1</v>
      </c>
      <c r="AC207" s="76">
        <v>1</v>
      </c>
      <c r="AD207" s="76">
        <v>4</v>
      </c>
      <c r="AE207" s="76">
        <v>6</v>
      </c>
      <c r="AF207" s="76">
        <v>2</v>
      </c>
      <c r="AG207" s="76">
        <v>22</v>
      </c>
      <c r="AH207" s="76">
        <v>13</v>
      </c>
      <c r="AI207" s="76">
        <v>0</v>
      </c>
      <c r="AJ207" s="76">
        <v>0</v>
      </c>
      <c r="AK207" s="76">
        <v>2</v>
      </c>
      <c r="AL207" s="76">
        <v>1</v>
      </c>
      <c r="AM207" s="76">
        <v>0</v>
      </c>
      <c r="AN207" s="76">
        <v>282</v>
      </c>
      <c r="AO207" s="202" t="s">
        <v>244</v>
      </c>
      <c r="AP207" s="202" t="s">
        <v>243</v>
      </c>
      <c r="AQ207" s="202">
        <v>1.07</v>
      </c>
      <c r="AR207" s="202">
        <v>0.35699999999999998</v>
      </c>
      <c r="AS207" s="202">
        <v>0.375</v>
      </c>
      <c r="AT207" s="202">
        <v>0.73199999999999998</v>
      </c>
      <c r="AU207" s="202">
        <v>5.1100000000000003</v>
      </c>
      <c r="AV207" s="202">
        <v>4.38</v>
      </c>
      <c r="AW207" s="202">
        <v>9.49</v>
      </c>
      <c r="AX207" s="202">
        <v>1.17</v>
      </c>
      <c r="AY207" s="202">
        <v>17.59</v>
      </c>
    </row>
    <row r="208" spans="1:51" ht="12.75" customHeight="1" x14ac:dyDescent="0.2">
      <c r="A208" s="76">
        <v>27</v>
      </c>
      <c r="B208" t="s">
        <v>1123</v>
      </c>
      <c r="C208" s="76" t="s">
        <v>244</v>
      </c>
      <c r="D208" s="76">
        <v>1</v>
      </c>
      <c r="E208" s="76">
        <v>0</v>
      </c>
      <c r="F208" s="76">
        <v>8.64</v>
      </c>
      <c r="G208" s="76">
        <v>6</v>
      </c>
      <c r="H208" s="76">
        <v>0</v>
      </c>
      <c r="I208" s="76">
        <v>0</v>
      </c>
      <c r="J208" s="76">
        <v>0</v>
      </c>
      <c r="K208" s="76">
        <v>0</v>
      </c>
      <c r="L208" s="76">
        <v>1</v>
      </c>
      <c r="M208" s="76">
        <v>8.1</v>
      </c>
      <c r="N208" s="76">
        <v>10</v>
      </c>
      <c r="O208" s="76">
        <v>8</v>
      </c>
      <c r="P208" s="76">
        <v>8</v>
      </c>
      <c r="Q208" s="76">
        <v>3</v>
      </c>
      <c r="R208" s="76">
        <v>2</v>
      </c>
      <c r="S208" s="76">
        <v>1</v>
      </c>
      <c r="T208" s="76">
        <v>6</v>
      </c>
      <c r="U208" s="76">
        <v>38</v>
      </c>
      <c r="V208" s="76">
        <v>8.1</v>
      </c>
      <c r="W208" s="76">
        <v>0.28599999999999998</v>
      </c>
      <c r="X208" s="76">
        <v>1.44</v>
      </c>
      <c r="Y208" s="76"/>
      <c r="Z208" t="s">
        <v>1123</v>
      </c>
      <c r="AA208" s="76" t="s">
        <v>244</v>
      </c>
      <c r="AB208" s="76">
        <v>1</v>
      </c>
      <c r="AC208" s="76">
        <v>1</v>
      </c>
      <c r="AD208" s="76">
        <v>2</v>
      </c>
      <c r="AE208" s="76">
        <v>0</v>
      </c>
      <c r="AF208" s="76">
        <v>0</v>
      </c>
      <c r="AG208" s="76">
        <v>9</v>
      </c>
      <c r="AH208" s="76">
        <v>10</v>
      </c>
      <c r="AI208" s="76">
        <v>1</v>
      </c>
      <c r="AJ208" s="76">
        <v>0</v>
      </c>
      <c r="AK208" s="76">
        <v>0</v>
      </c>
      <c r="AL208" s="76">
        <v>0</v>
      </c>
      <c r="AM208" s="76">
        <v>0</v>
      </c>
      <c r="AN208" s="76">
        <v>130</v>
      </c>
      <c r="AO208" s="202" t="s">
        <v>244</v>
      </c>
      <c r="AP208" s="202">
        <v>0.55600000000000005</v>
      </c>
      <c r="AQ208" s="202">
        <v>1.01</v>
      </c>
      <c r="AR208" s="202">
        <v>0.32100000000000001</v>
      </c>
      <c r="AS208" s="202">
        <v>0.437</v>
      </c>
      <c r="AT208" s="202">
        <v>0.75800000000000001</v>
      </c>
      <c r="AU208" s="202">
        <v>2.8</v>
      </c>
      <c r="AV208" s="202">
        <v>2.4300000000000002</v>
      </c>
      <c r="AW208" s="202">
        <v>8.76</v>
      </c>
      <c r="AX208" s="202">
        <v>1.1499999999999999</v>
      </c>
      <c r="AY208" s="202">
        <v>14.15</v>
      </c>
    </row>
    <row r="209" spans="1:51" ht="12.75" customHeight="1" x14ac:dyDescent="0.2">
      <c r="A209" s="76">
        <v>18</v>
      </c>
      <c r="B209" s="41" t="s">
        <v>1122</v>
      </c>
      <c r="C209" s="76" t="s">
        <v>244</v>
      </c>
      <c r="D209" s="76">
        <v>3</v>
      </c>
      <c r="E209" s="76">
        <v>6</v>
      </c>
      <c r="F209" s="76">
        <v>4.99</v>
      </c>
      <c r="G209" s="76">
        <v>18</v>
      </c>
      <c r="H209" s="76">
        <v>13</v>
      </c>
      <c r="I209" s="76">
        <v>0</v>
      </c>
      <c r="J209" s="76">
        <v>0</v>
      </c>
      <c r="K209" s="76">
        <v>0</v>
      </c>
      <c r="L209" s="76">
        <v>0</v>
      </c>
      <c r="M209" s="76">
        <v>79.099999999999994</v>
      </c>
      <c r="N209" s="76">
        <v>96</v>
      </c>
      <c r="O209" s="76">
        <v>45</v>
      </c>
      <c r="P209" s="76">
        <v>44</v>
      </c>
      <c r="Q209" s="76">
        <v>8</v>
      </c>
      <c r="R209" s="76">
        <v>20</v>
      </c>
      <c r="S209" s="76">
        <v>1</v>
      </c>
      <c r="T209" s="76">
        <v>37</v>
      </c>
      <c r="U209" s="76">
        <v>346</v>
      </c>
      <c r="V209" s="76">
        <v>79.099999999999994</v>
      </c>
      <c r="W209" s="76">
        <v>0.307</v>
      </c>
      <c r="X209" s="76">
        <v>1.46</v>
      </c>
      <c r="Y209" s="76"/>
      <c r="Z209" t="s">
        <v>1122</v>
      </c>
      <c r="AA209" s="76" t="s">
        <v>244</v>
      </c>
      <c r="AB209" s="76">
        <v>3</v>
      </c>
      <c r="AC209" s="76">
        <v>1</v>
      </c>
      <c r="AD209" s="76">
        <v>0</v>
      </c>
      <c r="AE209" s="76">
        <v>0</v>
      </c>
      <c r="AF209" s="76">
        <v>9</v>
      </c>
      <c r="AG209" s="76">
        <v>104</v>
      </c>
      <c r="AH209" s="76">
        <v>86</v>
      </c>
      <c r="AI209" s="76">
        <v>1</v>
      </c>
      <c r="AJ209" s="76">
        <v>0</v>
      </c>
      <c r="AK209" s="76">
        <v>8</v>
      </c>
      <c r="AL209" s="76">
        <v>2</v>
      </c>
      <c r="AM209" s="76">
        <v>1</v>
      </c>
      <c r="AN209" s="76">
        <v>1209</v>
      </c>
      <c r="AO209" s="202" t="s">
        <v>244</v>
      </c>
      <c r="AP209" s="202">
        <v>0.5</v>
      </c>
      <c r="AQ209" s="202">
        <v>0.63</v>
      </c>
      <c r="AR209" s="202">
        <v>0.28599999999999998</v>
      </c>
      <c r="AS209" s="202">
        <v>0.434</v>
      </c>
      <c r="AT209" s="202">
        <v>0.71899999999999997</v>
      </c>
      <c r="AU209" s="202">
        <v>6.14</v>
      </c>
      <c r="AV209" s="202">
        <v>1.74</v>
      </c>
      <c r="AW209" s="202">
        <v>8.09</v>
      </c>
      <c r="AX209" s="202">
        <v>3.52</v>
      </c>
      <c r="AY209" s="202">
        <v>15.66</v>
      </c>
    </row>
    <row r="210" spans="1:51" ht="12.75" customHeight="1" x14ac:dyDescent="0.2">
      <c r="A210" s="76">
        <v>4</v>
      </c>
      <c r="B210" t="s">
        <v>1149</v>
      </c>
      <c r="C210" s="76" t="s">
        <v>244</v>
      </c>
      <c r="D210" s="76">
        <v>0</v>
      </c>
      <c r="E210" s="76">
        <v>0</v>
      </c>
      <c r="F210" s="76">
        <v>2.2999999999999998</v>
      </c>
      <c r="G210" s="76">
        <v>14</v>
      </c>
      <c r="H210" s="76">
        <v>0</v>
      </c>
      <c r="I210" s="76">
        <v>0</v>
      </c>
      <c r="J210" s="76">
        <v>0</v>
      </c>
      <c r="K210" s="76">
        <v>0</v>
      </c>
      <c r="L210" s="76">
        <v>0</v>
      </c>
      <c r="M210" s="76">
        <v>15.2</v>
      </c>
      <c r="N210" s="76">
        <v>10</v>
      </c>
      <c r="O210" s="76">
        <v>5</v>
      </c>
      <c r="P210" s="76">
        <v>4</v>
      </c>
      <c r="Q210" s="76">
        <v>0</v>
      </c>
      <c r="R210" s="76">
        <v>8</v>
      </c>
      <c r="S210" s="76">
        <v>0</v>
      </c>
      <c r="T210" s="76">
        <v>8</v>
      </c>
      <c r="U210" s="76">
        <v>65</v>
      </c>
      <c r="V210" s="76">
        <v>15.2</v>
      </c>
      <c r="W210" s="76">
        <v>0.17899999999999999</v>
      </c>
      <c r="X210" s="76">
        <v>1.1499999999999999</v>
      </c>
      <c r="Y210" s="76"/>
      <c r="Z210" t="s">
        <v>1149</v>
      </c>
      <c r="AA210" s="76" t="s">
        <v>244</v>
      </c>
      <c r="AB210" s="76">
        <v>0</v>
      </c>
      <c r="AC210" s="76">
        <v>0</v>
      </c>
      <c r="AD210" s="76">
        <v>5</v>
      </c>
      <c r="AE210" s="76">
        <v>1</v>
      </c>
      <c r="AF210" s="76">
        <v>1</v>
      </c>
      <c r="AG210" s="76">
        <v>27</v>
      </c>
      <c r="AH210" s="76">
        <v>12</v>
      </c>
      <c r="AI210" s="76">
        <v>1</v>
      </c>
      <c r="AJ210" s="76">
        <v>0</v>
      </c>
      <c r="AK210" s="76">
        <v>2</v>
      </c>
      <c r="AL210" s="76">
        <v>1</v>
      </c>
      <c r="AM210" s="76">
        <v>0</v>
      </c>
      <c r="AN210" s="76">
        <v>227</v>
      </c>
      <c r="AO210" s="102" t="s">
        <v>157</v>
      </c>
      <c r="AP210" s="102" t="s">
        <v>1081</v>
      </c>
      <c r="AQ210" s="102" t="s">
        <v>1068</v>
      </c>
      <c r="AR210" s="102" t="s">
        <v>1059</v>
      </c>
      <c r="AS210" s="102" t="s">
        <v>1060</v>
      </c>
      <c r="AT210" s="102" t="s">
        <v>1061</v>
      </c>
      <c r="AU210" s="102" t="s">
        <v>1092</v>
      </c>
      <c r="AV210" s="102" t="s">
        <v>1093</v>
      </c>
      <c r="AW210" s="102" t="s">
        <v>1094</v>
      </c>
      <c r="AX210" s="102" t="s">
        <v>1095</v>
      </c>
      <c r="AY210" s="102" t="s">
        <v>1096</v>
      </c>
    </row>
    <row r="211" spans="1:51" ht="12.75" customHeight="1" x14ac:dyDescent="0.2">
      <c r="A211" s="76">
        <v>3</v>
      </c>
      <c r="B211" s="41" t="s">
        <v>590</v>
      </c>
      <c r="C211" s="76" t="s">
        <v>244</v>
      </c>
      <c r="D211" s="76">
        <v>7</v>
      </c>
      <c r="E211" s="76">
        <v>6</v>
      </c>
      <c r="F211" s="76">
        <v>2.2799999999999998</v>
      </c>
      <c r="G211" s="76">
        <v>64</v>
      </c>
      <c r="H211" s="76">
        <v>5</v>
      </c>
      <c r="I211" s="76">
        <v>0</v>
      </c>
      <c r="J211" s="76">
        <v>0</v>
      </c>
      <c r="K211" s="76">
        <v>4</v>
      </c>
      <c r="L211" s="76">
        <v>10</v>
      </c>
      <c r="M211" s="76">
        <v>86.2</v>
      </c>
      <c r="N211" s="76">
        <v>61</v>
      </c>
      <c r="O211" s="76">
        <v>23</v>
      </c>
      <c r="P211" s="76">
        <v>22</v>
      </c>
      <c r="Q211" s="76">
        <v>6</v>
      </c>
      <c r="R211" s="76">
        <v>38</v>
      </c>
      <c r="S211" s="76">
        <v>6</v>
      </c>
      <c r="T211" s="76">
        <v>114</v>
      </c>
      <c r="U211" s="76">
        <v>352</v>
      </c>
      <c r="V211" s="76">
        <v>86.2</v>
      </c>
      <c r="W211" s="76">
        <v>0.19700000000000001</v>
      </c>
      <c r="X211" s="76">
        <v>1.1399999999999999</v>
      </c>
      <c r="Y211" s="76"/>
      <c r="Z211" t="s">
        <v>590</v>
      </c>
      <c r="AA211" s="76" t="s">
        <v>244</v>
      </c>
      <c r="AB211" s="76">
        <v>2</v>
      </c>
      <c r="AC211" s="76">
        <v>6</v>
      </c>
      <c r="AD211" s="76">
        <v>6</v>
      </c>
      <c r="AE211" s="76">
        <v>25</v>
      </c>
      <c r="AF211" s="76">
        <v>7</v>
      </c>
      <c r="AG211" s="76">
        <v>70</v>
      </c>
      <c r="AH211" s="76">
        <v>67</v>
      </c>
      <c r="AI211" s="76">
        <v>0</v>
      </c>
      <c r="AJ211" s="76">
        <v>1</v>
      </c>
      <c r="AK211" s="76">
        <v>4</v>
      </c>
      <c r="AL211" s="76">
        <v>0</v>
      </c>
      <c r="AM211" s="76">
        <v>0</v>
      </c>
      <c r="AN211" s="76">
        <v>1497</v>
      </c>
      <c r="AO211" s="202" t="s">
        <v>165</v>
      </c>
      <c r="AP211" s="202">
        <v>0.45500000000000002</v>
      </c>
      <c r="AQ211" s="202">
        <v>1.98</v>
      </c>
      <c r="AR211" s="202">
        <v>0.316</v>
      </c>
      <c r="AS211" s="202">
        <v>0.39800000000000002</v>
      </c>
      <c r="AT211" s="202">
        <v>0.71399999999999997</v>
      </c>
      <c r="AU211" s="202">
        <v>6.27</v>
      </c>
      <c r="AV211" s="202">
        <v>2.94</v>
      </c>
      <c r="AW211" s="202">
        <v>8.4499999999999993</v>
      </c>
      <c r="AX211" s="202">
        <v>2.13</v>
      </c>
      <c r="AY211" s="202">
        <v>14.8</v>
      </c>
    </row>
    <row r="212" spans="1:51" ht="12.75" customHeight="1" x14ac:dyDescent="0.2">
      <c r="A212" s="76">
        <v>6</v>
      </c>
      <c r="B212" s="41" t="s">
        <v>392</v>
      </c>
      <c r="C212" s="76" t="s">
        <v>244</v>
      </c>
      <c r="D212" s="76">
        <v>1</v>
      </c>
      <c r="E212" s="76">
        <v>4</v>
      </c>
      <c r="F212" s="76">
        <v>2.81</v>
      </c>
      <c r="G212" s="76">
        <v>67</v>
      </c>
      <c r="H212" s="76">
        <v>0</v>
      </c>
      <c r="I212" s="76">
        <v>0</v>
      </c>
      <c r="J212" s="76">
        <v>0</v>
      </c>
      <c r="K212" s="76">
        <v>40</v>
      </c>
      <c r="L212" s="76">
        <v>43</v>
      </c>
      <c r="M212" s="76">
        <v>64</v>
      </c>
      <c r="N212" s="76">
        <v>52</v>
      </c>
      <c r="O212" s="76">
        <v>21</v>
      </c>
      <c r="P212" s="76">
        <v>20</v>
      </c>
      <c r="Q212" s="76">
        <v>1</v>
      </c>
      <c r="R212" s="76">
        <v>35</v>
      </c>
      <c r="S212" s="76">
        <v>3</v>
      </c>
      <c r="T212" s="76">
        <v>73</v>
      </c>
      <c r="U212" s="76">
        <v>278</v>
      </c>
      <c r="V212" s="76">
        <v>64</v>
      </c>
      <c r="W212" s="76">
        <v>0.223</v>
      </c>
      <c r="X212" s="76">
        <v>1.36</v>
      </c>
      <c r="Y212" s="76"/>
      <c r="Z212" t="s">
        <v>392</v>
      </c>
      <c r="AA212" s="76" t="s">
        <v>244</v>
      </c>
      <c r="AB212" s="76">
        <v>4</v>
      </c>
      <c r="AC212" s="76">
        <v>3</v>
      </c>
      <c r="AD212" s="76">
        <v>52</v>
      </c>
      <c r="AE212" s="76">
        <v>2</v>
      </c>
      <c r="AF212" s="76">
        <v>5</v>
      </c>
      <c r="AG212" s="76">
        <v>47</v>
      </c>
      <c r="AH212" s="76">
        <v>67</v>
      </c>
      <c r="AI212" s="76">
        <v>6</v>
      </c>
      <c r="AJ212" s="76">
        <v>0</v>
      </c>
      <c r="AK212" s="76">
        <v>4</v>
      </c>
      <c r="AL212" s="76">
        <v>1</v>
      </c>
      <c r="AM212" s="76">
        <v>0</v>
      </c>
      <c r="AN212" s="76">
        <v>1117</v>
      </c>
      <c r="AO212" s="202" t="s">
        <v>244</v>
      </c>
      <c r="AP212" s="202">
        <v>0.66700000000000004</v>
      </c>
      <c r="AQ212" s="202">
        <v>0.57999999999999996</v>
      </c>
      <c r="AR212" s="202">
        <v>0.30599999999999999</v>
      </c>
      <c r="AS212" s="202">
        <v>0.25600000000000001</v>
      </c>
      <c r="AT212" s="202">
        <v>0.56299999999999994</v>
      </c>
      <c r="AU212" s="202">
        <v>11.1</v>
      </c>
      <c r="AV212" s="202">
        <v>6.66</v>
      </c>
      <c r="AW212" s="202">
        <v>4.4400000000000004</v>
      </c>
      <c r="AX212" s="202">
        <v>1.67</v>
      </c>
      <c r="AY212" s="202">
        <v>19.07</v>
      </c>
    </row>
    <row r="213" spans="1:51" ht="12.75" customHeight="1" x14ac:dyDescent="0.2">
      <c r="A213" s="76">
        <v>1</v>
      </c>
      <c r="B213" t="s">
        <v>1154</v>
      </c>
      <c r="C213" s="76" t="s">
        <v>244</v>
      </c>
      <c r="D213" s="76">
        <v>0</v>
      </c>
      <c r="E213" s="76">
        <v>0</v>
      </c>
      <c r="F213" s="76">
        <v>0</v>
      </c>
      <c r="G213" s="76">
        <v>1</v>
      </c>
      <c r="H213" s="76">
        <v>1</v>
      </c>
      <c r="I213" s="76">
        <v>0</v>
      </c>
      <c r="J213" s="76">
        <v>0</v>
      </c>
      <c r="K213" s="76">
        <v>0</v>
      </c>
      <c r="L213" s="76">
        <v>0</v>
      </c>
      <c r="M213" s="76">
        <v>3.1</v>
      </c>
      <c r="N213" s="76">
        <v>1</v>
      </c>
      <c r="O213" s="76">
        <v>0</v>
      </c>
      <c r="P213" s="76">
        <v>0</v>
      </c>
      <c r="Q213" s="76">
        <v>0</v>
      </c>
      <c r="R213" s="76">
        <v>0</v>
      </c>
      <c r="S213" s="76">
        <v>0</v>
      </c>
      <c r="T213" s="76">
        <v>4</v>
      </c>
      <c r="U213" s="76">
        <v>11</v>
      </c>
      <c r="V213" s="76">
        <v>3.1</v>
      </c>
      <c r="W213" s="76">
        <v>0.1</v>
      </c>
      <c r="X213" s="76">
        <v>0.3</v>
      </c>
      <c r="Y213" s="76"/>
      <c r="Z213" t="s">
        <v>1154</v>
      </c>
      <c r="AA213" s="76" t="s">
        <v>244</v>
      </c>
      <c r="AB213" s="76">
        <v>0</v>
      </c>
      <c r="AC213" s="76">
        <v>0</v>
      </c>
      <c r="AD213" s="76">
        <v>0</v>
      </c>
      <c r="AE213" s="76">
        <v>0</v>
      </c>
      <c r="AF213" s="76">
        <v>0</v>
      </c>
      <c r="AG213" s="76">
        <v>3</v>
      </c>
      <c r="AH213" s="76">
        <v>3</v>
      </c>
      <c r="AI213" s="76">
        <v>0</v>
      </c>
      <c r="AJ213" s="76">
        <v>0</v>
      </c>
      <c r="AK213" s="76">
        <v>0</v>
      </c>
      <c r="AL213" s="76">
        <v>0</v>
      </c>
      <c r="AM213" s="76">
        <v>0</v>
      </c>
      <c r="AN213" s="76">
        <v>44</v>
      </c>
      <c r="AO213" s="202" t="s">
        <v>165</v>
      </c>
      <c r="AP213" s="202">
        <v>0</v>
      </c>
      <c r="AQ213" s="202">
        <v>0.91</v>
      </c>
      <c r="AR213" s="202">
        <v>0.375</v>
      </c>
      <c r="AS213" s="202">
        <v>0.61799999999999999</v>
      </c>
      <c r="AT213" s="202">
        <v>0.99299999999999999</v>
      </c>
      <c r="AU213" s="202">
        <v>4.1500000000000004</v>
      </c>
      <c r="AV213" s="202">
        <v>5.19</v>
      </c>
      <c r="AW213" s="202">
        <v>10.38</v>
      </c>
      <c r="AX213" s="202">
        <v>0.8</v>
      </c>
      <c r="AY213" s="202">
        <v>18</v>
      </c>
    </row>
    <row r="214" spans="1:51" ht="12.75" customHeight="1" x14ac:dyDescent="0.2">
      <c r="A214" s="76">
        <v>28</v>
      </c>
      <c r="B214" t="s">
        <v>1190</v>
      </c>
      <c r="C214" s="76" t="s">
        <v>244</v>
      </c>
      <c r="D214" s="76">
        <v>0</v>
      </c>
      <c r="E214" s="76">
        <v>0</v>
      </c>
      <c r="F214" s="76">
        <v>9</v>
      </c>
      <c r="G214" s="76">
        <v>1</v>
      </c>
      <c r="H214" s="76">
        <v>0</v>
      </c>
      <c r="I214" s="76">
        <v>0</v>
      </c>
      <c r="J214" s="76">
        <v>0</v>
      </c>
      <c r="K214" s="76">
        <v>0</v>
      </c>
      <c r="L214" s="76">
        <v>0</v>
      </c>
      <c r="M214" s="76">
        <v>2</v>
      </c>
      <c r="N214" s="76">
        <v>3</v>
      </c>
      <c r="O214" s="76">
        <v>2</v>
      </c>
      <c r="P214" s="76">
        <v>2</v>
      </c>
      <c r="Q214" s="76">
        <v>0</v>
      </c>
      <c r="R214" s="76">
        <v>1</v>
      </c>
      <c r="S214" s="76">
        <v>0</v>
      </c>
      <c r="T214" s="76">
        <v>0</v>
      </c>
      <c r="U214" s="76">
        <v>10</v>
      </c>
      <c r="V214" s="76">
        <v>2</v>
      </c>
      <c r="W214" s="76">
        <v>0.33300000000000002</v>
      </c>
      <c r="X214" s="76">
        <v>2</v>
      </c>
      <c r="Y214" s="76"/>
      <c r="Z214" t="s">
        <v>1190</v>
      </c>
      <c r="AA214" s="76" t="s">
        <v>244</v>
      </c>
      <c r="AB214" s="76">
        <v>0</v>
      </c>
      <c r="AC214" s="76">
        <v>0</v>
      </c>
      <c r="AD214" s="76">
        <v>1</v>
      </c>
      <c r="AE214" s="76">
        <v>0</v>
      </c>
      <c r="AF214" s="76">
        <v>0</v>
      </c>
      <c r="AG214" s="76">
        <v>2</v>
      </c>
      <c r="AH214" s="76">
        <v>4</v>
      </c>
      <c r="AI214" s="76">
        <v>0</v>
      </c>
      <c r="AJ214" s="76">
        <v>0</v>
      </c>
      <c r="AK214" s="76">
        <v>0</v>
      </c>
      <c r="AL214" s="76">
        <v>0</v>
      </c>
      <c r="AM214" s="76">
        <v>0</v>
      </c>
      <c r="AN214" s="76">
        <v>36</v>
      </c>
      <c r="AO214" s="202" t="s">
        <v>244</v>
      </c>
      <c r="AP214" s="202">
        <v>0.33300000000000002</v>
      </c>
      <c r="AQ214" s="202">
        <v>0.81</v>
      </c>
      <c r="AR214" s="202">
        <v>0.26800000000000002</v>
      </c>
      <c r="AS214" s="202">
        <v>0.29399999999999998</v>
      </c>
      <c r="AT214" s="202">
        <v>0.56200000000000006</v>
      </c>
      <c r="AU214" s="202">
        <v>11.13</v>
      </c>
      <c r="AV214" s="202">
        <v>3.33</v>
      </c>
      <c r="AW214" s="202">
        <v>5.76</v>
      </c>
      <c r="AX214" s="202">
        <v>3.35</v>
      </c>
      <c r="AY214" s="202">
        <v>15.45</v>
      </c>
    </row>
    <row r="215" spans="1:51" ht="12.75" customHeight="1" x14ac:dyDescent="0.2">
      <c r="A215" s="76">
        <v>20</v>
      </c>
      <c r="B215" s="41" t="s">
        <v>629</v>
      </c>
      <c r="C215" s="76" t="s">
        <v>244</v>
      </c>
      <c r="D215" s="76">
        <v>2</v>
      </c>
      <c r="E215" s="76">
        <v>3</v>
      </c>
      <c r="F215" s="76">
        <v>5.89</v>
      </c>
      <c r="G215" s="76">
        <v>39</v>
      </c>
      <c r="H215" s="76">
        <v>0</v>
      </c>
      <c r="I215" s="76">
        <v>0</v>
      </c>
      <c r="J215" s="76">
        <v>0</v>
      </c>
      <c r="K215" s="76">
        <v>8</v>
      </c>
      <c r="L215" s="76">
        <v>11</v>
      </c>
      <c r="M215" s="76">
        <v>36.200000000000003</v>
      </c>
      <c r="N215" s="76">
        <v>41</v>
      </c>
      <c r="O215" s="76">
        <v>25</v>
      </c>
      <c r="P215" s="76">
        <v>24</v>
      </c>
      <c r="Q215" s="76">
        <v>5</v>
      </c>
      <c r="R215" s="76">
        <v>25</v>
      </c>
      <c r="S215" s="76">
        <v>3</v>
      </c>
      <c r="T215" s="76">
        <v>41</v>
      </c>
      <c r="U215" s="76">
        <v>174</v>
      </c>
      <c r="V215" s="76">
        <v>36.200000000000003</v>
      </c>
      <c r="W215" s="76">
        <v>0.28899999999999998</v>
      </c>
      <c r="X215" s="76">
        <v>1.8</v>
      </c>
      <c r="Y215" s="76"/>
      <c r="Z215" t="s">
        <v>629</v>
      </c>
      <c r="AA215" s="76" t="s">
        <v>244</v>
      </c>
      <c r="AB215" s="76">
        <v>3</v>
      </c>
      <c r="AC215" s="76">
        <v>3</v>
      </c>
      <c r="AD215" s="76">
        <v>17</v>
      </c>
      <c r="AE215" s="76">
        <v>8</v>
      </c>
      <c r="AF215" s="76">
        <v>3</v>
      </c>
      <c r="AG215" s="76">
        <v>39</v>
      </c>
      <c r="AH215" s="76">
        <v>25</v>
      </c>
      <c r="AI215" s="76">
        <v>4</v>
      </c>
      <c r="AJ215" s="76">
        <v>0</v>
      </c>
      <c r="AK215" s="76">
        <v>3</v>
      </c>
      <c r="AL215" s="76">
        <v>2</v>
      </c>
      <c r="AM215" s="76">
        <v>1</v>
      </c>
      <c r="AN215" s="76">
        <v>712</v>
      </c>
      <c r="AO215" s="202" t="s">
        <v>244</v>
      </c>
      <c r="AP215" s="202">
        <v>0.36399999999999999</v>
      </c>
      <c r="AQ215" s="202">
        <v>1.0900000000000001</v>
      </c>
      <c r="AR215" s="202">
        <v>0.30199999999999999</v>
      </c>
      <c r="AS215" s="202">
        <v>0.39200000000000002</v>
      </c>
      <c r="AT215" s="202">
        <v>0.69399999999999995</v>
      </c>
      <c r="AU215" s="202">
        <v>8.0500000000000007</v>
      </c>
      <c r="AV215" s="202">
        <v>2.5499999999999998</v>
      </c>
      <c r="AW215" s="202">
        <v>8.66</v>
      </c>
      <c r="AX215" s="202">
        <v>3.16</v>
      </c>
      <c r="AY215" s="202">
        <v>15.35</v>
      </c>
    </row>
    <row r="216" spans="1:51" ht="12.75" customHeight="1" x14ac:dyDescent="0.2">
      <c r="A216" s="76">
        <v>24</v>
      </c>
      <c r="B216" s="41" t="s">
        <v>1126</v>
      </c>
      <c r="C216" s="76" t="s">
        <v>244</v>
      </c>
      <c r="D216" s="76">
        <v>4</v>
      </c>
      <c r="E216" s="76">
        <v>9</v>
      </c>
      <c r="F216" s="76">
        <v>6.13</v>
      </c>
      <c r="G216" s="76">
        <v>28</v>
      </c>
      <c r="H216" s="76">
        <v>12</v>
      </c>
      <c r="I216" s="76">
        <v>0</v>
      </c>
      <c r="J216" s="76">
        <v>0</v>
      </c>
      <c r="K216" s="76">
        <v>1</v>
      </c>
      <c r="L216" s="76">
        <v>3</v>
      </c>
      <c r="M216" s="76">
        <v>83.2</v>
      </c>
      <c r="N216" s="76">
        <v>91</v>
      </c>
      <c r="O216" s="76">
        <v>59</v>
      </c>
      <c r="P216" s="76">
        <v>57</v>
      </c>
      <c r="Q216" s="76">
        <v>11</v>
      </c>
      <c r="R216" s="76">
        <v>29</v>
      </c>
      <c r="S216" s="76">
        <v>6</v>
      </c>
      <c r="T216" s="76">
        <v>58</v>
      </c>
      <c r="U216" s="76">
        <v>373</v>
      </c>
      <c r="V216" s="76">
        <v>83.2</v>
      </c>
      <c r="W216" s="76">
        <v>0.27500000000000002</v>
      </c>
      <c r="X216" s="76">
        <v>1.43</v>
      </c>
      <c r="Y216" s="76"/>
      <c r="Z216" t="s">
        <v>1126</v>
      </c>
      <c r="AA216" s="76" t="s">
        <v>244</v>
      </c>
      <c r="AB216" s="76">
        <v>6</v>
      </c>
      <c r="AC216" s="76">
        <v>6</v>
      </c>
      <c r="AD216" s="76">
        <v>4</v>
      </c>
      <c r="AE216" s="76">
        <v>1</v>
      </c>
      <c r="AF216" s="76">
        <v>6</v>
      </c>
      <c r="AG216" s="76">
        <v>109</v>
      </c>
      <c r="AH216" s="76">
        <v>80</v>
      </c>
      <c r="AI216" s="76">
        <v>0</v>
      </c>
      <c r="AJ216" s="76">
        <v>0</v>
      </c>
      <c r="AK216" s="76">
        <v>1</v>
      </c>
      <c r="AL216" s="76">
        <v>0</v>
      </c>
      <c r="AM216" s="76">
        <v>0</v>
      </c>
      <c r="AN216" s="76">
        <v>1437</v>
      </c>
      <c r="AO216" s="202" t="s">
        <v>244</v>
      </c>
      <c r="AP216" s="202" t="s">
        <v>243</v>
      </c>
      <c r="AQ216" s="202">
        <v>4</v>
      </c>
      <c r="AR216" s="202">
        <v>0.45700000000000002</v>
      </c>
      <c r="AS216" s="202">
        <v>0.48399999999999999</v>
      </c>
      <c r="AT216" s="202">
        <v>0.94099999999999995</v>
      </c>
      <c r="AU216" s="202">
        <v>5.4</v>
      </c>
      <c r="AV216" s="202">
        <v>5.4</v>
      </c>
      <c r="AW216" s="202">
        <v>16.2</v>
      </c>
      <c r="AX216" s="202">
        <v>1</v>
      </c>
      <c r="AY216" s="202">
        <v>21.6</v>
      </c>
    </row>
    <row r="217" spans="1:51" ht="12.75" customHeight="1" x14ac:dyDescent="0.2">
      <c r="A217" s="76">
        <v>11</v>
      </c>
      <c r="B217" s="41" t="s">
        <v>1452</v>
      </c>
      <c r="C217" s="76" t="s">
        <v>244</v>
      </c>
      <c r="D217" s="76">
        <v>4</v>
      </c>
      <c r="E217" s="76">
        <v>3</v>
      </c>
      <c r="F217" s="76">
        <v>3.14</v>
      </c>
      <c r="G217" s="76">
        <v>48</v>
      </c>
      <c r="H217" s="76">
        <v>0</v>
      </c>
      <c r="I217" s="76">
        <v>0</v>
      </c>
      <c r="J217" s="76">
        <v>0</v>
      </c>
      <c r="K217" s="76">
        <v>0</v>
      </c>
      <c r="L217" s="76">
        <v>2</v>
      </c>
      <c r="M217" s="76">
        <v>51.2</v>
      </c>
      <c r="N217" s="76">
        <v>50</v>
      </c>
      <c r="O217" s="76">
        <v>18</v>
      </c>
      <c r="P217" s="76">
        <v>18</v>
      </c>
      <c r="Q217" s="76">
        <v>6</v>
      </c>
      <c r="R217" s="76">
        <v>10</v>
      </c>
      <c r="S217" s="76">
        <v>2</v>
      </c>
      <c r="T217" s="76">
        <v>42</v>
      </c>
      <c r="U217" s="76">
        <v>213</v>
      </c>
      <c r="V217" s="76">
        <v>51.2</v>
      </c>
      <c r="W217" s="76">
        <v>0.254</v>
      </c>
      <c r="X217" s="76">
        <v>1.1599999999999999</v>
      </c>
      <c r="Y217" s="76"/>
      <c r="Z217" t="s">
        <v>1452</v>
      </c>
      <c r="AA217" s="76" t="s">
        <v>244</v>
      </c>
      <c r="AB217" s="76">
        <v>1</v>
      </c>
      <c r="AC217" s="76">
        <v>2</v>
      </c>
      <c r="AD217" s="76">
        <v>9</v>
      </c>
      <c r="AE217" s="76">
        <v>6</v>
      </c>
      <c r="AF217" s="76">
        <v>2</v>
      </c>
      <c r="AG217" s="76">
        <v>48</v>
      </c>
      <c r="AH217" s="76">
        <v>62</v>
      </c>
      <c r="AI217" s="76">
        <v>1</v>
      </c>
      <c r="AJ217" s="76">
        <v>0</v>
      </c>
      <c r="AK217" s="76">
        <v>0</v>
      </c>
      <c r="AL217" s="76">
        <v>0</v>
      </c>
      <c r="AM217" s="76">
        <v>0</v>
      </c>
      <c r="AN217" s="76">
        <v>842</v>
      </c>
      <c r="AO217" s="202" t="s">
        <v>244</v>
      </c>
      <c r="AP217" s="202">
        <v>0.28599999999999998</v>
      </c>
      <c r="AQ217" s="202">
        <v>1.81</v>
      </c>
      <c r="AR217" s="202">
        <v>0.33</v>
      </c>
      <c r="AS217" s="202">
        <v>0.432</v>
      </c>
      <c r="AT217" s="202">
        <v>0.76200000000000001</v>
      </c>
      <c r="AU217" s="202">
        <v>6.07</v>
      </c>
      <c r="AV217" s="202">
        <v>4.26</v>
      </c>
      <c r="AW217" s="202">
        <v>8.14</v>
      </c>
      <c r="AX217" s="202">
        <v>1.42</v>
      </c>
      <c r="AY217" s="202">
        <v>16.79</v>
      </c>
    </row>
    <row r="218" spans="1:51" ht="12.75" customHeight="1" x14ac:dyDescent="0.2">
      <c r="A218" s="225" t="s">
        <v>105</v>
      </c>
      <c r="B218" s="225" t="s">
        <v>106</v>
      </c>
      <c r="C218" s="225" t="s">
        <v>157</v>
      </c>
      <c r="D218" s="225" t="s">
        <v>85</v>
      </c>
      <c r="E218" s="225" t="s">
        <v>86</v>
      </c>
      <c r="F218" s="225" t="s">
        <v>107</v>
      </c>
      <c r="G218" s="225" t="s">
        <v>108</v>
      </c>
      <c r="H218" s="225" t="s">
        <v>88</v>
      </c>
      <c r="I218" s="225" t="s">
        <v>89</v>
      </c>
      <c r="J218" s="225" t="s">
        <v>1073</v>
      </c>
      <c r="K218" s="225" t="s">
        <v>90</v>
      </c>
      <c r="L218" s="225" t="s">
        <v>158</v>
      </c>
      <c r="M218" s="225" t="s">
        <v>91</v>
      </c>
      <c r="N218" s="225" t="s">
        <v>92</v>
      </c>
      <c r="O218" s="225" t="s">
        <v>93</v>
      </c>
      <c r="P218" s="225" t="s">
        <v>94</v>
      </c>
      <c r="Q218" s="225" t="s">
        <v>95</v>
      </c>
      <c r="R218" s="225" t="s">
        <v>96</v>
      </c>
      <c r="S218" s="225" t="s">
        <v>98</v>
      </c>
      <c r="T218" s="225" t="s">
        <v>97</v>
      </c>
      <c r="U218" s="225" t="s">
        <v>109</v>
      </c>
      <c r="V218" s="225" t="s">
        <v>91</v>
      </c>
      <c r="W218" s="225" t="s">
        <v>1071</v>
      </c>
      <c r="X218" s="225" t="s">
        <v>1072</v>
      </c>
      <c r="Y218" s="225"/>
      <c r="Z218" s="225" t="s">
        <v>106</v>
      </c>
      <c r="AA218" s="225" t="s">
        <v>157</v>
      </c>
      <c r="AB218" s="225" t="s">
        <v>1074</v>
      </c>
      <c r="AC218" s="225" t="s">
        <v>98</v>
      </c>
      <c r="AD218" s="225" t="s">
        <v>1075</v>
      </c>
      <c r="AE218" s="225" t="s">
        <v>1076</v>
      </c>
      <c r="AF218" s="225" t="s">
        <v>1077</v>
      </c>
      <c r="AG218" s="225" t="s">
        <v>1066</v>
      </c>
      <c r="AH218" s="225" t="s">
        <v>1067</v>
      </c>
      <c r="AI218" s="225" t="s">
        <v>1078</v>
      </c>
      <c r="AJ218" s="225" t="s">
        <v>1079</v>
      </c>
      <c r="AK218" s="225" t="s">
        <v>1057</v>
      </c>
      <c r="AL218" s="225" t="s">
        <v>1058</v>
      </c>
      <c r="AM218" s="225" t="s">
        <v>1080</v>
      </c>
      <c r="AN218" s="225" t="s">
        <v>1069</v>
      </c>
      <c r="AO218" s="202" t="s">
        <v>244</v>
      </c>
      <c r="AP218" s="202" t="s">
        <v>243</v>
      </c>
      <c r="AQ218" s="202">
        <v>0.5</v>
      </c>
      <c r="AR218" s="202">
        <v>0.4</v>
      </c>
      <c r="AS218" s="202">
        <v>0.8</v>
      </c>
      <c r="AT218" s="202">
        <v>1.2</v>
      </c>
      <c r="AU218" s="202">
        <v>0</v>
      </c>
      <c r="AV218" s="202">
        <v>0</v>
      </c>
      <c r="AW218" s="202">
        <v>18</v>
      </c>
      <c r="AX218" s="202" t="s">
        <v>243</v>
      </c>
      <c r="AY218" s="202">
        <v>18</v>
      </c>
    </row>
    <row r="219" spans="1:51" ht="12.75" customHeight="1" x14ac:dyDescent="0.2">
      <c r="A219" s="76">
        <v>14</v>
      </c>
      <c r="B219" s="41" t="s">
        <v>747</v>
      </c>
      <c r="C219" s="76" t="s">
        <v>166</v>
      </c>
      <c r="D219" s="76">
        <v>9</v>
      </c>
      <c r="E219" s="76">
        <v>11</v>
      </c>
      <c r="F219" s="76">
        <v>4.3899999999999997</v>
      </c>
      <c r="G219" s="76">
        <v>31</v>
      </c>
      <c r="H219" s="76">
        <v>30</v>
      </c>
      <c r="I219" s="76">
        <v>0</v>
      </c>
      <c r="J219" s="76">
        <v>0</v>
      </c>
      <c r="K219" s="76">
        <v>0</v>
      </c>
      <c r="L219" s="76">
        <v>0</v>
      </c>
      <c r="M219" s="76">
        <v>151.19999999999999</v>
      </c>
      <c r="N219" s="76">
        <v>155</v>
      </c>
      <c r="O219" s="76">
        <v>83</v>
      </c>
      <c r="P219" s="76">
        <v>74</v>
      </c>
      <c r="Q219" s="76">
        <v>28</v>
      </c>
      <c r="R219" s="76">
        <v>53</v>
      </c>
      <c r="S219" s="76">
        <v>0</v>
      </c>
      <c r="T219" s="76">
        <v>120</v>
      </c>
      <c r="U219" s="76">
        <v>647</v>
      </c>
      <c r="V219" s="76">
        <v>151.19999999999999</v>
      </c>
      <c r="W219" s="76">
        <v>0.26600000000000001</v>
      </c>
      <c r="X219" s="76">
        <v>1.37</v>
      </c>
      <c r="Y219" s="76"/>
      <c r="Z219" t="s">
        <v>747</v>
      </c>
      <c r="AA219" s="76" t="s">
        <v>166</v>
      </c>
      <c r="AB219" s="76">
        <v>4</v>
      </c>
      <c r="AC219" s="76">
        <v>0</v>
      </c>
      <c r="AD219" s="76">
        <v>1</v>
      </c>
      <c r="AE219" s="76">
        <v>0</v>
      </c>
      <c r="AF219" s="76">
        <v>12</v>
      </c>
      <c r="AG219" s="76">
        <v>137</v>
      </c>
      <c r="AH219" s="76">
        <v>178</v>
      </c>
      <c r="AI219" s="76">
        <v>4</v>
      </c>
      <c r="AJ219" s="76">
        <v>0</v>
      </c>
      <c r="AK219" s="76">
        <v>7</v>
      </c>
      <c r="AL219" s="76">
        <v>8</v>
      </c>
      <c r="AM219" s="76">
        <v>0</v>
      </c>
      <c r="AN219" s="76">
        <v>2639</v>
      </c>
      <c r="AO219" s="202" t="s">
        <v>166</v>
      </c>
      <c r="AP219" s="202">
        <v>1</v>
      </c>
      <c r="AQ219" s="202">
        <v>2.23</v>
      </c>
      <c r="AR219" s="202">
        <v>0.316</v>
      </c>
      <c r="AS219" s="202">
        <v>0.35</v>
      </c>
      <c r="AT219" s="202">
        <v>0.66600000000000004</v>
      </c>
      <c r="AU219" s="202">
        <v>8.8699999999999992</v>
      </c>
      <c r="AV219" s="202">
        <v>2.91</v>
      </c>
      <c r="AW219" s="202">
        <v>8.4700000000000006</v>
      </c>
      <c r="AX219" s="202">
        <v>3.05</v>
      </c>
      <c r="AY219" s="202">
        <v>15.68</v>
      </c>
    </row>
    <row r="220" spans="1:51" ht="12.75" customHeight="1" x14ac:dyDescent="0.2">
      <c r="A220" s="76">
        <v>4</v>
      </c>
      <c r="B220" s="41" t="s">
        <v>1456</v>
      </c>
      <c r="C220" s="76" t="s">
        <v>166</v>
      </c>
      <c r="D220" s="76">
        <v>0</v>
      </c>
      <c r="E220" s="76">
        <v>1</v>
      </c>
      <c r="F220" s="76">
        <v>2.7</v>
      </c>
      <c r="G220" s="76">
        <v>27</v>
      </c>
      <c r="H220" s="76">
        <v>0</v>
      </c>
      <c r="I220" s="76">
        <v>0</v>
      </c>
      <c r="J220" s="76">
        <v>0</v>
      </c>
      <c r="K220" s="76">
        <v>1</v>
      </c>
      <c r="L220" s="76">
        <v>1</v>
      </c>
      <c r="M220" s="76">
        <v>26.2</v>
      </c>
      <c r="N220" s="76">
        <v>24</v>
      </c>
      <c r="O220" s="76">
        <v>9</v>
      </c>
      <c r="P220" s="76">
        <v>8</v>
      </c>
      <c r="Q220" s="76">
        <v>1</v>
      </c>
      <c r="R220" s="76">
        <v>6</v>
      </c>
      <c r="S220" s="76">
        <v>1</v>
      </c>
      <c r="T220" s="76">
        <v>26</v>
      </c>
      <c r="U220" s="76">
        <v>106</v>
      </c>
      <c r="V220" s="76">
        <v>26.2</v>
      </c>
      <c r="W220" s="76">
        <v>0.245</v>
      </c>
      <c r="X220" s="76">
        <v>1.1299999999999999</v>
      </c>
      <c r="Y220" s="76"/>
      <c r="Z220" t="s">
        <v>1456</v>
      </c>
      <c r="AA220" s="76" t="s">
        <v>166</v>
      </c>
      <c r="AB220" s="76">
        <v>0</v>
      </c>
      <c r="AC220" s="76">
        <v>1</v>
      </c>
      <c r="AD220" s="76">
        <v>7</v>
      </c>
      <c r="AE220" s="76">
        <v>0</v>
      </c>
      <c r="AF220" s="76">
        <v>3</v>
      </c>
      <c r="AG220" s="76">
        <v>25</v>
      </c>
      <c r="AH220" s="76">
        <v>25</v>
      </c>
      <c r="AI220" s="76">
        <v>2</v>
      </c>
      <c r="AJ220" s="76">
        <v>0</v>
      </c>
      <c r="AK220" s="76">
        <v>1</v>
      </c>
      <c r="AL220" s="76">
        <v>1</v>
      </c>
      <c r="AM220" s="76">
        <v>0</v>
      </c>
      <c r="AN220" s="76">
        <v>405</v>
      </c>
      <c r="AO220" s="202" t="s">
        <v>166</v>
      </c>
      <c r="AP220" s="202">
        <v>0.625</v>
      </c>
      <c r="AQ220" s="202">
        <v>1.1100000000000001</v>
      </c>
      <c r="AR220" s="202">
        <v>0.26700000000000002</v>
      </c>
      <c r="AS220" s="202">
        <v>0.28999999999999998</v>
      </c>
      <c r="AT220" s="202">
        <v>0.55700000000000005</v>
      </c>
      <c r="AU220" s="202">
        <v>7.6</v>
      </c>
      <c r="AV220" s="202">
        <v>2.91</v>
      </c>
      <c r="AW220" s="202">
        <v>6.47</v>
      </c>
      <c r="AX220" s="202">
        <v>2.61</v>
      </c>
      <c r="AY220" s="202">
        <v>15.5</v>
      </c>
    </row>
    <row r="221" spans="1:51" ht="12.75" customHeight="1" x14ac:dyDescent="0.2">
      <c r="A221" s="76">
        <v>19</v>
      </c>
      <c r="B221" s="41" t="s">
        <v>1127</v>
      </c>
      <c r="C221" s="76" t="s">
        <v>166</v>
      </c>
      <c r="D221" s="76">
        <v>3</v>
      </c>
      <c r="E221" s="76">
        <v>1</v>
      </c>
      <c r="F221" s="76">
        <v>5.66</v>
      </c>
      <c r="G221" s="76">
        <v>41</v>
      </c>
      <c r="H221" s="76">
        <v>0</v>
      </c>
      <c r="I221" s="76">
        <v>0</v>
      </c>
      <c r="J221" s="76">
        <v>0</v>
      </c>
      <c r="K221" s="76">
        <v>0</v>
      </c>
      <c r="L221" s="76">
        <v>2</v>
      </c>
      <c r="M221" s="76">
        <v>41.1</v>
      </c>
      <c r="N221" s="76">
        <v>52</v>
      </c>
      <c r="O221" s="76">
        <v>31</v>
      </c>
      <c r="P221" s="76">
        <v>26</v>
      </c>
      <c r="Q221" s="76">
        <v>7</v>
      </c>
      <c r="R221" s="76">
        <v>27</v>
      </c>
      <c r="S221" s="76">
        <v>3</v>
      </c>
      <c r="T221" s="76">
        <v>36</v>
      </c>
      <c r="U221" s="76">
        <v>201</v>
      </c>
      <c r="V221" s="76">
        <v>41.1</v>
      </c>
      <c r="W221" s="76">
        <v>0.311</v>
      </c>
      <c r="X221" s="76">
        <v>1.91</v>
      </c>
      <c r="Y221" s="76"/>
      <c r="Z221" t="s">
        <v>1127</v>
      </c>
      <c r="AA221" s="76" t="s">
        <v>166</v>
      </c>
      <c r="AB221" s="76">
        <v>2</v>
      </c>
      <c r="AC221" s="76">
        <v>3</v>
      </c>
      <c r="AD221" s="76">
        <v>7</v>
      </c>
      <c r="AE221" s="76">
        <v>9</v>
      </c>
      <c r="AF221" s="76">
        <v>5</v>
      </c>
      <c r="AG221" s="76">
        <v>39</v>
      </c>
      <c r="AH221" s="76">
        <v>45</v>
      </c>
      <c r="AI221" s="76">
        <v>2</v>
      </c>
      <c r="AJ221" s="76">
        <v>0</v>
      </c>
      <c r="AK221" s="76">
        <v>2</v>
      </c>
      <c r="AL221" s="76">
        <v>4</v>
      </c>
      <c r="AM221" s="76">
        <v>1</v>
      </c>
      <c r="AN221" s="76">
        <v>818</v>
      </c>
      <c r="AO221" s="202" t="s">
        <v>166</v>
      </c>
      <c r="AP221" s="202">
        <v>0.27800000000000002</v>
      </c>
      <c r="AQ221" s="202">
        <v>0.98</v>
      </c>
      <c r="AR221" s="202">
        <v>0.34499999999999997</v>
      </c>
      <c r="AS221" s="202">
        <v>0.502</v>
      </c>
      <c r="AT221" s="202">
        <v>0.84699999999999998</v>
      </c>
      <c r="AU221" s="202">
        <v>6.38</v>
      </c>
      <c r="AV221" s="202">
        <v>2.54</v>
      </c>
      <c r="AW221" s="202">
        <v>10.63</v>
      </c>
      <c r="AX221" s="202">
        <v>2.5099999999999998</v>
      </c>
      <c r="AY221" s="202">
        <v>16.7</v>
      </c>
    </row>
    <row r="222" spans="1:51" ht="12.75" customHeight="1" x14ac:dyDescent="0.2">
      <c r="A222" s="76">
        <v>11</v>
      </c>
      <c r="B222" s="41" t="s">
        <v>778</v>
      </c>
      <c r="C222" s="76" t="s">
        <v>166</v>
      </c>
      <c r="D222" s="76">
        <v>2</v>
      </c>
      <c r="E222" s="76">
        <v>4</v>
      </c>
      <c r="F222" s="76">
        <v>3.95</v>
      </c>
      <c r="G222" s="76">
        <v>61</v>
      </c>
      <c r="H222" s="76">
        <v>0</v>
      </c>
      <c r="I222" s="76">
        <v>0</v>
      </c>
      <c r="J222" s="76">
        <v>0</v>
      </c>
      <c r="K222" s="76">
        <v>1</v>
      </c>
      <c r="L222" s="76">
        <v>3</v>
      </c>
      <c r="M222" s="76">
        <v>66</v>
      </c>
      <c r="N222" s="76">
        <v>80</v>
      </c>
      <c r="O222" s="76">
        <v>30</v>
      </c>
      <c r="P222" s="76">
        <v>29</v>
      </c>
      <c r="Q222" s="76">
        <v>4</v>
      </c>
      <c r="R222" s="76">
        <v>17</v>
      </c>
      <c r="S222" s="76">
        <v>3</v>
      </c>
      <c r="T222" s="76">
        <v>26</v>
      </c>
      <c r="U222" s="76">
        <v>282</v>
      </c>
      <c r="V222" s="76">
        <v>66</v>
      </c>
      <c r="W222" s="76">
        <v>0.30499999999999999</v>
      </c>
      <c r="X222" s="76">
        <v>1.47</v>
      </c>
      <c r="Y222" s="76"/>
      <c r="Z222" t="s">
        <v>778</v>
      </c>
      <c r="AA222" s="76" t="s">
        <v>166</v>
      </c>
      <c r="AB222" s="76">
        <v>1</v>
      </c>
      <c r="AC222" s="76">
        <v>3</v>
      </c>
      <c r="AD222" s="76">
        <v>17</v>
      </c>
      <c r="AE222" s="76">
        <v>5</v>
      </c>
      <c r="AF222" s="76">
        <v>11</v>
      </c>
      <c r="AG222" s="76">
        <v>84</v>
      </c>
      <c r="AH222" s="76">
        <v>74</v>
      </c>
      <c r="AI222" s="76">
        <v>0</v>
      </c>
      <c r="AJ222" s="76">
        <v>0</v>
      </c>
      <c r="AK222" s="76">
        <v>3</v>
      </c>
      <c r="AL222" s="76">
        <v>2</v>
      </c>
      <c r="AM222" s="76">
        <v>0</v>
      </c>
      <c r="AN222" s="76">
        <v>1052</v>
      </c>
      <c r="AO222" s="202" t="s">
        <v>166</v>
      </c>
      <c r="AP222" s="202">
        <v>1</v>
      </c>
      <c r="AQ222" s="202">
        <v>1.1399999999999999</v>
      </c>
      <c r="AR222" s="202">
        <v>0.36699999999999999</v>
      </c>
      <c r="AS222" s="202">
        <v>0.495</v>
      </c>
      <c r="AT222" s="202">
        <v>0.86199999999999999</v>
      </c>
      <c r="AU222" s="202">
        <v>8.76</v>
      </c>
      <c r="AV222" s="202">
        <v>2.92</v>
      </c>
      <c r="AW222" s="202">
        <v>11.68</v>
      </c>
      <c r="AX222" s="202">
        <v>3</v>
      </c>
      <c r="AY222" s="202">
        <v>16.14</v>
      </c>
    </row>
    <row r="223" spans="1:51" ht="12.75" customHeight="1" x14ac:dyDescent="0.2">
      <c r="A223" s="76">
        <v>13</v>
      </c>
      <c r="B223" t="s">
        <v>382</v>
      </c>
      <c r="C223" s="76" t="s">
        <v>166</v>
      </c>
      <c r="D223" s="76">
        <v>1</v>
      </c>
      <c r="E223" s="76">
        <v>1</v>
      </c>
      <c r="F223" s="76">
        <v>4.13</v>
      </c>
      <c r="G223" s="76">
        <v>16</v>
      </c>
      <c r="H223" s="76">
        <v>0</v>
      </c>
      <c r="I223" s="76">
        <v>0</v>
      </c>
      <c r="J223" s="76">
        <v>0</v>
      </c>
      <c r="K223" s="76">
        <v>0</v>
      </c>
      <c r="L223" s="76">
        <v>1</v>
      </c>
      <c r="M223" s="76">
        <v>24</v>
      </c>
      <c r="N223" s="76">
        <v>23</v>
      </c>
      <c r="O223" s="76">
        <v>11</v>
      </c>
      <c r="P223" s="76">
        <v>11</v>
      </c>
      <c r="Q223" s="76">
        <v>7</v>
      </c>
      <c r="R223" s="76">
        <v>15</v>
      </c>
      <c r="S223" s="76">
        <v>2</v>
      </c>
      <c r="T223" s="76">
        <v>27</v>
      </c>
      <c r="U223" s="76">
        <v>106</v>
      </c>
      <c r="V223" s="76">
        <v>24</v>
      </c>
      <c r="W223" s="76">
        <v>0.25600000000000001</v>
      </c>
      <c r="X223" s="76">
        <v>1.58</v>
      </c>
      <c r="Y223" s="76"/>
      <c r="Z223" t="s">
        <v>382</v>
      </c>
      <c r="AA223" s="76" t="s">
        <v>166</v>
      </c>
      <c r="AB223" s="76">
        <v>1</v>
      </c>
      <c r="AC223" s="76">
        <v>2</v>
      </c>
      <c r="AD223" s="76">
        <v>3</v>
      </c>
      <c r="AE223" s="76">
        <v>1</v>
      </c>
      <c r="AF223" s="76">
        <v>4</v>
      </c>
      <c r="AG223" s="76">
        <v>20</v>
      </c>
      <c r="AH223" s="76">
        <v>20</v>
      </c>
      <c r="AI223" s="76">
        <v>1</v>
      </c>
      <c r="AJ223" s="76">
        <v>0</v>
      </c>
      <c r="AK223" s="76">
        <v>0</v>
      </c>
      <c r="AL223" s="76">
        <v>1</v>
      </c>
      <c r="AM223" s="76">
        <v>0</v>
      </c>
      <c r="AN223" s="76">
        <v>438</v>
      </c>
      <c r="AO223" s="202" t="s">
        <v>166</v>
      </c>
      <c r="AP223" s="202" t="s">
        <v>243</v>
      </c>
      <c r="AQ223" s="202" t="s">
        <v>243</v>
      </c>
      <c r="AR223" s="202">
        <v>0.375</v>
      </c>
      <c r="AS223" s="202">
        <v>0.16700000000000001</v>
      </c>
      <c r="AT223" s="202">
        <v>0.54200000000000004</v>
      </c>
      <c r="AU223" s="202">
        <v>0</v>
      </c>
      <c r="AV223" s="202">
        <v>9</v>
      </c>
      <c r="AW223" s="202">
        <v>4.5</v>
      </c>
      <c r="AX223" s="202">
        <v>0</v>
      </c>
      <c r="AY223" s="202">
        <v>17.5</v>
      </c>
    </row>
    <row r="224" spans="1:51" ht="12.75" customHeight="1" x14ac:dyDescent="0.2">
      <c r="A224" s="76">
        <v>7</v>
      </c>
      <c r="B224" s="41" t="s">
        <v>1132</v>
      </c>
      <c r="C224" s="76" t="s">
        <v>166</v>
      </c>
      <c r="D224" s="76">
        <v>0</v>
      </c>
      <c r="E224" s="76">
        <v>1</v>
      </c>
      <c r="F224" s="76">
        <v>2.86</v>
      </c>
      <c r="G224" s="76">
        <v>20</v>
      </c>
      <c r="H224" s="76">
        <v>2</v>
      </c>
      <c r="I224" s="76">
        <v>0</v>
      </c>
      <c r="J224" s="76">
        <v>0</v>
      </c>
      <c r="K224" s="76">
        <v>0</v>
      </c>
      <c r="L224" s="76">
        <v>0</v>
      </c>
      <c r="M224" s="76">
        <v>28.1</v>
      </c>
      <c r="N224" s="76">
        <v>21</v>
      </c>
      <c r="O224" s="76">
        <v>9</v>
      </c>
      <c r="P224" s="76">
        <v>9</v>
      </c>
      <c r="Q224" s="76">
        <v>3</v>
      </c>
      <c r="R224" s="76">
        <v>12</v>
      </c>
      <c r="S224" s="76">
        <v>1</v>
      </c>
      <c r="T224" s="76">
        <v>22</v>
      </c>
      <c r="U224" s="76">
        <v>116</v>
      </c>
      <c r="V224" s="76">
        <v>28.1</v>
      </c>
      <c r="W224" s="76">
        <v>0.20799999999999999</v>
      </c>
      <c r="X224" s="76">
        <v>1.1599999999999999</v>
      </c>
      <c r="Y224" s="76"/>
      <c r="Z224" t="s">
        <v>1132</v>
      </c>
      <c r="AA224" s="76" t="s">
        <v>166</v>
      </c>
      <c r="AB224" s="76">
        <v>1</v>
      </c>
      <c r="AC224" s="76">
        <v>1</v>
      </c>
      <c r="AD224" s="76">
        <v>4</v>
      </c>
      <c r="AE224" s="76">
        <v>0</v>
      </c>
      <c r="AF224" s="76">
        <v>0</v>
      </c>
      <c r="AG224" s="76">
        <v>19</v>
      </c>
      <c r="AH224" s="76">
        <v>41</v>
      </c>
      <c r="AI224" s="76">
        <v>0</v>
      </c>
      <c r="AJ224" s="76">
        <v>0</v>
      </c>
      <c r="AK224" s="76">
        <v>1</v>
      </c>
      <c r="AL224" s="76">
        <v>1</v>
      </c>
      <c r="AM224" s="76">
        <v>0</v>
      </c>
      <c r="AN224" s="76">
        <v>451</v>
      </c>
      <c r="AO224" s="202" t="s">
        <v>166</v>
      </c>
      <c r="AP224" s="202">
        <v>0</v>
      </c>
      <c r="AQ224" s="202">
        <v>0.93</v>
      </c>
      <c r="AR224" s="202">
        <v>0.372</v>
      </c>
      <c r="AS224" s="202">
        <v>0.47899999999999998</v>
      </c>
      <c r="AT224" s="202">
        <v>0.85099999999999998</v>
      </c>
      <c r="AU224" s="202">
        <v>7.38</v>
      </c>
      <c r="AV224" s="202">
        <v>4.6399999999999997</v>
      </c>
      <c r="AW224" s="202">
        <v>9.91</v>
      </c>
      <c r="AX224" s="202">
        <v>1.59</v>
      </c>
      <c r="AY224" s="202">
        <v>17.84</v>
      </c>
    </row>
    <row r="225" spans="1:51" ht="12.75" customHeight="1" x14ac:dyDescent="0.2">
      <c r="A225" s="76">
        <v>12</v>
      </c>
      <c r="B225" s="41" t="s">
        <v>1128</v>
      </c>
      <c r="C225" s="76" t="s">
        <v>166</v>
      </c>
      <c r="D225" s="76">
        <v>11</v>
      </c>
      <c r="E225" s="76">
        <v>7</v>
      </c>
      <c r="F225" s="76">
        <v>3.97</v>
      </c>
      <c r="G225" s="76">
        <v>28</v>
      </c>
      <c r="H225" s="76">
        <v>28</v>
      </c>
      <c r="I225" s="76">
        <v>0</v>
      </c>
      <c r="J225" s="76">
        <v>0</v>
      </c>
      <c r="K225" s="76">
        <v>0</v>
      </c>
      <c r="L225" s="76">
        <v>0</v>
      </c>
      <c r="M225" s="76">
        <v>163.1</v>
      </c>
      <c r="N225" s="76">
        <v>166</v>
      </c>
      <c r="O225" s="76">
        <v>79</v>
      </c>
      <c r="P225" s="76">
        <v>72</v>
      </c>
      <c r="Q225" s="76">
        <v>20</v>
      </c>
      <c r="R225" s="76">
        <v>38</v>
      </c>
      <c r="S225" s="76">
        <v>0</v>
      </c>
      <c r="T225" s="76">
        <v>135</v>
      </c>
      <c r="U225" s="76">
        <v>682</v>
      </c>
      <c r="V225" s="76">
        <v>163.1</v>
      </c>
      <c r="W225" s="76">
        <v>0.26300000000000001</v>
      </c>
      <c r="X225" s="76">
        <v>1.25</v>
      </c>
      <c r="Y225" s="76"/>
      <c r="Z225" t="s">
        <v>1128</v>
      </c>
      <c r="AA225" s="76" t="s">
        <v>166</v>
      </c>
      <c r="AB225" s="76">
        <v>6</v>
      </c>
      <c r="AC225" s="76">
        <v>0</v>
      </c>
      <c r="AD225" s="76">
        <v>0</v>
      </c>
      <c r="AE225" s="76">
        <v>0</v>
      </c>
      <c r="AF225" s="76">
        <v>11</v>
      </c>
      <c r="AG225" s="76">
        <v>188</v>
      </c>
      <c r="AH225" s="76">
        <v>151</v>
      </c>
      <c r="AI225" s="76">
        <v>3</v>
      </c>
      <c r="AJ225" s="76">
        <v>0</v>
      </c>
      <c r="AK225" s="76">
        <v>8</v>
      </c>
      <c r="AL225" s="76">
        <v>9</v>
      </c>
      <c r="AM225" s="76">
        <v>0</v>
      </c>
      <c r="AN225" s="76">
        <v>2588</v>
      </c>
      <c r="AO225" s="202" t="s">
        <v>166</v>
      </c>
      <c r="AP225" s="202" t="s">
        <v>243</v>
      </c>
      <c r="AQ225" s="202">
        <v>0.67</v>
      </c>
      <c r="AR225" s="202">
        <v>0.5</v>
      </c>
      <c r="AS225" s="202">
        <v>0.77800000000000002</v>
      </c>
      <c r="AT225" s="202">
        <v>1.278</v>
      </c>
      <c r="AU225" s="202">
        <v>4.5</v>
      </c>
      <c r="AV225" s="202">
        <v>9</v>
      </c>
      <c r="AW225" s="202">
        <v>18</v>
      </c>
      <c r="AX225" s="202">
        <v>0.5</v>
      </c>
      <c r="AY225" s="202">
        <v>18.5</v>
      </c>
    </row>
    <row r="226" spans="1:51" ht="12.75" customHeight="1" x14ac:dyDescent="0.2">
      <c r="A226" s="76">
        <v>25</v>
      </c>
      <c r="B226" t="s">
        <v>460</v>
      </c>
      <c r="C226" s="76" t="s">
        <v>166</v>
      </c>
      <c r="D226" s="76">
        <v>0</v>
      </c>
      <c r="E226" s="76">
        <v>0</v>
      </c>
      <c r="F226" s="76">
        <v>12.91</v>
      </c>
      <c r="G226" s="76">
        <v>7</v>
      </c>
      <c r="H226" s="76">
        <v>0</v>
      </c>
      <c r="I226" s="76">
        <v>0</v>
      </c>
      <c r="J226" s="76">
        <v>0</v>
      </c>
      <c r="K226" s="76">
        <v>0</v>
      </c>
      <c r="L226" s="76">
        <v>0</v>
      </c>
      <c r="M226" s="76">
        <v>7.2</v>
      </c>
      <c r="N226" s="76">
        <v>13</v>
      </c>
      <c r="O226" s="76">
        <v>11</v>
      </c>
      <c r="P226" s="76">
        <v>11</v>
      </c>
      <c r="Q226" s="76">
        <v>2</v>
      </c>
      <c r="R226" s="76">
        <v>9</v>
      </c>
      <c r="S226" s="76">
        <v>0</v>
      </c>
      <c r="T226" s="76">
        <v>8</v>
      </c>
      <c r="U226" s="76">
        <v>44</v>
      </c>
      <c r="V226" s="76">
        <v>7.2</v>
      </c>
      <c r="W226" s="76">
        <v>0.39400000000000002</v>
      </c>
      <c r="X226" s="76">
        <v>2.87</v>
      </c>
      <c r="Y226" s="76"/>
      <c r="Z226" t="s">
        <v>460</v>
      </c>
      <c r="AA226" s="76" t="s">
        <v>166</v>
      </c>
      <c r="AB226" s="76">
        <v>0</v>
      </c>
      <c r="AC226" s="76">
        <v>0</v>
      </c>
      <c r="AD226" s="76">
        <v>4</v>
      </c>
      <c r="AE226" s="76">
        <v>0</v>
      </c>
      <c r="AF226" s="76">
        <v>1</v>
      </c>
      <c r="AG226" s="76">
        <v>4</v>
      </c>
      <c r="AH226" s="76">
        <v>10</v>
      </c>
      <c r="AI226" s="76">
        <v>1</v>
      </c>
      <c r="AJ226" s="76">
        <v>0</v>
      </c>
      <c r="AK226" s="76">
        <v>0</v>
      </c>
      <c r="AL226" s="76">
        <v>0</v>
      </c>
      <c r="AM226" s="76">
        <v>0</v>
      </c>
      <c r="AN226" s="76">
        <v>179</v>
      </c>
      <c r="AO226" s="202" t="s">
        <v>166</v>
      </c>
      <c r="AP226" s="202">
        <v>0.77800000000000002</v>
      </c>
      <c r="AQ226" s="202">
        <v>0.96</v>
      </c>
      <c r="AR226" s="202">
        <v>0.29299999999999998</v>
      </c>
      <c r="AS226" s="202">
        <v>0.35599999999999998</v>
      </c>
      <c r="AT226" s="202">
        <v>0.64900000000000002</v>
      </c>
      <c r="AU226" s="202">
        <v>12.93</v>
      </c>
      <c r="AV226" s="202">
        <v>3.41</v>
      </c>
      <c r="AW226" s="202">
        <v>7.39</v>
      </c>
      <c r="AX226" s="202">
        <v>3.79</v>
      </c>
      <c r="AY226" s="202">
        <v>16.850000000000001</v>
      </c>
    </row>
    <row r="227" spans="1:51" ht="12.75" customHeight="1" x14ac:dyDescent="0.2">
      <c r="A227" s="76">
        <v>15</v>
      </c>
      <c r="B227" s="41" t="s">
        <v>344</v>
      </c>
      <c r="C227" s="76" t="s">
        <v>166</v>
      </c>
      <c r="D227" s="76">
        <v>6</v>
      </c>
      <c r="E227" s="76">
        <v>8</v>
      </c>
      <c r="F227" s="76">
        <v>4.51</v>
      </c>
      <c r="G227" s="76">
        <v>19</v>
      </c>
      <c r="H227" s="76">
        <v>19</v>
      </c>
      <c r="I227" s="76">
        <v>0</v>
      </c>
      <c r="J227" s="76">
        <v>0</v>
      </c>
      <c r="K227" s="76">
        <v>0</v>
      </c>
      <c r="L227" s="76">
        <v>0</v>
      </c>
      <c r="M227" s="76">
        <v>101.2</v>
      </c>
      <c r="N227" s="76">
        <v>117</v>
      </c>
      <c r="O227" s="76">
        <v>67</v>
      </c>
      <c r="P227" s="76">
        <v>51</v>
      </c>
      <c r="Q227" s="76">
        <v>11</v>
      </c>
      <c r="R227" s="76">
        <v>36</v>
      </c>
      <c r="S227" s="76">
        <v>2</v>
      </c>
      <c r="T227" s="76">
        <v>70</v>
      </c>
      <c r="U227" s="76">
        <v>461</v>
      </c>
      <c r="V227" s="76">
        <v>101.2</v>
      </c>
      <c r="W227" s="76">
        <v>0.28299999999999997</v>
      </c>
      <c r="X227" s="76">
        <v>1.5</v>
      </c>
      <c r="Y227" s="76"/>
      <c r="Z227" t="s">
        <v>344</v>
      </c>
      <c r="AA227" s="76" t="s">
        <v>166</v>
      </c>
      <c r="AB227" s="76">
        <v>3</v>
      </c>
      <c r="AC227" s="76">
        <v>2</v>
      </c>
      <c r="AD227" s="76">
        <v>0</v>
      </c>
      <c r="AE227" s="76">
        <v>0</v>
      </c>
      <c r="AF227" s="76">
        <v>8</v>
      </c>
      <c r="AG227" s="76">
        <v>148</v>
      </c>
      <c r="AH227" s="76">
        <v>87</v>
      </c>
      <c r="AI227" s="76">
        <v>3</v>
      </c>
      <c r="AJ227" s="76">
        <v>0</v>
      </c>
      <c r="AK227" s="76">
        <v>3</v>
      </c>
      <c r="AL227" s="76">
        <v>1</v>
      </c>
      <c r="AM227" s="76">
        <v>0</v>
      </c>
      <c r="AN227" s="76">
        <v>1717</v>
      </c>
      <c r="AO227" s="202" t="s">
        <v>166</v>
      </c>
      <c r="AP227" s="202" t="s">
        <v>243</v>
      </c>
      <c r="AQ227" s="202">
        <v>1.4</v>
      </c>
      <c r="AR227" s="202">
        <v>0.29599999999999999</v>
      </c>
      <c r="AS227" s="202">
        <v>0.32900000000000001</v>
      </c>
      <c r="AT227" s="202">
        <v>0.625</v>
      </c>
      <c r="AU227" s="202">
        <v>9.61</v>
      </c>
      <c r="AV227" s="202">
        <v>3.66</v>
      </c>
      <c r="AW227" s="202">
        <v>7.32</v>
      </c>
      <c r="AX227" s="202">
        <v>2.63</v>
      </c>
      <c r="AY227" s="202">
        <v>16.829999999999998</v>
      </c>
    </row>
    <row r="228" spans="1:51" ht="12.75" customHeight="1" x14ac:dyDescent="0.2">
      <c r="A228" s="76">
        <v>24</v>
      </c>
      <c r="B228" t="s">
        <v>1130</v>
      </c>
      <c r="C228" s="76" t="s">
        <v>166</v>
      </c>
      <c r="D228" s="76">
        <v>0</v>
      </c>
      <c r="E228" s="76">
        <v>0</v>
      </c>
      <c r="F228" s="76">
        <v>10.97</v>
      </c>
      <c r="G228" s="76">
        <v>10</v>
      </c>
      <c r="H228" s="76">
        <v>0</v>
      </c>
      <c r="I228" s="76">
        <v>0</v>
      </c>
      <c r="J228" s="76">
        <v>0</v>
      </c>
      <c r="K228" s="76">
        <v>0</v>
      </c>
      <c r="L228" s="76">
        <v>0</v>
      </c>
      <c r="M228" s="76">
        <v>10.199999999999999</v>
      </c>
      <c r="N228" s="76">
        <v>18</v>
      </c>
      <c r="O228" s="76">
        <v>14</v>
      </c>
      <c r="P228" s="76">
        <v>13</v>
      </c>
      <c r="Q228" s="76">
        <v>3</v>
      </c>
      <c r="R228" s="76">
        <v>4</v>
      </c>
      <c r="S228" s="76">
        <v>1</v>
      </c>
      <c r="T228" s="76">
        <v>9</v>
      </c>
      <c r="U228" s="76">
        <v>55</v>
      </c>
      <c r="V228" s="76">
        <v>10.199999999999999</v>
      </c>
      <c r="W228" s="76">
        <v>0.35299999999999998</v>
      </c>
      <c r="X228" s="76">
        <v>2.06</v>
      </c>
      <c r="Y228" s="76"/>
      <c r="Z228" t="s">
        <v>1130</v>
      </c>
      <c r="AA228" s="76" t="s">
        <v>166</v>
      </c>
      <c r="AB228" s="76">
        <v>0</v>
      </c>
      <c r="AC228" s="76">
        <v>1</v>
      </c>
      <c r="AD228" s="76">
        <v>7</v>
      </c>
      <c r="AE228" s="76">
        <v>0</v>
      </c>
      <c r="AF228" s="76">
        <v>0</v>
      </c>
      <c r="AG228" s="76">
        <v>16</v>
      </c>
      <c r="AH228" s="76">
        <v>8</v>
      </c>
      <c r="AI228" s="76">
        <v>1</v>
      </c>
      <c r="AJ228" s="76">
        <v>0</v>
      </c>
      <c r="AK228" s="76">
        <v>3</v>
      </c>
      <c r="AL228" s="76">
        <v>0</v>
      </c>
      <c r="AM228" s="76">
        <v>0</v>
      </c>
      <c r="AN228" s="76">
        <v>201</v>
      </c>
      <c r="AO228" s="202" t="s">
        <v>166</v>
      </c>
      <c r="AP228" s="202">
        <v>0.25</v>
      </c>
      <c r="AQ228" s="202">
        <v>1.26</v>
      </c>
      <c r="AR228" s="202">
        <v>0.22900000000000001</v>
      </c>
      <c r="AS228" s="202">
        <v>0.318</v>
      </c>
      <c r="AT228" s="202">
        <v>0.54700000000000004</v>
      </c>
      <c r="AU228" s="202">
        <v>9.7899999999999991</v>
      </c>
      <c r="AV228" s="202">
        <v>1.74</v>
      </c>
      <c r="AW228" s="202">
        <v>6</v>
      </c>
      <c r="AX228" s="202">
        <v>5.64</v>
      </c>
      <c r="AY228" s="202">
        <v>14.53</v>
      </c>
    </row>
    <row r="229" spans="1:51" ht="12.75" customHeight="1" x14ac:dyDescent="0.2">
      <c r="A229" s="76">
        <v>6</v>
      </c>
      <c r="B229" s="41" t="s">
        <v>383</v>
      </c>
      <c r="C229" s="76" t="s">
        <v>166</v>
      </c>
      <c r="D229" s="76">
        <v>9</v>
      </c>
      <c r="E229" s="76">
        <v>3</v>
      </c>
      <c r="F229" s="76">
        <v>2.81</v>
      </c>
      <c r="G229" s="76">
        <v>20</v>
      </c>
      <c r="H229" s="76">
        <v>20</v>
      </c>
      <c r="I229" s="76">
        <v>0</v>
      </c>
      <c r="J229" s="76">
        <v>0</v>
      </c>
      <c r="K229" s="76">
        <v>0</v>
      </c>
      <c r="L229" s="76">
        <v>0</v>
      </c>
      <c r="M229" s="76">
        <v>121.2</v>
      </c>
      <c r="N229" s="76">
        <v>94</v>
      </c>
      <c r="O229" s="76">
        <v>40</v>
      </c>
      <c r="P229" s="76">
        <v>38</v>
      </c>
      <c r="Q229" s="76">
        <v>10</v>
      </c>
      <c r="R229" s="76">
        <v>43</v>
      </c>
      <c r="S229" s="76">
        <v>2</v>
      </c>
      <c r="T229" s="76">
        <v>100</v>
      </c>
      <c r="U229" s="76">
        <v>492</v>
      </c>
      <c r="V229" s="76">
        <v>121.2</v>
      </c>
      <c r="W229" s="76">
        <v>0.21299999999999999</v>
      </c>
      <c r="X229" s="76">
        <v>1.1299999999999999</v>
      </c>
      <c r="Y229" s="76"/>
      <c r="Z229" t="s">
        <v>383</v>
      </c>
      <c r="AA229" s="76" t="s">
        <v>166</v>
      </c>
      <c r="AB229" s="76">
        <v>3</v>
      </c>
      <c r="AC229" s="76">
        <v>2</v>
      </c>
      <c r="AD229" s="76">
        <v>0</v>
      </c>
      <c r="AE229" s="76">
        <v>0</v>
      </c>
      <c r="AF229" s="76">
        <v>10</v>
      </c>
      <c r="AG229" s="76">
        <v>136</v>
      </c>
      <c r="AH229" s="76">
        <v>116</v>
      </c>
      <c r="AI229" s="76">
        <v>7</v>
      </c>
      <c r="AJ229" s="76">
        <v>1</v>
      </c>
      <c r="AK229" s="76">
        <v>5</v>
      </c>
      <c r="AL229" s="76">
        <v>3</v>
      </c>
      <c r="AM229" s="76">
        <v>0</v>
      </c>
      <c r="AN229" s="76">
        <v>1866</v>
      </c>
      <c r="AO229" s="202" t="s">
        <v>166</v>
      </c>
      <c r="AP229" s="202">
        <v>1</v>
      </c>
      <c r="AQ229" s="202">
        <v>1.1599999999999999</v>
      </c>
      <c r="AR229" s="202">
        <v>0.312</v>
      </c>
      <c r="AS229" s="202">
        <v>0.41299999999999998</v>
      </c>
      <c r="AT229" s="202">
        <v>0.72499999999999998</v>
      </c>
      <c r="AU229" s="202">
        <v>8.8800000000000008</v>
      </c>
      <c r="AV229" s="202">
        <v>3.08</v>
      </c>
      <c r="AW229" s="202">
        <v>7.97</v>
      </c>
      <c r="AX229" s="202">
        <v>2.88</v>
      </c>
      <c r="AY229" s="202">
        <v>16.649999999999999</v>
      </c>
    </row>
    <row r="230" spans="1:51" ht="12.75" customHeight="1" x14ac:dyDescent="0.2">
      <c r="A230" s="76">
        <v>2</v>
      </c>
      <c r="B230" t="s">
        <v>615</v>
      </c>
      <c r="C230" s="76" t="s">
        <v>166</v>
      </c>
      <c r="D230" s="76">
        <v>2</v>
      </c>
      <c r="E230" s="76">
        <v>2</v>
      </c>
      <c r="F230" s="76">
        <v>2.2200000000000002</v>
      </c>
      <c r="G230" s="76">
        <v>47</v>
      </c>
      <c r="H230" s="76">
        <v>0</v>
      </c>
      <c r="I230" s="76">
        <v>0</v>
      </c>
      <c r="J230" s="76">
        <v>0</v>
      </c>
      <c r="K230" s="76">
        <v>27</v>
      </c>
      <c r="L230" s="76">
        <v>28</v>
      </c>
      <c r="M230" s="76">
        <v>44.2</v>
      </c>
      <c r="N230" s="76">
        <v>45</v>
      </c>
      <c r="O230" s="76">
        <v>13</v>
      </c>
      <c r="P230" s="76">
        <v>11</v>
      </c>
      <c r="Q230" s="76">
        <v>2</v>
      </c>
      <c r="R230" s="76">
        <v>11</v>
      </c>
      <c r="S230" s="76">
        <v>3</v>
      </c>
      <c r="T230" s="76">
        <v>35</v>
      </c>
      <c r="U230" s="76">
        <v>190</v>
      </c>
      <c r="V230" s="76">
        <v>44.2</v>
      </c>
      <c r="W230" s="76">
        <v>0.26200000000000001</v>
      </c>
      <c r="X230" s="76">
        <v>1.25</v>
      </c>
      <c r="Y230" s="76"/>
      <c r="Z230" t="s">
        <v>615</v>
      </c>
      <c r="AA230" s="76" t="s">
        <v>166</v>
      </c>
      <c r="AB230" s="76">
        <v>4</v>
      </c>
      <c r="AC230" s="76">
        <v>3</v>
      </c>
      <c r="AD230" s="76">
        <v>40</v>
      </c>
      <c r="AE230" s="76">
        <v>0</v>
      </c>
      <c r="AF230" s="76">
        <v>6</v>
      </c>
      <c r="AG230" s="76">
        <v>68</v>
      </c>
      <c r="AH230" s="76">
        <v>27</v>
      </c>
      <c r="AI230" s="76">
        <v>0</v>
      </c>
      <c r="AJ230" s="76">
        <v>0</v>
      </c>
      <c r="AK230" s="76">
        <v>0</v>
      </c>
      <c r="AL230" s="76">
        <v>2</v>
      </c>
      <c r="AM230" s="76">
        <v>0</v>
      </c>
      <c r="AN230" s="76">
        <v>663</v>
      </c>
      <c r="AO230" s="102" t="s">
        <v>157</v>
      </c>
      <c r="AP230" s="102" t="s">
        <v>1081</v>
      </c>
      <c r="AQ230" s="102" t="s">
        <v>1068</v>
      </c>
      <c r="AR230" s="102" t="s">
        <v>1059</v>
      </c>
      <c r="AS230" s="102" t="s">
        <v>1060</v>
      </c>
      <c r="AT230" s="102" t="s">
        <v>1061</v>
      </c>
      <c r="AU230" s="102" t="s">
        <v>1092</v>
      </c>
      <c r="AV230" s="102" t="s">
        <v>1093</v>
      </c>
      <c r="AW230" s="102" t="s">
        <v>1094</v>
      </c>
      <c r="AX230" s="102" t="s">
        <v>1095</v>
      </c>
      <c r="AY230" s="102" t="s">
        <v>1096</v>
      </c>
    </row>
    <row r="231" spans="1:51" ht="12.75" customHeight="1" x14ac:dyDescent="0.2">
      <c r="A231" s="76">
        <v>21</v>
      </c>
      <c r="B231" s="41" t="s">
        <v>1129</v>
      </c>
      <c r="C231" s="76" t="s">
        <v>166</v>
      </c>
      <c r="D231" s="76">
        <v>0</v>
      </c>
      <c r="E231" s="76">
        <v>5</v>
      </c>
      <c r="F231" s="76">
        <v>7.76</v>
      </c>
      <c r="G231" s="76">
        <v>8</v>
      </c>
      <c r="H231" s="76">
        <v>6</v>
      </c>
      <c r="I231" s="76">
        <v>0</v>
      </c>
      <c r="J231" s="76">
        <v>0</v>
      </c>
      <c r="K231" s="76">
        <v>0</v>
      </c>
      <c r="L231" s="76">
        <v>0</v>
      </c>
      <c r="M231" s="76">
        <v>26.2</v>
      </c>
      <c r="N231" s="76">
        <v>30</v>
      </c>
      <c r="O231" s="76">
        <v>24</v>
      </c>
      <c r="P231" s="76">
        <v>23</v>
      </c>
      <c r="Q231" s="76">
        <v>4</v>
      </c>
      <c r="R231" s="76">
        <v>17</v>
      </c>
      <c r="S231" s="76">
        <v>1</v>
      </c>
      <c r="T231" s="76">
        <v>18</v>
      </c>
      <c r="U231" s="76">
        <v>126</v>
      </c>
      <c r="V231" s="76">
        <v>26.2</v>
      </c>
      <c r="W231" s="76">
        <v>0.29099999999999998</v>
      </c>
      <c r="X231" s="76">
        <v>1.76</v>
      </c>
      <c r="Y231" s="76"/>
      <c r="Z231" t="s">
        <v>1129</v>
      </c>
      <c r="AA231" s="76" t="s">
        <v>166</v>
      </c>
      <c r="AB231" s="76">
        <v>3</v>
      </c>
      <c r="AC231" s="76">
        <v>1</v>
      </c>
      <c r="AD231" s="76">
        <v>2</v>
      </c>
      <c r="AE231" s="76">
        <v>0</v>
      </c>
      <c r="AF231" s="76">
        <v>1</v>
      </c>
      <c r="AG231" s="76">
        <v>33</v>
      </c>
      <c r="AH231" s="76">
        <v>25</v>
      </c>
      <c r="AI231" s="76">
        <v>0</v>
      </c>
      <c r="AJ231" s="76">
        <v>0</v>
      </c>
      <c r="AK231" s="76">
        <v>3</v>
      </c>
      <c r="AL231" s="76">
        <v>3</v>
      </c>
      <c r="AM231" s="76">
        <v>0</v>
      </c>
      <c r="AN231" s="76">
        <v>513</v>
      </c>
      <c r="AO231" s="202" t="s">
        <v>166</v>
      </c>
      <c r="AP231" s="202">
        <v>0.45800000000000002</v>
      </c>
      <c r="AQ231" s="202">
        <v>1.45</v>
      </c>
      <c r="AR231" s="202">
        <v>0.32200000000000001</v>
      </c>
      <c r="AS231" s="202">
        <v>0.38200000000000001</v>
      </c>
      <c r="AT231" s="202">
        <v>0.70399999999999996</v>
      </c>
      <c r="AU231" s="202">
        <v>7.51</v>
      </c>
      <c r="AV231" s="202">
        <v>3.3</v>
      </c>
      <c r="AW231" s="202">
        <v>8.27</v>
      </c>
      <c r="AX231" s="202">
        <v>2.2799999999999998</v>
      </c>
      <c r="AY231" s="202">
        <v>15.74</v>
      </c>
    </row>
    <row r="232" spans="1:51" ht="12.75" customHeight="1" x14ac:dyDescent="0.2">
      <c r="A232" s="76">
        <v>22</v>
      </c>
      <c r="B232" t="s">
        <v>1459</v>
      </c>
      <c r="C232" s="76" t="s">
        <v>166</v>
      </c>
      <c r="D232" s="76">
        <v>0</v>
      </c>
      <c r="E232" s="76">
        <v>0</v>
      </c>
      <c r="F232" s="76">
        <v>9</v>
      </c>
      <c r="G232" s="76">
        <v>1</v>
      </c>
      <c r="H232" s="76">
        <v>0</v>
      </c>
      <c r="I232" s="76">
        <v>0</v>
      </c>
      <c r="J232" s="76">
        <v>0</v>
      </c>
      <c r="K232" s="76">
        <v>0</v>
      </c>
      <c r="L232" s="76">
        <v>0</v>
      </c>
      <c r="M232" s="76">
        <v>1</v>
      </c>
      <c r="N232" s="76">
        <v>1</v>
      </c>
      <c r="O232" s="76">
        <v>1</v>
      </c>
      <c r="P232" s="76">
        <v>1</v>
      </c>
      <c r="Q232" s="76">
        <v>0</v>
      </c>
      <c r="R232" s="76">
        <v>1</v>
      </c>
      <c r="S232" s="76">
        <v>0</v>
      </c>
      <c r="T232" s="76">
        <v>1</v>
      </c>
      <c r="U232" s="76">
        <v>5</v>
      </c>
      <c r="V232" s="76">
        <v>1</v>
      </c>
      <c r="W232" s="76">
        <v>0.25</v>
      </c>
      <c r="X232" s="76">
        <v>2</v>
      </c>
      <c r="Y232" s="76"/>
      <c r="Z232" t="s">
        <v>1459</v>
      </c>
      <c r="AA232" s="76" t="s">
        <v>166</v>
      </c>
      <c r="AB232" s="76">
        <v>0</v>
      </c>
      <c r="AC232" s="76">
        <v>0</v>
      </c>
      <c r="AD232" s="76">
        <v>0</v>
      </c>
      <c r="AE232" s="76">
        <v>0</v>
      </c>
      <c r="AF232" s="76">
        <v>0</v>
      </c>
      <c r="AG232" s="76">
        <v>1</v>
      </c>
      <c r="AH232" s="76">
        <v>1</v>
      </c>
      <c r="AI232" s="76">
        <v>0</v>
      </c>
      <c r="AJ232" s="76">
        <v>0</v>
      </c>
      <c r="AK232" s="76">
        <v>0</v>
      </c>
      <c r="AL232" s="76">
        <v>0</v>
      </c>
      <c r="AM232" s="76">
        <v>0</v>
      </c>
      <c r="AN232" s="76">
        <v>21</v>
      </c>
      <c r="AO232" s="202" t="s">
        <v>166</v>
      </c>
      <c r="AP232" s="202">
        <v>0.66700000000000004</v>
      </c>
      <c r="AQ232" s="202">
        <v>0.96</v>
      </c>
      <c r="AR232" s="202">
        <v>0.33900000000000002</v>
      </c>
      <c r="AS232" s="202">
        <v>0.41599999999999998</v>
      </c>
      <c r="AT232" s="202">
        <v>0.755</v>
      </c>
      <c r="AU232" s="202">
        <v>8.89</v>
      </c>
      <c r="AV232" s="202">
        <v>4.6100000000000003</v>
      </c>
      <c r="AW232" s="202">
        <v>7.9</v>
      </c>
      <c r="AX232" s="202">
        <v>1.93</v>
      </c>
      <c r="AY232" s="202">
        <v>18.260000000000002</v>
      </c>
    </row>
    <row r="233" spans="1:51" ht="12.75" customHeight="1" x14ac:dyDescent="0.2">
      <c r="A233" s="76">
        <v>17</v>
      </c>
      <c r="B233" s="41" t="s">
        <v>800</v>
      </c>
      <c r="C233" s="76" t="s">
        <v>166</v>
      </c>
      <c r="D233" s="76">
        <v>1</v>
      </c>
      <c r="E233" s="76">
        <v>4</v>
      </c>
      <c r="F233" s="76">
        <v>4.68</v>
      </c>
      <c r="G233" s="76">
        <v>35</v>
      </c>
      <c r="H233" s="76">
        <v>0</v>
      </c>
      <c r="I233" s="76">
        <v>0</v>
      </c>
      <c r="J233" s="76">
        <v>0</v>
      </c>
      <c r="K233" s="76">
        <v>2</v>
      </c>
      <c r="L233" s="76">
        <v>4</v>
      </c>
      <c r="M233" s="76">
        <v>32.200000000000003</v>
      </c>
      <c r="N233" s="76">
        <v>32</v>
      </c>
      <c r="O233" s="76">
        <v>20</v>
      </c>
      <c r="P233" s="76">
        <v>17</v>
      </c>
      <c r="Q233" s="76">
        <v>3</v>
      </c>
      <c r="R233" s="76">
        <v>16</v>
      </c>
      <c r="S233" s="76">
        <v>3</v>
      </c>
      <c r="T233" s="76">
        <v>38</v>
      </c>
      <c r="U233" s="76">
        <v>145</v>
      </c>
      <c r="V233" s="76">
        <v>32.200000000000003</v>
      </c>
      <c r="W233" s="76">
        <v>0.252</v>
      </c>
      <c r="X233" s="76">
        <v>1.47</v>
      </c>
      <c r="Y233" s="76"/>
      <c r="Z233" t="s">
        <v>800</v>
      </c>
      <c r="AA233" s="76" t="s">
        <v>166</v>
      </c>
      <c r="AB233" s="76">
        <v>1</v>
      </c>
      <c r="AC233" s="76">
        <v>3</v>
      </c>
      <c r="AD233" s="76">
        <v>7</v>
      </c>
      <c r="AE233" s="76">
        <v>13</v>
      </c>
      <c r="AF233" s="76">
        <v>1</v>
      </c>
      <c r="AG233" s="76">
        <v>23</v>
      </c>
      <c r="AH233" s="76">
        <v>35</v>
      </c>
      <c r="AI233" s="76">
        <v>1</v>
      </c>
      <c r="AJ233" s="76">
        <v>0</v>
      </c>
      <c r="AK233" s="76">
        <v>4</v>
      </c>
      <c r="AL233" s="76">
        <v>1</v>
      </c>
      <c r="AM233" s="76">
        <v>0</v>
      </c>
      <c r="AN233" s="76">
        <v>612</v>
      </c>
      <c r="AO233" s="202" t="s">
        <v>166</v>
      </c>
      <c r="AP233" s="202">
        <v>0</v>
      </c>
      <c r="AQ233" s="202">
        <v>11</v>
      </c>
      <c r="AR233" s="202">
        <v>0.47199999999999998</v>
      </c>
      <c r="AS233" s="202">
        <v>0.54800000000000004</v>
      </c>
      <c r="AT233" s="202">
        <v>1.0209999999999999</v>
      </c>
      <c r="AU233" s="202">
        <v>9</v>
      </c>
      <c r="AV233" s="202">
        <v>6.43</v>
      </c>
      <c r="AW233" s="202">
        <v>15.43</v>
      </c>
      <c r="AX233" s="202">
        <v>1.4</v>
      </c>
      <c r="AY233" s="202">
        <v>21.29</v>
      </c>
    </row>
    <row r="234" spans="1:51" ht="12.75" customHeight="1" x14ac:dyDescent="0.2">
      <c r="A234" s="76">
        <v>20</v>
      </c>
      <c r="B234" t="s">
        <v>1458</v>
      </c>
      <c r="C234" s="76" t="s">
        <v>166</v>
      </c>
      <c r="D234" s="76">
        <v>0</v>
      </c>
      <c r="E234" s="76">
        <v>0</v>
      </c>
      <c r="F234" s="76">
        <v>6</v>
      </c>
      <c r="G234" s="76">
        <v>3</v>
      </c>
      <c r="H234" s="76">
        <v>0</v>
      </c>
      <c r="I234" s="76">
        <v>0</v>
      </c>
      <c r="J234" s="76">
        <v>0</v>
      </c>
      <c r="K234" s="76">
        <v>0</v>
      </c>
      <c r="L234" s="76">
        <v>0</v>
      </c>
      <c r="M234" s="76">
        <v>3</v>
      </c>
      <c r="N234" s="76">
        <v>2</v>
      </c>
      <c r="O234" s="76">
        <v>2</v>
      </c>
      <c r="P234" s="76">
        <v>2</v>
      </c>
      <c r="Q234" s="76">
        <v>0</v>
      </c>
      <c r="R234" s="76">
        <v>3</v>
      </c>
      <c r="S234" s="76">
        <v>0</v>
      </c>
      <c r="T234" s="76">
        <v>0</v>
      </c>
      <c r="U234" s="76">
        <v>15</v>
      </c>
      <c r="V234" s="76">
        <v>3</v>
      </c>
      <c r="W234" s="76">
        <v>0.2</v>
      </c>
      <c r="X234" s="76">
        <v>1.67</v>
      </c>
      <c r="Y234" s="76"/>
      <c r="Z234" t="s">
        <v>1458</v>
      </c>
      <c r="AA234" s="76" t="s">
        <v>166</v>
      </c>
      <c r="AB234" s="76">
        <v>1</v>
      </c>
      <c r="AC234" s="76">
        <v>0</v>
      </c>
      <c r="AD234" s="76">
        <v>3</v>
      </c>
      <c r="AE234" s="76">
        <v>0</v>
      </c>
      <c r="AF234" s="76">
        <v>0</v>
      </c>
      <c r="AG234" s="76">
        <v>5</v>
      </c>
      <c r="AH234" s="76">
        <v>4</v>
      </c>
      <c r="AI234" s="76">
        <v>2</v>
      </c>
      <c r="AJ234" s="76">
        <v>0</v>
      </c>
      <c r="AK234" s="76">
        <v>0</v>
      </c>
      <c r="AL234" s="76">
        <v>0</v>
      </c>
      <c r="AM234" s="76">
        <v>0</v>
      </c>
      <c r="AN234" s="76">
        <v>54</v>
      </c>
      <c r="AO234" s="202" t="s">
        <v>166</v>
      </c>
      <c r="AP234" s="202">
        <v>0.5</v>
      </c>
      <c r="AQ234" s="202">
        <v>1.29</v>
      </c>
      <c r="AR234" s="202">
        <v>0.435</v>
      </c>
      <c r="AS234" s="202">
        <v>0.42499999999999999</v>
      </c>
      <c r="AT234" s="202">
        <v>0.86</v>
      </c>
      <c r="AU234" s="202">
        <v>9</v>
      </c>
      <c r="AV234" s="202">
        <v>4.5</v>
      </c>
      <c r="AW234" s="202">
        <v>12.6</v>
      </c>
      <c r="AX234" s="202">
        <v>2</v>
      </c>
      <c r="AY234" s="202">
        <v>18.7</v>
      </c>
    </row>
    <row r="235" spans="1:51" ht="12.75" customHeight="1" x14ac:dyDescent="0.2">
      <c r="A235" s="76">
        <v>8</v>
      </c>
      <c r="B235" s="41" t="s">
        <v>1382</v>
      </c>
      <c r="C235" s="76" t="s">
        <v>166</v>
      </c>
      <c r="D235" s="76">
        <v>0</v>
      </c>
      <c r="E235" s="76">
        <v>1</v>
      </c>
      <c r="F235" s="76">
        <v>3.22</v>
      </c>
      <c r="G235" s="76">
        <v>43</v>
      </c>
      <c r="H235" s="76">
        <v>0</v>
      </c>
      <c r="I235" s="76">
        <v>0</v>
      </c>
      <c r="J235" s="76">
        <v>0</v>
      </c>
      <c r="K235" s="76">
        <v>0</v>
      </c>
      <c r="L235" s="76">
        <v>0</v>
      </c>
      <c r="M235" s="76">
        <v>58.2</v>
      </c>
      <c r="N235" s="76">
        <v>60</v>
      </c>
      <c r="O235" s="76">
        <v>24</v>
      </c>
      <c r="P235" s="76">
        <v>21</v>
      </c>
      <c r="Q235" s="76">
        <v>3</v>
      </c>
      <c r="R235" s="76">
        <v>21</v>
      </c>
      <c r="S235" s="76">
        <v>3</v>
      </c>
      <c r="T235" s="76">
        <v>47</v>
      </c>
      <c r="U235" s="76">
        <v>256</v>
      </c>
      <c r="V235" s="76">
        <v>58.2</v>
      </c>
      <c r="W235" s="76">
        <v>0.26500000000000001</v>
      </c>
      <c r="X235" s="76">
        <v>1.38</v>
      </c>
      <c r="Y235" s="76"/>
      <c r="Z235" t="s">
        <v>1382</v>
      </c>
      <c r="AA235" s="76" t="s">
        <v>166</v>
      </c>
      <c r="AB235" s="76">
        <v>6</v>
      </c>
      <c r="AC235" s="76">
        <v>3</v>
      </c>
      <c r="AD235" s="76">
        <v>10</v>
      </c>
      <c r="AE235" s="76">
        <v>5</v>
      </c>
      <c r="AF235" s="76">
        <v>7</v>
      </c>
      <c r="AG235" s="76">
        <v>78</v>
      </c>
      <c r="AH235" s="76">
        <v>44</v>
      </c>
      <c r="AI235" s="76">
        <v>4</v>
      </c>
      <c r="AJ235" s="76">
        <v>0</v>
      </c>
      <c r="AK235" s="76">
        <v>4</v>
      </c>
      <c r="AL235" s="76">
        <v>2</v>
      </c>
      <c r="AM235" s="76">
        <v>0</v>
      </c>
      <c r="AN235" s="76">
        <v>910</v>
      </c>
      <c r="AO235" s="202" t="s">
        <v>166</v>
      </c>
      <c r="AP235" s="202">
        <v>0.6</v>
      </c>
      <c r="AQ235" s="202">
        <v>2.2200000000000002</v>
      </c>
      <c r="AR235" s="202">
        <v>0.29699999999999999</v>
      </c>
      <c r="AS235" s="202">
        <v>0.317</v>
      </c>
      <c r="AT235" s="202">
        <v>0.61399999999999999</v>
      </c>
      <c r="AU235" s="202">
        <v>6.35</v>
      </c>
      <c r="AV235" s="202">
        <v>3.97</v>
      </c>
      <c r="AW235" s="202">
        <v>6.88</v>
      </c>
      <c r="AX235" s="202">
        <v>1.6</v>
      </c>
      <c r="AY235" s="202">
        <v>15.85</v>
      </c>
    </row>
    <row r="236" spans="1:51" ht="12.75" customHeight="1" x14ac:dyDescent="0.2">
      <c r="A236" s="76">
        <v>16</v>
      </c>
      <c r="B236" s="41" t="s">
        <v>399</v>
      </c>
      <c r="C236" s="76" t="s">
        <v>166</v>
      </c>
      <c r="D236" s="76">
        <v>8</v>
      </c>
      <c r="E236" s="76">
        <v>16</v>
      </c>
      <c r="F236" s="76">
        <v>4.62</v>
      </c>
      <c r="G236" s="76">
        <v>32</v>
      </c>
      <c r="H236" s="76">
        <v>32</v>
      </c>
      <c r="I236" s="76">
        <v>0</v>
      </c>
      <c r="J236" s="76">
        <v>0</v>
      </c>
      <c r="K236" s="76">
        <v>0</v>
      </c>
      <c r="L236" s="76">
        <v>0</v>
      </c>
      <c r="M236" s="76">
        <v>179.1</v>
      </c>
      <c r="N236" s="76">
        <v>186</v>
      </c>
      <c r="O236" s="76">
        <v>108</v>
      </c>
      <c r="P236" s="76">
        <v>92</v>
      </c>
      <c r="Q236" s="76">
        <v>25</v>
      </c>
      <c r="R236" s="76">
        <v>86</v>
      </c>
      <c r="S236" s="76">
        <v>2</v>
      </c>
      <c r="T236" s="76">
        <v>140</v>
      </c>
      <c r="U236" s="76">
        <v>807</v>
      </c>
      <c r="V236" s="76">
        <v>179.1</v>
      </c>
      <c r="W236" s="76">
        <v>0.26800000000000002</v>
      </c>
      <c r="X236" s="76">
        <v>1.52</v>
      </c>
      <c r="Y236" s="76"/>
      <c r="Z236" t="s">
        <v>399</v>
      </c>
      <c r="AA236" s="76" t="s">
        <v>166</v>
      </c>
      <c r="AB236" s="76">
        <v>17</v>
      </c>
      <c r="AC236" s="76">
        <v>2</v>
      </c>
      <c r="AD236" s="76">
        <v>0</v>
      </c>
      <c r="AE236" s="76">
        <v>0</v>
      </c>
      <c r="AF236" s="76">
        <v>18</v>
      </c>
      <c r="AG236" s="76">
        <v>211</v>
      </c>
      <c r="AH236" s="76">
        <v>167</v>
      </c>
      <c r="AI236" s="76">
        <v>8</v>
      </c>
      <c r="AJ236" s="76">
        <v>0</v>
      </c>
      <c r="AK236" s="76">
        <v>30</v>
      </c>
      <c r="AL236" s="76">
        <v>7</v>
      </c>
      <c r="AM236" s="76">
        <v>4</v>
      </c>
      <c r="AN236" s="76">
        <v>2984</v>
      </c>
      <c r="AO236" s="202" t="s">
        <v>166</v>
      </c>
      <c r="AP236" s="202">
        <v>0.52900000000000003</v>
      </c>
      <c r="AQ236" s="202">
        <v>1.26</v>
      </c>
      <c r="AR236" s="202">
        <v>0.32300000000000001</v>
      </c>
      <c r="AS236" s="202">
        <v>0.38</v>
      </c>
      <c r="AT236" s="202">
        <v>0.70299999999999996</v>
      </c>
      <c r="AU236" s="202">
        <v>8.07</v>
      </c>
      <c r="AV236" s="202">
        <v>3.54</v>
      </c>
      <c r="AW236" s="202">
        <v>7.99</v>
      </c>
      <c r="AX236" s="202">
        <v>2.2799999999999998</v>
      </c>
      <c r="AY236" s="202">
        <v>17.14</v>
      </c>
    </row>
    <row r="237" spans="1:51" ht="12.75" customHeight="1" x14ac:dyDescent="0.2">
      <c r="A237" s="76">
        <v>27</v>
      </c>
      <c r="B237" t="s">
        <v>1131</v>
      </c>
      <c r="C237" s="76" t="s">
        <v>166</v>
      </c>
      <c r="D237" s="76">
        <v>0</v>
      </c>
      <c r="E237" s="76">
        <v>0</v>
      </c>
      <c r="F237" s="76">
        <v>27</v>
      </c>
      <c r="G237" s="76">
        <v>1</v>
      </c>
      <c r="H237" s="76">
        <v>0</v>
      </c>
      <c r="I237" s="76">
        <v>0</v>
      </c>
      <c r="J237" s="76">
        <v>0</v>
      </c>
      <c r="K237" s="76">
        <v>0</v>
      </c>
      <c r="L237" s="76">
        <v>0</v>
      </c>
      <c r="M237" s="76">
        <v>1.2</v>
      </c>
      <c r="N237" s="76">
        <v>5</v>
      </c>
      <c r="O237" s="76">
        <v>5</v>
      </c>
      <c r="P237" s="76">
        <v>5</v>
      </c>
      <c r="Q237" s="76">
        <v>3</v>
      </c>
      <c r="R237" s="76">
        <v>2</v>
      </c>
      <c r="S237" s="76">
        <v>0</v>
      </c>
      <c r="T237" s="76">
        <v>0</v>
      </c>
      <c r="U237" s="76">
        <v>11</v>
      </c>
      <c r="V237" s="76">
        <v>1.2</v>
      </c>
      <c r="W237" s="76">
        <v>0.55600000000000005</v>
      </c>
      <c r="X237" s="76">
        <v>4.2</v>
      </c>
      <c r="Y237" s="76"/>
      <c r="Z237" t="s">
        <v>1131</v>
      </c>
      <c r="AA237" s="76" t="s">
        <v>166</v>
      </c>
      <c r="AB237" s="76">
        <v>0</v>
      </c>
      <c r="AC237" s="76">
        <v>0</v>
      </c>
      <c r="AD237" s="76">
        <v>0</v>
      </c>
      <c r="AE237" s="76">
        <v>0</v>
      </c>
      <c r="AF237" s="76">
        <v>1</v>
      </c>
      <c r="AG237" s="76">
        <v>2</v>
      </c>
      <c r="AH237" s="76">
        <v>2</v>
      </c>
      <c r="AI237" s="76">
        <v>0</v>
      </c>
      <c r="AJ237" s="76">
        <v>0</v>
      </c>
      <c r="AK237" s="76">
        <v>0</v>
      </c>
      <c r="AL237" s="76">
        <v>0</v>
      </c>
      <c r="AM237" s="76">
        <v>0</v>
      </c>
      <c r="AN237" s="76">
        <v>43</v>
      </c>
      <c r="AO237" s="202" t="s">
        <v>166</v>
      </c>
      <c r="AP237" s="202">
        <v>0</v>
      </c>
      <c r="AQ237" s="202">
        <v>1.2</v>
      </c>
      <c r="AR237" s="202">
        <v>0.44600000000000001</v>
      </c>
      <c r="AS237" s="202">
        <v>0.59599999999999997</v>
      </c>
      <c r="AT237" s="202">
        <v>1.0429999999999999</v>
      </c>
      <c r="AU237" s="202">
        <v>3.29</v>
      </c>
      <c r="AV237" s="202">
        <v>4.6100000000000003</v>
      </c>
      <c r="AW237" s="202">
        <v>14.49</v>
      </c>
      <c r="AX237" s="202">
        <v>0.71</v>
      </c>
      <c r="AY237" s="202">
        <v>18.07</v>
      </c>
    </row>
    <row r="238" spans="1:51" ht="12.75" customHeight="1" x14ac:dyDescent="0.2">
      <c r="A238" s="76">
        <v>18</v>
      </c>
      <c r="B238" s="41" t="s">
        <v>407</v>
      </c>
      <c r="C238" s="76" t="s">
        <v>166</v>
      </c>
      <c r="D238" s="76">
        <v>7</v>
      </c>
      <c r="E238" s="76">
        <v>11</v>
      </c>
      <c r="F238" s="76">
        <v>4.8600000000000003</v>
      </c>
      <c r="G238" s="76">
        <v>23</v>
      </c>
      <c r="H238" s="76">
        <v>23</v>
      </c>
      <c r="I238" s="76">
        <v>0</v>
      </c>
      <c r="J238" s="76">
        <v>0</v>
      </c>
      <c r="K238" s="76">
        <v>0</v>
      </c>
      <c r="L238" s="76">
        <v>0</v>
      </c>
      <c r="M238" s="76">
        <v>127.2</v>
      </c>
      <c r="N238" s="76">
        <v>152</v>
      </c>
      <c r="O238" s="76">
        <v>73</v>
      </c>
      <c r="P238" s="76">
        <v>69</v>
      </c>
      <c r="Q238" s="76">
        <v>19</v>
      </c>
      <c r="R238" s="76">
        <v>43</v>
      </c>
      <c r="S238" s="76">
        <v>1</v>
      </c>
      <c r="T238" s="76">
        <v>93</v>
      </c>
      <c r="U238" s="76">
        <v>554</v>
      </c>
      <c r="V238" s="76">
        <v>127.2</v>
      </c>
      <c r="W238" s="76">
        <v>0.30499999999999999</v>
      </c>
      <c r="X238" s="76">
        <v>1.53</v>
      </c>
      <c r="Y238" s="76"/>
      <c r="Z238" t="s">
        <v>407</v>
      </c>
      <c r="AA238" s="76" t="s">
        <v>166</v>
      </c>
      <c r="AB238" s="76">
        <v>3</v>
      </c>
      <c r="AC238" s="76">
        <v>1</v>
      </c>
      <c r="AD238" s="76">
        <v>0</v>
      </c>
      <c r="AE238" s="76">
        <v>0</v>
      </c>
      <c r="AF238" s="76">
        <v>12</v>
      </c>
      <c r="AG238" s="76">
        <v>166</v>
      </c>
      <c r="AH238" s="76">
        <v>97</v>
      </c>
      <c r="AI238" s="76">
        <v>0</v>
      </c>
      <c r="AJ238" s="76">
        <v>0</v>
      </c>
      <c r="AK238" s="76">
        <v>11</v>
      </c>
      <c r="AL238" s="76">
        <v>10</v>
      </c>
      <c r="AM238" s="76">
        <v>1</v>
      </c>
      <c r="AN238" s="76">
        <v>2132</v>
      </c>
      <c r="AO238" s="202" t="s">
        <v>166</v>
      </c>
      <c r="AP238" s="202" t="s">
        <v>243</v>
      </c>
      <c r="AQ238" s="202">
        <v>1.38</v>
      </c>
      <c r="AR238" s="202">
        <v>0.30099999999999999</v>
      </c>
      <c r="AS238" s="202">
        <v>0.442</v>
      </c>
      <c r="AT238" s="202">
        <v>0.74399999999999999</v>
      </c>
      <c r="AU238" s="202">
        <v>10.37</v>
      </c>
      <c r="AV238" s="202">
        <v>3.04</v>
      </c>
      <c r="AW238" s="202">
        <v>7.87</v>
      </c>
      <c r="AX238" s="202">
        <v>3.41</v>
      </c>
      <c r="AY238" s="202">
        <v>16.510000000000002</v>
      </c>
    </row>
    <row r="239" spans="1:51" ht="12.75" customHeight="1" x14ac:dyDescent="0.2">
      <c r="A239" s="76">
        <v>23</v>
      </c>
      <c r="B239" t="s">
        <v>752</v>
      </c>
      <c r="C239" s="76" t="s">
        <v>166</v>
      </c>
      <c r="D239" s="76">
        <v>0</v>
      </c>
      <c r="E239" s="76">
        <v>0</v>
      </c>
      <c r="F239" s="76">
        <v>10.8</v>
      </c>
      <c r="G239" s="76">
        <v>2</v>
      </c>
      <c r="H239" s="76">
        <v>0</v>
      </c>
      <c r="I239" s="76">
        <v>0</v>
      </c>
      <c r="J239" s="76">
        <v>0</v>
      </c>
      <c r="K239" s="76">
        <v>0</v>
      </c>
      <c r="L239" s="76">
        <v>0</v>
      </c>
      <c r="M239" s="76">
        <v>1.2</v>
      </c>
      <c r="N239" s="76">
        <v>2</v>
      </c>
      <c r="O239" s="76">
        <v>2</v>
      </c>
      <c r="P239" s="76">
        <v>2</v>
      </c>
      <c r="Q239" s="76">
        <v>2</v>
      </c>
      <c r="R239" s="76">
        <v>0</v>
      </c>
      <c r="S239" s="76">
        <v>0</v>
      </c>
      <c r="T239" s="76">
        <v>3</v>
      </c>
      <c r="U239" s="76">
        <v>7</v>
      </c>
      <c r="V239" s="76">
        <v>1.2</v>
      </c>
      <c r="W239" s="76">
        <v>0.28599999999999998</v>
      </c>
      <c r="X239" s="76">
        <v>1.2</v>
      </c>
      <c r="Y239" s="76"/>
      <c r="Z239" t="s">
        <v>752</v>
      </c>
      <c r="AA239" s="76" t="s">
        <v>166</v>
      </c>
      <c r="AB239" s="76">
        <v>0</v>
      </c>
      <c r="AC239" s="76">
        <v>0</v>
      </c>
      <c r="AD239" s="76">
        <v>0</v>
      </c>
      <c r="AE239" s="76">
        <v>0</v>
      </c>
      <c r="AF239" s="76">
        <v>0</v>
      </c>
      <c r="AG239" s="76">
        <v>1</v>
      </c>
      <c r="AH239" s="76">
        <v>1</v>
      </c>
      <c r="AI239" s="76">
        <v>0</v>
      </c>
      <c r="AJ239" s="76">
        <v>0</v>
      </c>
      <c r="AK239" s="76">
        <v>0</v>
      </c>
      <c r="AL239" s="76">
        <v>0</v>
      </c>
      <c r="AM239" s="76">
        <v>0</v>
      </c>
      <c r="AN239" s="76">
        <v>25</v>
      </c>
      <c r="AO239" s="202" t="s">
        <v>166</v>
      </c>
      <c r="AP239" s="202">
        <v>0.33300000000000002</v>
      </c>
      <c r="AQ239" s="202">
        <v>1.66</v>
      </c>
      <c r="AR239" s="202">
        <v>0.36099999999999999</v>
      </c>
      <c r="AS239" s="202">
        <v>0.48399999999999999</v>
      </c>
      <c r="AT239" s="202">
        <v>0.84399999999999997</v>
      </c>
      <c r="AU239" s="202">
        <v>4.97</v>
      </c>
      <c r="AV239" s="202">
        <v>3.06</v>
      </c>
      <c r="AW239" s="202">
        <v>10.77</v>
      </c>
      <c r="AX239" s="202">
        <v>1.62</v>
      </c>
      <c r="AY239" s="202">
        <v>16.14</v>
      </c>
    </row>
    <row r="240" spans="1:51" ht="12.75" customHeight="1" x14ac:dyDescent="0.2">
      <c r="A240" s="76">
        <v>26</v>
      </c>
      <c r="B240" t="s">
        <v>1460</v>
      </c>
      <c r="C240" s="76" t="s">
        <v>166</v>
      </c>
      <c r="D240" s="76">
        <v>0</v>
      </c>
      <c r="E240" s="76">
        <v>0</v>
      </c>
      <c r="F240" s="76">
        <v>15</v>
      </c>
      <c r="G240" s="76">
        <v>4</v>
      </c>
      <c r="H240" s="76">
        <v>0</v>
      </c>
      <c r="I240" s="76">
        <v>0</v>
      </c>
      <c r="J240" s="76">
        <v>0</v>
      </c>
      <c r="K240" s="76">
        <v>0</v>
      </c>
      <c r="L240" s="76">
        <v>0</v>
      </c>
      <c r="M240" s="76">
        <v>3</v>
      </c>
      <c r="N240" s="76">
        <v>10</v>
      </c>
      <c r="O240" s="76">
        <v>6</v>
      </c>
      <c r="P240" s="76">
        <v>5</v>
      </c>
      <c r="Q240" s="76">
        <v>0</v>
      </c>
      <c r="R240" s="76">
        <v>0</v>
      </c>
      <c r="S240" s="76">
        <v>0</v>
      </c>
      <c r="T240" s="76">
        <v>2</v>
      </c>
      <c r="U240" s="76">
        <v>19</v>
      </c>
      <c r="V240" s="76">
        <v>3</v>
      </c>
      <c r="W240" s="76">
        <v>0.52600000000000002</v>
      </c>
      <c r="X240" s="76">
        <v>3.33</v>
      </c>
      <c r="Y240" s="76"/>
      <c r="Z240" t="s">
        <v>1460</v>
      </c>
      <c r="AA240" s="76" t="s">
        <v>166</v>
      </c>
      <c r="AB240" s="76">
        <v>0</v>
      </c>
      <c r="AC240" s="76">
        <v>0</v>
      </c>
      <c r="AD240" s="76">
        <v>1</v>
      </c>
      <c r="AE240" s="76">
        <v>0</v>
      </c>
      <c r="AF240" s="76">
        <v>1</v>
      </c>
      <c r="AG240" s="76">
        <v>3</v>
      </c>
      <c r="AH240" s="76">
        <v>4</v>
      </c>
      <c r="AI240" s="76">
        <v>0</v>
      </c>
      <c r="AJ240" s="76">
        <v>0</v>
      </c>
      <c r="AK240" s="76">
        <v>0</v>
      </c>
      <c r="AL240" s="76">
        <v>0</v>
      </c>
      <c r="AM240" s="76">
        <v>0</v>
      </c>
      <c r="AN240" s="76">
        <v>60</v>
      </c>
      <c r="AO240" s="202" t="s">
        <v>166</v>
      </c>
      <c r="AP240" s="202">
        <v>0</v>
      </c>
      <c r="AQ240" s="202">
        <v>0.69</v>
      </c>
      <c r="AR240" s="202">
        <v>0.30499999999999999</v>
      </c>
      <c r="AS240" s="202">
        <v>0.41799999999999998</v>
      </c>
      <c r="AT240" s="202">
        <v>0.72299999999999998</v>
      </c>
      <c r="AU240" s="202">
        <v>8.91</v>
      </c>
      <c r="AV240" s="202">
        <v>3.15</v>
      </c>
      <c r="AW240" s="202">
        <v>8.1300000000000008</v>
      </c>
      <c r="AX240" s="202">
        <v>2.83</v>
      </c>
      <c r="AY240" s="202">
        <v>18.79</v>
      </c>
    </row>
    <row r="241" spans="1:51" ht="12.75" customHeight="1" x14ac:dyDescent="0.2">
      <c r="A241" s="76">
        <v>3</v>
      </c>
      <c r="B241" s="41" t="s">
        <v>369</v>
      </c>
      <c r="C241" s="76" t="s">
        <v>166</v>
      </c>
      <c r="D241" s="76">
        <v>0</v>
      </c>
      <c r="E241" s="76">
        <v>0</v>
      </c>
      <c r="F241" s="76">
        <v>2.4500000000000002</v>
      </c>
      <c r="G241" s="76">
        <v>16</v>
      </c>
      <c r="H241" s="76">
        <v>0</v>
      </c>
      <c r="I241" s="76">
        <v>0</v>
      </c>
      <c r="J241" s="76">
        <v>0</v>
      </c>
      <c r="K241" s="76">
        <v>0</v>
      </c>
      <c r="L241" s="76">
        <v>0</v>
      </c>
      <c r="M241" s="76">
        <v>18.100000000000001</v>
      </c>
      <c r="N241" s="76">
        <v>16</v>
      </c>
      <c r="O241" s="76">
        <v>5</v>
      </c>
      <c r="P241" s="76">
        <v>5</v>
      </c>
      <c r="Q241" s="76">
        <v>1</v>
      </c>
      <c r="R241" s="76">
        <v>3</v>
      </c>
      <c r="S241" s="76">
        <v>0</v>
      </c>
      <c r="T241" s="76">
        <v>14</v>
      </c>
      <c r="U241" s="76">
        <v>76</v>
      </c>
      <c r="V241" s="76">
        <v>18.100000000000001</v>
      </c>
      <c r="W241" s="76">
        <v>0.22500000000000001</v>
      </c>
      <c r="X241" s="76">
        <v>1.04</v>
      </c>
      <c r="Y241" s="76"/>
      <c r="Z241" t="s">
        <v>369</v>
      </c>
      <c r="AA241" s="76" t="s">
        <v>166</v>
      </c>
      <c r="AB241" s="76">
        <v>2</v>
      </c>
      <c r="AC241" s="76">
        <v>0</v>
      </c>
      <c r="AD241" s="76">
        <v>7</v>
      </c>
      <c r="AE241" s="76">
        <v>1</v>
      </c>
      <c r="AF241" s="76">
        <v>1</v>
      </c>
      <c r="AG241" s="76">
        <v>31</v>
      </c>
      <c r="AH241" s="76">
        <v>10</v>
      </c>
      <c r="AI241" s="76">
        <v>0</v>
      </c>
      <c r="AJ241" s="76">
        <v>0</v>
      </c>
      <c r="AK241" s="76">
        <v>0</v>
      </c>
      <c r="AL241" s="76">
        <v>0</v>
      </c>
      <c r="AM241" s="76">
        <v>0</v>
      </c>
      <c r="AN241" s="76">
        <v>270</v>
      </c>
      <c r="AO241" s="202" t="s">
        <v>166</v>
      </c>
      <c r="AP241" s="202" t="s">
        <v>243</v>
      </c>
      <c r="AQ241" s="202">
        <v>1</v>
      </c>
      <c r="AR241" s="202">
        <v>0.13600000000000001</v>
      </c>
      <c r="AS241" s="202">
        <v>0.182</v>
      </c>
      <c r="AT241" s="202">
        <v>0.318</v>
      </c>
      <c r="AU241" s="202">
        <v>9.4499999999999993</v>
      </c>
      <c r="AV241" s="202">
        <v>0</v>
      </c>
      <c r="AW241" s="202">
        <v>4.05</v>
      </c>
      <c r="AX241" s="202" t="s">
        <v>243</v>
      </c>
      <c r="AY241" s="202">
        <v>15.15</v>
      </c>
    </row>
    <row r="242" spans="1:51" ht="12.75" customHeight="1" x14ac:dyDescent="0.2">
      <c r="A242" s="76">
        <v>10</v>
      </c>
      <c r="B242" t="s">
        <v>557</v>
      </c>
      <c r="C242" s="76" t="s">
        <v>166</v>
      </c>
      <c r="D242" s="76">
        <v>1</v>
      </c>
      <c r="E242" s="76">
        <v>3</v>
      </c>
      <c r="F242" s="76">
        <v>3.68</v>
      </c>
      <c r="G242" s="76">
        <v>27</v>
      </c>
      <c r="H242" s="76">
        <v>0</v>
      </c>
      <c r="I242" s="76">
        <v>0</v>
      </c>
      <c r="J242" s="76">
        <v>0</v>
      </c>
      <c r="K242" s="76">
        <v>0</v>
      </c>
      <c r="L242" s="76">
        <v>4</v>
      </c>
      <c r="M242" s="76">
        <v>22</v>
      </c>
      <c r="N242" s="76">
        <v>18</v>
      </c>
      <c r="O242" s="76">
        <v>13</v>
      </c>
      <c r="P242" s="76">
        <v>9</v>
      </c>
      <c r="Q242" s="76">
        <v>3</v>
      </c>
      <c r="R242" s="76">
        <v>9</v>
      </c>
      <c r="S242" s="76">
        <v>1</v>
      </c>
      <c r="T242" s="76">
        <v>22</v>
      </c>
      <c r="U242" s="76">
        <v>92</v>
      </c>
      <c r="V242" s="76">
        <v>22</v>
      </c>
      <c r="W242" s="76">
        <v>0.22500000000000001</v>
      </c>
      <c r="X242" s="76">
        <v>1.23</v>
      </c>
      <c r="Y242" s="76"/>
      <c r="Z242" t="s">
        <v>557</v>
      </c>
      <c r="AA242" s="76" t="s">
        <v>166</v>
      </c>
      <c r="AB242" s="76">
        <v>1</v>
      </c>
      <c r="AC242" s="76">
        <v>1</v>
      </c>
      <c r="AD242" s="76">
        <v>3</v>
      </c>
      <c r="AE242" s="76">
        <v>12</v>
      </c>
      <c r="AF242" s="76">
        <v>2</v>
      </c>
      <c r="AG242" s="76">
        <v>18</v>
      </c>
      <c r="AH242" s="76">
        <v>24</v>
      </c>
      <c r="AI242" s="76">
        <v>3</v>
      </c>
      <c r="AJ242" s="76">
        <v>0</v>
      </c>
      <c r="AK242" s="76">
        <v>1</v>
      </c>
      <c r="AL242" s="76">
        <v>0</v>
      </c>
      <c r="AM242" s="76">
        <v>0</v>
      </c>
      <c r="AN242" s="76">
        <v>345</v>
      </c>
      <c r="AO242" s="202" t="s">
        <v>166</v>
      </c>
      <c r="AP242" s="202">
        <v>0.3</v>
      </c>
      <c r="AQ242" s="202">
        <v>1.1499999999999999</v>
      </c>
      <c r="AR242" s="202">
        <v>0.35699999999999998</v>
      </c>
      <c r="AS242" s="202">
        <v>0.47499999999999998</v>
      </c>
      <c r="AT242" s="202">
        <v>0.83199999999999996</v>
      </c>
      <c r="AU242" s="202">
        <v>6.3</v>
      </c>
      <c r="AV242" s="202">
        <v>3.45</v>
      </c>
      <c r="AW242" s="202">
        <v>10.65</v>
      </c>
      <c r="AX242" s="202">
        <v>1.82</v>
      </c>
      <c r="AY242" s="202">
        <v>16.100000000000001</v>
      </c>
    </row>
    <row r="243" spans="1:51" ht="12.75" customHeight="1" x14ac:dyDescent="0.2">
      <c r="A243" s="76">
        <v>9</v>
      </c>
      <c r="B243" t="s">
        <v>1457</v>
      </c>
      <c r="C243" s="76" t="s">
        <v>166</v>
      </c>
      <c r="D243" s="76">
        <v>2</v>
      </c>
      <c r="E243" s="76">
        <v>2</v>
      </c>
      <c r="F243" s="76">
        <v>3.32</v>
      </c>
      <c r="G243" s="76">
        <v>14</v>
      </c>
      <c r="H243" s="76">
        <v>2</v>
      </c>
      <c r="I243" s="76">
        <v>0</v>
      </c>
      <c r="J243" s="76">
        <v>0</v>
      </c>
      <c r="K243" s="76">
        <v>0</v>
      </c>
      <c r="L243" s="76">
        <v>0</v>
      </c>
      <c r="M243" s="76">
        <v>21.2</v>
      </c>
      <c r="N243" s="76">
        <v>25</v>
      </c>
      <c r="O243" s="76">
        <v>8</v>
      </c>
      <c r="P243" s="76">
        <v>8</v>
      </c>
      <c r="Q243" s="76">
        <v>3</v>
      </c>
      <c r="R243" s="76">
        <v>5</v>
      </c>
      <c r="S243" s="76">
        <v>0</v>
      </c>
      <c r="T243" s="76">
        <v>15</v>
      </c>
      <c r="U243" s="76">
        <v>91</v>
      </c>
      <c r="V243" s="76">
        <v>21.2</v>
      </c>
      <c r="W243" s="76">
        <v>0.29799999999999999</v>
      </c>
      <c r="X243" s="76">
        <v>1.38</v>
      </c>
      <c r="Y243" s="76"/>
      <c r="Z243" t="s">
        <v>1457</v>
      </c>
      <c r="AA243" s="76" t="s">
        <v>166</v>
      </c>
      <c r="AB243" s="76">
        <v>1</v>
      </c>
      <c r="AC243" s="76">
        <v>0</v>
      </c>
      <c r="AD243" s="76">
        <v>4</v>
      </c>
      <c r="AE243" s="76">
        <v>2</v>
      </c>
      <c r="AF243" s="76">
        <v>0</v>
      </c>
      <c r="AG243" s="76">
        <v>19</v>
      </c>
      <c r="AH243" s="76">
        <v>26</v>
      </c>
      <c r="AI243" s="76">
        <v>1</v>
      </c>
      <c r="AJ243" s="76">
        <v>0</v>
      </c>
      <c r="AK243" s="76">
        <v>0</v>
      </c>
      <c r="AL243" s="76">
        <v>1</v>
      </c>
      <c r="AM243" s="76">
        <v>3</v>
      </c>
      <c r="AN243" s="76">
        <v>347</v>
      </c>
      <c r="AO243" s="202" t="s">
        <v>166</v>
      </c>
      <c r="AP243" s="202">
        <v>0.35699999999999998</v>
      </c>
      <c r="AQ243" s="202">
        <v>0.76</v>
      </c>
      <c r="AR243" s="202">
        <v>0.32600000000000001</v>
      </c>
      <c r="AS243" s="202">
        <v>0.42299999999999999</v>
      </c>
      <c r="AT243" s="202">
        <v>0.749</v>
      </c>
      <c r="AU243" s="202">
        <v>9.23</v>
      </c>
      <c r="AV243" s="202">
        <v>3.28</v>
      </c>
      <c r="AW243" s="202">
        <v>8.92</v>
      </c>
      <c r="AX243" s="202">
        <v>2.81</v>
      </c>
      <c r="AY243" s="202">
        <v>17.04</v>
      </c>
    </row>
    <row r="244" spans="1:51" ht="12.75" customHeight="1" x14ac:dyDescent="0.2">
      <c r="A244" s="76">
        <v>1</v>
      </c>
      <c r="B244" s="41" t="s">
        <v>401</v>
      </c>
      <c r="C244" s="76" t="s">
        <v>166</v>
      </c>
      <c r="D244" s="76">
        <v>8</v>
      </c>
      <c r="E244" s="76">
        <v>5</v>
      </c>
      <c r="F244" s="76">
        <v>2.15</v>
      </c>
      <c r="G244" s="76">
        <v>67</v>
      </c>
      <c r="H244" s="76">
        <v>0</v>
      </c>
      <c r="I244" s="76">
        <v>0</v>
      </c>
      <c r="J244" s="76">
        <v>0</v>
      </c>
      <c r="K244" s="76">
        <v>13</v>
      </c>
      <c r="L244" s="76">
        <v>21</v>
      </c>
      <c r="M244" s="76">
        <v>67</v>
      </c>
      <c r="N244" s="76">
        <v>38</v>
      </c>
      <c r="O244" s="76">
        <v>19</v>
      </c>
      <c r="P244" s="76">
        <v>16</v>
      </c>
      <c r="Q244" s="76">
        <v>6</v>
      </c>
      <c r="R244" s="76">
        <v>25</v>
      </c>
      <c r="S244" s="76">
        <v>1</v>
      </c>
      <c r="T244" s="76">
        <v>90</v>
      </c>
      <c r="U244" s="76">
        <v>263</v>
      </c>
      <c r="V244" s="76">
        <v>67</v>
      </c>
      <c r="W244" s="76">
        <v>0.16200000000000001</v>
      </c>
      <c r="X244" s="76">
        <v>0.94</v>
      </c>
      <c r="Y244" s="76"/>
      <c r="Z244" t="s">
        <v>401</v>
      </c>
      <c r="AA244" s="76" t="s">
        <v>166</v>
      </c>
      <c r="AB244" s="76">
        <v>2</v>
      </c>
      <c r="AC244" s="76">
        <v>1</v>
      </c>
      <c r="AD244" s="76">
        <v>23</v>
      </c>
      <c r="AE244" s="76">
        <v>20</v>
      </c>
      <c r="AF244" s="76">
        <v>1</v>
      </c>
      <c r="AG244" s="76">
        <v>44</v>
      </c>
      <c r="AH244" s="76">
        <v>64</v>
      </c>
      <c r="AI244" s="76">
        <v>4</v>
      </c>
      <c r="AJ244" s="76">
        <v>0</v>
      </c>
      <c r="AK244" s="76">
        <v>1</v>
      </c>
      <c r="AL244" s="76">
        <v>1</v>
      </c>
      <c r="AM244" s="76">
        <v>0</v>
      </c>
      <c r="AN244" s="76">
        <v>1145</v>
      </c>
      <c r="AO244" s="202" t="s">
        <v>244</v>
      </c>
      <c r="AP244" s="202">
        <v>0.16700000000000001</v>
      </c>
      <c r="AQ244" s="202">
        <v>1.2</v>
      </c>
      <c r="AR244" s="202">
        <v>0.373</v>
      </c>
      <c r="AS244" s="202">
        <v>0.44500000000000001</v>
      </c>
      <c r="AT244" s="202">
        <v>0.81799999999999995</v>
      </c>
      <c r="AU244" s="202">
        <v>4.09</v>
      </c>
      <c r="AV244" s="202">
        <v>3.65</v>
      </c>
      <c r="AW244" s="202">
        <v>10.65</v>
      </c>
      <c r="AX244" s="202">
        <v>1.1200000000000001</v>
      </c>
      <c r="AY244" s="202">
        <v>16.170000000000002</v>
      </c>
    </row>
    <row r="245" spans="1:51" ht="12.75" customHeight="1" x14ac:dyDescent="0.2">
      <c r="A245" s="76">
        <v>5</v>
      </c>
      <c r="B245" s="41" t="s">
        <v>413</v>
      </c>
      <c r="C245" s="76" t="s">
        <v>166</v>
      </c>
      <c r="D245" s="76">
        <v>3</v>
      </c>
      <c r="E245" s="76">
        <v>3</v>
      </c>
      <c r="F245" s="76">
        <v>2.73</v>
      </c>
      <c r="G245" s="76">
        <v>72</v>
      </c>
      <c r="H245" s="76">
        <v>0</v>
      </c>
      <c r="I245" s="76">
        <v>0</v>
      </c>
      <c r="J245" s="76">
        <v>0</v>
      </c>
      <c r="K245" s="76">
        <v>2</v>
      </c>
      <c r="L245" s="76">
        <v>5</v>
      </c>
      <c r="M245" s="76">
        <v>82.1</v>
      </c>
      <c r="N245" s="76">
        <v>65</v>
      </c>
      <c r="O245" s="76">
        <v>26</v>
      </c>
      <c r="P245" s="76">
        <v>25</v>
      </c>
      <c r="Q245" s="76">
        <v>8</v>
      </c>
      <c r="R245" s="76">
        <v>30</v>
      </c>
      <c r="S245" s="76">
        <v>3</v>
      </c>
      <c r="T245" s="76">
        <v>78</v>
      </c>
      <c r="U245" s="76">
        <v>339</v>
      </c>
      <c r="V245" s="76">
        <v>82.1</v>
      </c>
      <c r="W245" s="76">
        <v>0.217</v>
      </c>
      <c r="X245" s="76">
        <v>1.1499999999999999</v>
      </c>
      <c r="Y245" s="76"/>
      <c r="Z245" t="s">
        <v>413</v>
      </c>
      <c r="AA245" s="76" t="s">
        <v>166</v>
      </c>
      <c r="AB245" s="76">
        <v>4</v>
      </c>
      <c r="AC245" s="76">
        <v>3</v>
      </c>
      <c r="AD245" s="76">
        <v>12</v>
      </c>
      <c r="AE245" s="76">
        <v>20</v>
      </c>
      <c r="AF245" s="76">
        <v>6</v>
      </c>
      <c r="AG245" s="76">
        <v>87</v>
      </c>
      <c r="AH245" s="76">
        <v>75</v>
      </c>
      <c r="AI245" s="76">
        <v>1</v>
      </c>
      <c r="AJ245" s="76">
        <v>1</v>
      </c>
      <c r="AK245" s="76">
        <v>5</v>
      </c>
      <c r="AL245" s="76">
        <v>2</v>
      </c>
      <c r="AM245" s="76">
        <v>1</v>
      </c>
      <c r="AN245" s="76">
        <v>1317</v>
      </c>
      <c r="AO245" s="202" t="s">
        <v>166</v>
      </c>
      <c r="AP245" s="202">
        <v>0.33300000000000002</v>
      </c>
      <c r="AQ245" s="202">
        <v>1.72</v>
      </c>
      <c r="AR245" s="202">
        <v>0.33100000000000002</v>
      </c>
      <c r="AS245" s="202">
        <v>0.46899999999999997</v>
      </c>
      <c r="AT245" s="202">
        <v>0.8</v>
      </c>
      <c r="AU245" s="202">
        <v>9.08</v>
      </c>
      <c r="AV245" s="202">
        <v>2.4500000000000002</v>
      </c>
      <c r="AW245" s="202">
        <v>10.06</v>
      </c>
      <c r="AX245" s="202">
        <v>3.7</v>
      </c>
      <c r="AY245" s="202">
        <v>16.36</v>
      </c>
    </row>
    <row r="246" spans="1:51" ht="12.75" customHeight="1" x14ac:dyDescent="0.2">
      <c r="A246" s="225" t="s">
        <v>105</v>
      </c>
      <c r="B246" s="225" t="s">
        <v>106</v>
      </c>
      <c r="C246" s="225" t="s">
        <v>157</v>
      </c>
      <c r="D246" s="225" t="s">
        <v>85</v>
      </c>
      <c r="E246" s="225" t="s">
        <v>86</v>
      </c>
      <c r="F246" s="225" t="s">
        <v>107</v>
      </c>
      <c r="G246" s="225" t="s">
        <v>108</v>
      </c>
      <c r="H246" s="225" t="s">
        <v>88</v>
      </c>
      <c r="I246" s="225" t="s">
        <v>89</v>
      </c>
      <c r="J246" s="225" t="s">
        <v>1073</v>
      </c>
      <c r="K246" s="225" t="s">
        <v>90</v>
      </c>
      <c r="L246" s="225" t="s">
        <v>158</v>
      </c>
      <c r="M246" s="225" t="s">
        <v>91</v>
      </c>
      <c r="N246" s="225" t="s">
        <v>92</v>
      </c>
      <c r="O246" s="225" t="s">
        <v>93</v>
      </c>
      <c r="P246" s="225" t="s">
        <v>94</v>
      </c>
      <c r="Q246" s="225" t="s">
        <v>95</v>
      </c>
      <c r="R246" s="225" t="s">
        <v>96</v>
      </c>
      <c r="S246" s="225" t="s">
        <v>98</v>
      </c>
      <c r="T246" s="225" t="s">
        <v>97</v>
      </c>
      <c r="U246" s="225" t="s">
        <v>109</v>
      </c>
      <c r="V246" s="225" t="s">
        <v>91</v>
      </c>
      <c r="W246" s="225" t="s">
        <v>1071</v>
      </c>
      <c r="X246" s="225" t="s">
        <v>1072</v>
      </c>
      <c r="Y246" s="225"/>
      <c r="Z246" s="225" t="s">
        <v>106</v>
      </c>
      <c r="AA246" s="225" t="s">
        <v>157</v>
      </c>
      <c r="AB246" s="225" t="s">
        <v>1074</v>
      </c>
      <c r="AC246" s="225" t="s">
        <v>98</v>
      </c>
      <c r="AD246" s="225" t="s">
        <v>1075</v>
      </c>
      <c r="AE246" s="225" t="s">
        <v>1076</v>
      </c>
      <c r="AF246" s="225" t="s">
        <v>1077</v>
      </c>
      <c r="AG246" s="225" t="s">
        <v>1066</v>
      </c>
      <c r="AH246" s="225" t="s">
        <v>1067</v>
      </c>
      <c r="AI246" s="225" t="s">
        <v>1078</v>
      </c>
      <c r="AJ246" s="225" t="s">
        <v>1079</v>
      </c>
      <c r="AK246" s="225" t="s">
        <v>1057</v>
      </c>
      <c r="AL246" s="225" t="s">
        <v>1058</v>
      </c>
      <c r="AM246" s="225" t="s">
        <v>1080</v>
      </c>
      <c r="AN246" s="225" t="s">
        <v>1069</v>
      </c>
      <c r="AO246" s="202" t="s">
        <v>166</v>
      </c>
      <c r="AP246" s="202" t="s">
        <v>243</v>
      </c>
      <c r="AQ246" s="202">
        <v>1.4</v>
      </c>
      <c r="AR246" s="202">
        <v>0.41399999999999998</v>
      </c>
      <c r="AS246" s="202">
        <v>0.54500000000000004</v>
      </c>
      <c r="AT246" s="202">
        <v>0.95899999999999996</v>
      </c>
      <c r="AU246" s="202">
        <v>9</v>
      </c>
      <c r="AV246" s="202">
        <v>9</v>
      </c>
      <c r="AW246" s="202">
        <v>7.5</v>
      </c>
      <c r="AX246" s="202">
        <v>1</v>
      </c>
      <c r="AY246" s="202">
        <v>21.83</v>
      </c>
    </row>
    <row r="247" spans="1:51" ht="12.75" customHeight="1" x14ac:dyDescent="0.2">
      <c r="A247" s="76">
        <v>15</v>
      </c>
      <c r="B247" t="s">
        <v>418</v>
      </c>
      <c r="C247" s="76" t="s">
        <v>167</v>
      </c>
      <c r="D247" s="76">
        <v>0</v>
      </c>
      <c r="E247" s="76">
        <v>0</v>
      </c>
      <c r="F247" s="76">
        <v>4.74</v>
      </c>
      <c r="G247" s="76">
        <v>41</v>
      </c>
      <c r="H247" s="76">
        <v>0</v>
      </c>
      <c r="I247" s="76">
        <v>0</v>
      </c>
      <c r="J247" s="76">
        <v>0</v>
      </c>
      <c r="K247" s="76">
        <v>0</v>
      </c>
      <c r="L247" s="76">
        <v>1</v>
      </c>
      <c r="M247" s="76">
        <v>43.2</v>
      </c>
      <c r="N247" s="76">
        <v>41</v>
      </c>
      <c r="O247" s="76">
        <v>24</v>
      </c>
      <c r="P247" s="76">
        <v>23</v>
      </c>
      <c r="Q247" s="76">
        <v>8</v>
      </c>
      <c r="R247" s="76">
        <v>21</v>
      </c>
      <c r="S247" s="76">
        <v>2</v>
      </c>
      <c r="T247" s="76">
        <v>46</v>
      </c>
      <c r="U247" s="76">
        <v>195</v>
      </c>
      <c r="V247" s="76">
        <v>43.2</v>
      </c>
      <c r="W247" s="76">
        <v>0.24399999999999999</v>
      </c>
      <c r="X247" s="76">
        <v>1.42</v>
      </c>
      <c r="Y247" s="76"/>
      <c r="Z247" t="s">
        <v>418</v>
      </c>
      <c r="AA247" s="76" t="s">
        <v>167</v>
      </c>
      <c r="AB247" s="76">
        <v>3</v>
      </c>
      <c r="AC247" s="76">
        <v>2</v>
      </c>
      <c r="AD247" s="76">
        <v>11</v>
      </c>
      <c r="AE247" s="76">
        <v>7</v>
      </c>
      <c r="AF247" s="76">
        <v>2</v>
      </c>
      <c r="AG247" s="76">
        <v>36</v>
      </c>
      <c r="AH247" s="76">
        <v>48</v>
      </c>
      <c r="AI247" s="76">
        <v>1</v>
      </c>
      <c r="AJ247" s="76">
        <v>2</v>
      </c>
      <c r="AK247" s="76">
        <v>8</v>
      </c>
      <c r="AL247" s="76">
        <v>1</v>
      </c>
      <c r="AM247" s="76">
        <v>1</v>
      </c>
      <c r="AN247" s="76">
        <v>804</v>
      </c>
      <c r="AO247" s="202" t="s">
        <v>167</v>
      </c>
      <c r="AP247" s="202">
        <v>1</v>
      </c>
      <c r="AQ247" s="202">
        <v>1.33</v>
      </c>
      <c r="AR247" s="202">
        <v>0.23100000000000001</v>
      </c>
      <c r="AS247" s="202">
        <v>0.25</v>
      </c>
      <c r="AT247" s="202">
        <v>0.48099999999999998</v>
      </c>
      <c r="AU247" s="202">
        <v>8.59</v>
      </c>
      <c r="AV247" s="202">
        <v>2.4500000000000002</v>
      </c>
      <c r="AW247" s="202">
        <v>4.91</v>
      </c>
      <c r="AX247" s="202">
        <v>3.5</v>
      </c>
      <c r="AY247" s="202">
        <v>14.32</v>
      </c>
    </row>
    <row r="248" spans="1:51" ht="12.75" customHeight="1" x14ac:dyDescent="0.2">
      <c r="A248" s="76">
        <v>7</v>
      </c>
      <c r="B248" s="41" t="s">
        <v>598</v>
      </c>
      <c r="C248" s="76" t="s">
        <v>167</v>
      </c>
      <c r="D248" s="76">
        <v>4</v>
      </c>
      <c r="E248" s="76">
        <v>2</v>
      </c>
      <c r="F248" s="76">
        <v>2.79</v>
      </c>
      <c r="G248" s="76">
        <v>73</v>
      </c>
      <c r="H248" s="76">
        <v>0</v>
      </c>
      <c r="I248" s="76">
        <v>0</v>
      </c>
      <c r="J248" s="76">
        <v>0</v>
      </c>
      <c r="K248" s="76">
        <v>2</v>
      </c>
      <c r="L248" s="76">
        <v>3</v>
      </c>
      <c r="M248" s="76">
        <v>42</v>
      </c>
      <c r="N248" s="76">
        <v>36</v>
      </c>
      <c r="O248" s="76">
        <v>14</v>
      </c>
      <c r="P248" s="76">
        <v>13</v>
      </c>
      <c r="Q248" s="76">
        <v>4</v>
      </c>
      <c r="R248" s="76">
        <v>15</v>
      </c>
      <c r="S248" s="76">
        <v>3</v>
      </c>
      <c r="T248" s="76">
        <v>52</v>
      </c>
      <c r="U248" s="76">
        <v>178</v>
      </c>
      <c r="V248" s="76">
        <v>42</v>
      </c>
      <c r="W248" s="76">
        <v>0.22900000000000001</v>
      </c>
      <c r="X248" s="76">
        <v>1.21</v>
      </c>
      <c r="Y248" s="76"/>
      <c r="Z248" t="s">
        <v>598</v>
      </c>
      <c r="AA248" s="76" t="s">
        <v>167</v>
      </c>
      <c r="AB248" s="76">
        <v>1</v>
      </c>
      <c r="AC248" s="76">
        <v>3</v>
      </c>
      <c r="AD248" s="76">
        <v>8</v>
      </c>
      <c r="AE248" s="76">
        <v>16</v>
      </c>
      <c r="AF248" s="76">
        <v>1</v>
      </c>
      <c r="AG248" s="76">
        <v>31</v>
      </c>
      <c r="AH248" s="76">
        <v>43</v>
      </c>
      <c r="AI248" s="76">
        <v>1</v>
      </c>
      <c r="AJ248" s="76">
        <v>0</v>
      </c>
      <c r="AK248" s="76">
        <v>3</v>
      </c>
      <c r="AL248" s="76">
        <v>0</v>
      </c>
      <c r="AM248" s="76">
        <v>0</v>
      </c>
      <c r="AN248" s="76">
        <v>728</v>
      </c>
      <c r="AO248" s="202" t="s">
        <v>167</v>
      </c>
      <c r="AP248" s="202">
        <v>0.63600000000000001</v>
      </c>
      <c r="AQ248" s="202">
        <v>1.02</v>
      </c>
      <c r="AR248" s="202">
        <v>0.255</v>
      </c>
      <c r="AS248" s="202">
        <v>0.318</v>
      </c>
      <c r="AT248" s="202">
        <v>0.57399999999999995</v>
      </c>
      <c r="AU248" s="202">
        <v>9.66</v>
      </c>
      <c r="AV248" s="202">
        <v>1.79</v>
      </c>
      <c r="AW248" s="202">
        <v>7.02</v>
      </c>
      <c r="AX248" s="202">
        <v>5.39</v>
      </c>
      <c r="AY248" s="202">
        <v>15.58</v>
      </c>
    </row>
    <row r="249" spans="1:51" ht="12.75" customHeight="1" x14ac:dyDescent="0.2">
      <c r="A249" s="76">
        <v>10</v>
      </c>
      <c r="B249" s="41" t="s">
        <v>595</v>
      </c>
      <c r="C249" s="76" t="s">
        <v>167</v>
      </c>
      <c r="D249" s="76">
        <v>15</v>
      </c>
      <c r="E249" s="76">
        <v>8</v>
      </c>
      <c r="F249" s="76">
        <v>3.43</v>
      </c>
      <c r="G249" s="76">
        <v>34</v>
      </c>
      <c r="H249" s="76">
        <v>33</v>
      </c>
      <c r="I249" s="76">
        <v>0</v>
      </c>
      <c r="J249" s="76">
        <v>0</v>
      </c>
      <c r="K249" s="76">
        <v>0</v>
      </c>
      <c r="L249" s="76">
        <v>0</v>
      </c>
      <c r="M249" s="76">
        <v>191.2</v>
      </c>
      <c r="N249" s="76">
        <v>200</v>
      </c>
      <c r="O249" s="76">
        <v>81</v>
      </c>
      <c r="P249" s="76">
        <v>73</v>
      </c>
      <c r="Q249" s="76">
        <v>24</v>
      </c>
      <c r="R249" s="76">
        <v>32</v>
      </c>
      <c r="S249" s="76">
        <v>2</v>
      </c>
      <c r="T249" s="76">
        <v>128</v>
      </c>
      <c r="U249" s="76">
        <v>791</v>
      </c>
      <c r="V249" s="76">
        <v>191.2</v>
      </c>
      <c r="W249" s="76">
        <v>0.26800000000000002</v>
      </c>
      <c r="X249" s="76">
        <v>1.21</v>
      </c>
      <c r="Y249" s="76"/>
      <c r="Z249" t="s">
        <v>595</v>
      </c>
      <c r="AA249" s="76" t="s">
        <v>167</v>
      </c>
      <c r="AB249" s="76">
        <v>3</v>
      </c>
      <c r="AC249" s="76">
        <v>2</v>
      </c>
      <c r="AD249" s="76">
        <v>0</v>
      </c>
      <c r="AE249" s="76">
        <v>0</v>
      </c>
      <c r="AF249" s="76">
        <v>19</v>
      </c>
      <c r="AG249" s="76">
        <v>207</v>
      </c>
      <c r="AH249" s="76">
        <v>221</v>
      </c>
      <c r="AI249" s="76">
        <v>0</v>
      </c>
      <c r="AJ249" s="76">
        <v>0</v>
      </c>
      <c r="AK249" s="76">
        <v>8</v>
      </c>
      <c r="AL249" s="76">
        <v>7</v>
      </c>
      <c r="AM249" s="76">
        <v>4</v>
      </c>
      <c r="AN249" s="76">
        <v>2853</v>
      </c>
      <c r="AO249" s="202" t="s">
        <v>167</v>
      </c>
      <c r="AP249" s="202">
        <v>0.6</v>
      </c>
      <c r="AQ249" s="202">
        <v>0.98</v>
      </c>
      <c r="AR249" s="202">
        <v>0.3</v>
      </c>
      <c r="AS249" s="202">
        <v>0.32500000000000001</v>
      </c>
      <c r="AT249" s="202">
        <v>0.626</v>
      </c>
      <c r="AU249" s="202">
        <v>8.48</v>
      </c>
      <c r="AV249" s="202">
        <v>2.83</v>
      </c>
      <c r="AW249" s="202">
        <v>7.85</v>
      </c>
      <c r="AX249" s="202">
        <v>3</v>
      </c>
      <c r="AY249" s="202">
        <v>15.12</v>
      </c>
    </row>
    <row r="250" spans="1:51" ht="12.75" customHeight="1" x14ac:dyDescent="0.2">
      <c r="A250" s="76">
        <v>8</v>
      </c>
      <c r="B250" s="41" t="s">
        <v>769</v>
      </c>
      <c r="C250" s="76" t="s">
        <v>167</v>
      </c>
      <c r="D250" s="76">
        <v>7</v>
      </c>
      <c r="E250" s="76">
        <v>8</v>
      </c>
      <c r="F250" s="76">
        <v>3.04</v>
      </c>
      <c r="G250" s="76">
        <v>24</v>
      </c>
      <c r="H250" s="76">
        <v>24</v>
      </c>
      <c r="I250" s="76">
        <v>1</v>
      </c>
      <c r="J250" s="76">
        <v>1</v>
      </c>
      <c r="K250" s="76">
        <v>0</v>
      </c>
      <c r="L250" s="76">
        <v>0</v>
      </c>
      <c r="M250" s="76">
        <v>148</v>
      </c>
      <c r="N250" s="76">
        <v>142</v>
      </c>
      <c r="O250" s="76">
        <v>53</v>
      </c>
      <c r="P250" s="76">
        <v>50</v>
      </c>
      <c r="Q250" s="76">
        <v>15</v>
      </c>
      <c r="R250" s="76">
        <v>36</v>
      </c>
      <c r="S250" s="76">
        <v>0</v>
      </c>
      <c r="T250" s="76">
        <v>143</v>
      </c>
      <c r="U250" s="76">
        <v>604</v>
      </c>
      <c r="V250" s="76">
        <v>148</v>
      </c>
      <c r="W250" s="76">
        <v>0.255</v>
      </c>
      <c r="X250" s="76">
        <v>1.2</v>
      </c>
      <c r="Y250" s="76"/>
      <c r="Z250" t="s">
        <v>769</v>
      </c>
      <c r="AA250" s="76" t="s">
        <v>167</v>
      </c>
      <c r="AB250" s="76">
        <v>3</v>
      </c>
      <c r="AC250" s="76">
        <v>0</v>
      </c>
      <c r="AD250" s="76">
        <v>0</v>
      </c>
      <c r="AE250" s="76">
        <v>0</v>
      </c>
      <c r="AF250" s="76">
        <v>15</v>
      </c>
      <c r="AG250" s="76">
        <v>148</v>
      </c>
      <c r="AH250" s="76">
        <v>132</v>
      </c>
      <c r="AI250" s="76">
        <v>4</v>
      </c>
      <c r="AJ250" s="76">
        <v>0</v>
      </c>
      <c r="AK250" s="76">
        <v>5</v>
      </c>
      <c r="AL250" s="76">
        <v>4</v>
      </c>
      <c r="AM250" s="76">
        <v>0</v>
      </c>
      <c r="AN250" s="76">
        <v>2354</v>
      </c>
      <c r="AO250" s="202" t="s">
        <v>167</v>
      </c>
      <c r="AP250" s="202">
        <v>0.5</v>
      </c>
      <c r="AQ250" s="202">
        <v>2.02</v>
      </c>
      <c r="AR250" s="202">
        <v>0.26100000000000001</v>
      </c>
      <c r="AS250" s="202">
        <v>0.309</v>
      </c>
      <c r="AT250" s="202">
        <v>0.56899999999999995</v>
      </c>
      <c r="AU250" s="202">
        <v>9.92</v>
      </c>
      <c r="AV250" s="202">
        <v>2.19</v>
      </c>
      <c r="AW250" s="202">
        <v>6.81</v>
      </c>
      <c r="AX250" s="202">
        <v>4.53</v>
      </c>
      <c r="AY250" s="202">
        <v>15.04</v>
      </c>
    </row>
    <row r="251" spans="1:51" ht="12.75" customHeight="1" x14ac:dyDescent="0.2">
      <c r="A251" s="76">
        <v>18</v>
      </c>
      <c r="B251" t="s">
        <v>1465</v>
      </c>
      <c r="C251" s="76" t="s">
        <v>167</v>
      </c>
      <c r="D251" s="76">
        <v>1</v>
      </c>
      <c r="E251" s="76">
        <v>0</v>
      </c>
      <c r="F251" s="76">
        <v>5.23</v>
      </c>
      <c r="G251" s="76">
        <v>16</v>
      </c>
      <c r="H251" s="76">
        <v>0</v>
      </c>
      <c r="I251" s="76">
        <v>0</v>
      </c>
      <c r="J251" s="76">
        <v>0</v>
      </c>
      <c r="K251" s="76">
        <v>0</v>
      </c>
      <c r="L251" s="76">
        <v>0</v>
      </c>
      <c r="M251" s="76">
        <v>10.1</v>
      </c>
      <c r="N251" s="76">
        <v>10</v>
      </c>
      <c r="O251" s="76">
        <v>6</v>
      </c>
      <c r="P251" s="76">
        <v>6</v>
      </c>
      <c r="Q251" s="76">
        <v>1</v>
      </c>
      <c r="R251" s="76">
        <v>6</v>
      </c>
      <c r="S251" s="76">
        <v>0</v>
      </c>
      <c r="T251" s="76">
        <v>11</v>
      </c>
      <c r="U251" s="76">
        <v>45</v>
      </c>
      <c r="V251" s="76">
        <v>10.1</v>
      </c>
      <c r="W251" s="76">
        <v>0.27</v>
      </c>
      <c r="X251" s="76">
        <v>1.55</v>
      </c>
      <c r="Y251" s="76"/>
      <c r="Z251" t="s">
        <v>1465</v>
      </c>
      <c r="AA251" s="76" t="s">
        <v>167</v>
      </c>
      <c r="AB251" s="76">
        <v>0</v>
      </c>
      <c r="AC251" s="76">
        <v>0</v>
      </c>
      <c r="AD251" s="76">
        <v>4</v>
      </c>
      <c r="AE251" s="76">
        <v>0</v>
      </c>
      <c r="AF251" s="76">
        <v>2</v>
      </c>
      <c r="AG251" s="76">
        <v>8</v>
      </c>
      <c r="AH251" s="76">
        <v>10</v>
      </c>
      <c r="AI251" s="76">
        <v>1</v>
      </c>
      <c r="AJ251" s="76">
        <v>0</v>
      </c>
      <c r="AK251" s="76">
        <v>0</v>
      </c>
      <c r="AL251" s="76">
        <v>0</v>
      </c>
      <c r="AM251" s="76">
        <v>0</v>
      </c>
      <c r="AN251" s="76">
        <v>166</v>
      </c>
      <c r="AO251" s="202" t="s">
        <v>167</v>
      </c>
      <c r="AP251" s="202">
        <v>0.47399999999999998</v>
      </c>
      <c r="AQ251" s="202">
        <v>1.67</v>
      </c>
      <c r="AR251" s="202">
        <v>0.34</v>
      </c>
      <c r="AS251" s="202">
        <v>0.42399999999999999</v>
      </c>
      <c r="AT251" s="202">
        <v>0.76400000000000001</v>
      </c>
      <c r="AU251" s="202">
        <v>5.76</v>
      </c>
      <c r="AV251" s="202">
        <v>2.8</v>
      </c>
      <c r="AW251" s="202">
        <v>9.7799999999999994</v>
      </c>
      <c r="AX251" s="202">
        <v>2.0499999999999998</v>
      </c>
      <c r="AY251" s="202">
        <v>15.29</v>
      </c>
    </row>
    <row r="252" spans="1:51" ht="12.75" customHeight="1" x14ac:dyDescent="0.2">
      <c r="A252" s="76">
        <v>4</v>
      </c>
      <c r="B252" s="41" t="s">
        <v>417</v>
      </c>
      <c r="C252" s="76" t="s">
        <v>167</v>
      </c>
      <c r="D252" s="76">
        <v>3</v>
      </c>
      <c r="E252" s="76">
        <v>4</v>
      </c>
      <c r="F252" s="76">
        <v>2.5499999999999998</v>
      </c>
      <c r="G252" s="76">
        <v>78</v>
      </c>
      <c r="H252" s="76">
        <v>0</v>
      </c>
      <c r="I252" s="76">
        <v>0</v>
      </c>
      <c r="J252" s="76">
        <v>0</v>
      </c>
      <c r="K252" s="76">
        <v>51</v>
      </c>
      <c r="L252" s="76">
        <v>56</v>
      </c>
      <c r="M252" s="76">
        <v>77.2</v>
      </c>
      <c r="N252" s="76">
        <v>63</v>
      </c>
      <c r="O252" s="76">
        <v>25</v>
      </c>
      <c r="P252" s="76">
        <v>22</v>
      </c>
      <c r="Q252" s="76">
        <v>1</v>
      </c>
      <c r="R252" s="76">
        <v>31</v>
      </c>
      <c r="S252" s="76">
        <v>6</v>
      </c>
      <c r="T252" s="76">
        <v>84</v>
      </c>
      <c r="U252" s="76">
        <v>321</v>
      </c>
      <c r="V252" s="76">
        <v>77.2</v>
      </c>
      <c r="W252" s="76">
        <v>0.22</v>
      </c>
      <c r="X252" s="76">
        <v>1.21</v>
      </c>
      <c r="Y252" s="76"/>
      <c r="Z252" t="s">
        <v>417</v>
      </c>
      <c r="AA252" s="76" t="s">
        <v>167</v>
      </c>
      <c r="AB252" s="76">
        <v>1</v>
      </c>
      <c r="AC252" s="76">
        <v>6</v>
      </c>
      <c r="AD252" s="76">
        <v>67</v>
      </c>
      <c r="AE252" s="76">
        <v>0</v>
      </c>
      <c r="AF252" s="76">
        <v>10</v>
      </c>
      <c r="AG252" s="76">
        <v>108</v>
      </c>
      <c r="AH252" s="76">
        <v>34</v>
      </c>
      <c r="AI252" s="76">
        <v>3</v>
      </c>
      <c r="AJ252" s="76">
        <v>0</v>
      </c>
      <c r="AK252" s="76">
        <v>8</v>
      </c>
      <c r="AL252" s="76">
        <v>0</v>
      </c>
      <c r="AM252" s="76">
        <v>0</v>
      </c>
      <c r="AN252" s="76">
        <v>1262</v>
      </c>
      <c r="AO252" s="202" t="s">
        <v>167</v>
      </c>
      <c r="AP252" s="202">
        <v>1</v>
      </c>
      <c r="AQ252" s="202">
        <v>1.1299999999999999</v>
      </c>
      <c r="AR252" s="202">
        <v>0.28100000000000003</v>
      </c>
      <c r="AS252" s="202">
        <v>0.379</v>
      </c>
      <c r="AT252" s="202">
        <v>0.66100000000000003</v>
      </c>
      <c r="AU252" s="202">
        <v>6.75</v>
      </c>
      <c r="AV252" s="202">
        <v>1.1299999999999999</v>
      </c>
      <c r="AW252" s="202">
        <v>9</v>
      </c>
      <c r="AX252" s="202">
        <v>6</v>
      </c>
      <c r="AY252" s="202">
        <v>14.88</v>
      </c>
    </row>
    <row r="253" spans="1:51" ht="12.75" customHeight="1" x14ac:dyDescent="0.2">
      <c r="A253" s="76">
        <v>20</v>
      </c>
      <c r="B253" t="s">
        <v>1135</v>
      </c>
      <c r="C253" s="76" t="s">
        <v>167</v>
      </c>
      <c r="D253" s="76">
        <v>0</v>
      </c>
      <c r="E253" s="76">
        <v>1</v>
      </c>
      <c r="F253" s="76">
        <v>7.13</v>
      </c>
      <c r="G253" s="76">
        <v>14</v>
      </c>
      <c r="H253" s="76">
        <v>1</v>
      </c>
      <c r="I253" s="76">
        <v>0</v>
      </c>
      <c r="J253" s="76">
        <v>0</v>
      </c>
      <c r="K253" s="76">
        <v>0</v>
      </c>
      <c r="L253" s="76">
        <v>0</v>
      </c>
      <c r="M253" s="76">
        <v>17.2</v>
      </c>
      <c r="N253" s="76">
        <v>21</v>
      </c>
      <c r="O253" s="76">
        <v>14</v>
      </c>
      <c r="P253" s="76">
        <v>14</v>
      </c>
      <c r="Q253" s="76">
        <v>4</v>
      </c>
      <c r="R253" s="76">
        <v>7</v>
      </c>
      <c r="S253" s="76">
        <v>1</v>
      </c>
      <c r="T253" s="76">
        <v>11</v>
      </c>
      <c r="U253" s="76">
        <v>79</v>
      </c>
      <c r="V253" s="76">
        <v>17.2</v>
      </c>
      <c r="W253" s="76">
        <v>0.3</v>
      </c>
      <c r="X253" s="76">
        <v>1.58</v>
      </c>
      <c r="Y253" s="76"/>
      <c r="Z253" t="s">
        <v>1135</v>
      </c>
      <c r="AA253" s="76" t="s">
        <v>167</v>
      </c>
      <c r="AB253" s="76">
        <v>1</v>
      </c>
      <c r="AC253" s="76">
        <v>1</v>
      </c>
      <c r="AD253" s="76">
        <v>3</v>
      </c>
      <c r="AE253" s="76">
        <v>1</v>
      </c>
      <c r="AF253" s="76">
        <v>2</v>
      </c>
      <c r="AG253" s="76">
        <v>22</v>
      </c>
      <c r="AH253" s="76">
        <v>17</v>
      </c>
      <c r="AI253" s="76">
        <v>0</v>
      </c>
      <c r="AJ253" s="76">
        <v>0</v>
      </c>
      <c r="AK253" s="76">
        <v>1</v>
      </c>
      <c r="AL253" s="76">
        <v>0</v>
      </c>
      <c r="AM253" s="76">
        <v>0</v>
      </c>
      <c r="AN253" s="76">
        <v>309</v>
      </c>
      <c r="AO253" s="202" t="s">
        <v>167</v>
      </c>
      <c r="AP253" s="202">
        <v>0.33300000000000002</v>
      </c>
      <c r="AQ253" s="202">
        <v>1.48</v>
      </c>
      <c r="AR253" s="202">
        <v>0.42299999999999999</v>
      </c>
      <c r="AS253" s="202">
        <v>0.36599999999999999</v>
      </c>
      <c r="AT253" s="202">
        <v>0.78900000000000003</v>
      </c>
      <c r="AU253" s="202">
        <v>4.88</v>
      </c>
      <c r="AV253" s="202">
        <v>6.38</v>
      </c>
      <c r="AW253" s="202">
        <v>11.25</v>
      </c>
      <c r="AX253" s="202">
        <v>0.76</v>
      </c>
      <c r="AY253" s="202">
        <v>17</v>
      </c>
    </row>
    <row r="254" spans="1:51" ht="12.75" customHeight="1" x14ac:dyDescent="0.2">
      <c r="A254" s="76">
        <v>13</v>
      </c>
      <c r="B254" s="41" t="s">
        <v>770</v>
      </c>
      <c r="C254" s="76" t="s">
        <v>167</v>
      </c>
      <c r="D254" s="76">
        <v>2</v>
      </c>
      <c r="E254" s="76">
        <v>2</v>
      </c>
      <c r="F254" s="76">
        <v>4.54</v>
      </c>
      <c r="G254" s="76">
        <v>36</v>
      </c>
      <c r="H254" s="76">
        <v>0</v>
      </c>
      <c r="I254" s="76">
        <v>0</v>
      </c>
      <c r="J254" s="76">
        <v>0</v>
      </c>
      <c r="K254" s="76">
        <v>0</v>
      </c>
      <c r="L254" s="76">
        <v>1</v>
      </c>
      <c r="M254" s="76">
        <v>35.200000000000003</v>
      </c>
      <c r="N254" s="76">
        <v>33</v>
      </c>
      <c r="O254" s="76">
        <v>20</v>
      </c>
      <c r="P254" s="76">
        <v>18</v>
      </c>
      <c r="Q254" s="76">
        <v>5</v>
      </c>
      <c r="R254" s="76">
        <v>14</v>
      </c>
      <c r="S254" s="76">
        <v>1</v>
      </c>
      <c r="T254" s="76">
        <v>36</v>
      </c>
      <c r="U254" s="76">
        <v>157</v>
      </c>
      <c r="V254" s="76">
        <v>35.200000000000003</v>
      </c>
      <c r="W254" s="76">
        <v>0.23400000000000001</v>
      </c>
      <c r="X254" s="76">
        <v>1.32</v>
      </c>
      <c r="Y254" s="76"/>
      <c r="Z254" t="s">
        <v>770</v>
      </c>
      <c r="AA254" s="76" t="s">
        <v>167</v>
      </c>
      <c r="AB254" s="76">
        <v>1</v>
      </c>
      <c r="AC254" s="76">
        <v>1</v>
      </c>
      <c r="AD254" s="76">
        <v>10</v>
      </c>
      <c r="AE254" s="76">
        <v>3</v>
      </c>
      <c r="AF254" s="76">
        <v>0</v>
      </c>
      <c r="AG254" s="76">
        <v>23</v>
      </c>
      <c r="AH254" s="76">
        <v>50</v>
      </c>
      <c r="AI254" s="76">
        <v>5</v>
      </c>
      <c r="AJ254" s="76">
        <v>0</v>
      </c>
      <c r="AK254" s="76">
        <v>1</v>
      </c>
      <c r="AL254" s="76">
        <v>1</v>
      </c>
      <c r="AM254" s="76">
        <v>0</v>
      </c>
      <c r="AN254" s="76">
        <v>630</v>
      </c>
      <c r="AO254" s="202" t="s">
        <v>167</v>
      </c>
      <c r="AP254" s="202">
        <v>0</v>
      </c>
      <c r="AQ254" s="202">
        <v>1.25</v>
      </c>
      <c r="AR254" s="202">
        <v>0.38500000000000001</v>
      </c>
      <c r="AS254" s="202">
        <v>0.34100000000000003</v>
      </c>
      <c r="AT254" s="202">
        <v>0.72599999999999998</v>
      </c>
      <c r="AU254" s="202">
        <v>10.8</v>
      </c>
      <c r="AV254" s="202">
        <v>5.4</v>
      </c>
      <c r="AW254" s="202">
        <v>9.26</v>
      </c>
      <c r="AX254" s="202">
        <v>2</v>
      </c>
      <c r="AY254" s="202">
        <v>19.46</v>
      </c>
    </row>
    <row r="255" spans="1:51" ht="12.75" customHeight="1" x14ac:dyDescent="0.2">
      <c r="A255" s="76">
        <v>3</v>
      </c>
      <c r="B255" t="s">
        <v>1461</v>
      </c>
      <c r="C255" s="76" t="s">
        <v>167</v>
      </c>
      <c r="D255" s="76">
        <v>4</v>
      </c>
      <c r="E255" s="76">
        <v>2</v>
      </c>
      <c r="F255" s="76">
        <v>2.42</v>
      </c>
      <c r="G255" s="76">
        <v>8</v>
      </c>
      <c r="H255" s="76">
        <v>7</v>
      </c>
      <c r="I255" s="76">
        <v>0</v>
      </c>
      <c r="J255" s="76">
        <v>0</v>
      </c>
      <c r="K255" s="76">
        <v>0</v>
      </c>
      <c r="L255" s="76">
        <v>0</v>
      </c>
      <c r="M255" s="76">
        <v>44.2</v>
      </c>
      <c r="N255" s="76">
        <v>42</v>
      </c>
      <c r="O255" s="76">
        <v>12</v>
      </c>
      <c r="P255" s="76">
        <v>12</v>
      </c>
      <c r="Q255" s="76">
        <v>1</v>
      </c>
      <c r="R255" s="76">
        <v>15</v>
      </c>
      <c r="S255" s="76">
        <v>2</v>
      </c>
      <c r="T255" s="76">
        <v>42</v>
      </c>
      <c r="U255" s="76">
        <v>185</v>
      </c>
      <c r="V255" s="76">
        <v>44.2</v>
      </c>
      <c r="W255" s="76">
        <v>0.25800000000000001</v>
      </c>
      <c r="X255" s="76">
        <v>1.28</v>
      </c>
      <c r="Y255" s="76"/>
      <c r="Z255" t="s">
        <v>1461</v>
      </c>
      <c r="AA255" s="76" t="s">
        <v>167</v>
      </c>
      <c r="AB255" s="76">
        <v>1</v>
      </c>
      <c r="AC255" s="76">
        <v>2</v>
      </c>
      <c r="AD255" s="76">
        <v>0</v>
      </c>
      <c r="AE255" s="76">
        <v>0</v>
      </c>
      <c r="AF255" s="76">
        <v>3</v>
      </c>
      <c r="AG255" s="76">
        <v>54</v>
      </c>
      <c r="AH255" s="76">
        <v>31</v>
      </c>
      <c r="AI255" s="76">
        <v>1</v>
      </c>
      <c r="AJ255" s="76">
        <v>0</v>
      </c>
      <c r="AK255" s="76">
        <v>1</v>
      </c>
      <c r="AL255" s="76">
        <v>3</v>
      </c>
      <c r="AM255" s="76">
        <v>1</v>
      </c>
      <c r="AN255" s="76">
        <v>713</v>
      </c>
      <c r="AO255" s="202" t="s">
        <v>167</v>
      </c>
      <c r="AP255" s="202">
        <v>1</v>
      </c>
      <c r="AQ255" s="202">
        <v>1.2</v>
      </c>
      <c r="AR255" s="202">
        <v>0</v>
      </c>
      <c r="AS255" s="202">
        <v>0</v>
      </c>
      <c r="AT255" s="202">
        <v>0</v>
      </c>
      <c r="AU255" s="202">
        <v>7.2</v>
      </c>
      <c r="AV255" s="202">
        <v>0</v>
      </c>
      <c r="AW255" s="202">
        <v>0</v>
      </c>
      <c r="AX255" s="202" t="s">
        <v>243</v>
      </c>
      <c r="AY255" s="202">
        <v>11</v>
      </c>
    </row>
    <row r="256" spans="1:51" ht="12.75" customHeight="1" x14ac:dyDescent="0.2">
      <c r="A256" s="76">
        <v>16</v>
      </c>
      <c r="B256" s="41" t="s">
        <v>1136</v>
      </c>
      <c r="C256" s="76" t="s">
        <v>167</v>
      </c>
      <c r="D256" s="76">
        <v>4</v>
      </c>
      <c r="E256" s="76">
        <v>10</v>
      </c>
      <c r="F256" s="76">
        <v>4.8600000000000003</v>
      </c>
      <c r="G256" s="76">
        <v>17</v>
      </c>
      <c r="H256" s="76">
        <v>17</v>
      </c>
      <c r="I256" s="76">
        <v>0</v>
      </c>
      <c r="J256" s="76">
        <v>0</v>
      </c>
      <c r="K256" s="76">
        <v>0</v>
      </c>
      <c r="L256" s="76">
        <v>0</v>
      </c>
      <c r="M256" s="76">
        <v>92.2</v>
      </c>
      <c r="N256" s="76">
        <v>111</v>
      </c>
      <c r="O256" s="76">
        <v>55</v>
      </c>
      <c r="P256" s="76">
        <v>50</v>
      </c>
      <c r="Q256" s="76">
        <v>8</v>
      </c>
      <c r="R256" s="76">
        <v>25</v>
      </c>
      <c r="S256" s="76">
        <v>1</v>
      </c>
      <c r="T256" s="76">
        <v>76</v>
      </c>
      <c r="U256" s="76">
        <v>402</v>
      </c>
      <c r="V256" s="76">
        <v>92.2</v>
      </c>
      <c r="W256" s="76">
        <v>0.30199999999999999</v>
      </c>
      <c r="X256" s="76">
        <v>1.47</v>
      </c>
      <c r="Y256" s="76"/>
      <c r="Z256" t="s">
        <v>1136</v>
      </c>
      <c r="AA256" s="76" t="s">
        <v>167</v>
      </c>
      <c r="AB256" s="76">
        <v>1</v>
      </c>
      <c r="AC256" s="76">
        <v>1</v>
      </c>
      <c r="AD256" s="76">
        <v>0</v>
      </c>
      <c r="AE256" s="76">
        <v>0</v>
      </c>
      <c r="AF256" s="76">
        <v>10</v>
      </c>
      <c r="AG256" s="76">
        <v>93</v>
      </c>
      <c r="AH256" s="76">
        <v>96</v>
      </c>
      <c r="AI256" s="76">
        <v>4</v>
      </c>
      <c r="AJ256" s="76">
        <v>0</v>
      </c>
      <c r="AK256" s="76">
        <v>7</v>
      </c>
      <c r="AL256" s="76">
        <v>3</v>
      </c>
      <c r="AM256" s="76">
        <v>1</v>
      </c>
      <c r="AN256" s="76">
        <v>1514</v>
      </c>
      <c r="AO256" s="202" t="s">
        <v>167</v>
      </c>
      <c r="AP256" s="202">
        <v>0</v>
      </c>
      <c r="AQ256" s="202">
        <v>1.38</v>
      </c>
      <c r="AR256" s="202">
        <v>0.311</v>
      </c>
      <c r="AS256" s="202">
        <v>0.35</v>
      </c>
      <c r="AT256" s="202">
        <v>0.66100000000000003</v>
      </c>
      <c r="AU256" s="202">
        <v>11.7</v>
      </c>
      <c r="AV256" s="202">
        <v>4.5</v>
      </c>
      <c r="AW256" s="202">
        <v>8.1</v>
      </c>
      <c r="AX256" s="202">
        <v>2.6</v>
      </c>
      <c r="AY256" s="202">
        <v>19.2</v>
      </c>
    </row>
    <row r="257" spans="1:51" ht="12.75" customHeight="1" x14ac:dyDescent="0.2">
      <c r="A257" s="76">
        <v>12</v>
      </c>
      <c r="B257" s="41" t="s">
        <v>1463</v>
      </c>
      <c r="C257" s="76" t="s">
        <v>167</v>
      </c>
      <c r="D257" s="76">
        <v>2</v>
      </c>
      <c r="E257" s="76">
        <v>2</v>
      </c>
      <c r="F257" s="76">
        <v>4.1100000000000003</v>
      </c>
      <c r="G257" s="76">
        <v>44</v>
      </c>
      <c r="H257" s="76">
        <v>0</v>
      </c>
      <c r="I257" s="76">
        <v>0</v>
      </c>
      <c r="J257" s="76">
        <v>0</v>
      </c>
      <c r="K257" s="76">
        <v>0</v>
      </c>
      <c r="L257" s="76">
        <v>2</v>
      </c>
      <c r="M257" s="76">
        <v>35</v>
      </c>
      <c r="N257" s="76">
        <v>34</v>
      </c>
      <c r="O257" s="76">
        <v>17</v>
      </c>
      <c r="P257" s="76">
        <v>16</v>
      </c>
      <c r="Q257" s="76">
        <v>7</v>
      </c>
      <c r="R257" s="76">
        <v>14</v>
      </c>
      <c r="S257" s="76">
        <v>0</v>
      </c>
      <c r="T257" s="76">
        <v>40</v>
      </c>
      <c r="U257" s="76">
        <v>155</v>
      </c>
      <c r="V257" s="76">
        <v>35</v>
      </c>
      <c r="W257" s="76">
        <v>0.248</v>
      </c>
      <c r="X257" s="76">
        <v>1.37</v>
      </c>
      <c r="Y257" s="76"/>
      <c r="Z257" t="s">
        <v>1463</v>
      </c>
      <c r="AA257" s="76" t="s">
        <v>167</v>
      </c>
      <c r="AB257" s="76">
        <v>2</v>
      </c>
      <c r="AC257" s="76">
        <v>0</v>
      </c>
      <c r="AD257" s="76">
        <v>8</v>
      </c>
      <c r="AE257" s="76">
        <v>11</v>
      </c>
      <c r="AF257" s="76">
        <v>1</v>
      </c>
      <c r="AG257" s="76">
        <v>18</v>
      </c>
      <c r="AH257" s="76">
        <v>47</v>
      </c>
      <c r="AI257" s="76">
        <v>0</v>
      </c>
      <c r="AJ257" s="76">
        <v>1</v>
      </c>
      <c r="AK257" s="76">
        <v>4</v>
      </c>
      <c r="AL257" s="76">
        <v>0</v>
      </c>
      <c r="AM257" s="76">
        <v>0</v>
      </c>
      <c r="AN257" s="76">
        <v>648</v>
      </c>
      <c r="AO257" s="202" t="s">
        <v>167</v>
      </c>
      <c r="AP257" s="202">
        <v>0.61899999999999999</v>
      </c>
      <c r="AQ257" s="202">
        <v>1.06</v>
      </c>
      <c r="AR257" s="202">
        <v>0.26500000000000001</v>
      </c>
      <c r="AS257" s="202">
        <v>0.34399999999999997</v>
      </c>
      <c r="AT257" s="202">
        <v>0.60899999999999999</v>
      </c>
      <c r="AU257" s="202">
        <v>8.94</v>
      </c>
      <c r="AV257" s="202">
        <v>1.76</v>
      </c>
      <c r="AW257" s="202">
        <v>7.42</v>
      </c>
      <c r="AX257" s="202">
        <v>5.08</v>
      </c>
      <c r="AY257" s="202">
        <v>14.78</v>
      </c>
    </row>
    <row r="258" spans="1:51" ht="12.75" customHeight="1" x14ac:dyDescent="0.2">
      <c r="A258" s="76">
        <v>6</v>
      </c>
      <c r="B258" s="41" t="s">
        <v>1462</v>
      </c>
      <c r="C258" s="76" t="s">
        <v>167</v>
      </c>
      <c r="D258" s="76">
        <v>5</v>
      </c>
      <c r="E258" s="76">
        <v>2</v>
      </c>
      <c r="F258" s="76">
        <v>2.67</v>
      </c>
      <c r="G258" s="76">
        <v>17</v>
      </c>
      <c r="H258" s="76">
        <v>8</v>
      </c>
      <c r="I258" s="76">
        <v>0</v>
      </c>
      <c r="J258" s="76">
        <v>0</v>
      </c>
      <c r="K258" s="76">
        <v>0</v>
      </c>
      <c r="L258" s="76">
        <v>0</v>
      </c>
      <c r="M258" s="76">
        <v>64</v>
      </c>
      <c r="N258" s="76">
        <v>49</v>
      </c>
      <c r="O258" s="76">
        <v>19</v>
      </c>
      <c r="P258" s="76">
        <v>19</v>
      </c>
      <c r="Q258" s="76">
        <v>7</v>
      </c>
      <c r="R258" s="76">
        <v>21</v>
      </c>
      <c r="S258" s="76">
        <v>3</v>
      </c>
      <c r="T258" s="76">
        <v>45</v>
      </c>
      <c r="U258" s="76">
        <v>260</v>
      </c>
      <c r="V258" s="76">
        <v>64</v>
      </c>
      <c r="W258" s="76">
        <v>0.22</v>
      </c>
      <c r="X258" s="76">
        <v>1.0900000000000001</v>
      </c>
      <c r="Y258" s="76"/>
      <c r="Z258" t="s">
        <v>1462</v>
      </c>
      <c r="AA258" s="76" t="s">
        <v>167</v>
      </c>
      <c r="AB258" s="76">
        <v>4</v>
      </c>
      <c r="AC258" s="76">
        <v>3</v>
      </c>
      <c r="AD258" s="76">
        <v>2</v>
      </c>
      <c r="AE258" s="76">
        <v>0</v>
      </c>
      <c r="AF258" s="76">
        <v>6</v>
      </c>
      <c r="AG258" s="76">
        <v>73</v>
      </c>
      <c r="AH258" s="76">
        <v>68</v>
      </c>
      <c r="AI258" s="76">
        <v>1</v>
      </c>
      <c r="AJ258" s="76">
        <v>1</v>
      </c>
      <c r="AK258" s="76">
        <v>2</v>
      </c>
      <c r="AL258" s="76">
        <v>1</v>
      </c>
      <c r="AM258" s="76">
        <v>0</v>
      </c>
      <c r="AN258" s="76">
        <v>961</v>
      </c>
      <c r="AO258" s="202" t="s">
        <v>167</v>
      </c>
      <c r="AP258" s="202">
        <v>0.51900000000000002</v>
      </c>
      <c r="AQ258" s="202">
        <v>0.95</v>
      </c>
      <c r="AR258" s="202">
        <v>0.30399999999999999</v>
      </c>
      <c r="AS258" s="202">
        <v>0.437</v>
      </c>
      <c r="AT258" s="202">
        <v>0.74099999999999999</v>
      </c>
      <c r="AU258" s="202">
        <v>6.29</v>
      </c>
      <c r="AV258" s="202">
        <v>1.1100000000000001</v>
      </c>
      <c r="AW258" s="202">
        <v>10.029999999999999</v>
      </c>
      <c r="AX258" s="202">
        <v>5.67</v>
      </c>
      <c r="AY258" s="202">
        <v>13.9</v>
      </c>
    </row>
    <row r="259" spans="1:51" ht="12.75" customHeight="1" x14ac:dyDescent="0.2">
      <c r="A259" s="76">
        <v>9</v>
      </c>
      <c r="B259" s="41" t="s">
        <v>1134</v>
      </c>
      <c r="C259" s="76" t="s">
        <v>167</v>
      </c>
      <c r="D259" s="76">
        <v>9</v>
      </c>
      <c r="E259" s="76">
        <v>8</v>
      </c>
      <c r="F259" s="76">
        <v>3.4</v>
      </c>
      <c r="G259" s="76">
        <v>22</v>
      </c>
      <c r="H259" s="76">
        <v>22</v>
      </c>
      <c r="I259" s="76">
        <v>0</v>
      </c>
      <c r="J259" s="76">
        <v>0</v>
      </c>
      <c r="K259" s="76">
        <v>0</v>
      </c>
      <c r="L259" s="76">
        <v>0</v>
      </c>
      <c r="M259" s="76">
        <v>132.1</v>
      </c>
      <c r="N259" s="76">
        <v>129</v>
      </c>
      <c r="O259" s="76">
        <v>53</v>
      </c>
      <c r="P259" s="76">
        <v>50</v>
      </c>
      <c r="Q259" s="76">
        <v>14</v>
      </c>
      <c r="R259" s="76">
        <v>31</v>
      </c>
      <c r="S259" s="76">
        <v>2</v>
      </c>
      <c r="T259" s="76">
        <v>129</v>
      </c>
      <c r="U259" s="76">
        <v>547</v>
      </c>
      <c r="V259" s="76">
        <v>132.1</v>
      </c>
      <c r="W259" s="76">
        <v>0.25700000000000001</v>
      </c>
      <c r="X259" s="76">
        <v>1.21</v>
      </c>
      <c r="Y259" s="76"/>
      <c r="Z259" t="s">
        <v>1134</v>
      </c>
      <c r="AA259" s="76" t="s">
        <v>167</v>
      </c>
      <c r="AB259" s="76">
        <v>5</v>
      </c>
      <c r="AC259" s="76">
        <v>2</v>
      </c>
      <c r="AD259" s="76">
        <v>0</v>
      </c>
      <c r="AE259" s="76">
        <v>0</v>
      </c>
      <c r="AF259" s="76">
        <v>8</v>
      </c>
      <c r="AG259" s="76">
        <v>149</v>
      </c>
      <c r="AH259" s="76">
        <v>104</v>
      </c>
      <c r="AI259" s="76">
        <v>3</v>
      </c>
      <c r="AJ259" s="76">
        <v>1</v>
      </c>
      <c r="AK259" s="76">
        <v>20</v>
      </c>
      <c r="AL259" s="76">
        <v>6</v>
      </c>
      <c r="AM259" s="76">
        <v>2</v>
      </c>
      <c r="AN259" s="76">
        <v>2153</v>
      </c>
      <c r="AO259" s="202" t="s">
        <v>167</v>
      </c>
      <c r="AP259" s="202">
        <v>0</v>
      </c>
      <c r="AQ259" s="202">
        <v>1.53</v>
      </c>
      <c r="AR259" s="202">
        <v>0.37</v>
      </c>
      <c r="AS259" s="202">
        <v>0.50900000000000001</v>
      </c>
      <c r="AT259" s="202">
        <v>0.879</v>
      </c>
      <c r="AU259" s="202">
        <v>5.67</v>
      </c>
      <c r="AV259" s="202">
        <v>2.5</v>
      </c>
      <c r="AW259" s="202">
        <v>12.48</v>
      </c>
      <c r="AX259" s="202">
        <v>2.27</v>
      </c>
      <c r="AY259" s="202">
        <v>15.53</v>
      </c>
    </row>
    <row r="260" spans="1:51" ht="12.75" customHeight="1" x14ac:dyDescent="0.2">
      <c r="A260" s="76">
        <v>21</v>
      </c>
      <c r="B260" t="s">
        <v>771</v>
      </c>
      <c r="C260" s="76" t="s">
        <v>167</v>
      </c>
      <c r="D260" s="76">
        <v>0</v>
      </c>
      <c r="E260" s="76">
        <v>1</v>
      </c>
      <c r="F260" s="76">
        <v>8.0500000000000007</v>
      </c>
      <c r="G260" s="76">
        <v>9</v>
      </c>
      <c r="H260" s="76">
        <v>3</v>
      </c>
      <c r="I260" s="76">
        <v>0</v>
      </c>
      <c r="J260" s="76">
        <v>0</v>
      </c>
      <c r="K260" s="76">
        <v>0</v>
      </c>
      <c r="L260" s="76">
        <v>0</v>
      </c>
      <c r="M260" s="76">
        <v>19</v>
      </c>
      <c r="N260" s="76">
        <v>23</v>
      </c>
      <c r="O260" s="76">
        <v>17</v>
      </c>
      <c r="P260" s="76">
        <v>17</v>
      </c>
      <c r="Q260" s="76">
        <v>4</v>
      </c>
      <c r="R260" s="76">
        <v>16</v>
      </c>
      <c r="S260" s="76">
        <v>1</v>
      </c>
      <c r="T260" s="76">
        <v>20</v>
      </c>
      <c r="U260" s="76">
        <v>93</v>
      </c>
      <c r="V260" s="76">
        <v>19</v>
      </c>
      <c r="W260" s="76">
        <v>0.29899999999999999</v>
      </c>
      <c r="X260" s="76">
        <v>2.0499999999999998</v>
      </c>
      <c r="Y260" s="76"/>
      <c r="Z260" t="s">
        <v>771</v>
      </c>
      <c r="AA260" s="76" t="s">
        <v>167</v>
      </c>
      <c r="AB260" s="76">
        <v>0</v>
      </c>
      <c r="AC260" s="76">
        <v>1</v>
      </c>
      <c r="AD260" s="76">
        <v>1</v>
      </c>
      <c r="AE260" s="76">
        <v>0</v>
      </c>
      <c r="AF260" s="76">
        <v>2</v>
      </c>
      <c r="AG260" s="76">
        <v>16</v>
      </c>
      <c r="AH260" s="76">
        <v>18</v>
      </c>
      <c r="AI260" s="76">
        <v>2</v>
      </c>
      <c r="AJ260" s="76">
        <v>0</v>
      </c>
      <c r="AK260" s="76">
        <v>3</v>
      </c>
      <c r="AL260" s="76">
        <v>1</v>
      </c>
      <c r="AM260" s="76">
        <v>0</v>
      </c>
      <c r="AN260" s="76">
        <v>388</v>
      </c>
      <c r="AO260" s="202" t="s">
        <v>167</v>
      </c>
      <c r="AP260" s="202">
        <v>0.5</v>
      </c>
      <c r="AQ260" s="202">
        <v>0.93</v>
      </c>
      <c r="AR260" s="202">
        <v>0.26700000000000002</v>
      </c>
      <c r="AS260" s="202">
        <v>0.27300000000000002</v>
      </c>
      <c r="AT260" s="202">
        <v>0.53900000000000003</v>
      </c>
      <c r="AU260" s="202">
        <v>9.98</v>
      </c>
      <c r="AV260" s="202">
        <v>2.93</v>
      </c>
      <c r="AW260" s="202">
        <v>6.46</v>
      </c>
      <c r="AX260" s="202">
        <v>3.4</v>
      </c>
      <c r="AY260" s="202">
        <v>14.74</v>
      </c>
    </row>
    <row r="261" spans="1:51" ht="12.75" customHeight="1" x14ac:dyDescent="0.2">
      <c r="A261" s="76">
        <v>22</v>
      </c>
      <c r="B261" s="41" t="s">
        <v>415</v>
      </c>
      <c r="C261" s="76" t="s">
        <v>167</v>
      </c>
      <c r="D261" s="76">
        <v>0</v>
      </c>
      <c r="E261" s="76">
        <v>1</v>
      </c>
      <c r="F261" s="76">
        <v>11.45</v>
      </c>
      <c r="G261" s="76">
        <v>6</v>
      </c>
      <c r="H261" s="76">
        <v>2</v>
      </c>
      <c r="I261" s="76">
        <v>0</v>
      </c>
      <c r="J261" s="76">
        <v>0</v>
      </c>
      <c r="K261" s="76">
        <v>0</v>
      </c>
      <c r="L261" s="76">
        <v>0</v>
      </c>
      <c r="M261" s="76">
        <v>11</v>
      </c>
      <c r="N261" s="76">
        <v>13</v>
      </c>
      <c r="O261" s="76">
        <v>14</v>
      </c>
      <c r="P261" s="76">
        <v>14</v>
      </c>
      <c r="Q261" s="76">
        <v>4</v>
      </c>
      <c r="R261" s="76">
        <v>9</v>
      </c>
      <c r="S261" s="76">
        <v>1</v>
      </c>
      <c r="T261" s="76">
        <v>12</v>
      </c>
      <c r="U261" s="76">
        <v>55</v>
      </c>
      <c r="V261" s="76">
        <v>11</v>
      </c>
      <c r="W261" s="76">
        <v>0.28899999999999998</v>
      </c>
      <c r="X261" s="76">
        <v>2</v>
      </c>
      <c r="Y261" s="76"/>
      <c r="Z261" t="s">
        <v>415</v>
      </c>
      <c r="AA261" s="76" t="s">
        <v>167</v>
      </c>
      <c r="AB261" s="76">
        <v>0</v>
      </c>
      <c r="AC261" s="76">
        <v>1</v>
      </c>
      <c r="AD261" s="76">
        <v>1</v>
      </c>
      <c r="AE261" s="76">
        <v>0</v>
      </c>
      <c r="AF261" s="76">
        <v>0</v>
      </c>
      <c r="AG261" s="76">
        <v>7</v>
      </c>
      <c r="AH261" s="76">
        <v>14</v>
      </c>
      <c r="AI261" s="76">
        <v>2</v>
      </c>
      <c r="AJ261" s="76">
        <v>0</v>
      </c>
      <c r="AK261" s="76">
        <v>0</v>
      </c>
      <c r="AL261" s="76">
        <v>0</v>
      </c>
      <c r="AM261" s="76">
        <v>0</v>
      </c>
      <c r="AN261" s="76">
        <v>225</v>
      </c>
      <c r="AO261" s="202" t="s">
        <v>167</v>
      </c>
      <c r="AP261" s="202">
        <v>0.57099999999999995</v>
      </c>
      <c r="AQ261" s="202">
        <v>0.65</v>
      </c>
      <c r="AR261" s="202">
        <v>0.26400000000000001</v>
      </c>
      <c r="AS261" s="202">
        <v>0.39500000000000002</v>
      </c>
      <c r="AT261" s="202">
        <v>0.65900000000000003</v>
      </c>
      <c r="AU261" s="202">
        <v>10.17</v>
      </c>
      <c r="AV261" s="202">
        <v>3</v>
      </c>
      <c r="AW261" s="202">
        <v>6.17</v>
      </c>
      <c r="AX261" s="202">
        <v>3.39</v>
      </c>
      <c r="AY261" s="202">
        <v>16.5</v>
      </c>
    </row>
    <row r="262" spans="1:51" ht="12.75" customHeight="1" x14ac:dyDescent="0.2">
      <c r="A262" s="76">
        <v>1</v>
      </c>
      <c r="B262" s="41" t="s">
        <v>516</v>
      </c>
      <c r="C262" s="76" t="s">
        <v>167</v>
      </c>
      <c r="D262" s="76">
        <v>4</v>
      </c>
      <c r="E262" s="76">
        <v>2</v>
      </c>
      <c r="F262" s="76">
        <v>1.97</v>
      </c>
      <c r="G262" s="76">
        <v>80</v>
      </c>
      <c r="H262" s="76">
        <v>0</v>
      </c>
      <c r="I262" s="76">
        <v>0</v>
      </c>
      <c r="J262" s="76">
        <v>0</v>
      </c>
      <c r="K262" s="76">
        <v>1</v>
      </c>
      <c r="L262" s="76">
        <v>5</v>
      </c>
      <c r="M262" s="76">
        <v>77.2</v>
      </c>
      <c r="N262" s="76">
        <v>60</v>
      </c>
      <c r="O262" s="76">
        <v>18</v>
      </c>
      <c r="P262" s="76">
        <v>17</v>
      </c>
      <c r="Q262" s="76">
        <v>4</v>
      </c>
      <c r="R262" s="76">
        <v>13</v>
      </c>
      <c r="S262" s="76">
        <v>4</v>
      </c>
      <c r="T262" s="76">
        <v>91</v>
      </c>
      <c r="U262" s="76">
        <v>304</v>
      </c>
      <c r="V262" s="76">
        <v>77.2</v>
      </c>
      <c r="W262" s="76">
        <v>0.21</v>
      </c>
      <c r="X262" s="76">
        <v>0.94</v>
      </c>
      <c r="Y262" s="76"/>
      <c r="Z262" t="s">
        <v>516</v>
      </c>
      <c r="AA262" s="76" t="s">
        <v>167</v>
      </c>
      <c r="AB262" s="76">
        <v>0</v>
      </c>
      <c r="AC262" s="76">
        <v>4</v>
      </c>
      <c r="AD262" s="76">
        <v>13</v>
      </c>
      <c r="AE262" s="76">
        <v>40</v>
      </c>
      <c r="AF262" s="76">
        <v>2</v>
      </c>
      <c r="AG262" s="76">
        <v>61</v>
      </c>
      <c r="AH262" s="76">
        <v>79</v>
      </c>
      <c r="AI262" s="76">
        <v>4</v>
      </c>
      <c r="AJ262" s="76">
        <v>0</v>
      </c>
      <c r="AK262" s="76">
        <v>0</v>
      </c>
      <c r="AL262" s="76">
        <v>1</v>
      </c>
      <c r="AM262" s="76">
        <v>0</v>
      </c>
      <c r="AN262" s="76">
        <v>1193</v>
      </c>
      <c r="AO262" s="102" t="s">
        <v>157</v>
      </c>
      <c r="AP262" s="102" t="s">
        <v>1081</v>
      </c>
      <c r="AQ262" s="102" t="s">
        <v>1068</v>
      </c>
      <c r="AR262" s="102" t="s">
        <v>1059</v>
      </c>
      <c r="AS262" s="102" t="s">
        <v>1060</v>
      </c>
      <c r="AT262" s="102" t="s">
        <v>1061</v>
      </c>
      <c r="AU262" s="102" t="s">
        <v>1092</v>
      </c>
      <c r="AV262" s="102" t="s">
        <v>1093</v>
      </c>
      <c r="AW262" s="102" t="s">
        <v>1094</v>
      </c>
      <c r="AX262" s="102" t="s">
        <v>1095</v>
      </c>
      <c r="AY262" s="102" t="s">
        <v>1096</v>
      </c>
    </row>
    <row r="263" spans="1:51" ht="12.75" customHeight="1" x14ac:dyDescent="0.2">
      <c r="A263" s="76">
        <v>11</v>
      </c>
      <c r="B263" s="41" t="s">
        <v>1139</v>
      </c>
      <c r="C263" s="76" t="s">
        <v>167</v>
      </c>
      <c r="D263" s="76">
        <v>6</v>
      </c>
      <c r="E263" s="76">
        <v>4</v>
      </c>
      <c r="F263" s="76">
        <v>3.48</v>
      </c>
      <c r="G263" s="76">
        <v>68</v>
      </c>
      <c r="H263" s="76">
        <v>0</v>
      </c>
      <c r="I263" s="76">
        <v>0</v>
      </c>
      <c r="J263" s="76">
        <v>0</v>
      </c>
      <c r="K263" s="76">
        <v>1</v>
      </c>
      <c r="L263" s="76">
        <v>3</v>
      </c>
      <c r="M263" s="76">
        <v>77.2</v>
      </c>
      <c r="N263" s="76">
        <v>69</v>
      </c>
      <c r="O263" s="76">
        <v>32</v>
      </c>
      <c r="P263" s="76">
        <v>30</v>
      </c>
      <c r="Q263" s="76">
        <v>7</v>
      </c>
      <c r="R263" s="76">
        <v>36</v>
      </c>
      <c r="S263" s="76">
        <v>4</v>
      </c>
      <c r="T263" s="76">
        <v>85</v>
      </c>
      <c r="U263" s="76">
        <v>331</v>
      </c>
      <c r="V263" s="76">
        <v>77.2</v>
      </c>
      <c r="W263" s="76">
        <v>0.24</v>
      </c>
      <c r="X263" s="76">
        <v>1.35</v>
      </c>
      <c r="Y263" s="76"/>
      <c r="Z263" t="s">
        <v>1139</v>
      </c>
      <c r="AA263" s="76" t="s">
        <v>167</v>
      </c>
      <c r="AB263" s="76">
        <v>1</v>
      </c>
      <c r="AC263" s="76">
        <v>4</v>
      </c>
      <c r="AD263" s="76">
        <v>15</v>
      </c>
      <c r="AE263" s="76">
        <v>13</v>
      </c>
      <c r="AF263" s="76">
        <v>6</v>
      </c>
      <c r="AG263" s="76">
        <v>47</v>
      </c>
      <c r="AH263" s="76">
        <v>93</v>
      </c>
      <c r="AI263" s="76">
        <v>3</v>
      </c>
      <c r="AJ263" s="76">
        <v>0</v>
      </c>
      <c r="AK263" s="76">
        <v>8</v>
      </c>
      <c r="AL263" s="76">
        <v>3</v>
      </c>
      <c r="AM263" s="76">
        <v>0</v>
      </c>
      <c r="AN263" s="76">
        <v>1376</v>
      </c>
      <c r="AO263" s="202" t="s">
        <v>167</v>
      </c>
      <c r="AP263" s="202">
        <v>0.5</v>
      </c>
      <c r="AQ263" s="202">
        <v>0.85</v>
      </c>
      <c r="AR263" s="202">
        <v>0.26500000000000001</v>
      </c>
      <c r="AS263" s="202">
        <v>0.28799999999999998</v>
      </c>
      <c r="AT263" s="202">
        <v>0.55300000000000005</v>
      </c>
      <c r="AU263" s="202">
        <v>9.18</v>
      </c>
      <c r="AV263" s="202">
        <v>2.4300000000000002</v>
      </c>
      <c r="AW263" s="202">
        <v>6.48</v>
      </c>
      <c r="AX263" s="202">
        <v>3.78</v>
      </c>
      <c r="AY263" s="202">
        <v>14.97</v>
      </c>
    </row>
    <row r="264" spans="1:51" ht="12.75" customHeight="1" x14ac:dyDescent="0.2">
      <c r="A264" s="76">
        <v>2</v>
      </c>
      <c r="B264" s="41" t="s">
        <v>469</v>
      </c>
      <c r="C264" s="76" t="s">
        <v>167</v>
      </c>
      <c r="D264" s="76">
        <v>0</v>
      </c>
      <c r="E264" s="76">
        <v>1</v>
      </c>
      <c r="F264" s="76">
        <v>2.08</v>
      </c>
      <c r="G264" s="76">
        <v>17</v>
      </c>
      <c r="H264" s="76">
        <v>0</v>
      </c>
      <c r="I264" s="76">
        <v>0</v>
      </c>
      <c r="J264" s="76">
        <v>0</v>
      </c>
      <c r="K264" s="76">
        <v>0</v>
      </c>
      <c r="L264" s="76">
        <v>0</v>
      </c>
      <c r="M264" s="76">
        <v>17.100000000000001</v>
      </c>
      <c r="N264" s="76">
        <v>11</v>
      </c>
      <c r="O264" s="76">
        <v>4</v>
      </c>
      <c r="P264" s="76">
        <v>4</v>
      </c>
      <c r="Q264" s="76">
        <v>3</v>
      </c>
      <c r="R264" s="76">
        <v>0</v>
      </c>
      <c r="S264" s="76">
        <v>0</v>
      </c>
      <c r="T264" s="76">
        <v>19</v>
      </c>
      <c r="U264" s="76">
        <v>62</v>
      </c>
      <c r="V264" s="76">
        <v>17.100000000000001</v>
      </c>
      <c r="W264" s="76">
        <v>0.17699999999999999</v>
      </c>
      <c r="X264" s="76">
        <v>0.63</v>
      </c>
      <c r="Y264" s="76"/>
      <c r="Z264" t="s">
        <v>469</v>
      </c>
      <c r="AA264" s="76" t="s">
        <v>167</v>
      </c>
      <c r="AB264" s="76">
        <v>0</v>
      </c>
      <c r="AC264" s="76">
        <v>0</v>
      </c>
      <c r="AD264" s="76">
        <v>2</v>
      </c>
      <c r="AE264" s="76">
        <v>7</v>
      </c>
      <c r="AF264" s="76">
        <v>1</v>
      </c>
      <c r="AG264" s="76">
        <v>9</v>
      </c>
      <c r="AH264" s="76">
        <v>23</v>
      </c>
      <c r="AI264" s="76">
        <v>1</v>
      </c>
      <c r="AJ264" s="76">
        <v>0</v>
      </c>
      <c r="AK264" s="76">
        <v>1</v>
      </c>
      <c r="AL264" s="76">
        <v>0</v>
      </c>
      <c r="AM264" s="76">
        <v>0</v>
      </c>
      <c r="AN264" s="76">
        <v>246</v>
      </c>
      <c r="AO264" s="202" t="s">
        <v>167</v>
      </c>
      <c r="AP264" s="202">
        <v>1</v>
      </c>
      <c r="AQ264" s="202">
        <v>0.28999999999999998</v>
      </c>
      <c r="AR264" s="202">
        <v>0.44400000000000001</v>
      </c>
      <c r="AS264" s="202">
        <v>0.73299999999999998</v>
      </c>
      <c r="AT264" s="202">
        <v>1.1779999999999999</v>
      </c>
      <c r="AU264" s="202">
        <v>4.91</v>
      </c>
      <c r="AV264" s="202">
        <v>2.4500000000000002</v>
      </c>
      <c r="AW264" s="202">
        <v>12.27</v>
      </c>
      <c r="AX264" s="202">
        <v>2</v>
      </c>
      <c r="AY264" s="202">
        <v>19.09</v>
      </c>
    </row>
    <row r="265" spans="1:51" ht="12.75" customHeight="1" x14ac:dyDescent="0.2">
      <c r="A265" s="76">
        <v>14</v>
      </c>
      <c r="B265" t="s">
        <v>1464</v>
      </c>
      <c r="C265" s="76" t="s">
        <v>167</v>
      </c>
      <c r="D265" s="76">
        <v>3</v>
      </c>
      <c r="E265" s="76">
        <v>0</v>
      </c>
      <c r="F265" s="76">
        <v>4.7</v>
      </c>
      <c r="G265" s="76">
        <v>20</v>
      </c>
      <c r="H265" s="76">
        <v>0</v>
      </c>
      <c r="I265" s="76">
        <v>0</v>
      </c>
      <c r="J265" s="76">
        <v>0</v>
      </c>
      <c r="K265" s="76">
        <v>0</v>
      </c>
      <c r="L265" s="76">
        <v>0</v>
      </c>
      <c r="M265" s="76">
        <v>15.1</v>
      </c>
      <c r="N265" s="76">
        <v>16</v>
      </c>
      <c r="O265" s="76">
        <v>10</v>
      </c>
      <c r="P265" s="76">
        <v>8</v>
      </c>
      <c r="Q265" s="76">
        <v>4</v>
      </c>
      <c r="R265" s="76">
        <v>4</v>
      </c>
      <c r="S265" s="76">
        <v>1</v>
      </c>
      <c r="T265" s="76">
        <v>25</v>
      </c>
      <c r="U265" s="76">
        <v>65</v>
      </c>
      <c r="V265" s="76">
        <v>15.1</v>
      </c>
      <c r="W265" s="76">
        <v>0.26700000000000002</v>
      </c>
      <c r="X265" s="76">
        <v>1.3</v>
      </c>
      <c r="Y265" s="76"/>
      <c r="Z265" t="s">
        <v>1464</v>
      </c>
      <c r="AA265" s="76" t="s">
        <v>167</v>
      </c>
      <c r="AB265" s="76">
        <v>1</v>
      </c>
      <c r="AC265" s="76">
        <v>1</v>
      </c>
      <c r="AD265" s="76">
        <v>4</v>
      </c>
      <c r="AE265" s="76">
        <v>3</v>
      </c>
      <c r="AF265" s="76">
        <v>2</v>
      </c>
      <c r="AG265" s="76">
        <v>7</v>
      </c>
      <c r="AH265" s="76">
        <v>12</v>
      </c>
      <c r="AI265" s="76">
        <v>0</v>
      </c>
      <c r="AJ265" s="76">
        <v>0</v>
      </c>
      <c r="AK265" s="76">
        <v>1</v>
      </c>
      <c r="AL265" s="76">
        <v>0</v>
      </c>
      <c r="AM265" s="76">
        <v>0</v>
      </c>
      <c r="AN265" s="76">
        <v>258</v>
      </c>
      <c r="AO265" s="202" t="s">
        <v>167</v>
      </c>
      <c r="AP265" s="202">
        <v>1</v>
      </c>
      <c r="AQ265" s="202">
        <v>1.06</v>
      </c>
      <c r="AR265" s="202">
        <v>0.30399999999999999</v>
      </c>
      <c r="AS265" s="202">
        <v>0.34599999999999997</v>
      </c>
      <c r="AT265" s="202">
        <v>0.65</v>
      </c>
      <c r="AU265" s="202">
        <v>8.58</v>
      </c>
      <c r="AV265" s="202">
        <v>2.52</v>
      </c>
      <c r="AW265" s="202">
        <v>8.58</v>
      </c>
      <c r="AX265" s="202">
        <v>3.4</v>
      </c>
      <c r="AY265" s="202">
        <v>16.149999999999999</v>
      </c>
    </row>
    <row r="266" spans="1:51" ht="12.75" customHeight="1" x14ac:dyDescent="0.2">
      <c r="A266" s="76">
        <v>5</v>
      </c>
      <c r="B266" s="41" t="s">
        <v>1138</v>
      </c>
      <c r="C266" s="76" t="s">
        <v>167</v>
      </c>
      <c r="D266" s="76">
        <v>14</v>
      </c>
      <c r="E266" s="76">
        <v>9</v>
      </c>
      <c r="F266" s="76">
        <v>2.6</v>
      </c>
      <c r="G266" s="76">
        <v>31</v>
      </c>
      <c r="H266" s="76">
        <v>30</v>
      </c>
      <c r="I266" s="76">
        <v>0</v>
      </c>
      <c r="J266" s="76">
        <v>0</v>
      </c>
      <c r="K266" s="76">
        <v>0</v>
      </c>
      <c r="L266" s="76">
        <v>0</v>
      </c>
      <c r="M266" s="76">
        <v>183.2</v>
      </c>
      <c r="N266" s="76">
        <v>168</v>
      </c>
      <c r="O266" s="76">
        <v>61</v>
      </c>
      <c r="P266" s="76">
        <v>53</v>
      </c>
      <c r="Q266" s="76">
        <v>11</v>
      </c>
      <c r="R266" s="76">
        <v>43</v>
      </c>
      <c r="S266" s="76">
        <v>2</v>
      </c>
      <c r="T266" s="76">
        <v>218</v>
      </c>
      <c r="U266" s="76">
        <v>744</v>
      </c>
      <c r="V266" s="76">
        <v>183.2</v>
      </c>
      <c r="W266" s="76">
        <v>0.24299999999999999</v>
      </c>
      <c r="X266" s="76">
        <v>1.1499999999999999</v>
      </c>
      <c r="Y266" s="76"/>
      <c r="Z266" t="s">
        <v>1138</v>
      </c>
      <c r="AA266" s="76" t="s">
        <v>167</v>
      </c>
      <c r="AB266" s="76">
        <v>2</v>
      </c>
      <c r="AC266" s="76">
        <v>2</v>
      </c>
      <c r="AD266" s="76">
        <v>0</v>
      </c>
      <c r="AE266" s="76">
        <v>1</v>
      </c>
      <c r="AF266" s="76">
        <v>14</v>
      </c>
      <c r="AG266" s="76">
        <v>189</v>
      </c>
      <c r="AH266" s="76">
        <v>124</v>
      </c>
      <c r="AI266" s="76">
        <v>10</v>
      </c>
      <c r="AJ266" s="76">
        <v>1</v>
      </c>
      <c r="AK266" s="76">
        <v>48</v>
      </c>
      <c r="AL266" s="76">
        <v>9</v>
      </c>
      <c r="AM266" s="76">
        <v>1</v>
      </c>
      <c r="AN266" s="76">
        <v>2935</v>
      </c>
      <c r="AO266" s="202" t="s">
        <v>167</v>
      </c>
      <c r="AP266" s="202">
        <v>0.8</v>
      </c>
      <c r="AQ266" s="202">
        <v>0.36</v>
      </c>
      <c r="AR266" s="202">
        <v>0.27100000000000002</v>
      </c>
      <c r="AS266" s="202">
        <v>0.36699999999999999</v>
      </c>
      <c r="AT266" s="202">
        <v>0.63700000000000001</v>
      </c>
      <c r="AU266" s="202">
        <v>7.24</v>
      </c>
      <c r="AV266" s="202">
        <v>2.78</v>
      </c>
      <c r="AW266" s="202">
        <v>6.68</v>
      </c>
      <c r="AX266" s="202">
        <v>2.6</v>
      </c>
      <c r="AY266" s="202">
        <v>16.3</v>
      </c>
    </row>
    <row r="267" spans="1:51" ht="12.75" customHeight="1" x14ac:dyDescent="0.2">
      <c r="A267" s="76">
        <v>17</v>
      </c>
      <c r="B267" s="41" t="s">
        <v>1137</v>
      </c>
      <c r="C267" s="76" t="s">
        <v>167</v>
      </c>
      <c r="D267" s="76">
        <v>3</v>
      </c>
      <c r="E267" s="76">
        <v>8</v>
      </c>
      <c r="F267" s="76">
        <v>5.2</v>
      </c>
      <c r="G267" s="76">
        <v>35</v>
      </c>
      <c r="H267" s="76">
        <v>12</v>
      </c>
      <c r="I267" s="76">
        <v>0</v>
      </c>
      <c r="J267" s="76">
        <v>0</v>
      </c>
      <c r="K267" s="76">
        <v>0</v>
      </c>
      <c r="L267" s="76">
        <v>0</v>
      </c>
      <c r="M267" s="76">
        <v>91.2</v>
      </c>
      <c r="N267" s="76">
        <v>100</v>
      </c>
      <c r="O267" s="76">
        <v>55</v>
      </c>
      <c r="P267" s="76">
        <v>53</v>
      </c>
      <c r="Q267" s="76">
        <v>16</v>
      </c>
      <c r="R267" s="76">
        <v>43</v>
      </c>
      <c r="S267" s="76">
        <v>3</v>
      </c>
      <c r="T267" s="76">
        <v>66</v>
      </c>
      <c r="U267" s="76">
        <v>406</v>
      </c>
      <c r="V267" s="76">
        <v>91.2</v>
      </c>
      <c r="W267" s="76">
        <v>0.28299999999999997</v>
      </c>
      <c r="X267" s="76">
        <v>1.56</v>
      </c>
      <c r="Y267" s="76"/>
      <c r="Z267" t="s">
        <v>1137</v>
      </c>
      <c r="AA267" s="76" t="s">
        <v>167</v>
      </c>
      <c r="AB267" s="76">
        <v>4</v>
      </c>
      <c r="AC267" s="76">
        <v>3</v>
      </c>
      <c r="AD267" s="76">
        <v>10</v>
      </c>
      <c r="AE267" s="76">
        <v>0</v>
      </c>
      <c r="AF267" s="76">
        <v>10</v>
      </c>
      <c r="AG267" s="76">
        <v>110</v>
      </c>
      <c r="AH267" s="76">
        <v>83</v>
      </c>
      <c r="AI267" s="76">
        <v>4</v>
      </c>
      <c r="AJ267" s="76">
        <v>1</v>
      </c>
      <c r="AK267" s="76">
        <v>3</v>
      </c>
      <c r="AL267" s="76">
        <v>5</v>
      </c>
      <c r="AM267" s="76">
        <v>0</v>
      </c>
      <c r="AN267" s="76">
        <v>1570</v>
      </c>
      <c r="AO267" s="202" t="s">
        <v>167</v>
      </c>
      <c r="AP267" s="202" t="s">
        <v>243</v>
      </c>
      <c r="AQ267" s="202">
        <v>1</v>
      </c>
      <c r="AR267" s="202">
        <v>0.75</v>
      </c>
      <c r="AS267" s="202">
        <v>1.2</v>
      </c>
      <c r="AT267" s="202">
        <v>1.95</v>
      </c>
      <c r="AU267" s="202">
        <v>0</v>
      </c>
      <c r="AV267" s="202">
        <v>40.5</v>
      </c>
      <c r="AW267" s="202">
        <v>40.5</v>
      </c>
      <c r="AX267" s="202">
        <v>0</v>
      </c>
      <c r="AY267" s="202">
        <v>37.5</v>
      </c>
    </row>
    <row r="268" spans="1:51" ht="12.75" customHeight="1" x14ac:dyDescent="0.2">
      <c r="A268" s="76">
        <v>19</v>
      </c>
      <c r="B268" t="s">
        <v>1466</v>
      </c>
      <c r="C268" s="76" t="s">
        <v>167</v>
      </c>
      <c r="D268" s="76">
        <v>1</v>
      </c>
      <c r="E268" s="76">
        <v>0</v>
      </c>
      <c r="F268" s="76">
        <v>6.38</v>
      </c>
      <c r="G268" s="76">
        <v>10</v>
      </c>
      <c r="H268" s="76">
        <v>3</v>
      </c>
      <c r="I268" s="76">
        <v>0</v>
      </c>
      <c r="J268" s="76">
        <v>0</v>
      </c>
      <c r="K268" s="76">
        <v>0</v>
      </c>
      <c r="L268" s="76">
        <v>0</v>
      </c>
      <c r="M268" s="76">
        <v>18.100000000000001</v>
      </c>
      <c r="N268" s="76">
        <v>26</v>
      </c>
      <c r="O268" s="76">
        <v>13</v>
      </c>
      <c r="P268" s="76">
        <v>13</v>
      </c>
      <c r="Q268" s="76">
        <v>0</v>
      </c>
      <c r="R268" s="76">
        <v>7</v>
      </c>
      <c r="S268" s="76">
        <v>0</v>
      </c>
      <c r="T268" s="76">
        <v>17</v>
      </c>
      <c r="U268" s="76">
        <v>88</v>
      </c>
      <c r="V268" s="76">
        <v>18.100000000000001</v>
      </c>
      <c r="W268" s="76">
        <v>0.33300000000000002</v>
      </c>
      <c r="X268" s="76">
        <v>1.8</v>
      </c>
      <c r="Y268" s="76"/>
      <c r="Z268" t="s">
        <v>1466</v>
      </c>
      <c r="AA268" s="76" t="s">
        <v>167</v>
      </c>
      <c r="AB268" s="76">
        <v>1</v>
      </c>
      <c r="AC268" s="76">
        <v>0</v>
      </c>
      <c r="AD268" s="76">
        <v>2</v>
      </c>
      <c r="AE268" s="76">
        <v>0</v>
      </c>
      <c r="AF268" s="76">
        <v>1</v>
      </c>
      <c r="AG268" s="76">
        <v>20</v>
      </c>
      <c r="AH268" s="76">
        <v>17</v>
      </c>
      <c r="AI268" s="76">
        <v>0</v>
      </c>
      <c r="AJ268" s="76">
        <v>0</v>
      </c>
      <c r="AK268" s="76">
        <v>3</v>
      </c>
      <c r="AL268" s="76">
        <v>0</v>
      </c>
      <c r="AM268" s="76">
        <v>0</v>
      </c>
      <c r="AN268" s="76">
        <v>323</v>
      </c>
      <c r="AO268" s="202" t="s">
        <v>167</v>
      </c>
      <c r="AP268" s="202" t="s">
        <v>243</v>
      </c>
      <c r="AQ268" s="202">
        <v>1.22</v>
      </c>
      <c r="AR268" s="202">
        <v>0.49</v>
      </c>
      <c r="AS268" s="202">
        <v>0.59099999999999997</v>
      </c>
      <c r="AT268" s="202">
        <v>1.081</v>
      </c>
      <c r="AU268" s="202">
        <v>6.23</v>
      </c>
      <c r="AV268" s="202">
        <v>5.19</v>
      </c>
      <c r="AW268" s="202">
        <v>18.690000000000001</v>
      </c>
      <c r="AX268" s="202">
        <v>1.2</v>
      </c>
      <c r="AY268" s="202">
        <v>20.88</v>
      </c>
    </row>
    <row r="269" spans="1:51" ht="12.75" customHeight="1" x14ac:dyDescent="0.2">
      <c r="A269" s="225" t="s">
        <v>105</v>
      </c>
      <c r="B269" s="225" t="s">
        <v>106</v>
      </c>
      <c r="C269" s="225" t="s">
        <v>157</v>
      </c>
      <c r="D269" s="225" t="s">
        <v>85</v>
      </c>
      <c r="E269" s="225" t="s">
        <v>86</v>
      </c>
      <c r="F269" s="225" t="s">
        <v>107</v>
      </c>
      <c r="G269" s="225" t="s">
        <v>108</v>
      </c>
      <c r="H269" s="225" t="s">
        <v>88</v>
      </c>
      <c r="I269" s="225" t="s">
        <v>89</v>
      </c>
      <c r="J269" s="225" t="s">
        <v>1073</v>
      </c>
      <c r="K269" s="225" t="s">
        <v>90</v>
      </c>
      <c r="L269" s="225" t="s">
        <v>158</v>
      </c>
      <c r="M269" s="225" t="s">
        <v>91</v>
      </c>
      <c r="N269" s="225" t="s">
        <v>92</v>
      </c>
      <c r="O269" s="225" t="s">
        <v>93</v>
      </c>
      <c r="P269" s="225" t="s">
        <v>94</v>
      </c>
      <c r="Q269" s="225" t="s">
        <v>95</v>
      </c>
      <c r="R269" s="225" t="s">
        <v>96</v>
      </c>
      <c r="S269" s="225" t="s">
        <v>98</v>
      </c>
      <c r="T269" s="225" t="s">
        <v>97</v>
      </c>
      <c r="U269" s="225" t="s">
        <v>109</v>
      </c>
      <c r="V269" s="225" t="s">
        <v>91</v>
      </c>
      <c r="W269" s="225" t="s">
        <v>1071</v>
      </c>
      <c r="X269" s="225" t="s">
        <v>1072</v>
      </c>
      <c r="Y269" s="225"/>
      <c r="Z269" s="225" t="s">
        <v>106</v>
      </c>
      <c r="AA269" s="225" t="s">
        <v>157</v>
      </c>
      <c r="AB269" s="225" t="s">
        <v>1074</v>
      </c>
      <c r="AC269" s="225" t="s">
        <v>98</v>
      </c>
      <c r="AD269" s="225" t="s">
        <v>1075</v>
      </c>
      <c r="AE269" s="225" t="s">
        <v>1076</v>
      </c>
      <c r="AF269" s="225" t="s">
        <v>1077</v>
      </c>
      <c r="AG269" s="225" t="s">
        <v>1066</v>
      </c>
      <c r="AH269" s="225" t="s">
        <v>1067</v>
      </c>
      <c r="AI269" s="225" t="s">
        <v>1078</v>
      </c>
      <c r="AJ269" s="225" t="s">
        <v>1079</v>
      </c>
      <c r="AK269" s="225" t="s">
        <v>1057</v>
      </c>
      <c r="AL269" s="225" t="s">
        <v>1058</v>
      </c>
      <c r="AM269" s="225" t="s">
        <v>1080</v>
      </c>
      <c r="AN269" s="225" t="s">
        <v>1069</v>
      </c>
      <c r="AO269" s="202" t="s">
        <v>167</v>
      </c>
      <c r="AP269" s="202" t="s">
        <v>243</v>
      </c>
      <c r="AQ269" s="202">
        <v>1.67</v>
      </c>
      <c r="AR269" s="202">
        <v>0.40699999999999997</v>
      </c>
      <c r="AS269" s="202">
        <v>0.625</v>
      </c>
      <c r="AT269" s="202">
        <v>1.032</v>
      </c>
      <c r="AU269" s="202">
        <v>12.71</v>
      </c>
      <c r="AV269" s="202">
        <v>3.18</v>
      </c>
      <c r="AW269" s="202">
        <v>12.71</v>
      </c>
      <c r="AX269" s="202">
        <v>4</v>
      </c>
      <c r="AY269" s="202">
        <v>19.760000000000002</v>
      </c>
    </row>
    <row r="270" spans="1:51" ht="12.75" customHeight="1" x14ac:dyDescent="0.2">
      <c r="A270" s="76">
        <v>15</v>
      </c>
      <c r="B270" s="41" t="s">
        <v>1143</v>
      </c>
      <c r="C270" s="76" t="s">
        <v>168</v>
      </c>
      <c r="D270" s="76">
        <v>2</v>
      </c>
      <c r="E270" s="76">
        <v>1</v>
      </c>
      <c r="F270" s="76">
        <v>5.6</v>
      </c>
      <c r="G270" s="76">
        <v>32</v>
      </c>
      <c r="H270" s="76">
        <v>0</v>
      </c>
      <c r="I270" s="76">
        <v>0</v>
      </c>
      <c r="J270" s="76">
        <v>0</v>
      </c>
      <c r="K270" s="76">
        <v>0</v>
      </c>
      <c r="L270" s="76">
        <v>1</v>
      </c>
      <c r="M270" s="76">
        <v>27.1</v>
      </c>
      <c r="N270" s="76">
        <v>35</v>
      </c>
      <c r="O270" s="76">
        <v>22</v>
      </c>
      <c r="P270" s="76">
        <v>17</v>
      </c>
      <c r="Q270" s="76">
        <v>4</v>
      </c>
      <c r="R270" s="76">
        <v>17</v>
      </c>
      <c r="S270" s="76">
        <v>2</v>
      </c>
      <c r="T270" s="76">
        <v>29</v>
      </c>
      <c r="U270" s="76">
        <v>134</v>
      </c>
      <c r="V270" s="76">
        <v>27.1</v>
      </c>
      <c r="W270" s="76">
        <v>0.313</v>
      </c>
      <c r="X270" s="76">
        <v>1.9</v>
      </c>
      <c r="Y270" s="76"/>
      <c r="Z270" t="s">
        <v>1143</v>
      </c>
      <c r="AA270" s="76" t="s">
        <v>168</v>
      </c>
      <c r="AB270" s="76">
        <v>2</v>
      </c>
      <c r="AC270" s="76">
        <v>2</v>
      </c>
      <c r="AD270" s="76">
        <v>9</v>
      </c>
      <c r="AE270" s="76">
        <v>4</v>
      </c>
      <c r="AF270" s="76">
        <v>2</v>
      </c>
      <c r="AG270" s="76">
        <v>20</v>
      </c>
      <c r="AH270" s="76">
        <v>31</v>
      </c>
      <c r="AI270" s="76">
        <v>0</v>
      </c>
      <c r="AJ270" s="76">
        <v>1</v>
      </c>
      <c r="AK270" s="76">
        <v>1</v>
      </c>
      <c r="AL270" s="76">
        <v>1</v>
      </c>
      <c r="AM270" s="76">
        <v>0</v>
      </c>
      <c r="AN270" s="76">
        <v>543</v>
      </c>
      <c r="AO270" s="202" t="s">
        <v>168</v>
      </c>
      <c r="AP270" s="202" t="s">
        <v>243</v>
      </c>
      <c r="AQ270" s="202">
        <v>0.25</v>
      </c>
      <c r="AR270" s="202">
        <v>0.45500000000000002</v>
      </c>
      <c r="AS270" s="202">
        <v>0.66700000000000004</v>
      </c>
      <c r="AT270" s="202">
        <v>1.121</v>
      </c>
      <c r="AU270" s="202">
        <v>4.5</v>
      </c>
      <c r="AV270" s="202">
        <v>13.5</v>
      </c>
      <c r="AW270" s="202">
        <v>4.5</v>
      </c>
      <c r="AX270" s="202">
        <v>0.33</v>
      </c>
      <c r="AY270" s="202">
        <v>24</v>
      </c>
    </row>
    <row r="271" spans="1:51" ht="12.75" customHeight="1" x14ac:dyDescent="0.2">
      <c r="A271" s="76">
        <v>1</v>
      </c>
      <c r="B271" t="s">
        <v>1150</v>
      </c>
      <c r="C271" s="76" t="s">
        <v>168</v>
      </c>
      <c r="D271" s="76">
        <v>2</v>
      </c>
      <c r="E271" s="76">
        <v>1</v>
      </c>
      <c r="F271" s="76">
        <v>2.2799999999999998</v>
      </c>
      <c r="G271" s="76">
        <v>5</v>
      </c>
      <c r="H271" s="76">
        <v>5</v>
      </c>
      <c r="I271" s="76">
        <v>0</v>
      </c>
      <c r="J271" s="76">
        <v>0</v>
      </c>
      <c r="K271" s="76">
        <v>0</v>
      </c>
      <c r="L271" s="76">
        <v>0</v>
      </c>
      <c r="M271" s="76">
        <v>27.2</v>
      </c>
      <c r="N271" s="76">
        <v>22</v>
      </c>
      <c r="O271" s="76">
        <v>11</v>
      </c>
      <c r="P271" s="76">
        <v>7</v>
      </c>
      <c r="Q271" s="76">
        <v>1</v>
      </c>
      <c r="R271" s="76">
        <v>4</v>
      </c>
      <c r="S271" s="76">
        <v>0</v>
      </c>
      <c r="T271" s="76">
        <v>13</v>
      </c>
      <c r="U271" s="76">
        <v>111</v>
      </c>
      <c r="V271" s="76">
        <v>27.2</v>
      </c>
      <c r="W271" s="76">
        <v>0.216</v>
      </c>
      <c r="X271" s="76">
        <v>0.94</v>
      </c>
      <c r="Y271" s="76"/>
      <c r="Z271" t="s">
        <v>1150</v>
      </c>
      <c r="AA271" s="76" t="s">
        <v>168</v>
      </c>
      <c r="AB271" s="76">
        <v>2</v>
      </c>
      <c r="AC271" s="76">
        <v>0</v>
      </c>
      <c r="AD271" s="76">
        <v>0</v>
      </c>
      <c r="AE271" s="76">
        <v>0</v>
      </c>
      <c r="AF271" s="76">
        <v>2</v>
      </c>
      <c r="AG271" s="76">
        <v>29</v>
      </c>
      <c r="AH271" s="76">
        <v>41</v>
      </c>
      <c r="AI271" s="76">
        <v>0</v>
      </c>
      <c r="AJ271" s="76">
        <v>0</v>
      </c>
      <c r="AK271" s="76">
        <v>0</v>
      </c>
      <c r="AL271" s="76">
        <v>1</v>
      </c>
      <c r="AM271" s="76">
        <v>1</v>
      </c>
      <c r="AN271" s="76">
        <v>424</v>
      </c>
      <c r="AO271" s="202" t="s">
        <v>167</v>
      </c>
      <c r="AP271" s="202">
        <v>0.56299999999999994</v>
      </c>
      <c r="AQ271" s="202">
        <v>1.1100000000000001</v>
      </c>
      <c r="AR271" s="202">
        <v>0.26800000000000002</v>
      </c>
      <c r="AS271" s="202">
        <v>0.378</v>
      </c>
      <c r="AT271" s="202">
        <v>0.64500000000000002</v>
      </c>
      <c r="AU271" s="202">
        <v>9.9600000000000009</v>
      </c>
      <c r="AV271" s="202">
        <v>1.86</v>
      </c>
      <c r="AW271" s="202">
        <v>7.56</v>
      </c>
      <c r="AX271" s="202">
        <v>5.35</v>
      </c>
      <c r="AY271" s="202">
        <v>15.87</v>
      </c>
    </row>
    <row r="272" spans="1:51" ht="12.75" customHeight="1" x14ac:dyDescent="0.2">
      <c r="A272" s="76">
        <v>21</v>
      </c>
      <c r="B272" t="s">
        <v>1201</v>
      </c>
      <c r="C272" s="76" t="s">
        <v>168</v>
      </c>
      <c r="D272" s="76">
        <v>3</v>
      </c>
      <c r="E272" s="76">
        <v>1</v>
      </c>
      <c r="F272" s="76">
        <v>6.4</v>
      </c>
      <c r="G272" s="76">
        <v>33</v>
      </c>
      <c r="H272" s="76">
        <v>0</v>
      </c>
      <c r="I272" s="76">
        <v>0</v>
      </c>
      <c r="J272" s="76">
        <v>0</v>
      </c>
      <c r="K272" s="76">
        <v>0</v>
      </c>
      <c r="L272" s="76">
        <v>1</v>
      </c>
      <c r="M272" s="76">
        <v>32.1</v>
      </c>
      <c r="N272" s="76">
        <v>32</v>
      </c>
      <c r="O272" s="76">
        <v>23</v>
      </c>
      <c r="P272" s="76">
        <v>23</v>
      </c>
      <c r="Q272" s="76">
        <v>6</v>
      </c>
      <c r="R272" s="76">
        <v>15</v>
      </c>
      <c r="S272" s="76">
        <v>0</v>
      </c>
      <c r="T272" s="76">
        <v>33</v>
      </c>
      <c r="U272" s="76">
        <v>144</v>
      </c>
      <c r="V272" s="76">
        <v>32.1</v>
      </c>
      <c r="W272" s="76">
        <v>0.26</v>
      </c>
      <c r="X272" s="76">
        <v>1.45</v>
      </c>
      <c r="Y272" s="76"/>
      <c r="Z272" t="s">
        <v>1201</v>
      </c>
      <c r="AA272" s="76" t="s">
        <v>168</v>
      </c>
      <c r="AB272" s="76">
        <v>1</v>
      </c>
      <c r="AC272" s="76">
        <v>0</v>
      </c>
      <c r="AD272" s="76">
        <v>4</v>
      </c>
      <c r="AE272" s="76">
        <v>5</v>
      </c>
      <c r="AF272" s="76">
        <v>1</v>
      </c>
      <c r="AG272" s="76">
        <v>30</v>
      </c>
      <c r="AH272" s="76">
        <v>33</v>
      </c>
      <c r="AI272" s="76">
        <v>2</v>
      </c>
      <c r="AJ272" s="76">
        <v>1</v>
      </c>
      <c r="AK272" s="76">
        <v>2</v>
      </c>
      <c r="AL272" s="76">
        <v>1</v>
      </c>
      <c r="AM272" s="76">
        <v>0</v>
      </c>
      <c r="AN272" s="76">
        <v>607</v>
      </c>
      <c r="AO272" s="202" t="s">
        <v>168</v>
      </c>
      <c r="AP272" s="202">
        <v>0.28599999999999998</v>
      </c>
      <c r="AQ272" s="202">
        <v>0.69</v>
      </c>
      <c r="AR272" s="202">
        <v>0.33200000000000002</v>
      </c>
      <c r="AS272" s="202">
        <v>0.47</v>
      </c>
      <c r="AT272" s="202">
        <v>0.80200000000000005</v>
      </c>
      <c r="AU272" s="202">
        <v>5.64</v>
      </c>
      <c r="AV272" s="202">
        <v>2.66</v>
      </c>
      <c r="AW272" s="202">
        <v>9.8699999999999992</v>
      </c>
      <c r="AX272" s="202">
        <v>2.12</v>
      </c>
      <c r="AY272" s="202">
        <v>16.5</v>
      </c>
    </row>
    <row r="273" spans="1:51" ht="12.75" customHeight="1" x14ac:dyDescent="0.2">
      <c r="A273" s="76">
        <v>14</v>
      </c>
      <c r="B273" s="41" t="s">
        <v>1469</v>
      </c>
      <c r="C273" s="76" t="s">
        <v>168</v>
      </c>
      <c r="D273" s="76">
        <v>3</v>
      </c>
      <c r="E273" s="76">
        <v>5</v>
      </c>
      <c r="F273" s="76">
        <v>5.54</v>
      </c>
      <c r="G273" s="76">
        <v>11</v>
      </c>
      <c r="H273" s="76">
        <v>11</v>
      </c>
      <c r="I273" s="76">
        <v>2</v>
      </c>
      <c r="J273" s="76">
        <v>1</v>
      </c>
      <c r="K273" s="76">
        <v>0</v>
      </c>
      <c r="L273" s="76">
        <v>0</v>
      </c>
      <c r="M273" s="76">
        <v>63.1</v>
      </c>
      <c r="N273" s="76">
        <v>67</v>
      </c>
      <c r="O273" s="76">
        <v>42</v>
      </c>
      <c r="P273" s="76">
        <v>39</v>
      </c>
      <c r="Q273" s="76">
        <v>12</v>
      </c>
      <c r="R273" s="76">
        <v>17</v>
      </c>
      <c r="S273" s="76">
        <v>1</v>
      </c>
      <c r="T273" s="76">
        <v>31</v>
      </c>
      <c r="U273" s="76">
        <v>272</v>
      </c>
      <c r="V273" s="76">
        <v>63.1</v>
      </c>
      <c r="W273" s="76">
        <v>0.26900000000000002</v>
      </c>
      <c r="X273" s="76">
        <v>1.33</v>
      </c>
      <c r="Y273" s="76"/>
      <c r="Z273" t="s">
        <v>1469</v>
      </c>
      <c r="AA273" s="76" t="s">
        <v>168</v>
      </c>
      <c r="AB273" s="76">
        <v>1</v>
      </c>
      <c r="AC273" s="76">
        <v>1</v>
      </c>
      <c r="AD273" s="76">
        <v>0</v>
      </c>
      <c r="AE273" s="76">
        <v>0</v>
      </c>
      <c r="AF273" s="76">
        <v>5</v>
      </c>
      <c r="AG273" s="76">
        <v>66</v>
      </c>
      <c r="AH273" s="76">
        <v>90</v>
      </c>
      <c r="AI273" s="76">
        <v>1</v>
      </c>
      <c r="AJ273" s="76">
        <v>0</v>
      </c>
      <c r="AK273" s="76">
        <v>7</v>
      </c>
      <c r="AL273" s="76">
        <v>2</v>
      </c>
      <c r="AM273" s="76">
        <v>0</v>
      </c>
      <c r="AN273" s="76">
        <v>992</v>
      </c>
      <c r="AO273" s="202" t="s">
        <v>168</v>
      </c>
      <c r="AP273" s="202">
        <v>0.5</v>
      </c>
      <c r="AQ273" s="202">
        <v>0.63</v>
      </c>
      <c r="AR273" s="202">
        <v>0.26100000000000001</v>
      </c>
      <c r="AS273" s="202">
        <v>0.36</v>
      </c>
      <c r="AT273" s="202">
        <v>0.621</v>
      </c>
      <c r="AU273" s="202">
        <v>8.65</v>
      </c>
      <c r="AV273" s="202">
        <v>2.29</v>
      </c>
      <c r="AW273" s="202">
        <v>7.06</v>
      </c>
      <c r="AX273" s="202">
        <v>3.77</v>
      </c>
      <c r="AY273" s="202">
        <v>14.49</v>
      </c>
    </row>
    <row r="274" spans="1:51" ht="12.75" customHeight="1" x14ac:dyDescent="0.2">
      <c r="A274" s="76">
        <v>5</v>
      </c>
      <c r="B274" s="41" t="s">
        <v>1142</v>
      </c>
      <c r="C274" s="76" t="s">
        <v>168</v>
      </c>
      <c r="D274" s="76">
        <v>11</v>
      </c>
      <c r="E274" s="76">
        <v>14</v>
      </c>
      <c r="F274" s="76">
        <v>3.65</v>
      </c>
      <c r="G274" s="76">
        <v>33</v>
      </c>
      <c r="H274" s="76">
        <v>33</v>
      </c>
      <c r="I274" s="76">
        <v>0</v>
      </c>
      <c r="J274" s="76">
        <v>0</v>
      </c>
      <c r="K274" s="76">
        <v>0</v>
      </c>
      <c r="L274" s="76">
        <v>0</v>
      </c>
      <c r="M274" s="76">
        <v>197.1</v>
      </c>
      <c r="N274" s="76">
        <v>187</v>
      </c>
      <c r="O274" s="76">
        <v>88</v>
      </c>
      <c r="P274" s="76">
        <v>80</v>
      </c>
      <c r="Q274" s="76">
        <v>30</v>
      </c>
      <c r="R274" s="76">
        <v>42</v>
      </c>
      <c r="S274" s="76">
        <v>2</v>
      </c>
      <c r="T274" s="76">
        <v>167</v>
      </c>
      <c r="U274" s="76">
        <v>811</v>
      </c>
      <c r="V274" s="76">
        <v>197.1</v>
      </c>
      <c r="W274" s="76">
        <v>0.251</v>
      </c>
      <c r="X274" s="76">
        <v>1.1599999999999999</v>
      </c>
      <c r="Y274" s="76"/>
      <c r="Z274" t="s">
        <v>1142</v>
      </c>
      <c r="AA274" s="76" t="s">
        <v>168</v>
      </c>
      <c r="AB274" s="76">
        <v>8</v>
      </c>
      <c r="AC274" s="76">
        <v>2</v>
      </c>
      <c r="AD274" s="76">
        <v>0</v>
      </c>
      <c r="AE274" s="76">
        <v>0</v>
      </c>
      <c r="AF274" s="76">
        <v>14</v>
      </c>
      <c r="AG274" s="76">
        <v>194</v>
      </c>
      <c r="AH274" s="76">
        <v>213</v>
      </c>
      <c r="AI274" s="76">
        <v>6</v>
      </c>
      <c r="AJ274" s="76">
        <v>2</v>
      </c>
      <c r="AK274" s="76">
        <v>9</v>
      </c>
      <c r="AL274" s="76">
        <v>5</v>
      </c>
      <c r="AM274" s="76">
        <v>1</v>
      </c>
      <c r="AN274" s="76">
        <v>3028</v>
      </c>
      <c r="AO274" s="102" t="s">
        <v>157</v>
      </c>
      <c r="AP274" s="102" t="s">
        <v>1081</v>
      </c>
      <c r="AQ274" s="102" t="s">
        <v>1068</v>
      </c>
      <c r="AR274" s="102" t="s">
        <v>1059</v>
      </c>
      <c r="AS274" s="102" t="s">
        <v>1060</v>
      </c>
      <c r="AT274" s="102" t="s">
        <v>1061</v>
      </c>
      <c r="AU274" s="102" t="s">
        <v>1092</v>
      </c>
      <c r="AV274" s="102" t="s">
        <v>1093</v>
      </c>
      <c r="AW274" s="102" t="s">
        <v>1094</v>
      </c>
      <c r="AX274" s="102" t="s">
        <v>1095</v>
      </c>
      <c r="AY274" s="102" t="s">
        <v>1096</v>
      </c>
    </row>
    <row r="275" spans="1:51" ht="12.75" customHeight="1" x14ac:dyDescent="0.2">
      <c r="A275" s="76">
        <v>22</v>
      </c>
      <c r="B275" t="s">
        <v>423</v>
      </c>
      <c r="C275" s="76" t="s">
        <v>168</v>
      </c>
      <c r="D275" s="76">
        <v>1</v>
      </c>
      <c r="E275" s="76">
        <v>1</v>
      </c>
      <c r="F275" s="76">
        <v>6.46</v>
      </c>
      <c r="G275" s="76">
        <v>17</v>
      </c>
      <c r="H275" s="76">
        <v>0</v>
      </c>
      <c r="I275" s="76">
        <v>0</v>
      </c>
      <c r="J275" s="76">
        <v>0</v>
      </c>
      <c r="K275" s="76">
        <v>0</v>
      </c>
      <c r="L275" s="76">
        <v>1</v>
      </c>
      <c r="M275" s="76">
        <v>15.1</v>
      </c>
      <c r="N275" s="76">
        <v>21</v>
      </c>
      <c r="O275" s="76">
        <v>11</v>
      </c>
      <c r="P275" s="76">
        <v>11</v>
      </c>
      <c r="Q275" s="76">
        <v>2</v>
      </c>
      <c r="R275" s="76">
        <v>8</v>
      </c>
      <c r="S275" s="76">
        <v>1</v>
      </c>
      <c r="T275" s="76">
        <v>14</v>
      </c>
      <c r="U275" s="76">
        <v>76</v>
      </c>
      <c r="V275" s="76">
        <v>15.1</v>
      </c>
      <c r="W275" s="76">
        <v>0.318</v>
      </c>
      <c r="X275" s="76">
        <v>1.89</v>
      </c>
      <c r="Y275" s="76"/>
      <c r="Z275" t="s">
        <v>423</v>
      </c>
      <c r="AA275" s="76" t="s">
        <v>168</v>
      </c>
      <c r="AB275" s="76">
        <v>1</v>
      </c>
      <c r="AC275" s="76">
        <v>1</v>
      </c>
      <c r="AD275" s="76">
        <v>7</v>
      </c>
      <c r="AE275" s="76">
        <v>1</v>
      </c>
      <c r="AF275" s="76">
        <v>0</v>
      </c>
      <c r="AG275" s="76">
        <v>19</v>
      </c>
      <c r="AH275" s="76">
        <v>13</v>
      </c>
      <c r="AI275" s="76">
        <v>2</v>
      </c>
      <c r="AJ275" s="76">
        <v>0</v>
      </c>
      <c r="AK275" s="76">
        <v>1</v>
      </c>
      <c r="AL275" s="76">
        <v>0</v>
      </c>
      <c r="AM275" s="76">
        <v>0</v>
      </c>
      <c r="AN275" s="76">
        <v>292</v>
      </c>
      <c r="AO275" s="202" t="s">
        <v>168</v>
      </c>
      <c r="AP275" s="202">
        <v>1</v>
      </c>
      <c r="AQ275" s="202">
        <v>0.88</v>
      </c>
      <c r="AR275" s="202">
        <v>0.247</v>
      </c>
      <c r="AS275" s="202">
        <v>0.23499999999999999</v>
      </c>
      <c r="AT275" s="202">
        <v>0.48299999999999998</v>
      </c>
      <c r="AU275" s="202">
        <v>8.2200000000000006</v>
      </c>
      <c r="AV275" s="202">
        <v>3.13</v>
      </c>
      <c r="AW275" s="202">
        <v>5.87</v>
      </c>
      <c r="AX275" s="202">
        <v>2.63</v>
      </c>
      <c r="AY275" s="202">
        <v>16.91</v>
      </c>
    </row>
    <row r="276" spans="1:51" ht="12.75" customHeight="1" x14ac:dyDescent="0.2">
      <c r="A276" s="76">
        <v>13</v>
      </c>
      <c r="B276" s="41" t="s">
        <v>433</v>
      </c>
      <c r="C276" s="76" t="s">
        <v>168</v>
      </c>
      <c r="D276" s="76">
        <v>3</v>
      </c>
      <c r="E276" s="76">
        <v>5</v>
      </c>
      <c r="F276" s="76">
        <v>4.8499999999999996</v>
      </c>
      <c r="G276" s="76">
        <v>70</v>
      </c>
      <c r="H276" s="76">
        <v>0</v>
      </c>
      <c r="I276" s="76">
        <v>0</v>
      </c>
      <c r="J276" s="76">
        <v>0</v>
      </c>
      <c r="K276" s="76">
        <v>37</v>
      </c>
      <c r="L276" s="76">
        <v>43</v>
      </c>
      <c r="M276" s="76">
        <v>68.2</v>
      </c>
      <c r="N276" s="76">
        <v>78</v>
      </c>
      <c r="O276" s="76">
        <v>38</v>
      </c>
      <c r="P276" s="76">
        <v>37</v>
      </c>
      <c r="Q276" s="76">
        <v>6</v>
      </c>
      <c r="R276" s="76">
        <v>22</v>
      </c>
      <c r="S276" s="76">
        <v>2</v>
      </c>
      <c r="T276" s="76">
        <v>47</v>
      </c>
      <c r="U276" s="76">
        <v>297</v>
      </c>
      <c r="V276" s="76">
        <v>68.2</v>
      </c>
      <c r="W276" s="76">
        <v>0.28899999999999998</v>
      </c>
      <c r="X276" s="76">
        <v>1.46</v>
      </c>
      <c r="Y276" s="76"/>
      <c r="Z276" t="s">
        <v>433</v>
      </c>
      <c r="AA276" s="76" t="s">
        <v>168</v>
      </c>
      <c r="AB276" s="76">
        <v>2</v>
      </c>
      <c r="AC276" s="76">
        <v>2</v>
      </c>
      <c r="AD276" s="76">
        <v>59</v>
      </c>
      <c r="AE276" s="76">
        <v>1</v>
      </c>
      <c r="AF276" s="76">
        <v>10</v>
      </c>
      <c r="AG276" s="76">
        <v>87</v>
      </c>
      <c r="AH276" s="76">
        <v>61</v>
      </c>
      <c r="AI276" s="76">
        <v>3</v>
      </c>
      <c r="AJ276" s="76">
        <v>0</v>
      </c>
      <c r="AK276" s="76">
        <v>1</v>
      </c>
      <c r="AL276" s="76">
        <v>0</v>
      </c>
      <c r="AM276" s="76">
        <v>0</v>
      </c>
      <c r="AN276" s="76">
        <v>1154</v>
      </c>
      <c r="AO276" s="202" t="s">
        <v>168</v>
      </c>
      <c r="AP276" s="202">
        <v>0.66700000000000004</v>
      </c>
      <c r="AQ276" s="202">
        <v>1.86</v>
      </c>
      <c r="AR276" s="202">
        <v>0.377</v>
      </c>
      <c r="AS276" s="202">
        <v>0.39600000000000002</v>
      </c>
      <c r="AT276" s="202">
        <v>0.77300000000000002</v>
      </c>
      <c r="AU276" s="202">
        <v>12.03</v>
      </c>
      <c r="AV276" s="202">
        <v>5.89</v>
      </c>
      <c r="AW276" s="202">
        <v>9.82</v>
      </c>
      <c r="AX276" s="202">
        <v>2.04</v>
      </c>
      <c r="AY276" s="202">
        <v>19.579999999999998</v>
      </c>
    </row>
    <row r="277" spans="1:51" ht="12.75" customHeight="1" x14ac:dyDescent="0.2">
      <c r="A277" s="76">
        <v>16</v>
      </c>
      <c r="B277" s="41" t="s">
        <v>1148</v>
      </c>
      <c r="C277" s="76" t="s">
        <v>168</v>
      </c>
      <c r="D277" s="76">
        <v>1</v>
      </c>
      <c r="E277" s="76">
        <v>2</v>
      </c>
      <c r="F277" s="76">
        <v>5.6</v>
      </c>
      <c r="G277" s="76">
        <v>27</v>
      </c>
      <c r="H277" s="76">
        <v>0</v>
      </c>
      <c r="I277" s="76">
        <v>0</v>
      </c>
      <c r="J277" s="76">
        <v>0</v>
      </c>
      <c r="K277" s="76">
        <v>0</v>
      </c>
      <c r="L277" s="76">
        <v>0</v>
      </c>
      <c r="M277" s="76">
        <v>35.1</v>
      </c>
      <c r="N277" s="76">
        <v>40</v>
      </c>
      <c r="O277" s="76">
        <v>22</v>
      </c>
      <c r="P277" s="76">
        <v>22</v>
      </c>
      <c r="Q277" s="76">
        <v>4</v>
      </c>
      <c r="R277" s="76">
        <v>7</v>
      </c>
      <c r="S277" s="76">
        <v>1</v>
      </c>
      <c r="T277" s="76">
        <v>34</v>
      </c>
      <c r="U277" s="76">
        <v>151</v>
      </c>
      <c r="V277" s="76">
        <v>35.1</v>
      </c>
      <c r="W277" s="76">
        <v>0.28599999999999998</v>
      </c>
      <c r="X277" s="76">
        <v>1.33</v>
      </c>
      <c r="Y277" s="76"/>
      <c r="Z277" t="s">
        <v>1148</v>
      </c>
      <c r="AA277" s="76" t="s">
        <v>168</v>
      </c>
      <c r="AB277" s="76">
        <v>1</v>
      </c>
      <c r="AC277" s="76">
        <v>1</v>
      </c>
      <c r="AD277" s="76">
        <v>12</v>
      </c>
      <c r="AE277" s="76">
        <v>1</v>
      </c>
      <c r="AF277" s="76">
        <v>1</v>
      </c>
      <c r="AG277" s="76">
        <v>21</v>
      </c>
      <c r="AH277" s="76">
        <v>48</v>
      </c>
      <c r="AI277" s="76">
        <v>0</v>
      </c>
      <c r="AJ277" s="76">
        <v>1</v>
      </c>
      <c r="AK277" s="76">
        <v>0</v>
      </c>
      <c r="AL277" s="76">
        <v>1</v>
      </c>
      <c r="AM277" s="76">
        <v>0</v>
      </c>
      <c r="AN277" s="76">
        <v>613</v>
      </c>
      <c r="AO277" s="202" t="s">
        <v>168</v>
      </c>
      <c r="AP277" s="202">
        <v>0.4</v>
      </c>
      <c r="AQ277" s="202">
        <v>3</v>
      </c>
      <c r="AR277" s="202">
        <v>0.36199999999999999</v>
      </c>
      <c r="AS277" s="202">
        <v>0.38500000000000001</v>
      </c>
      <c r="AT277" s="202">
        <v>0.748</v>
      </c>
      <c r="AU277" s="202">
        <v>8.51</v>
      </c>
      <c r="AV277" s="202">
        <v>5</v>
      </c>
      <c r="AW277" s="202">
        <v>9.7200000000000006</v>
      </c>
      <c r="AX277" s="202">
        <v>1.7</v>
      </c>
      <c r="AY277" s="202">
        <v>17.3</v>
      </c>
    </row>
    <row r="278" spans="1:51" ht="12.75" customHeight="1" x14ac:dyDescent="0.2">
      <c r="A278" s="76">
        <v>6</v>
      </c>
      <c r="B278" s="41" t="s">
        <v>635</v>
      </c>
      <c r="C278" s="76" t="s">
        <v>168</v>
      </c>
      <c r="D278" s="76">
        <v>12</v>
      </c>
      <c r="E278" s="76">
        <v>10</v>
      </c>
      <c r="F278" s="76">
        <v>3.71</v>
      </c>
      <c r="G278" s="76">
        <v>32</v>
      </c>
      <c r="H278" s="76">
        <v>32</v>
      </c>
      <c r="I278" s="76">
        <v>1</v>
      </c>
      <c r="J278" s="76">
        <v>1</v>
      </c>
      <c r="K278" s="76">
        <v>0</v>
      </c>
      <c r="L278" s="76">
        <v>0</v>
      </c>
      <c r="M278" s="76">
        <v>189</v>
      </c>
      <c r="N278" s="76">
        <v>173</v>
      </c>
      <c r="O278" s="76">
        <v>86</v>
      </c>
      <c r="P278" s="76">
        <v>78</v>
      </c>
      <c r="Q278" s="76">
        <v>24</v>
      </c>
      <c r="R278" s="76">
        <v>45</v>
      </c>
      <c r="S278" s="76">
        <v>0</v>
      </c>
      <c r="T278" s="76">
        <v>154</v>
      </c>
      <c r="U278" s="76">
        <v>772</v>
      </c>
      <c r="V278" s="76">
        <v>189</v>
      </c>
      <c r="W278" s="76">
        <v>0.24299999999999999</v>
      </c>
      <c r="X278" s="76">
        <v>1.1499999999999999</v>
      </c>
      <c r="Y278" s="76"/>
      <c r="Z278" t="s">
        <v>635</v>
      </c>
      <c r="AA278" s="76" t="s">
        <v>168</v>
      </c>
      <c r="AB278" s="76">
        <v>6</v>
      </c>
      <c r="AC278" s="76">
        <v>0</v>
      </c>
      <c r="AD278" s="76">
        <v>0</v>
      </c>
      <c r="AE278" s="76">
        <v>0</v>
      </c>
      <c r="AF278" s="76">
        <v>21</v>
      </c>
      <c r="AG278" s="76">
        <v>202</v>
      </c>
      <c r="AH278" s="76">
        <v>192</v>
      </c>
      <c r="AI278" s="76">
        <v>6</v>
      </c>
      <c r="AJ278" s="76">
        <v>1</v>
      </c>
      <c r="AK278" s="76">
        <v>10</v>
      </c>
      <c r="AL278" s="76">
        <v>3</v>
      </c>
      <c r="AM278" s="76">
        <v>0</v>
      </c>
      <c r="AN278" s="76">
        <v>2925</v>
      </c>
      <c r="AO278" s="202" t="s">
        <v>168</v>
      </c>
      <c r="AP278" s="202">
        <v>0.66700000000000004</v>
      </c>
      <c r="AQ278" s="202">
        <v>1.1299999999999999</v>
      </c>
      <c r="AR278" s="202">
        <v>0.32400000000000001</v>
      </c>
      <c r="AS278" s="202">
        <v>0.29499999999999998</v>
      </c>
      <c r="AT278" s="202">
        <v>0.61899999999999999</v>
      </c>
      <c r="AU278" s="202">
        <v>8.83</v>
      </c>
      <c r="AV278" s="202">
        <v>4.93</v>
      </c>
      <c r="AW278" s="202">
        <v>7.53</v>
      </c>
      <c r="AX278" s="202">
        <v>1.79</v>
      </c>
      <c r="AY278" s="202">
        <v>17.8</v>
      </c>
    </row>
    <row r="279" spans="1:51" ht="12.75" customHeight="1" x14ac:dyDescent="0.2">
      <c r="A279" s="76">
        <v>8</v>
      </c>
      <c r="B279" s="41" t="s">
        <v>1086</v>
      </c>
      <c r="C279" s="76" t="s">
        <v>168</v>
      </c>
      <c r="D279" s="76">
        <v>3</v>
      </c>
      <c r="E279" s="76">
        <v>4</v>
      </c>
      <c r="F279" s="76">
        <v>3.84</v>
      </c>
      <c r="G279" s="76">
        <v>70</v>
      </c>
      <c r="H279" s="76">
        <v>0</v>
      </c>
      <c r="I279" s="76">
        <v>0</v>
      </c>
      <c r="J279" s="76">
        <v>0</v>
      </c>
      <c r="K279" s="76">
        <v>1</v>
      </c>
      <c r="L279" s="76">
        <v>3</v>
      </c>
      <c r="M279" s="76">
        <v>72.2</v>
      </c>
      <c r="N279" s="76">
        <v>77</v>
      </c>
      <c r="O279" s="76">
        <v>31</v>
      </c>
      <c r="P279" s="76">
        <v>31</v>
      </c>
      <c r="Q279" s="76">
        <v>11</v>
      </c>
      <c r="R279" s="76">
        <v>32</v>
      </c>
      <c r="S279" s="76">
        <v>5</v>
      </c>
      <c r="T279" s="76">
        <v>80</v>
      </c>
      <c r="U279" s="76">
        <v>322</v>
      </c>
      <c r="V279" s="76">
        <v>72.2</v>
      </c>
      <c r="W279" s="76">
        <v>0.27</v>
      </c>
      <c r="X279" s="76">
        <v>1.5</v>
      </c>
      <c r="Y279" s="76"/>
      <c r="Z279" t="s">
        <v>1086</v>
      </c>
      <c r="AA279" s="76" t="s">
        <v>168</v>
      </c>
      <c r="AB279" s="76">
        <v>2</v>
      </c>
      <c r="AC279" s="76">
        <v>5</v>
      </c>
      <c r="AD279" s="76">
        <v>16</v>
      </c>
      <c r="AE279" s="76">
        <v>15</v>
      </c>
      <c r="AF279" s="76">
        <v>5</v>
      </c>
      <c r="AG279" s="76">
        <v>59</v>
      </c>
      <c r="AH279" s="76">
        <v>71</v>
      </c>
      <c r="AI279" s="76">
        <v>6</v>
      </c>
      <c r="AJ279" s="76">
        <v>0</v>
      </c>
      <c r="AK279" s="76">
        <v>5</v>
      </c>
      <c r="AL279" s="76">
        <v>1</v>
      </c>
      <c r="AM279" s="76">
        <v>1</v>
      </c>
      <c r="AN279" s="76">
        <v>1276</v>
      </c>
      <c r="AO279" s="202" t="s">
        <v>168</v>
      </c>
      <c r="AP279" s="202">
        <v>0</v>
      </c>
      <c r="AQ279" s="202">
        <v>1.67</v>
      </c>
      <c r="AR279" s="202">
        <v>0.52200000000000002</v>
      </c>
      <c r="AS279" s="202">
        <v>0.81299999999999994</v>
      </c>
      <c r="AT279" s="202">
        <v>1.3340000000000001</v>
      </c>
      <c r="AU279" s="202">
        <v>6.75</v>
      </c>
      <c r="AV279" s="202">
        <v>15.75</v>
      </c>
      <c r="AW279" s="202">
        <v>11.25</v>
      </c>
      <c r="AX279" s="202">
        <v>0.43</v>
      </c>
      <c r="AY279" s="202">
        <v>26</v>
      </c>
    </row>
    <row r="280" spans="1:51" ht="12.75" customHeight="1" x14ac:dyDescent="0.2">
      <c r="A280" s="76">
        <v>23</v>
      </c>
      <c r="B280" t="s">
        <v>1471</v>
      </c>
      <c r="C280" s="76" t="s">
        <v>168</v>
      </c>
      <c r="D280" s="76">
        <v>1</v>
      </c>
      <c r="E280" s="76">
        <v>2</v>
      </c>
      <c r="F280" s="76">
        <v>8.4</v>
      </c>
      <c r="G280" s="76">
        <v>14</v>
      </c>
      <c r="H280" s="76">
        <v>0</v>
      </c>
      <c r="I280" s="76">
        <v>0</v>
      </c>
      <c r="J280" s="76">
        <v>0</v>
      </c>
      <c r="K280" s="76">
        <v>0</v>
      </c>
      <c r="L280" s="76">
        <v>0</v>
      </c>
      <c r="M280" s="76">
        <v>15</v>
      </c>
      <c r="N280" s="76">
        <v>20</v>
      </c>
      <c r="O280" s="76">
        <v>16</v>
      </c>
      <c r="P280" s="76">
        <v>14</v>
      </c>
      <c r="Q280" s="76">
        <v>7</v>
      </c>
      <c r="R280" s="76">
        <v>5</v>
      </c>
      <c r="S280" s="76">
        <v>0</v>
      </c>
      <c r="T280" s="76">
        <v>14</v>
      </c>
      <c r="U280" s="76">
        <v>69</v>
      </c>
      <c r="V280" s="76">
        <v>15</v>
      </c>
      <c r="W280" s="76">
        <v>0.32300000000000001</v>
      </c>
      <c r="X280" s="76">
        <v>1.67</v>
      </c>
      <c r="Y280" s="76"/>
      <c r="Z280" t="s">
        <v>1471</v>
      </c>
      <c r="AA280" s="76" t="s">
        <v>168</v>
      </c>
      <c r="AB280" s="76">
        <v>1</v>
      </c>
      <c r="AC280" s="76">
        <v>0</v>
      </c>
      <c r="AD280" s="76">
        <v>4</v>
      </c>
      <c r="AE280" s="76">
        <v>0</v>
      </c>
      <c r="AF280" s="76">
        <v>2</v>
      </c>
      <c r="AG280" s="76">
        <v>11</v>
      </c>
      <c r="AH280" s="76">
        <v>18</v>
      </c>
      <c r="AI280" s="76">
        <v>3</v>
      </c>
      <c r="AJ280" s="76">
        <v>0</v>
      </c>
      <c r="AK280" s="76">
        <v>0</v>
      </c>
      <c r="AL280" s="76">
        <v>0</v>
      </c>
      <c r="AM280" s="76">
        <v>0</v>
      </c>
      <c r="AN280" s="76">
        <v>280</v>
      </c>
      <c r="AO280" s="202" t="s">
        <v>168</v>
      </c>
      <c r="AP280" s="202" t="s">
        <v>243</v>
      </c>
      <c r="AQ280" s="202">
        <v>1.5</v>
      </c>
      <c r="AR280" s="202">
        <v>0.1</v>
      </c>
      <c r="AS280" s="202">
        <v>0.1</v>
      </c>
      <c r="AT280" s="202">
        <v>0.2</v>
      </c>
      <c r="AU280" s="202">
        <v>10.8</v>
      </c>
      <c r="AV280" s="202">
        <v>0</v>
      </c>
      <c r="AW280" s="202">
        <v>2.7</v>
      </c>
      <c r="AX280" s="202" t="s">
        <v>243</v>
      </c>
      <c r="AY280" s="202">
        <v>12</v>
      </c>
    </row>
    <row r="281" spans="1:51" ht="12.75" customHeight="1" x14ac:dyDescent="0.2">
      <c r="A281" s="76">
        <v>4</v>
      </c>
      <c r="B281" t="s">
        <v>1141</v>
      </c>
      <c r="C281" s="76" t="s">
        <v>168</v>
      </c>
      <c r="D281" s="76">
        <v>0</v>
      </c>
      <c r="E281" s="76">
        <v>1</v>
      </c>
      <c r="F281" s="76">
        <v>3.27</v>
      </c>
      <c r="G281" s="76">
        <v>10</v>
      </c>
      <c r="H281" s="76">
        <v>0</v>
      </c>
      <c r="I281" s="76">
        <v>0</v>
      </c>
      <c r="J281" s="76">
        <v>0</v>
      </c>
      <c r="K281" s="76">
        <v>0</v>
      </c>
      <c r="L281" s="76">
        <v>1</v>
      </c>
      <c r="M281" s="76">
        <v>11</v>
      </c>
      <c r="N281" s="76">
        <v>10</v>
      </c>
      <c r="O281" s="76">
        <v>4</v>
      </c>
      <c r="P281" s="76">
        <v>4</v>
      </c>
      <c r="Q281" s="76">
        <v>1</v>
      </c>
      <c r="R281" s="76">
        <v>3</v>
      </c>
      <c r="S281" s="76">
        <v>0</v>
      </c>
      <c r="T281" s="76">
        <v>8</v>
      </c>
      <c r="U281" s="76">
        <v>44</v>
      </c>
      <c r="V281" s="76">
        <v>11</v>
      </c>
      <c r="W281" s="76">
        <v>0.25</v>
      </c>
      <c r="X281" s="76">
        <v>1.18</v>
      </c>
      <c r="Y281" s="76"/>
      <c r="Z281" t="s">
        <v>1141</v>
      </c>
      <c r="AA281" s="76" t="s">
        <v>168</v>
      </c>
      <c r="AB281" s="76">
        <v>0</v>
      </c>
      <c r="AC281" s="76">
        <v>0</v>
      </c>
      <c r="AD281" s="76">
        <v>4</v>
      </c>
      <c r="AE281" s="76">
        <v>1</v>
      </c>
      <c r="AF281" s="76">
        <v>1</v>
      </c>
      <c r="AG281" s="76">
        <v>12</v>
      </c>
      <c r="AH281" s="76">
        <v>11</v>
      </c>
      <c r="AI281" s="76">
        <v>0</v>
      </c>
      <c r="AJ281" s="76">
        <v>0</v>
      </c>
      <c r="AK281" s="76">
        <v>0</v>
      </c>
      <c r="AL281" s="76">
        <v>0</v>
      </c>
      <c r="AM281" s="76">
        <v>1</v>
      </c>
      <c r="AN281" s="76">
        <v>177</v>
      </c>
      <c r="AO281" s="202" t="s">
        <v>167</v>
      </c>
      <c r="AP281" s="202">
        <v>0.5</v>
      </c>
      <c r="AQ281" s="202">
        <v>0.73</v>
      </c>
      <c r="AR281" s="202">
        <v>0.247</v>
      </c>
      <c r="AS281" s="202">
        <v>0.29499999999999998</v>
      </c>
      <c r="AT281" s="202">
        <v>0.54200000000000004</v>
      </c>
      <c r="AU281" s="202">
        <v>8.3800000000000008</v>
      </c>
      <c r="AV281" s="202">
        <v>2.56</v>
      </c>
      <c r="AW281" s="202">
        <v>5.35</v>
      </c>
      <c r="AX281" s="202">
        <v>3.27</v>
      </c>
      <c r="AY281" s="202">
        <v>13.84</v>
      </c>
    </row>
    <row r="282" spans="1:51" ht="12.75" customHeight="1" x14ac:dyDescent="0.2">
      <c r="A282" s="76">
        <v>24</v>
      </c>
      <c r="B282" t="s">
        <v>824</v>
      </c>
      <c r="C282" s="76" t="s">
        <v>168</v>
      </c>
      <c r="D282" s="76">
        <v>0</v>
      </c>
      <c r="E282" s="76">
        <v>0</v>
      </c>
      <c r="F282" s="76">
        <v>8.44</v>
      </c>
      <c r="G282" s="76">
        <v>4</v>
      </c>
      <c r="H282" s="76">
        <v>2</v>
      </c>
      <c r="I282" s="76">
        <v>0</v>
      </c>
      <c r="J282" s="76">
        <v>0</v>
      </c>
      <c r="K282" s="76">
        <v>0</v>
      </c>
      <c r="L282" s="76">
        <v>0</v>
      </c>
      <c r="M282" s="76">
        <v>10.199999999999999</v>
      </c>
      <c r="N282" s="76">
        <v>15</v>
      </c>
      <c r="O282" s="76">
        <v>10</v>
      </c>
      <c r="P282" s="76">
        <v>10</v>
      </c>
      <c r="Q282" s="76">
        <v>0</v>
      </c>
      <c r="R282" s="76">
        <v>7</v>
      </c>
      <c r="S282" s="76">
        <v>1</v>
      </c>
      <c r="T282" s="76">
        <v>7</v>
      </c>
      <c r="U282" s="76">
        <v>51</v>
      </c>
      <c r="V282" s="76">
        <v>10.199999999999999</v>
      </c>
      <c r="W282" s="76">
        <v>0.375</v>
      </c>
      <c r="X282" s="76">
        <v>2.06</v>
      </c>
      <c r="Y282" s="76"/>
      <c r="Z282" t="s">
        <v>824</v>
      </c>
      <c r="AA282" s="76" t="s">
        <v>168</v>
      </c>
      <c r="AB282" s="76">
        <v>1</v>
      </c>
      <c r="AC282" s="76">
        <v>1</v>
      </c>
      <c r="AD282" s="76">
        <v>0</v>
      </c>
      <c r="AE282" s="76">
        <v>0</v>
      </c>
      <c r="AF282" s="76">
        <v>4</v>
      </c>
      <c r="AG282" s="76">
        <v>11</v>
      </c>
      <c r="AH282" s="76">
        <v>10</v>
      </c>
      <c r="AI282" s="76">
        <v>0</v>
      </c>
      <c r="AJ282" s="76">
        <v>0</v>
      </c>
      <c r="AK282" s="76">
        <v>1</v>
      </c>
      <c r="AL282" s="76">
        <v>0</v>
      </c>
      <c r="AM282" s="76">
        <v>0</v>
      </c>
      <c r="AN282" s="76">
        <v>209</v>
      </c>
      <c r="AO282" s="202" t="s">
        <v>168</v>
      </c>
      <c r="AP282" s="202">
        <v>1</v>
      </c>
      <c r="AQ282" s="202">
        <v>0.94</v>
      </c>
      <c r="AR282" s="202">
        <v>0.435</v>
      </c>
      <c r="AS282" s="202">
        <v>0.46500000000000002</v>
      </c>
      <c r="AT282" s="202">
        <v>0.9</v>
      </c>
      <c r="AU282" s="202">
        <v>10.24</v>
      </c>
      <c r="AV282" s="202">
        <v>7.91</v>
      </c>
      <c r="AW282" s="202">
        <v>9.31</v>
      </c>
      <c r="AX282" s="202">
        <v>1.29</v>
      </c>
      <c r="AY282" s="202">
        <v>20.329999999999998</v>
      </c>
    </row>
    <row r="283" spans="1:51" ht="12.75" customHeight="1" x14ac:dyDescent="0.2">
      <c r="A283" s="76">
        <v>18</v>
      </c>
      <c r="B283" s="41" t="s">
        <v>807</v>
      </c>
      <c r="C283" s="76" t="s">
        <v>168</v>
      </c>
      <c r="D283" s="76">
        <v>1</v>
      </c>
      <c r="E283" s="76">
        <v>0</v>
      </c>
      <c r="F283" s="76">
        <v>5.82</v>
      </c>
      <c r="G283" s="76">
        <v>25</v>
      </c>
      <c r="H283" s="76">
        <v>0</v>
      </c>
      <c r="I283" s="76">
        <v>0</v>
      </c>
      <c r="J283" s="76">
        <v>0</v>
      </c>
      <c r="K283" s="76">
        <v>2</v>
      </c>
      <c r="L283" s="76">
        <v>3</v>
      </c>
      <c r="M283" s="76">
        <v>21.2</v>
      </c>
      <c r="N283" s="76">
        <v>18</v>
      </c>
      <c r="O283" s="76">
        <v>14</v>
      </c>
      <c r="P283" s="76">
        <v>14</v>
      </c>
      <c r="Q283" s="76">
        <v>5</v>
      </c>
      <c r="R283" s="76">
        <v>14</v>
      </c>
      <c r="S283" s="76">
        <v>1</v>
      </c>
      <c r="T283" s="76">
        <v>23</v>
      </c>
      <c r="U283" s="76">
        <v>95</v>
      </c>
      <c r="V283" s="76">
        <v>21.2</v>
      </c>
      <c r="W283" s="76">
        <v>0.222</v>
      </c>
      <c r="X283" s="76">
        <v>1.48</v>
      </c>
      <c r="Y283" s="76"/>
      <c r="Z283" t="s">
        <v>807</v>
      </c>
      <c r="AA283" s="76" t="s">
        <v>168</v>
      </c>
      <c r="AB283" s="76">
        <v>0</v>
      </c>
      <c r="AC283" s="76">
        <v>1</v>
      </c>
      <c r="AD283" s="76">
        <v>4</v>
      </c>
      <c r="AE283" s="76">
        <v>4</v>
      </c>
      <c r="AF283" s="76">
        <v>0</v>
      </c>
      <c r="AG283" s="76">
        <v>13</v>
      </c>
      <c r="AH283" s="76">
        <v>27</v>
      </c>
      <c r="AI283" s="76">
        <v>2</v>
      </c>
      <c r="AJ283" s="76">
        <v>0</v>
      </c>
      <c r="AK283" s="76">
        <v>2</v>
      </c>
      <c r="AL283" s="76">
        <v>1</v>
      </c>
      <c r="AM283" s="76">
        <v>0</v>
      </c>
      <c r="AN283" s="76">
        <v>380</v>
      </c>
      <c r="AO283" s="202" t="s">
        <v>168</v>
      </c>
      <c r="AP283" s="202">
        <v>0.4</v>
      </c>
      <c r="AQ283" s="202">
        <v>1.21</v>
      </c>
      <c r="AR283" s="202">
        <v>0.318</v>
      </c>
      <c r="AS283" s="202">
        <v>0.38</v>
      </c>
      <c r="AT283" s="202">
        <v>0.69699999999999995</v>
      </c>
      <c r="AU283" s="202">
        <v>6.03</v>
      </c>
      <c r="AV283" s="202">
        <v>2.0499999999999998</v>
      </c>
      <c r="AW283" s="202">
        <v>9.8800000000000008</v>
      </c>
      <c r="AX283" s="202">
        <v>2.94</v>
      </c>
      <c r="AY283" s="202">
        <v>15.71</v>
      </c>
    </row>
    <row r="284" spans="1:51" ht="12.75" customHeight="1" x14ac:dyDescent="0.2">
      <c r="A284" s="76">
        <v>19</v>
      </c>
      <c r="B284" s="41" t="s">
        <v>1145</v>
      </c>
      <c r="C284" s="76" t="s">
        <v>168</v>
      </c>
      <c r="D284" s="76">
        <v>2</v>
      </c>
      <c r="E284" s="76">
        <v>11</v>
      </c>
      <c r="F284" s="76">
        <v>6.04</v>
      </c>
      <c r="G284" s="76">
        <v>23</v>
      </c>
      <c r="H284" s="76">
        <v>21</v>
      </c>
      <c r="I284" s="76">
        <v>0</v>
      </c>
      <c r="J284" s="76">
        <v>0</v>
      </c>
      <c r="K284" s="76">
        <v>0</v>
      </c>
      <c r="L284" s="76">
        <v>0</v>
      </c>
      <c r="M284" s="76">
        <v>113.1</v>
      </c>
      <c r="N284" s="76">
        <v>141</v>
      </c>
      <c r="O284" s="76">
        <v>81</v>
      </c>
      <c r="P284" s="76">
        <v>76</v>
      </c>
      <c r="Q284" s="76">
        <v>23</v>
      </c>
      <c r="R284" s="76">
        <v>29</v>
      </c>
      <c r="S284" s="76">
        <v>3</v>
      </c>
      <c r="T284" s="76">
        <v>95</v>
      </c>
      <c r="U284" s="76">
        <v>507</v>
      </c>
      <c r="V284" s="76">
        <v>113.1</v>
      </c>
      <c r="W284" s="76">
        <v>0.30199999999999999</v>
      </c>
      <c r="X284" s="76">
        <v>1.5</v>
      </c>
      <c r="Y284" s="76"/>
      <c r="Z284" t="s">
        <v>1145</v>
      </c>
      <c r="AA284" s="76" t="s">
        <v>168</v>
      </c>
      <c r="AB284" s="76">
        <v>4</v>
      </c>
      <c r="AC284" s="76">
        <v>3</v>
      </c>
      <c r="AD284" s="76">
        <v>1</v>
      </c>
      <c r="AE284" s="76">
        <v>0</v>
      </c>
      <c r="AF284" s="76">
        <v>8</v>
      </c>
      <c r="AG284" s="76">
        <v>110</v>
      </c>
      <c r="AH284" s="76">
        <v>128</v>
      </c>
      <c r="AI284" s="76">
        <v>2</v>
      </c>
      <c r="AJ284" s="76">
        <v>0</v>
      </c>
      <c r="AK284" s="76">
        <v>8</v>
      </c>
      <c r="AL284" s="76">
        <v>4</v>
      </c>
      <c r="AM284" s="76">
        <v>1</v>
      </c>
      <c r="AN284" s="76">
        <v>1947</v>
      </c>
      <c r="AO284" s="202" t="s">
        <v>168</v>
      </c>
      <c r="AP284" s="202">
        <v>0.5</v>
      </c>
      <c r="AQ284" s="202">
        <v>0.82</v>
      </c>
      <c r="AR284" s="202">
        <v>0.38700000000000001</v>
      </c>
      <c r="AS284" s="202">
        <v>0.52800000000000002</v>
      </c>
      <c r="AT284" s="202">
        <v>0.91500000000000004</v>
      </c>
      <c r="AU284" s="202">
        <v>8.2200000000000006</v>
      </c>
      <c r="AV284" s="202">
        <v>2.0499999999999998</v>
      </c>
      <c r="AW284" s="202">
        <v>12.91</v>
      </c>
      <c r="AX284" s="202">
        <v>4</v>
      </c>
      <c r="AY284" s="202">
        <v>18.03</v>
      </c>
    </row>
    <row r="285" spans="1:51" ht="12.75" customHeight="1" x14ac:dyDescent="0.2">
      <c r="A285" s="76">
        <v>10</v>
      </c>
      <c r="B285" t="s">
        <v>432</v>
      </c>
      <c r="C285" s="76" t="s">
        <v>168</v>
      </c>
      <c r="D285" s="76">
        <v>1</v>
      </c>
      <c r="E285" s="76">
        <v>1</v>
      </c>
      <c r="F285" s="76">
        <v>4.1500000000000004</v>
      </c>
      <c r="G285" s="76">
        <v>4</v>
      </c>
      <c r="H285" s="76">
        <v>4</v>
      </c>
      <c r="I285" s="76">
        <v>0</v>
      </c>
      <c r="J285" s="76">
        <v>0</v>
      </c>
      <c r="K285" s="76">
        <v>0</v>
      </c>
      <c r="L285" s="76">
        <v>0</v>
      </c>
      <c r="M285" s="76">
        <v>17.100000000000001</v>
      </c>
      <c r="N285" s="76">
        <v>15</v>
      </c>
      <c r="O285" s="76">
        <v>8</v>
      </c>
      <c r="P285" s="76">
        <v>8</v>
      </c>
      <c r="Q285" s="76">
        <v>1</v>
      </c>
      <c r="R285" s="76">
        <v>8</v>
      </c>
      <c r="S285" s="76">
        <v>0</v>
      </c>
      <c r="T285" s="76">
        <v>19</v>
      </c>
      <c r="U285" s="76">
        <v>71</v>
      </c>
      <c r="V285" s="76">
        <v>17.100000000000001</v>
      </c>
      <c r="W285" s="76">
        <v>0.24199999999999999</v>
      </c>
      <c r="X285" s="76">
        <v>1.33</v>
      </c>
      <c r="Y285" s="76"/>
      <c r="Z285" t="s">
        <v>432</v>
      </c>
      <c r="AA285" s="76" t="s">
        <v>168</v>
      </c>
      <c r="AB285" s="76">
        <v>0</v>
      </c>
      <c r="AC285" s="76">
        <v>0</v>
      </c>
      <c r="AD285" s="76">
        <v>0</v>
      </c>
      <c r="AE285" s="76">
        <v>0</v>
      </c>
      <c r="AF285" s="76">
        <v>2</v>
      </c>
      <c r="AG285" s="76">
        <v>22</v>
      </c>
      <c r="AH285" s="76">
        <v>7</v>
      </c>
      <c r="AI285" s="76">
        <v>1</v>
      </c>
      <c r="AJ285" s="76">
        <v>1</v>
      </c>
      <c r="AK285" s="76">
        <v>1</v>
      </c>
      <c r="AL285" s="76">
        <v>1</v>
      </c>
      <c r="AM285" s="76">
        <v>0</v>
      </c>
      <c r="AN285" s="76">
        <v>276</v>
      </c>
      <c r="AO285" s="202" t="s">
        <v>168</v>
      </c>
      <c r="AP285" s="202">
        <v>0.182</v>
      </c>
      <c r="AQ285" s="202">
        <v>1.34</v>
      </c>
      <c r="AR285" s="202">
        <v>0.40600000000000003</v>
      </c>
      <c r="AS285" s="202">
        <v>0.55900000000000005</v>
      </c>
      <c r="AT285" s="202">
        <v>0.96499999999999997</v>
      </c>
      <c r="AU285" s="202">
        <v>5.3</v>
      </c>
      <c r="AV285" s="202">
        <v>3.5</v>
      </c>
      <c r="AW285" s="202">
        <v>13.14</v>
      </c>
      <c r="AX285" s="202">
        <v>1.52</v>
      </c>
      <c r="AY285" s="202">
        <v>16.47</v>
      </c>
    </row>
    <row r="286" spans="1:51" ht="12.75" customHeight="1" x14ac:dyDescent="0.2">
      <c r="A286" s="76">
        <v>20</v>
      </c>
      <c r="B286" s="41" t="s">
        <v>1146</v>
      </c>
      <c r="C286" s="76" t="s">
        <v>168</v>
      </c>
      <c r="D286" s="76">
        <v>1</v>
      </c>
      <c r="E286" s="76">
        <v>1</v>
      </c>
      <c r="F286" s="76">
        <v>6.25</v>
      </c>
      <c r="G286" s="76">
        <v>24</v>
      </c>
      <c r="H286" s="76">
        <v>0</v>
      </c>
      <c r="I286" s="76">
        <v>0</v>
      </c>
      <c r="J286" s="76">
        <v>0</v>
      </c>
      <c r="K286" s="76">
        <v>0</v>
      </c>
      <c r="L286" s="76">
        <v>0</v>
      </c>
      <c r="M286" s="76">
        <v>31.2</v>
      </c>
      <c r="N286" s="76">
        <v>34</v>
      </c>
      <c r="O286" s="76">
        <v>22</v>
      </c>
      <c r="P286" s="76">
        <v>22</v>
      </c>
      <c r="Q286" s="76">
        <v>6</v>
      </c>
      <c r="R286" s="76">
        <v>13</v>
      </c>
      <c r="S286" s="76">
        <v>1</v>
      </c>
      <c r="T286" s="76">
        <v>31</v>
      </c>
      <c r="U286" s="76">
        <v>142</v>
      </c>
      <c r="V286" s="76">
        <v>31.2</v>
      </c>
      <c r="W286" s="76">
        <v>0.27600000000000002</v>
      </c>
      <c r="X286" s="76">
        <v>1.48</v>
      </c>
      <c r="Y286" s="76"/>
      <c r="Z286" t="s">
        <v>1146</v>
      </c>
      <c r="AA286" s="76" t="s">
        <v>168</v>
      </c>
      <c r="AB286" s="76">
        <v>2</v>
      </c>
      <c r="AC286" s="76">
        <v>1</v>
      </c>
      <c r="AD286" s="76">
        <v>4</v>
      </c>
      <c r="AE286" s="76">
        <v>1</v>
      </c>
      <c r="AF286" s="76">
        <v>3</v>
      </c>
      <c r="AG286" s="76">
        <v>27</v>
      </c>
      <c r="AH286" s="76">
        <v>34</v>
      </c>
      <c r="AI286" s="76">
        <v>5</v>
      </c>
      <c r="AJ286" s="76">
        <v>0</v>
      </c>
      <c r="AK286" s="76">
        <v>2</v>
      </c>
      <c r="AL286" s="76">
        <v>0</v>
      </c>
      <c r="AM286" s="76">
        <v>0</v>
      </c>
      <c r="AN286" s="76">
        <v>536</v>
      </c>
      <c r="AO286" s="202" t="s">
        <v>168</v>
      </c>
      <c r="AP286" s="202">
        <v>0.46200000000000002</v>
      </c>
      <c r="AQ286" s="202">
        <v>1.22</v>
      </c>
      <c r="AR286" s="202">
        <v>0.29699999999999999</v>
      </c>
      <c r="AS286" s="202">
        <v>0.34799999999999998</v>
      </c>
      <c r="AT286" s="202">
        <v>0.64500000000000002</v>
      </c>
      <c r="AU286" s="202">
        <v>9.58</v>
      </c>
      <c r="AV286" s="202">
        <v>2.73</v>
      </c>
      <c r="AW286" s="202">
        <v>7.9</v>
      </c>
      <c r="AX286" s="202">
        <v>3.51</v>
      </c>
      <c r="AY286" s="202">
        <v>16.36</v>
      </c>
    </row>
    <row r="287" spans="1:51" ht="12.75" customHeight="1" x14ac:dyDescent="0.2">
      <c r="A287" s="76">
        <v>2</v>
      </c>
      <c r="B287" s="41" t="s">
        <v>773</v>
      </c>
      <c r="C287" s="76" t="s">
        <v>168</v>
      </c>
      <c r="D287" s="76">
        <v>4</v>
      </c>
      <c r="E287" s="76">
        <v>4</v>
      </c>
      <c r="F287" s="76">
        <v>2.58</v>
      </c>
      <c r="G287" s="76">
        <v>79</v>
      </c>
      <c r="H287" s="76">
        <v>0</v>
      </c>
      <c r="I287" s="76">
        <v>0</v>
      </c>
      <c r="J287" s="76">
        <v>0</v>
      </c>
      <c r="K287" s="76">
        <v>2</v>
      </c>
      <c r="L287" s="76">
        <v>6</v>
      </c>
      <c r="M287" s="76">
        <v>80.099999999999994</v>
      </c>
      <c r="N287" s="76">
        <v>59</v>
      </c>
      <c r="O287" s="76">
        <v>26</v>
      </c>
      <c r="P287" s="76">
        <v>23</v>
      </c>
      <c r="Q287" s="76">
        <v>9</v>
      </c>
      <c r="R287" s="76">
        <v>30</v>
      </c>
      <c r="S287" s="76">
        <v>3</v>
      </c>
      <c r="T287" s="76">
        <v>102</v>
      </c>
      <c r="U287" s="76">
        <v>328</v>
      </c>
      <c r="V287" s="76">
        <v>80.099999999999994</v>
      </c>
      <c r="W287" s="76">
        <v>0.20200000000000001</v>
      </c>
      <c r="X287" s="76">
        <v>1.1100000000000001</v>
      </c>
      <c r="Y287" s="76"/>
      <c r="Z287" t="s">
        <v>773</v>
      </c>
      <c r="AA287" s="76" t="s">
        <v>168</v>
      </c>
      <c r="AB287" s="76">
        <v>3</v>
      </c>
      <c r="AC287" s="76">
        <v>3</v>
      </c>
      <c r="AD287" s="76">
        <v>13</v>
      </c>
      <c r="AE287" s="76">
        <v>28</v>
      </c>
      <c r="AF287" s="76">
        <v>4</v>
      </c>
      <c r="AG287" s="76">
        <v>66</v>
      </c>
      <c r="AH287" s="76">
        <v>68</v>
      </c>
      <c r="AI287" s="76">
        <v>4</v>
      </c>
      <c r="AJ287" s="76">
        <v>1</v>
      </c>
      <c r="AK287" s="76">
        <v>6</v>
      </c>
      <c r="AL287" s="76">
        <v>0</v>
      </c>
      <c r="AM287" s="76">
        <v>0</v>
      </c>
      <c r="AN287" s="76">
        <v>1358</v>
      </c>
      <c r="AO287" s="202" t="s">
        <v>167</v>
      </c>
      <c r="AP287" s="202" t="s">
        <v>243</v>
      </c>
      <c r="AQ287" s="202">
        <v>1.28</v>
      </c>
      <c r="AR287" s="202">
        <v>0.34599999999999997</v>
      </c>
      <c r="AS287" s="202">
        <v>0.373</v>
      </c>
      <c r="AT287" s="202">
        <v>0.71899999999999997</v>
      </c>
      <c r="AU287" s="202">
        <v>9.17</v>
      </c>
      <c r="AV287" s="202">
        <v>6.82</v>
      </c>
      <c r="AW287" s="202">
        <v>6.82</v>
      </c>
      <c r="AX287" s="202">
        <v>1.35</v>
      </c>
      <c r="AY287" s="202">
        <v>18.64</v>
      </c>
    </row>
    <row r="288" spans="1:51" ht="12.75" customHeight="1" x14ac:dyDescent="0.2">
      <c r="A288" s="76">
        <v>11</v>
      </c>
      <c r="B288" s="41" t="s">
        <v>1144</v>
      </c>
      <c r="C288" s="76" t="s">
        <v>168</v>
      </c>
      <c r="D288" s="76">
        <v>6</v>
      </c>
      <c r="E288" s="76">
        <v>9</v>
      </c>
      <c r="F288" s="76">
        <v>4.78</v>
      </c>
      <c r="G288" s="76">
        <v>20</v>
      </c>
      <c r="H288" s="76">
        <v>20</v>
      </c>
      <c r="I288" s="76">
        <v>0</v>
      </c>
      <c r="J288" s="76">
        <v>0</v>
      </c>
      <c r="K288" s="76">
        <v>0</v>
      </c>
      <c r="L288" s="76">
        <v>0</v>
      </c>
      <c r="M288" s="76">
        <v>111</v>
      </c>
      <c r="N288" s="76">
        <v>116</v>
      </c>
      <c r="O288" s="76">
        <v>68</v>
      </c>
      <c r="P288" s="76">
        <v>59</v>
      </c>
      <c r="Q288" s="76">
        <v>10</v>
      </c>
      <c r="R288" s="76">
        <v>29</v>
      </c>
      <c r="S288" s="76">
        <v>3</v>
      </c>
      <c r="T288" s="76">
        <v>121</v>
      </c>
      <c r="U288" s="76">
        <v>483</v>
      </c>
      <c r="V288" s="76">
        <v>111</v>
      </c>
      <c r="W288" s="76">
        <v>0.26400000000000001</v>
      </c>
      <c r="X288" s="76">
        <v>1.31</v>
      </c>
      <c r="Y288" s="76"/>
      <c r="Z288" t="s">
        <v>1144</v>
      </c>
      <c r="AA288" s="76" t="s">
        <v>168</v>
      </c>
      <c r="AB288" s="76">
        <v>6</v>
      </c>
      <c r="AC288" s="76">
        <v>3</v>
      </c>
      <c r="AD288" s="76">
        <v>0</v>
      </c>
      <c r="AE288" s="76">
        <v>0</v>
      </c>
      <c r="AF288" s="76">
        <v>5</v>
      </c>
      <c r="AG288" s="76">
        <v>135</v>
      </c>
      <c r="AH288" s="76">
        <v>76</v>
      </c>
      <c r="AI288" s="76">
        <v>2</v>
      </c>
      <c r="AJ288" s="76">
        <v>0</v>
      </c>
      <c r="AK288" s="76">
        <v>5</v>
      </c>
      <c r="AL288" s="76">
        <v>1</v>
      </c>
      <c r="AM288" s="76">
        <v>1</v>
      </c>
      <c r="AN288" s="76">
        <v>1796</v>
      </c>
      <c r="AO288" s="202" t="s">
        <v>168</v>
      </c>
      <c r="AP288" s="202">
        <v>0</v>
      </c>
      <c r="AQ288" s="202">
        <v>1.04</v>
      </c>
      <c r="AR288" s="202">
        <v>0.40200000000000002</v>
      </c>
      <c r="AS288" s="202">
        <v>0.57799999999999996</v>
      </c>
      <c r="AT288" s="202">
        <v>0.98</v>
      </c>
      <c r="AU288" s="202">
        <v>5.4</v>
      </c>
      <c r="AV288" s="202">
        <v>3.09</v>
      </c>
      <c r="AW288" s="202">
        <v>14.27</v>
      </c>
      <c r="AX288" s="202">
        <v>1.75</v>
      </c>
      <c r="AY288" s="202">
        <v>18.04</v>
      </c>
    </row>
    <row r="289" spans="1:51" ht="12.75" customHeight="1" x14ac:dyDescent="0.2">
      <c r="A289" s="76">
        <v>12</v>
      </c>
      <c r="B289" t="s">
        <v>548</v>
      </c>
      <c r="C289" s="76" t="s">
        <v>168</v>
      </c>
      <c r="D289" s="76">
        <v>2</v>
      </c>
      <c r="E289" s="76">
        <v>2</v>
      </c>
      <c r="F289" s="76">
        <v>4.83</v>
      </c>
      <c r="G289" s="76">
        <v>26</v>
      </c>
      <c r="H289" s="76">
        <v>0</v>
      </c>
      <c r="I289" s="76">
        <v>0</v>
      </c>
      <c r="J289" s="76">
        <v>0</v>
      </c>
      <c r="K289" s="76">
        <v>1</v>
      </c>
      <c r="L289" s="76">
        <v>1</v>
      </c>
      <c r="M289" s="76">
        <v>50.1</v>
      </c>
      <c r="N289" s="76">
        <v>58</v>
      </c>
      <c r="O289" s="76">
        <v>28</v>
      </c>
      <c r="P289" s="76">
        <v>27</v>
      </c>
      <c r="Q289" s="76">
        <v>11</v>
      </c>
      <c r="R289" s="76">
        <v>20</v>
      </c>
      <c r="S289" s="76">
        <v>0</v>
      </c>
      <c r="T289" s="76">
        <v>38</v>
      </c>
      <c r="U289" s="76">
        <v>226</v>
      </c>
      <c r="V289" s="76">
        <v>50.1</v>
      </c>
      <c r="W289" s="76">
        <v>0.28399999999999997</v>
      </c>
      <c r="X289" s="76">
        <v>1.55</v>
      </c>
      <c r="Y289" s="76"/>
      <c r="Z289" t="s">
        <v>548</v>
      </c>
      <c r="AA289" s="76" t="s">
        <v>168</v>
      </c>
      <c r="AB289" s="76">
        <v>0</v>
      </c>
      <c r="AC289" s="76">
        <v>0</v>
      </c>
      <c r="AD289" s="76">
        <v>10</v>
      </c>
      <c r="AE289" s="76">
        <v>0</v>
      </c>
      <c r="AF289" s="76">
        <v>4</v>
      </c>
      <c r="AG289" s="76">
        <v>58</v>
      </c>
      <c r="AH289" s="76">
        <v>52</v>
      </c>
      <c r="AI289" s="76">
        <v>1</v>
      </c>
      <c r="AJ289" s="76">
        <v>0</v>
      </c>
      <c r="AK289" s="76">
        <v>2</v>
      </c>
      <c r="AL289" s="76">
        <v>1</v>
      </c>
      <c r="AM289" s="76">
        <v>0</v>
      </c>
      <c r="AN289" s="76">
        <v>843</v>
      </c>
      <c r="AO289" s="202" t="s">
        <v>168</v>
      </c>
      <c r="AP289" s="202">
        <v>0</v>
      </c>
      <c r="AQ289" s="202">
        <v>0.92</v>
      </c>
      <c r="AR289" s="202">
        <v>0.36</v>
      </c>
      <c r="AS289" s="202">
        <v>0.46200000000000002</v>
      </c>
      <c r="AT289" s="202">
        <v>0.82199999999999995</v>
      </c>
      <c r="AU289" s="202">
        <v>7.65</v>
      </c>
      <c r="AV289" s="202">
        <v>3.6</v>
      </c>
      <c r="AW289" s="202">
        <v>10.35</v>
      </c>
      <c r="AX289" s="202">
        <v>2.13</v>
      </c>
      <c r="AY289" s="202">
        <v>18.059999999999999</v>
      </c>
    </row>
    <row r="290" spans="1:51" ht="12.75" customHeight="1" x14ac:dyDescent="0.2">
      <c r="A290" s="76">
        <v>7</v>
      </c>
      <c r="B290" s="41" t="s">
        <v>1468</v>
      </c>
      <c r="C290" s="76" t="s">
        <v>168</v>
      </c>
      <c r="D290" s="76">
        <v>1</v>
      </c>
      <c r="E290" s="76">
        <v>3</v>
      </c>
      <c r="F290" s="76">
        <v>3.83</v>
      </c>
      <c r="G290" s="76">
        <v>42</v>
      </c>
      <c r="H290" s="76">
        <v>0</v>
      </c>
      <c r="I290" s="76">
        <v>0</v>
      </c>
      <c r="J290" s="76">
        <v>0</v>
      </c>
      <c r="K290" s="76">
        <v>0</v>
      </c>
      <c r="L290" s="76">
        <v>2</v>
      </c>
      <c r="M290" s="76">
        <v>40</v>
      </c>
      <c r="N290" s="76">
        <v>36</v>
      </c>
      <c r="O290" s="76">
        <v>18</v>
      </c>
      <c r="P290" s="76">
        <v>17</v>
      </c>
      <c r="Q290" s="76">
        <v>5</v>
      </c>
      <c r="R290" s="76">
        <v>11</v>
      </c>
      <c r="S290" s="76">
        <v>1</v>
      </c>
      <c r="T290" s="76">
        <v>40</v>
      </c>
      <c r="U290" s="76">
        <v>160</v>
      </c>
      <c r="V290" s="76">
        <v>40</v>
      </c>
      <c r="W290" s="76">
        <v>0.24299999999999999</v>
      </c>
      <c r="X290" s="76">
        <v>1.18</v>
      </c>
      <c r="Y290" s="76"/>
      <c r="Z290" t="s">
        <v>1468</v>
      </c>
      <c r="AA290" s="76" t="s">
        <v>168</v>
      </c>
      <c r="AB290" s="76">
        <v>0</v>
      </c>
      <c r="AC290" s="76">
        <v>1</v>
      </c>
      <c r="AD290" s="76">
        <v>6</v>
      </c>
      <c r="AE290" s="76">
        <v>15</v>
      </c>
      <c r="AF290" s="76">
        <v>2</v>
      </c>
      <c r="AG290" s="76">
        <v>33</v>
      </c>
      <c r="AH290" s="76">
        <v>42</v>
      </c>
      <c r="AI290" s="76">
        <v>1</v>
      </c>
      <c r="AJ290" s="76">
        <v>1</v>
      </c>
      <c r="AK290" s="76">
        <v>2</v>
      </c>
      <c r="AL290" s="76">
        <v>3</v>
      </c>
      <c r="AM290" s="76">
        <v>0</v>
      </c>
      <c r="AN290" s="76">
        <v>612</v>
      </c>
      <c r="AO290" s="202" t="s">
        <v>168</v>
      </c>
      <c r="AP290" s="202">
        <v>0</v>
      </c>
      <c r="AQ290" s="202">
        <v>0.68</v>
      </c>
      <c r="AR290" s="202">
        <v>0.39</v>
      </c>
      <c r="AS290" s="202">
        <v>0.629</v>
      </c>
      <c r="AT290" s="202">
        <v>1.0189999999999999</v>
      </c>
      <c r="AU290" s="202">
        <v>4.97</v>
      </c>
      <c r="AV290" s="202">
        <v>3.1</v>
      </c>
      <c r="AW290" s="202">
        <v>13.03</v>
      </c>
      <c r="AX290" s="202">
        <v>1.6</v>
      </c>
      <c r="AY290" s="202">
        <v>17.28</v>
      </c>
    </row>
    <row r="291" spans="1:51" ht="12.75" customHeight="1" x14ac:dyDescent="0.2">
      <c r="A291" s="76">
        <v>3</v>
      </c>
      <c r="B291" t="s">
        <v>1467</v>
      </c>
      <c r="C291" s="76" t="s">
        <v>168</v>
      </c>
      <c r="D291" s="76">
        <v>0</v>
      </c>
      <c r="E291" s="76">
        <v>0</v>
      </c>
      <c r="F291" s="76">
        <v>2.79</v>
      </c>
      <c r="G291" s="76">
        <v>12</v>
      </c>
      <c r="H291" s="76">
        <v>0</v>
      </c>
      <c r="I291" s="76">
        <v>0</v>
      </c>
      <c r="J291" s="76">
        <v>0</v>
      </c>
      <c r="K291" s="76">
        <v>0</v>
      </c>
      <c r="L291" s="76">
        <v>0</v>
      </c>
      <c r="M291" s="76">
        <v>9.1999999999999993</v>
      </c>
      <c r="N291" s="76">
        <v>8</v>
      </c>
      <c r="O291" s="76">
        <v>3</v>
      </c>
      <c r="P291" s="76">
        <v>3</v>
      </c>
      <c r="Q291" s="76">
        <v>0</v>
      </c>
      <c r="R291" s="76">
        <v>4</v>
      </c>
      <c r="S291" s="76">
        <v>1</v>
      </c>
      <c r="T291" s="76">
        <v>7</v>
      </c>
      <c r="U291" s="76">
        <v>39</v>
      </c>
      <c r="V291" s="76">
        <v>9.1999999999999993</v>
      </c>
      <c r="W291" s="76">
        <v>0.23499999999999999</v>
      </c>
      <c r="X291" s="76">
        <v>1.24</v>
      </c>
      <c r="Y291" s="76"/>
      <c r="Z291" t="s">
        <v>1467</v>
      </c>
      <c r="AA291" s="76" t="s">
        <v>168</v>
      </c>
      <c r="AB291" s="76">
        <v>1</v>
      </c>
      <c r="AC291" s="76">
        <v>1</v>
      </c>
      <c r="AD291" s="76">
        <v>1</v>
      </c>
      <c r="AE291" s="76">
        <v>3</v>
      </c>
      <c r="AF291" s="76">
        <v>3</v>
      </c>
      <c r="AG291" s="76">
        <v>11</v>
      </c>
      <c r="AH291" s="76">
        <v>8</v>
      </c>
      <c r="AI291" s="76">
        <v>0</v>
      </c>
      <c r="AJ291" s="76">
        <v>0</v>
      </c>
      <c r="AK291" s="76">
        <v>1</v>
      </c>
      <c r="AL291" s="76">
        <v>0</v>
      </c>
      <c r="AM291" s="76">
        <v>0</v>
      </c>
      <c r="AN291" s="76">
        <v>151</v>
      </c>
      <c r="AO291" s="202" t="s">
        <v>167</v>
      </c>
      <c r="AP291" s="202">
        <v>0.45500000000000002</v>
      </c>
      <c r="AQ291" s="202">
        <v>1.52</v>
      </c>
      <c r="AR291" s="202">
        <v>0.32600000000000001</v>
      </c>
      <c r="AS291" s="202">
        <v>0.41599999999999998</v>
      </c>
      <c r="AT291" s="202">
        <v>0.74299999999999999</v>
      </c>
      <c r="AU291" s="202">
        <v>7.49</v>
      </c>
      <c r="AV291" s="202">
        <v>2.81</v>
      </c>
      <c r="AW291" s="202">
        <v>9.52</v>
      </c>
      <c r="AX291" s="202">
        <v>2.67</v>
      </c>
      <c r="AY291" s="202">
        <v>15.97</v>
      </c>
    </row>
    <row r="292" spans="1:51" ht="12.75" customHeight="1" x14ac:dyDescent="0.2">
      <c r="A292" s="76">
        <v>26</v>
      </c>
      <c r="B292" t="s">
        <v>346</v>
      </c>
      <c r="C292" s="76" t="s">
        <v>168</v>
      </c>
      <c r="D292" s="76">
        <v>0</v>
      </c>
      <c r="E292" s="76">
        <v>0</v>
      </c>
      <c r="F292" s="76">
        <v>18.690000000000001</v>
      </c>
      <c r="G292" s="76">
        <v>7</v>
      </c>
      <c r="H292" s="76">
        <v>0</v>
      </c>
      <c r="I292" s="76">
        <v>0</v>
      </c>
      <c r="J292" s="76">
        <v>0</v>
      </c>
      <c r="K292" s="76">
        <v>0</v>
      </c>
      <c r="L292" s="76">
        <v>1</v>
      </c>
      <c r="M292" s="76">
        <v>4.0999999999999996</v>
      </c>
      <c r="N292" s="76">
        <v>9</v>
      </c>
      <c r="O292" s="76">
        <v>9</v>
      </c>
      <c r="P292" s="76">
        <v>9</v>
      </c>
      <c r="Q292" s="76">
        <v>2</v>
      </c>
      <c r="R292" s="76">
        <v>5</v>
      </c>
      <c r="S292" s="76">
        <v>0</v>
      </c>
      <c r="T292" s="76">
        <v>4</v>
      </c>
      <c r="U292" s="76">
        <v>27</v>
      </c>
      <c r="V292" s="76">
        <v>4.0999999999999996</v>
      </c>
      <c r="W292" s="76">
        <v>0.42899999999999999</v>
      </c>
      <c r="X292" s="76">
        <v>3.23</v>
      </c>
      <c r="Y292" s="76"/>
      <c r="Z292" t="s">
        <v>346</v>
      </c>
      <c r="AA292" s="76" t="s">
        <v>168</v>
      </c>
      <c r="AB292" s="76">
        <v>0</v>
      </c>
      <c r="AC292" s="76">
        <v>0</v>
      </c>
      <c r="AD292" s="76">
        <v>1</v>
      </c>
      <c r="AE292" s="76">
        <v>1</v>
      </c>
      <c r="AF292" s="76">
        <v>0</v>
      </c>
      <c r="AG292" s="76">
        <v>3</v>
      </c>
      <c r="AH292" s="76">
        <v>6</v>
      </c>
      <c r="AI292" s="76">
        <v>0</v>
      </c>
      <c r="AJ292" s="76">
        <v>0</v>
      </c>
      <c r="AK292" s="76">
        <v>0</v>
      </c>
      <c r="AL292" s="76">
        <v>0</v>
      </c>
      <c r="AM292" s="76">
        <v>0</v>
      </c>
      <c r="AN292" s="76">
        <v>116</v>
      </c>
      <c r="AO292" s="202" t="s">
        <v>168</v>
      </c>
      <c r="AP292" s="202">
        <v>0.41699999999999998</v>
      </c>
      <c r="AQ292" s="202">
        <v>0.54</v>
      </c>
      <c r="AR292" s="202">
        <v>0.311</v>
      </c>
      <c r="AS292" s="202">
        <v>0.46500000000000002</v>
      </c>
      <c r="AT292" s="202">
        <v>0.77500000000000002</v>
      </c>
      <c r="AU292" s="202">
        <v>5.23</v>
      </c>
      <c r="AV292" s="202">
        <v>1.81</v>
      </c>
      <c r="AW292" s="202">
        <v>9.39</v>
      </c>
      <c r="AX292" s="202">
        <v>2.88</v>
      </c>
      <c r="AY292" s="202">
        <v>14.77</v>
      </c>
    </row>
    <row r="293" spans="1:51" ht="12.75" customHeight="1" x14ac:dyDescent="0.2">
      <c r="A293" s="76">
        <v>27</v>
      </c>
      <c r="B293" t="s">
        <v>1372</v>
      </c>
      <c r="C293" s="76" t="s">
        <v>168</v>
      </c>
      <c r="D293" s="76">
        <v>0</v>
      </c>
      <c r="E293" s="76">
        <v>1</v>
      </c>
      <c r="F293" s="76">
        <v>45</v>
      </c>
      <c r="G293" s="76">
        <v>6</v>
      </c>
      <c r="H293" s="76">
        <v>0</v>
      </c>
      <c r="I293" s="76">
        <v>0</v>
      </c>
      <c r="J293" s="76">
        <v>0</v>
      </c>
      <c r="K293" s="76">
        <v>0</v>
      </c>
      <c r="L293" s="76">
        <v>0</v>
      </c>
      <c r="M293" s="76">
        <v>2</v>
      </c>
      <c r="N293" s="76">
        <v>6</v>
      </c>
      <c r="O293" s="76">
        <v>11</v>
      </c>
      <c r="P293" s="76">
        <v>10</v>
      </c>
      <c r="Q293" s="76">
        <v>1</v>
      </c>
      <c r="R293" s="76">
        <v>4</v>
      </c>
      <c r="S293" s="76">
        <v>0</v>
      </c>
      <c r="T293" s="76">
        <v>2</v>
      </c>
      <c r="U293" s="76">
        <v>19</v>
      </c>
      <c r="V293" s="76">
        <v>2</v>
      </c>
      <c r="W293" s="76">
        <v>0.5</v>
      </c>
      <c r="X293" s="76">
        <v>5</v>
      </c>
      <c r="Y293" s="76"/>
      <c r="Z293" t="s">
        <v>1372</v>
      </c>
      <c r="AA293" s="76" t="s">
        <v>168</v>
      </c>
      <c r="AB293" s="76">
        <v>2</v>
      </c>
      <c r="AC293" s="76">
        <v>0</v>
      </c>
      <c r="AD293" s="76">
        <v>0</v>
      </c>
      <c r="AE293" s="76">
        <v>0</v>
      </c>
      <c r="AF293" s="76">
        <v>0</v>
      </c>
      <c r="AG293" s="76">
        <v>3</v>
      </c>
      <c r="AH293" s="76">
        <v>2</v>
      </c>
      <c r="AI293" s="76">
        <v>2</v>
      </c>
      <c r="AJ293" s="76">
        <v>0</v>
      </c>
      <c r="AK293" s="76">
        <v>0</v>
      </c>
      <c r="AL293" s="76">
        <v>0</v>
      </c>
      <c r="AM293" s="76">
        <v>0</v>
      </c>
      <c r="AN293" s="76">
        <v>68</v>
      </c>
      <c r="AO293" s="202" t="s">
        <v>168</v>
      </c>
      <c r="AP293" s="202">
        <v>0</v>
      </c>
      <c r="AQ293" s="202">
        <v>1.5</v>
      </c>
      <c r="AR293" s="202">
        <v>0.35099999999999998</v>
      </c>
      <c r="AS293" s="202">
        <v>0.54300000000000004</v>
      </c>
      <c r="AT293" s="202">
        <v>0.89400000000000002</v>
      </c>
      <c r="AU293" s="202">
        <v>10.57</v>
      </c>
      <c r="AV293" s="202">
        <v>2.35</v>
      </c>
      <c r="AW293" s="202">
        <v>12.91</v>
      </c>
      <c r="AX293" s="202">
        <v>4.5</v>
      </c>
      <c r="AY293" s="202">
        <v>19.43</v>
      </c>
    </row>
    <row r="294" spans="1:51" ht="12.75" customHeight="1" x14ac:dyDescent="0.2">
      <c r="A294" s="76">
        <v>25</v>
      </c>
      <c r="B294" t="s">
        <v>1472</v>
      </c>
      <c r="C294" s="76" t="s">
        <v>168</v>
      </c>
      <c r="D294" s="76">
        <v>0</v>
      </c>
      <c r="E294" s="76">
        <v>0</v>
      </c>
      <c r="F294" s="76">
        <v>10.8</v>
      </c>
      <c r="G294" s="76">
        <v>7</v>
      </c>
      <c r="H294" s="76">
        <v>0</v>
      </c>
      <c r="I294" s="76">
        <v>0</v>
      </c>
      <c r="J294" s="76">
        <v>0</v>
      </c>
      <c r="K294" s="76">
        <v>0</v>
      </c>
      <c r="L294" s="76">
        <v>0</v>
      </c>
      <c r="M294" s="76">
        <v>5</v>
      </c>
      <c r="N294" s="76">
        <v>9</v>
      </c>
      <c r="O294" s="76">
        <v>6</v>
      </c>
      <c r="P294" s="76">
        <v>6</v>
      </c>
      <c r="Q294" s="76">
        <v>1</v>
      </c>
      <c r="R294" s="76">
        <v>2</v>
      </c>
      <c r="S294" s="76">
        <v>0</v>
      </c>
      <c r="T294" s="76">
        <v>2</v>
      </c>
      <c r="U294" s="76">
        <v>25</v>
      </c>
      <c r="V294" s="76">
        <v>5</v>
      </c>
      <c r="W294" s="76">
        <v>0.40899999999999997</v>
      </c>
      <c r="X294" s="76">
        <v>2.2000000000000002</v>
      </c>
      <c r="Y294" s="76"/>
      <c r="Z294" t="s">
        <v>1472</v>
      </c>
      <c r="AA294" s="76" t="s">
        <v>168</v>
      </c>
      <c r="AB294" s="76">
        <v>0</v>
      </c>
      <c r="AC294" s="76">
        <v>0</v>
      </c>
      <c r="AD294" s="76">
        <v>3</v>
      </c>
      <c r="AE294" s="76">
        <v>1</v>
      </c>
      <c r="AF294" s="76">
        <v>0</v>
      </c>
      <c r="AG294" s="76">
        <v>6</v>
      </c>
      <c r="AH294" s="76">
        <v>6</v>
      </c>
      <c r="AI294" s="76">
        <v>1</v>
      </c>
      <c r="AJ294" s="76">
        <v>0</v>
      </c>
      <c r="AK294" s="76">
        <v>1</v>
      </c>
      <c r="AL294" s="76">
        <v>1</v>
      </c>
      <c r="AM294" s="76">
        <v>1</v>
      </c>
      <c r="AN294" s="76">
        <v>101</v>
      </c>
      <c r="AO294" s="202" t="s">
        <v>168</v>
      </c>
      <c r="AP294" s="202">
        <v>0.33300000000000002</v>
      </c>
      <c r="AQ294" s="202">
        <v>0.92</v>
      </c>
      <c r="AR294" s="202">
        <v>0.41499999999999998</v>
      </c>
      <c r="AS294" s="202">
        <v>0.53100000000000003</v>
      </c>
      <c r="AT294" s="202">
        <v>0.94599999999999995</v>
      </c>
      <c r="AU294" s="202">
        <v>8.1</v>
      </c>
      <c r="AV294" s="202">
        <v>7.71</v>
      </c>
      <c r="AW294" s="202">
        <v>11.19</v>
      </c>
      <c r="AX294" s="202">
        <v>1.05</v>
      </c>
      <c r="AY294" s="202">
        <v>20.27</v>
      </c>
    </row>
    <row r="295" spans="1:51" ht="12.75" customHeight="1" x14ac:dyDescent="0.2">
      <c r="A295" s="76">
        <v>17</v>
      </c>
      <c r="B295" s="41" t="s">
        <v>1470</v>
      </c>
      <c r="C295" s="76" t="s">
        <v>168</v>
      </c>
      <c r="D295" s="76">
        <v>3</v>
      </c>
      <c r="E295" s="76">
        <v>6</v>
      </c>
      <c r="F295" s="76">
        <v>5.7</v>
      </c>
      <c r="G295" s="76">
        <v>10</v>
      </c>
      <c r="H295" s="76">
        <v>10</v>
      </c>
      <c r="I295" s="76">
        <v>0</v>
      </c>
      <c r="J295" s="76">
        <v>0</v>
      </c>
      <c r="K295" s="76">
        <v>0</v>
      </c>
      <c r="L295" s="76">
        <v>0</v>
      </c>
      <c r="M295" s="76">
        <v>53.2</v>
      </c>
      <c r="N295" s="76">
        <v>53</v>
      </c>
      <c r="O295" s="76">
        <v>34</v>
      </c>
      <c r="P295" s="76">
        <v>34</v>
      </c>
      <c r="Q295" s="76">
        <v>10</v>
      </c>
      <c r="R295" s="76">
        <v>28</v>
      </c>
      <c r="S295" s="76">
        <v>1</v>
      </c>
      <c r="T295" s="76">
        <v>32</v>
      </c>
      <c r="U295" s="76">
        <v>237</v>
      </c>
      <c r="V295" s="76">
        <v>53.2</v>
      </c>
      <c r="W295" s="76">
        <v>0.26500000000000001</v>
      </c>
      <c r="X295" s="76">
        <v>1.51</v>
      </c>
      <c r="Y295" s="76"/>
      <c r="Z295" t="s">
        <v>1470</v>
      </c>
      <c r="AA295" s="76" t="s">
        <v>168</v>
      </c>
      <c r="AB295" s="76">
        <v>4</v>
      </c>
      <c r="AC295" s="76">
        <v>1</v>
      </c>
      <c r="AD295" s="76">
        <v>0</v>
      </c>
      <c r="AE295" s="76">
        <v>0</v>
      </c>
      <c r="AF295" s="76">
        <v>9</v>
      </c>
      <c r="AG295" s="76">
        <v>63</v>
      </c>
      <c r="AH295" s="76">
        <v>57</v>
      </c>
      <c r="AI295" s="76">
        <v>4</v>
      </c>
      <c r="AJ295" s="76">
        <v>0</v>
      </c>
      <c r="AK295" s="76">
        <v>1</v>
      </c>
      <c r="AL295" s="76">
        <v>1</v>
      </c>
      <c r="AM295" s="76">
        <v>1</v>
      </c>
      <c r="AN295" s="76">
        <v>919</v>
      </c>
      <c r="AO295" s="202" t="s">
        <v>168</v>
      </c>
      <c r="AP295" s="202">
        <v>0.66700000000000004</v>
      </c>
      <c r="AQ295" s="202">
        <v>0.85</v>
      </c>
      <c r="AR295" s="202">
        <v>0.28599999999999998</v>
      </c>
      <c r="AS295" s="202">
        <v>0.28299999999999997</v>
      </c>
      <c r="AT295" s="202">
        <v>0.56899999999999995</v>
      </c>
      <c r="AU295" s="202">
        <v>11.19</v>
      </c>
      <c r="AV295" s="202">
        <v>3.21</v>
      </c>
      <c r="AW295" s="202">
        <v>7.59</v>
      </c>
      <c r="AX295" s="202">
        <v>3.48</v>
      </c>
      <c r="AY295" s="202">
        <v>16.93</v>
      </c>
    </row>
    <row r="296" spans="1:51" ht="12.75" customHeight="1" x14ac:dyDescent="0.2">
      <c r="A296" s="76">
        <v>9</v>
      </c>
      <c r="B296" s="41" t="s">
        <v>1184</v>
      </c>
      <c r="C296" s="76" t="s">
        <v>168</v>
      </c>
      <c r="D296" s="76">
        <v>8</v>
      </c>
      <c r="E296" s="76">
        <v>6</v>
      </c>
      <c r="F296" s="76">
        <v>4.12</v>
      </c>
      <c r="G296" s="76">
        <v>24</v>
      </c>
      <c r="H296" s="76">
        <v>24</v>
      </c>
      <c r="I296" s="76">
        <v>1</v>
      </c>
      <c r="J296" s="76">
        <v>1</v>
      </c>
      <c r="K296" s="76">
        <v>0</v>
      </c>
      <c r="L296" s="76">
        <v>0</v>
      </c>
      <c r="M296" s="76">
        <v>131</v>
      </c>
      <c r="N296" s="76">
        <v>129</v>
      </c>
      <c r="O296" s="76">
        <v>64</v>
      </c>
      <c r="P296" s="76">
        <v>60</v>
      </c>
      <c r="Q296" s="76">
        <v>21</v>
      </c>
      <c r="R296" s="76">
        <v>45</v>
      </c>
      <c r="S296" s="76">
        <v>1</v>
      </c>
      <c r="T296" s="76">
        <v>152</v>
      </c>
      <c r="U296" s="76">
        <v>551</v>
      </c>
      <c r="V296" s="76">
        <v>131</v>
      </c>
      <c r="W296" s="76">
        <v>0.26300000000000001</v>
      </c>
      <c r="X296" s="76">
        <v>1.33</v>
      </c>
      <c r="Y296" s="76"/>
      <c r="Z296" t="s">
        <v>1184</v>
      </c>
      <c r="AA296" s="76" t="s">
        <v>168</v>
      </c>
      <c r="AB296" s="76">
        <v>1</v>
      </c>
      <c r="AC296" s="76">
        <v>1</v>
      </c>
      <c r="AD296" s="76">
        <v>0</v>
      </c>
      <c r="AE296" s="76">
        <v>0</v>
      </c>
      <c r="AF296" s="76">
        <v>12</v>
      </c>
      <c r="AG296" s="76">
        <v>101</v>
      </c>
      <c r="AH296" s="76">
        <v>123</v>
      </c>
      <c r="AI296" s="76">
        <v>3</v>
      </c>
      <c r="AJ296" s="76">
        <v>0</v>
      </c>
      <c r="AK296" s="76">
        <v>2</v>
      </c>
      <c r="AL296" s="76">
        <v>4</v>
      </c>
      <c r="AM296" s="76">
        <v>0</v>
      </c>
      <c r="AN296" s="76">
        <v>2213</v>
      </c>
      <c r="AO296" s="202" t="s">
        <v>168</v>
      </c>
      <c r="AP296" s="202">
        <v>0.4</v>
      </c>
      <c r="AQ296" s="202">
        <v>0.96</v>
      </c>
      <c r="AR296" s="202">
        <v>0.38</v>
      </c>
      <c r="AS296" s="202">
        <v>0.497</v>
      </c>
      <c r="AT296" s="202">
        <v>0.877</v>
      </c>
      <c r="AU296" s="202">
        <v>3.65</v>
      </c>
      <c r="AV296" s="202">
        <v>1.95</v>
      </c>
      <c r="AW296" s="202">
        <v>12.89</v>
      </c>
      <c r="AX296" s="202">
        <v>1.88</v>
      </c>
      <c r="AY296" s="202">
        <v>15.57</v>
      </c>
    </row>
    <row r="297" spans="1:51" ht="12.75" customHeight="1" x14ac:dyDescent="0.2">
      <c r="A297" s="225" t="s">
        <v>105</v>
      </c>
      <c r="B297" s="225" t="s">
        <v>106</v>
      </c>
      <c r="C297" s="225" t="s">
        <v>157</v>
      </c>
      <c r="D297" s="225" t="s">
        <v>85</v>
      </c>
      <c r="E297" s="225" t="s">
        <v>86</v>
      </c>
      <c r="F297" s="225" t="s">
        <v>107</v>
      </c>
      <c r="G297" s="225" t="s">
        <v>108</v>
      </c>
      <c r="H297" s="225" t="s">
        <v>88</v>
      </c>
      <c r="I297" s="225" t="s">
        <v>89</v>
      </c>
      <c r="J297" s="225" t="s">
        <v>1073</v>
      </c>
      <c r="K297" s="225" t="s">
        <v>90</v>
      </c>
      <c r="L297" s="225" t="s">
        <v>158</v>
      </c>
      <c r="M297" s="225" t="s">
        <v>91</v>
      </c>
      <c r="N297" s="225" t="s">
        <v>92</v>
      </c>
      <c r="O297" s="225" t="s">
        <v>93</v>
      </c>
      <c r="P297" s="225" t="s">
        <v>94</v>
      </c>
      <c r="Q297" s="225" t="s">
        <v>95</v>
      </c>
      <c r="R297" s="225" t="s">
        <v>96</v>
      </c>
      <c r="S297" s="225" t="s">
        <v>98</v>
      </c>
      <c r="T297" s="225" t="s">
        <v>97</v>
      </c>
      <c r="U297" s="225" t="s">
        <v>109</v>
      </c>
      <c r="V297" s="225" t="s">
        <v>91</v>
      </c>
      <c r="W297" s="225" t="s">
        <v>1071</v>
      </c>
      <c r="X297" s="225" t="s">
        <v>1072</v>
      </c>
      <c r="Y297" s="225"/>
      <c r="Z297" s="225" t="s">
        <v>106</v>
      </c>
      <c r="AA297" s="225" t="s">
        <v>157</v>
      </c>
      <c r="AB297" s="225" t="s">
        <v>1074</v>
      </c>
      <c r="AC297" s="225" t="s">
        <v>98</v>
      </c>
      <c r="AD297" s="225" t="s">
        <v>1075</v>
      </c>
      <c r="AE297" s="225" t="s">
        <v>1076</v>
      </c>
      <c r="AF297" s="225" t="s">
        <v>1077</v>
      </c>
      <c r="AG297" s="225" t="s">
        <v>1066</v>
      </c>
      <c r="AH297" s="225" t="s">
        <v>1067</v>
      </c>
      <c r="AI297" s="225" t="s">
        <v>1078</v>
      </c>
      <c r="AJ297" s="225" t="s">
        <v>1079</v>
      </c>
      <c r="AK297" s="225" t="s">
        <v>1057</v>
      </c>
      <c r="AL297" s="225" t="s">
        <v>1058</v>
      </c>
      <c r="AM297" s="225" t="s">
        <v>1080</v>
      </c>
      <c r="AN297" s="225" t="s">
        <v>1069</v>
      </c>
      <c r="AO297" s="202" t="s">
        <v>168</v>
      </c>
      <c r="AP297" s="202">
        <v>0.5</v>
      </c>
      <c r="AQ297" s="202">
        <v>0.79</v>
      </c>
      <c r="AR297" s="202">
        <v>0.308</v>
      </c>
      <c r="AS297" s="202">
        <v>0.46500000000000002</v>
      </c>
      <c r="AT297" s="202">
        <v>0.77200000000000002</v>
      </c>
      <c r="AU297" s="202">
        <v>9.15</v>
      </c>
      <c r="AV297" s="202">
        <v>2.23</v>
      </c>
      <c r="AW297" s="202">
        <v>8.48</v>
      </c>
      <c r="AX297" s="202">
        <v>4.0999999999999996</v>
      </c>
      <c r="AY297" s="202">
        <v>16.88</v>
      </c>
    </row>
    <row r="298" spans="1:51" ht="12.75" customHeight="1" x14ac:dyDescent="0.2">
      <c r="A298" s="76">
        <v>17</v>
      </c>
      <c r="B298" s="41" t="s">
        <v>418</v>
      </c>
      <c r="C298" s="76" t="s">
        <v>169</v>
      </c>
      <c r="D298" s="76">
        <v>3</v>
      </c>
      <c r="E298" s="76">
        <v>0</v>
      </c>
      <c r="F298" s="76">
        <v>4.13</v>
      </c>
      <c r="G298" s="76">
        <v>28</v>
      </c>
      <c r="H298" s="76">
        <v>0</v>
      </c>
      <c r="I298" s="76">
        <v>0</v>
      </c>
      <c r="J298" s="76">
        <v>0</v>
      </c>
      <c r="K298" s="76">
        <v>0</v>
      </c>
      <c r="L298" s="76">
        <v>1</v>
      </c>
      <c r="M298" s="76">
        <v>24</v>
      </c>
      <c r="N298" s="76">
        <v>19</v>
      </c>
      <c r="O298" s="76">
        <v>13</v>
      </c>
      <c r="P298" s="76">
        <v>11</v>
      </c>
      <c r="Q298" s="76">
        <v>3</v>
      </c>
      <c r="R298" s="76">
        <v>11</v>
      </c>
      <c r="S298" s="76">
        <v>1</v>
      </c>
      <c r="T298" s="76">
        <v>28</v>
      </c>
      <c r="U298" s="76">
        <v>102</v>
      </c>
      <c r="V298" s="76">
        <v>24</v>
      </c>
      <c r="W298" s="76">
        <v>0.216</v>
      </c>
      <c r="X298" s="76">
        <v>1.25</v>
      </c>
      <c r="Y298" s="76"/>
      <c r="Z298" t="s">
        <v>418</v>
      </c>
      <c r="AA298" s="76" t="s">
        <v>169</v>
      </c>
      <c r="AB298" s="76">
        <v>1</v>
      </c>
      <c r="AC298" s="76">
        <v>1</v>
      </c>
      <c r="AD298" s="76">
        <v>0</v>
      </c>
      <c r="AE298" s="76">
        <v>8</v>
      </c>
      <c r="AF298" s="76">
        <v>0</v>
      </c>
      <c r="AG298" s="76">
        <v>9</v>
      </c>
      <c r="AH298" s="76">
        <v>34</v>
      </c>
      <c r="AI298" s="76">
        <v>5</v>
      </c>
      <c r="AJ298" s="76">
        <v>2</v>
      </c>
      <c r="AK298" s="76">
        <v>4</v>
      </c>
      <c r="AL298" s="76">
        <v>0</v>
      </c>
      <c r="AM298" s="76">
        <v>0</v>
      </c>
      <c r="AN298" s="76">
        <v>419</v>
      </c>
      <c r="AO298" s="202" t="s">
        <v>169</v>
      </c>
      <c r="AP298" s="202">
        <v>0.75</v>
      </c>
      <c r="AQ298" s="202">
        <v>2.62</v>
      </c>
      <c r="AR298" s="202">
        <v>0.34499999999999997</v>
      </c>
      <c r="AS298" s="202">
        <v>0.375</v>
      </c>
      <c r="AT298" s="202">
        <v>0.72</v>
      </c>
      <c r="AU298" s="202">
        <v>4.84</v>
      </c>
      <c r="AV298" s="202">
        <v>2.5499999999999998</v>
      </c>
      <c r="AW298" s="202">
        <v>9.4</v>
      </c>
      <c r="AX298" s="202">
        <v>1.89</v>
      </c>
      <c r="AY298" s="202">
        <v>14.42</v>
      </c>
    </row>
    <row r="299" spans="1:51" ht="12.75" customHeight="1" x14ac:dyDescent="0.2">
      <c r="A299" s="76">
        <v>28</v>
      </c>
      <c r="B299" t="s">
        <v>1479</v>
      </c>
      <c r="C299" s="76" t="s">
        <v>169</v>
      </c>
      <c r="D299" s="76">
        <v>1</v>
      </c>
      <c r="E299" s="76">
        <v>1</v>
      </c>
      <c r="F299" s="76">
        <v>6.46</v>
      </c>
      <c r="G299" s="76">
        <v>6</v>
      </c>
      <c r="H299" s="76">
        <v>1</v>
      </c>
      <c r="I299" s="76">
        <v>0</v>
      </c>
      <c r="J299" s="76">
        <v>0</v>
      </c>
      <c r="K299" s="76">
        <v>0</v>
      </c>
      <c r="L299" s="76">
        <v>0</v>
      </c>
      <c r="M299" s="76">
        <v>15.1</v>
      </c>
      <c r="N299" s="76">
        <v>15</v>
      </c>
      <c r="O299" s="76">
        <v>11</v>
      </c>
      <c r="P299" s="76">
        <v>11</v>
      </c>
      <c r="Q299" s="76">
        <v>2</v>
      </c>
      <c r="R299" s="76">
        <v>7</v>
      </c>
      <c r="S299" s="76">
        <v>0</v>
      </c>
      <c r="T299" s="76">
        <v>8</v>
      </c>
      <c r="U299" s="76">
        <v>67</v>
      </c>
      <c r="V299" s="76">
        <v>15.1</v>
      </c>
      <c r="W299" s="76">
        <v>0.254</v>
      </c>
      <c r="X299" s="76">
        <v>1.43</v>
      </c>
      <c r="Y299" s="76"/>
      <c r="Z299" t="s">
        <v>1479</v>
      </c>
      <c r="AA299" s="76" t="s">
        <v>169</v>
      </c>
      <c r="AB299" s="76">
        <v>0</v>
      </c>
      <c r="AC299" s="76">
        <v>0</v>
      </c>
      <c r="AD299" s="76">
        <v>2</v>
      </c>
      <c r="AE299" s="76">
        <v>0</v>
      </c>
      <c r="AF299" s="76">
        <v>1</v>
      </c>
      <c r="AG299" s="76">
        <v>20</v>
      </c>
      <c r="AH299" s="76">
        <v>17</v>
      </c>
      <c r="AI299" s="76">
        <v>1</v>
      </c>
      <c r="AJ299" s="76">
        <v>1</v>
      </c>
      <c r="AK299" s="76">
        <v>0</v>
      </c>
      <c r="AL299" s="76">
        <v>0</v>
      </c>
      <c r="AM299" s="76">
        <v>0</v>
      </c>
      <c r="AN299" s="76">
        <v>263</v>
      </c>
      <c r="AO299" s="202" t="s">
        <v>169</v>
      </c>
      <c r="AP299" s="202">
        <v>0.8</v>
      </c>
      <c r="AQ299" s="202">
        <v>1.25</v>
      </c>
      <c r="AR299" s="202">
        <v>0.26</v>
      </c>
      <c r="AS299" s="202">
        <v>0.26500000000000001</v>
      </c>
      <c r="AT299" s="202">
        <v>0.52500000000000002</v>
      </c>
      <c r="AU299" s="202">
        <v>7.41</v>
      </c>
      <c r="AV299" s="202">
        <v>2.0299999999999998</v>
      </c>
      <c r="AW299" s="202">
        <v>6.57</v>
      </c>
      <c r="AX299" s="202">
        <v>3.65</v>
      </c>
      <c r="AY299" s="202">
        <v>14.81</v>
      </c>
    </row>
    <row r="300" spans="1:51" ht="12.75" customHeight="1" x14ac:dyDescent="0.2">
      <c r="A300" s="76">
        <v>23</v>
      </c>
      <c r="B300" s="41" t="s">
        <v>1478</v>
      </c>
      <c r="C300" s="76" t="s">
        <v>169</v>
      </c>
      <c r="D300" s="76">
        <v>0</v>
      </c>
      <c r="E300" s="76">
        <v>3</v>
      </c>
      <c r="F300" s="76">
        <v>4.8600000000000003</v>
      </c>
      <c r="G300" s="76">
        <v>8</v>
      </c>
      <c r="H300" s="76">
        <v>7</v>
      </c>
      <c r="I300" s="76">
        <v>0</v>
      </c>
      <c r="J300" s="76">
        <v>0</v>
      </c>
      <c r="K300" s="76">
        <v>0</v>
      </c>
      <c r="L300" s="76">
        <v>0</v>
      </c>
      <c r="M300" s="76">
        <v>33.1</v>
      </c>
      <c r="N300" s="76">
        <v>45</v>
      </c>
      <c r="O300" s="76">
        <v>26</v>
      </c>
      <c r="P300" s="76">
        <v>18</v>
      </c>
      <c r="Q300" s="76">
        <v>5</v>
      </c>
      <c r="R300" s="76">
        <v>17</v>
      </c>
      <c r="S300" s="76">
        <v>1</v>
      </c>
      <c r="T300" s="76">
        <v>29</v>
      </c>
      <c r="U300" s="76">
        <v>166</v>
      </c>
      <c r="V300" s="76">
        <v>33.1</v>
      </c>
      <c r="W300" s="76">
        <v>0.313</v>
      </c>
      <c r="X300" s="76">
        <v>1.86</v>
      </c>
      <c r="Y300" s="76"/>
      <c r="Z300" t="s">
        <v>1478</v>
      </c>
      <c r="AA300" s="76" t="s">
        <v>169</v>
      </c>
      <c r="AB300" s="76">
        <v>2</v>
      </c>
      <c r="AC300" s="76">
        <v>1</v>
      </c>
      <c r="AD300" s="76">
        <v>0</v>
      </c>
      <c r="AE300" s="76">
        <v>0</v>
      </c>
      <c r="AF300" s="76">
        <v>2</v>
      </c>
      <c r="AG300" s="76">
        <v>41</v>
      </c>
      <c r="AH300" s="76">
        <v>32</v>
      </c>
      <c r="AI300" s="76">
        <v>1</v>
      </c>
      <c r="AJ300" s="76">
        <v>0</v>
      </c>
      <c r="AK300" s="76">
        <v>4</v>
      </c>
      <c r="AL300" s="76">
        <v>1</v>
      </c>
      <c r="AM300" s="76">
        <v>0</v>
      </c>
      <c r="AN300" s="76">
        <v>662</v>
      </c>
      <c r="AO300" s="202" t="s">
        <v>169</v>
      </c>
      <c r="AP300" s="202">
        <v>0.5</v>
      </c>
      <c r="AQ300" s="202">
        <v>2.34</v>
      </c>
      <c r="AR300" s="202">
        <v>0.34</v>
      </c>
      <c r="AS300" s="202">
        <v>0.42899999999999999</v>
      </c>
      <c r="AT300" s="202">
        <v>0.76900000000000002</v>
      </c>
      <c r="AU300" s="202">
        <v>6.7</v>
      </c>
      <c r="AV300" s="202">
        <v>2.86</v>
      </c>
      <c r="AW300" s="202">
        <v>9.56</v>
      </c>
      <c r="AX300" s="202">
        <v>2.34</v>
      </c>
      <c r="AY300" s="202">
        <v>15.47</v>
      </c>
    </row>
    <row r="301" spans="1:51" ht="12.75" customHeight="1" x14ac:dyDescent="0.2">
      <c r="A301" s="76">
        <v>12</v>
      </c>
      <c r="B301" t="s">
        <v>389</v>
      </c>
      <c r="C301" s="76" t="s">
        <v>169</v>
      </c>
      <c r="D301" s="76">
        <v>1</v>
      </c>
      <c r="E301" s="76">
        <v>2</v>
      </c>
      <c r="F301" s="76">
        <v>3.51</v>
      </c>
      <c r="G301" s="76">
        <v>39</v>
      </c>
      <c r="H301" s="76">
        <v>0</v>
      </c>
      <c r="I301" s="76">
        <v>0</v>
      </c>
      <c r="J301" s="76">
        <v>0</v>
      </c>
      <c r="K301" s="76">
        <v>1</v>
      </c>
      <c r="L301" s="76">
        <v>2</v>
      </c>
      <c r="M301" s="76">
        <v>41</v>
      </c>
      <c r="N301" s="76">
        <v>46</v>
      </c>
      <c r="O301" s="76">
        <v>17</v>
      </c>
      <c r="P301" s="76">
        <v>16</v>
      </c>
      <c r="Q301" s="76">
        <v>4</v>
      </c>
      <c r="R301" s="76">
        <v>22</v>
      </c>
      <c r="S301" s="76">
        <v>0</v>
      </c>
      <c r="T301" s="76">
        <v>32</v>
      </c>
      <c r="U301" s="76">
        <v>187</v>
      </c>
      <c r="V301" s="76">
        <v>41</v>
      </c>
      <c r="W301" s="76">
        <v>0.28899999999999998</v>
      </c>
      <c r="X301" s="76">
        <v>1.66</v>
      </c>
      <c r="Y301" s="76"/>
      <c r="Z301" t="s">
        <v>389</v>
      </c>
      <c r="AA301" s="76" t="s">
        <v>169</v>
      </c>
      <c r="AB301" s="76">
        <v>4</v>
      </c>
      <c r="AC301" s="76">
        <v>0</v>
      </c>
      <c r="AD301" s="76">
        <v>9</v>
      </c>
      <c r="AE301" s="76">
        <v>2</v>
      </c>
      <c r="AF301" s="76">
        <v>5</v>
      </c>
      <c r="AG301" s="76">
        <v>46</v>
      </c>
      <c r="AH301" s="76">
        <v>37</v>
      </c>
      <c r="AI301" s="76">
        <v>1</v>
      </c>
      <c r="AJ301" s="76">
        <v>0</v>
      </c>
      <c r="AK301" s="76">
        <v>2</v>
      </c>
      <c r="AL301" s="76">
        <v>2</v>
      </c>
      <c r="AM301" s="76">
        <v>0</v>
      </c>
      <c r="AN301" s="76">
        <v>734</v>
      </c>
      <c r="AO301" s="202" t="s">
        <v>169</v>
      </c>
      <c r="AP301" s="202">
        <v>0.83299999999999996</v>
      </c>
      <c r="AQ301" s="202">
        <v>1.53</v>
      </c>
      <c r="AR301" s="202">
        <v>0.309</v>
      </c>
      <c r="AS301" s="202">
        <v>0.35199999999999998</v>
      </c>
      <c r="AT301" s="202">
        <v>0.66100000000000003</v>
      </c>
      <c r="AU301" s="202">
        <v>8.8000000000000007</v>
      </c>
      <c r="AV301" s="202">
        <v>3.5</v>
      </c>
      <c r="AW301" s="202">
        <v>7.59</v>
      </c>
      <c r="AX301" s="202">
        <v>2.52</v>
      </c>
      <c r="AY301" s="202">
        <v>14.95</v>
      </c>
    </row>
    <row r="302" spans="1:51" ht="12.75" customHeight="1" x14ac:dyDescent="0.2">
      <c r="A302" s="76">
        <v>1</v>
      </c>
      <c r="B302" t="s">
        <v>544</v>
      </c>
      <c r="C302" s="76" t="s">
        <v>169</v>
      </c>
      <c r="D302" s="76">
        <v>0</v>
      </c>
      <c r="E302" s="76">
        <v>0</v>
      </c>
      <c r="F302" s="76">
        <v>0</v>
      </c>
      <c r="G302" s="76">
        <v>3</v>
      </c>
      <c r="H302" s="76">
        <v>0</v>
      </c>
      <c r="I302" s="76">
        <v>0</v>
      </c>
      <c r="J302" s="76">
        <v>0</v>
      </c>
      <c r="K302" s="76">
        <v>0</v>
      </c>
      <c r="L302" s="76">
        <v>0</v>
      </c>
      <c r="M302" s="76">
        <v>4</v>
      </c>
      <c r="N302" s="76">
        <v>3</v>
      </c>
      <c r="O302" s="76">
        <v>0</v>
      </c>
      <c r="P302" s="76">
        <v>0</v>
      </c>
      <c r="Q302" s="76">
        <v>0</v>
      </c>
      <c r="R302" s="76">
        <v>3</v>
      </c>
      <c r="S302" s="76">
        <v>1</v>
      </c>
      <c r="T302" s="76">
        <v>3</v>
      </c>
      <c r="U302" s="76">
        <v>16</v>
      </c>
      <c r="V302" s="76">
        <v>4</v>
      </c>
      <c r="W302" s="76">
        <v>0.23100000000000001</v>
      </c>
      <c r="X302" s="76">
        <v>1.5</v>
      </c>
      <c r="Y302" s="76"/>
      <c r="Z302" t="s">
        <v>544</v>
      </c>
      <c r="AA302" s="76" t="s">
        <v>169</v>
      </c>
      <c r="AB302" s="76">
        <v>0</v>
      </c>
      <c r="AC302" s="76">
        <v>1</v>
      </c>
      <c r="AD302" s="76">
        <v>1</v>
      </c>
      <c r="AE302" s="76">
        <v>0</v>
      </c>
      <c r="AF302" s="76">
        <v>2</v>
      </c>
      <c r="AG302" s="76">
        <v>4</v>
      </c>
      <c r="AH302" s="76">
        <v>3</v>
      </c>
      <c r="AI302" s="76">
        <v>0</v>
      </c>
      <c r="AJ302" s="76">
        <v>0</v>
      </c>
      <c r="AK302" s="76">
        <v>0</v>
      </c>
      <c r="AL302" s="76">
        <v>0</v>
      </c>
      <c r="AM302" s="76">
        <v>0</v>
      </c>
      <c r="AN302" s="76">
        <v>66</v>
      </c>
      <c r="AO302" s="202" t="s">
        <v>168</v>
      </c>
      <c r="AP302" s="202">
        <v>0.75</v>
      </c>
      <c r="AQ302" s="202">
        <v>1.18</v>
      </c>
      <c r="AR302" s="202">
        <v>0.3</v>
      </c>
      <c r="AS302" s="202">
        <v>0.40300000000000002</v>
      </c>
      <c r="AT302" s="202">
        <v>0.70299999999999996</v>
      </c>
      <c r="AU302" s="202">
        <v>7.88</v>
      </c>
      <c r="AV302" s="202">
        <v>2.2000000000000002</v>
      </c>
      <c r="AW302" s="202">
        <v>8.58</v>
      </c>
      <c r="AX302" s="202">
        <v>3.58</v>
      </c>
      <c r="AY302" s="202">
        <v>14.38</v>
      </c>
    </row>
    <row r="303" spans="1:51" ht="12.75" customHeight="1" x14ac:dyDescent="0.2">
      <c r="A303" s="76">
        <v>15</v>
      </c>
      <c r="B303" s="41" t="s">
        <v>431</v>
      </c>
      <c r="C303" s="76" t="s">
        <v>169</v>
      </c>
      <c r="D303" s="76">
        <v>7</v>
      </c>
      <c r="E303" s="76">
        <v>10</v>
      </c>
      <c r="F303" s="76">
        <v>3.88</v>
      </c>
      <c r="G303" s="76">
        <v>21</v>
      </c>
      <c r="H303" s="76">
        <v>21</v>
      </c>
      <c r="I303" s="76">
        <v>1</v>
      </c>
      <c r="J303" s="76">
        <v>0</v>
      </c>
      <c r="K303" s="76">
        <v>0</v>
      </c>
      <c r="L303" s="76">
        <v>0</v>
      </c>
      <c r="M303" s="76">
        <v>116</v>
      </c>
      <c r="N303" s="76">
        <v>131</v>
      </c>
      <c r="O303" s="76">
        <v>57</v>
      </c>
      <c r="P303" s="76">
        <v>50</v>
      </c>
      <c r="Q303" s="76">
        <v>7</v>
      </c>
      <c r="R303" s="76">
        <v>36</v>
      </c>
      <c r="S303" s="76">
        <v>3</v>
      </c>
      <c r="T303" s="76">
        <v>98</v>
      </c>
      <c r="U303" s="76">
        <v>506</v>
      </c>
      <c r="V303" s="76">
        <v>116</v>
      </c>
      <c r="W303" s="76">
        <v>0.28899999999999998</v>
      </c>
      <c r="X303" s="76">
        <v>1.44</v>
      </c>
      <c r="Y303" s="76"/>
      <c r="Z303" t="s">
        <v>431</v>
      </c>
      <c r="AA303" s="76" t="s">
        <v>169</v>
      </c>
      <c r="AB303" s="76">
        <v>6</v>
      </c>
      <c r="AC303" s="76">
        <v>3</v>
      </c>
      <c r="AD303" s="76">
        <v>0</v>
      </c>
      <c r="AE303" s="76">
        <v>0</v>
      </c>
      <c r="AF303" s="76">
        <v>9</v>
      </c>
      <c r="AG303" s="76">
        <v>130</v>
      </c>
      <c r="AH303" s="76">
        <v>105</v>
      </c>
      <c r="AI303" s="76">
        <v>5</v>
      </c>
      <c r="AJ303" s="76">
        <v>1</v>
      </c>
      <c r="AK303" s="76">
        <v>18</v>
      </c>
      <c r="AL303" s="76">
        <v>2</v>
      </c>
      <c r="AM303" s="76">
        <v>0</v>
      </c>
      <c r="AN303" s="76">
        <v>1938</v>
      </c>
      <c r="AO303" s="202" t="s">
        <v>169</v>
      </c>
      <c r="AP303" s="202">
        <v>1</v>
      </c>
      <c r="AQ303" s="202">
        <v>0.93</v>
      </c>
      <c r="AR303" s="202">
        <v>0.40500000000000003</v>
      </c>
      <c r="AS303" s="202">
        <v>0.67100000000000004</v>
      </c>
      <c r="AT303" s="202">
        <v>1.077</v>
      </c>
      <c r="AU303" s="202">
        <v>9.18</v>
      </c>
      <c r="AV303" s="202">
        <v>1.62</v>
      </c>
      <c r="AW303" s="202">
        <v>14.04</v>
      </c>
      <c r="AX303" s="202">
        <v>5.67</v>
      </c>
      <c r="AY303" s="202">
        <v>18.420000000000002</v>
      </c>
    </row>
    <row r="304" spans="1:51" ht="12.75" customHeight="1" x14ac:dyDescent="0.2">
      <c r="A304" s="76">
        <v>13</v>
      </c>
      <c r="B304" s="41" t="s">
        <v>636</v>
      </c>
      <c r="C304" s="76" t="s">
        <v>169</v>
      </c>
      <c r="D304" s="76">
        <v>4</v>
      </c>
      <c r="E304" s="76">
        <v>2</v>
      </c>
      <c r="F304" s="76">
        <v>3.52</v>
      </c>
      <c r="G304" s="76">
        <v>62</v>
      </c>
      <c r="H304" s="76">
        <v>0</v>
      </c>
      <c r="I304" s="76">
        <v>0</v>
      </c>
      <c r="J304" s="76">
        <v>0</v>
      </c>
      <c r="K304" s="76">
        <v>2</v>
      </c>
      <c r="L304" s="76">
        <v>4</v>
      </c>
      <c r="M304" s="76">
        <v>53.2</v>
      </c>
      <c r="N304" s="76">
        <v>40</v>
      </c>
      <c r="O304" s="76">
        <v>21</v>
      </c>
      <c r="P304" s="76">
        <v>21</v>
      </c>
      <c r="Q304" s="76">
        <v>10</v>
      </c>
      <c r="R304" s="76">
        <v>21</v>
      </c>
      <c r="S304" s="76">
        <v>1</v>
      </c>
      <c r="T304" s="76">
        <v>61</v>
      </c>
      <c r="U304" s="76">
        <v>218</v>
      </c>
      <c r="V304" s="76">
        <v>53.2</v>
      </c>
      <c r="W304" s="76">
        <v>0.20699999999999999</v>
      </c>
      <c r="X304" s="76">
        <v>1.1399999999999999</v>
      </c>
      <c r="Y304" s="76"/>
      <c r="Z304" t="s">
        <v>636</v>
      </c>
      <c r="AA304" s="76" t="s">
        <v>169</v>
      </c>
      <c r="AB304" s="76">
        <v>1</v>
      </c>
      <c r="AC304" s="76">
        <v>1</v>
      </c>
      <c r="AD304" s="76">
        <v>6</v>
      </c>
      <c r="AE304" s="76">
        <v>29</v>
      </c>
      <c r="AF304" s="76">
        <v>5</v>
      </c>
      <c r="AG304" s="76">
        <v>41</v>
      </c>
      <c r="AH304" s="76">
        <v>54</v>
      </c>
      <c r="AI304" s="76">
        <v>3</v>
      </c>
      <c r="AJ304" s="76">
        <v>0</v>
      </c>
      <c r="AK304" s="76">
        <v>3</v>
      </c>
      <c r="AL304" s="76">
        <v>1</v>
      </c>
      <c r="AM304" s="76">
        <v>0</v>
      </c>
      <c r="AN304" s="76">
        <v>940</v>
      </c>
      <c r="AO304" s="202" t="s">
        <v>169</v>
      </c>
      <c r="AP304" s="202">
        <v>0.70399999999999996</v>
      </c>
      <c r="AQ304" s="202">
        <v>1.33</v>
      </c>
      <c r="AR304" s="202">
        <v>0.28699999999999998</v>
      </c>
      <c r="AS304" s="202">
        <v>0.33600000000000002</v>
      </c>
      <c r="AT304" s="202">
        <v>0.623</v>
      </c>
      <c r="AU304" s="202">
        <v>8.74</v>
      </c>
      <c r="AV304" s="202">
        <v>1.9</v>
      </c>
      <c r="AW304" s="202">
        <v>7.92</v>
      </c>
      <c r="AX304" s="202">
        <v>4.59</v>
      </c>
      <c r="AY304" s="202">
        <v>15.57</v>
      </c>
    </row>
    <row r="305" spans="1:51" ht="12.75" customHeight="1" x14ac:dyDescent="0.2">
      <c r="A305" s="76">
        <v>19</v>
      </c>
      <c r="B305" t="s">
        <v>1477</v>
      </c>
      <c r="C305" s="76" t="s">
        <v>169</v>
      </c>
      <c r="D305" s="76">
        <v>0</v>
      </c>
      <c r="E305" s="76">
        <v>2</v>
      </c>
      <c r="F305" s="76">
        <v>4.24</v>
      </c>
      <c r="G305" s="76">
        <v>7</v>
      </c>
      <c r="H305" s="76">
        <v>4</v>
      </c>
      <c r="I305" s="76">
        <v>0</v>
      </c>
      <c r="J305" s="76">
        <v>0</v>
      </c>
      <c r="K305" s="76">
        <v>0</v>
      </c>
      <c r="L305" s="76">
        <v>0</v>
      </c>
      <c r="M305" s="76">
        <v>23.1</v>
      </c>
      <c r="N305" s="76">
        <v>22</v>
      </c>
      <c r="O305" s="76">
        <v>13</v>
      </c>
      <c r="P305" s="76">
        <v>11</v>
      </c>
      <c r="Q305" s="76">
        <v>2</v>
      </c>
      <c r="R305" s="76">
        <v>13</v>
      </c>
      <c r="S305" s="76">
        <v>0</v>
      </c>
      <c r="T305" s="76">
        <v>24</v>
      </c>
      <c r="U305" s="76">
        <v>105</v>
      </c>
      <c r="V305" s="76">
        <v>23.1</v>
      </c>
      <c r="W305" s="76">
        <v>0.25</v>
      </c>
      <c r="X305" s="76">
        <v>1.5</v>
      </c>
      <c r="Y305" s="76"/>
      <c r="Z305" t="s">
        <v>1477</v>
      </c>
      <c r="AA305" s="76" t="s">
        <v>169</v>
      </c>
      <c r="AB305" s="76">
        <v>3</v>
      </c>
      <c r="AC305" s="76">
        <v>0</v>
      </c>
      <c r="AD305" s="76">
        <v>0</v>
      </c>
      <c r="AE305" s="76">
        <v>0</v>
      </c>
      <c r="AF305" s="76">
        <v>5</v>
      </c>
      <c r="AG305" s="76">
        <v>26</v>
      </c>
      <c r="AH305" s="76">
        <v>17</v>
      </c>
      <c r="AI305" s="76">
        <v>2</v>
      </c>
      <c r="AJ305" s="76">
        <v>1</v>
      </c>
      <c r="AK305" s="76">
        <v>9</v>
      </c>
      <c r="AL305" s="76">
        <v>0</v>
      </c>
      <c r="AM305" s="76">
        <v>0</v>
      </c>
      <c r="AN305" s="76">
        <v>439</v>
      </c>
      <c r="AO305" s="202" t="s">
        <v>169</v>
      </c>
      <c r="AP305" s="202">
        <v>0.63200000000000001</v>
      </c>
      <c r="AQ305" s="202">
        <v>1.68</v>
      </c>
      <c r="AR305" s="202">
        <v>0.29799999999999999</v>
      </c>
      <c r="AS305" s="202">
        <v>0.33200000000000002</v>
      </c>
      <c r="AT305" s="202">
        <v>0.63100000000000001</v>
      </c>
      <c r="AU305" s="202">
        <v>9.8800000000000008</v>
      </c>
      <c r="AV305" s="202">
        <v>3.38</v>
      </c>
      <c r="AW305" s="202">
        <v>7.47</v>
      </c>
      <c r="AX305" s="202">
        <v>2.93</v>
      </c>
      <c r="AY305" s="202">
        <v>15.98</v>
      </c>
    </row>
    <row r="306" spans="1:51" ht="12.75" customHeight="1" x14ac:dyDescent="0.2">
      <c r="A306" s="76">
        <v>7</v>
      </c>
      <c r="B306" s="41" t="s">
        <v>436</v>
      </c>
      <c r="C306" s="76" t="s">
        <v>169</v>
      </c>
      <c r="D306" s="76">
        <v>1</v>
      </c>
      <c r="E306" s="76">
        <v>1</v>
      </c>
      <c r="F306" s="76">
        <v>3.03</v>
      </c>
      <c r="G306" s="76">
        <v>67</v>
      </c>
      <c r="H306" s="76">
        <v>0</v>
      </c>
      <c r="I306" s="76">
        <v>0</v>
      </c>
      <c r="J306" s="76">
        <v>0</v>
      </c>
      <c r="K306" s="76">
        <v>1</v>
      </c>
      <c r="L306" s="76">
        <v>3</v>
      </c>
      <c r="M306" s="76">
        <v>59.1</v>
      </c>
      <c r="N306" s="76">
        <v>62</v>
      </c>
      <c r="O306" s="76">
        <v>24</v>
      </c>
      <c r="P306" s="76">
        <v>20</v>
      </c>
      <c r="Q306" s="76">
        <v>6</v>
      </c>
      <c r="R306" s="76">
        <v>22</v>
      </c>
      <c r="S306" s="76">
        <v>3</v>
      </c>
      <c r="T306" s="76">
        <v>34</v>
      </c>
      <c r="U306" s="76">
        <v>257</v>
      </c>
      <c r="V306" s="76">
        <v>59.1</v>
      </c>
      <c r="W306" s="76">
        <v>0.27700000000000002</v>
      </c>
      <c r="X306" s="76">
        <v>1.42</v>
      </c>
      <c r="Y306" s="76"/>
      <c r="Z306" t="s">
        <v>436</v>
      </c>
      <c r="AA306" s="76" t="s">
        <v>169</v>
      </c>
      <c r="AB306" s="76">
        <v>5</v>
      </c>
      <c r="AC306" s="76">
        <v>3</v>
      </c>
      <c r="AD306" s="76">
        <v>18</v>
      </c>
      <c r="AE306" s="76">
        <v>4</v>
      </c>
      <c r="AF306" s="76">
        <v>8</v>
      </c>
      <c r="AG306" s="76">
        <v>87</v>
      </c>
      <c r="AH306" s="76">
        <v>47</v>
      </c>
      <c r="AI306" s="76">
        <v>5</v>
      </c>
      <c r="AJ306" s="76">
        <v>0</v>
      </c>
      <c r="AK306" s="76">
        <v>7</v>
      </c>
      <c r="AL306" s="76">
        <v>2</v>
      </c>
      <c r="AM306" s="76">
        <v>0</v>
      </c>
      <c r="AN306" s="76">
        <v>908</v>
      </c>
      <c r="AO306" s="202" t="s">
        <v>168</v>
      </c>
      <c r="AP306" s="202">
        <v>0.25</v>
      </c>
      <c r="AQ306" s="202">
        <v>1.27</v>
      </c>
      <c r="AR306" s="202">
        <v>0.36299999999999999</v>
      </c>
      <c r="AS306" s="202">
        <v>0.5</v>
      </c>
      <c r="AT306" s="202">
        <v>0.86299999999999999</v>
      </c>
      <c r="AU306" s="202">
        <v>5.5</v>
      </c>
      <c r="AV306" s="202">
        <v>2.5299999999999998</v>
      </c>
      <c r="AW306" s="202">
        <v>11.98</v>
      </c>
      <c r="AX306" s="202">
        <v>2.1800000000000002</v>
      </c>
      <c r="AY306" s="202">
        <v>16.350000000000001</v>
      </c>
    </row>
    <row r="307" spans="1:51" ht="12.75" customHeight="1" x14ac:dyDescent="0.2">
      <c r="A307" s="76">
        <v>27</v>
      </c>
      <c r="B307" t="s">
        <v>830</v>
      </c>
      <c r="C307" s="76" t="s">
        <v>169</v>
      </c>
      <c r="D307" s="76">
        <v>0</v>
      </c>
      <c r="E307" s="76">
        <v>0</v>
      </c>
      <c r="F307" s="76">
        <v>5.56</v>
      </c>
      <c r="G307" s="76">
        <v>6</v>
      </c>
      <c r="H307" s="76">
        <v>1</v>
      </c>
      <c r="I307" s="76">
        <v>0</v>
      </c>
      <c r="J307" s="76">
        <v>0</v>
      </c>
      <c r="K307" s="76">
        <v>0</v>
      </c>
      <c r="L307" s="76">
        <v>0</v>
      </c>
      <c r="M307" s="76">
        <v>11.1</v>
      </c>
      <c r="N307" s="76">
        <v>15</v>
      </c>
      <c r="O307" s="76">
        <v>7</v>
      </c>
      <c r="P307" s="76">
        <v>7</v>
      </c>
      <c r="Q307" s="76">
        <v>2</v>
      </c>
      <c r="R307" s="76">
        <v>3</v>
      </c>
      <c r="S307" s="76">
        <v>0</v>
      </c>
      <c r="T307" s="76">
        <v>10</v>
      </c>
      <c r="U307" s="76">
        <v>51</v>
      </c>
      <c r="V307" s="76">
        <v>11.1</v>
      </c>
      <c r="W307" s="76">
        <v>0.34100000000000003</v>
      </c>
      <c r="X307" s="76">
        <v>1.59</v>
      </c>
      <c r="Y307" s="76"/>
      <c r="Z307" t="s">
        <v>830</v>
      </c>
      <c r="AA307" s="76" t="s">
        <v>169</v>
      </c>
      <c r="AB307" s="76">
        <v>1</v>
      </c>
      <c r="AC307" s="76">
        <v>0</v>
      </c>
      <c r="AD307" s="76">
        <v>3</v>
      </c>
      <c r="AE307" s="76">
        <v>0</v>
      </c>
      <c r="AF307" s="76">
        <v>0</v>
      </c>
      <c r="AG307" s="76">
        <v>7</v>
      </c>
      <c r="AH307" s="76">
        <v>15</v>
      </c>
      <c r="AI307" s="76">
        <v>0</v>
      </c>
      <c r="AJ307" s="76">
        <v>0</v>
      </c>
      <c r="AK307" s="76">
        <v>0</v>
      </c>
      <c r="AL307" s="76">
        <v>1</v>
      </c>
      <c r="AM307" s="76">
        <v>0</v>
      </c>
      <c r="AN307" s="76">
        <v>195</v>
      </c>
      <c r="AO307" s="202" t="s">
        <v>169</v>
      </c>
      <c r="AP307" s="202" t="s">
        <v>243</v>
      </c>
      <c r="AQ307" s="202">
        <v>4</v>
      </c>
      <c r="AR307" s="202">
        <v>0.28599999999999998</v>
      </c>
      <c r="AS307" s="202">
        <v>0.28599999999999998</v>
      </c>
      <c r="AT307" s="202">
        <v>0.57099999999999995</v>
      </c>
      <c r="AU307" s="202">
        <v>0</v>
      </c>
      <c r="AV307" s="202">
        <v>0</v>
      </c>
      <c r="AW307" s="202">
        <v>9</v>
      </c>
      <c r="AX307" s="202" t="s">
        <v>243</v>
      </c>
      <c r="AY307" s="202">
        <v>10</v>
      </c>
    </row>
    <row r="308" spans="1:51" ht="12.75" customHeight="1" x14ac:dyDescent="0.2">
      <c r="A308" s="76">
        <v>1</v>
      </c>
      <c r="B308" t="s">
        <v>1333</v>
      </c>
      <c r="C308" s="76" t="s">
        <v>169</v>
      </c>
      <c r="D308" s="76">
        <v>0</v>
      </c>
      <c r="E308" s="76">
        <v>0</v>
      </c>
      <c r="F308" s="76">
        <v>0</v>
      </c>
      <c r="G308" s="76">
        <v>1</v>
      </c>
      <c r="H308" s="76">
        <v>0</v>
      </c>
      <c r="I308" s="76">
        <v>0</v>
      </c>
      <c r="J308" s="76">
        <v>0</v>
      </c>
      <c r="K308" s="76">
        <v>0</v>
      </c>
      <c r="L308" s="76">
        <v>0</v>
      </c>
      <c r="M308" s="76">
        <v>1</v>
      </c>
      <c r="N308" s="76">
        <v>2</v>
      </c>
      <c r="O308" s="76">
        <v>0</v>
      </c>
      <c r="P308" s="76">
        <v>0</v>
      </c>
      <c r="Q308" s="76">
        <v>0</v>
      </c>
      <c r="R308" s="76">
        <v>0</v>
      </c>
      <c r="S308" s="76">
        <v>0</v>
      </c>
      <c r="T308" s="76">
        <v>1</v>
      </c>
      <c r="U308" s="76">
        <v>5</v>
      </c>
      <c r="V308" s="76">
        <v>1</v>
      </c>
      <c r="W308" s="76">
        <v>0.4</v>
      </c>
      <c r="X308" s="76">
        <v>2</v>
      </c>
      <c r="Y308" s="76"/>
      <c r="Z308" t="s">
        <v>1333</v>
      </c>
      <c r="AA308" s="76" t="s">
        <v>169</v>
      </c>
      <c r="AB308" s="76">
        <v>0</v>
      </c>
      <c r="AC308" s="76">
        <v>0</v>
      </c>
      <c r="AD308" s="76">
        <v>1</v>
      </c>
      <c r="AE308" s="76">
        <v>0</v>
      </c>
      <c r="AF308" s="76">
        <v>0</v>
      </c>
      <c r="AG308" s="76">
        <v>1</v>
      </c>
      <c r="AH308" s="76">
        <v>1</v>
      </c>
      <c r="AI308" s="76">
        <v>0</v>
      </c>
      <c r="AJ308" s="76">
        <v>0</v>
      </c>
      <c r="AK308" s="76">
        <v>0</v>
      </c>
      <c r="AL308" s="76">
        <v>0</v>
      </c>
      <c r="AM308" s="76">
        <v>0</v>
      </c>
      <c r="AN308" s="76">
        <v>17</v>
      </c>
      <c r="AO308" s="202" t="s">
        <v>168</v>
      </c>
      <c r="AP308" s="202" t="s">
        <v>243</v>
      </c>
      <c r="AQ308" s="202">
        <v>1</v>
      </c>
      <c r="AR308" s="202">
        <v>0.42899999999999999</v>
      </c>
      <c r="AS308" s="202">
        <v>0.47399999999999998</v>
      </c>
      <c r="AT308" s="202">
        <v>0.90200000000000002</v>
      </c>
      <c r="AU308" s="202">
        <v>4.5</v>
      </c>
      <c r="AV308" s="202">
        <v>4.5</v>
      </c>
      <c r="AW308" s="202">
        <v>15.75</v>
      </c>
      <c r="AX308" s="202">
        <v>1</v>
      </c>
      <c r="AY308" s="202">
        <v>21</v>
      </c>
    </row>
    <row r="309" spans="1:51" ht="12.75" customHeight="1" x14ac:dyDescent="0.2">
      <c r="A309" s="76">
        <v>18</v>
      </c>
      <c r="B309" s="41" t="s">
        <v>1476</v>
      </c>
      <c r="C309" s="76" t="s">
        <v>169</v>
      </c>
      <c r="D309" s="76">
        <v>5</v>
      </c>
      <c r="E309" s="76">
        <v>4</v>
      </c>
      <c r="F309" s="76">
        <v>4.2</v>
      </c>
      <c r="G309" s="76">
        <v>14</v>
      </c>
      <c r="H309" s="76">
        <v>14</v>
      </c>
      <c r="I309" s="76">
        <v>0</v>
      </c>
      <c r="J309" s="76">
        <v>0</v>
      </c>
      <c r="K309" s="76">
        <v>0</v>
      </c>
      <c r="L309" s="76">
        <v>0</v>
      </c>
      <c r="M309" s="76">
        <v>70.2</v>
      </c>
      <c r="N309" s="76">
        <v>73</v>
      </c>
      <c r="O309" s="76">
        <v>34</v>
      </c>
      <c r="P309" s="76">
        <v>33</v>
      </c>
      <c r="Q309" s="76">
        <v>7</v>
      </c>
      <c r="R309" s="76">
        <v>20</v>
      </c>
      <c r="S309" s="76">
        <v>0</v>
      </c>
      <c r="T309" s="76">
        <v>53</v>
      </c>
      <c r="U309" s="76">
        <v>301</v>
      </c>
      <c r="V309" s="76">
        <v>70.2</v>
      </c>
      <c r="W309" s="76">
        <v>0.26700000000000002</v>
      </c>
      <c r="X309" s="76">
        <v>1.32</v>
      </c>
      <c r="Y309" s="76"/>
      <c r="Z309" t="s">
        <v>1476</v>
      </c>
      <c r="AA309" s="76" t="s">
        <v>169</v>
      </c>
      <c r="AB309" s="76">
        <v>4</v>
      </c>
      <c r="AC309" s="76">
        <v>0</v>
      </c>
      <c r="AD309" s="76">
        <v>0</v>
      </c>
      <c r="AE309" s="76">
        <v>0</v>
      </c>
      <c r="AF309" s="76">
        <v>5</v>
      </c>
      <c r="AG309" s="76">
        <v>79</v>
      </c>
      <c r="AH309" s="76">
        <v>72</v>
      </c>
      <c r="AI309" s="76">
        <v>2</v>
      </c>
      <c r="AJ309" s="76">
        <v>0</v>
      </c>
      <c r="AK309" s="76">
        <v>4</v>
      </c>
      <c r="AL309" s="76">
        <v>2</v>
      </c>
      <c r="AM309" s="76">
        <v>0</v>
      </c>
      <c r="AN309" s="76">
        <v>1141</v>
      </c>
      <c r="AO309" s="202" t="s">
        <v>169</v>
      </c>
      <c r="AP309" s="202" t="s">
        <v>243</v>
      </c>
      <c r="AQ309" s="202">
        <v>1.1399999999999999</v>
      </c>
      <c r="AR309" s="202">
        <v>0.20699999999999999</v>
      </c>
      <c r="AS309" s="202">
        <v>0.35699999999999998</v>
      </c>
      <c r="AT309" s="202">
        <v>0.56399999999999995</v>
      </c>
      <c r="AU309" s="202">
        <v>9</v>
      </c>
      <c r="AV309" s="202">
        <v>1.1299999999999999</v>
      </c>
      <c r="AW309" s="202">
        <v>5.63</v>
      </c>
      <c r="AX309" s="202">
        <v>8</v>
      </c>
      <c r="AY309" s="202">
        <v>13.75</v>
      </c>
    </row>
    <row r="310" spans="1:51" ht="12.75" customHeight="1" x14ac:dyDescent="0.2">
      <c r="A310" s="76">
        <v>4</v>
      </c>
      <c r="B310" t="s">
        <v>1377</v>
      </c>
      <c r="C310" s="76" t="s">
        <v>169</v>
      </c>
      <c r="D310" s="76">
        <v>1</v>
      </c>
      <c r="E310" s="76">
        <v>0</v>
      </c>
      <c r="F310" s="76">
        <v>0.75</v>
      </c>
      <c r="G310" s="76">
        <v>8</v>
      </c>
      <c r="H310" s="76">
        <v>0</v>
      </c>
      <c r="I310" s="76">
        <v>0</v>
      </c>
      <c r="J310" s="76">
        <v>0</v>
      </c>
      <c r="K310" s="76">
        <v>1</v>
      </c>
      <c r="L310" s="76">
        <v>1</v>
      </c>
      <c r="M310" s="76">
        <v>12</v>
      </c>
      <c r="N310" s="76">
        <v>7</v>
      </c>
      <c r="O310" s="76">
        <v>3</v>
      </c>
      <c r="P310" s="76">
        <v>1</v>
      </c>
      <c r="Q310" s="76">
        <v>0</v>
      </c>
      <c r="R310" s="76">
        <v>2</v>
      </c>
      <c r="S310" s="76">
        <v>0</v>
      </c>
      <c r="T310" s="76">
        <v>10</v>
      </c>
      <c r="U310" s="76">
        <v>44</v>
      </c>
      <c r="V310" s="76">
        <v>12</v>
      </c>
      <c r="W310" s="76">
        <v>0.17499999999999999</v>
      </c>
      <c r="X310" s="76">
        <v>0.75</v>
      </c>
      <c r="Y310" s="76"/>
      <c r="Z310" t="s">
        <v>1377</v>
      </c>
      <c r="AA310" s="76" t="s">
        <v>169</v>
      </c>
      <c r="AB310" s="76">
        <v>0</v>
      </c>
      <c r="AC310" s="76">
        <v>0</v>
      </c>
      <c r="AD310" s="76">
        <v>4</v>
      </c>
      <c r="AE310" s="76">
        <v>1</v>
      </c>
      <c r="AF310" s="76">
        <v>1</v>
      </c>
      <c r="AG310" s="76">
        <v>10</v>
      </c>
      <c r="AH310" s="76">
        <v>15</v>
      </c>
      <c r="AI310" s="76">
        <v>0</v>
      </c>
      <c r="AJ310" s="76">
        <v>0</v>
      </c>
      <c r="AK310" s="76">
        <v>0</v>
      </c>
      <c r="AL310" s="76">
        <v>1</v>
      </c>
      <c r="AM310" s="76">
        <v>0</v>
      </c>
      <c r="AN310" s="76">
        <v>174</v>
      </c>
      <c r="AO310" s="202" t="s">
        <v>168</v>
      </c>
      <c r="AP310" s="202">
        <v>0.66700000000000004</v>
      </c>
      <c r="AQ310" s="202">
        <v>1.26</v>
      </c>
      <c r="AR310" s="202">
        <v>0.27</v>
      </c>
      <c r="AS310" s="202">
        <v>0.32700000000000001</v>
      </c>
      <c r="AT310" s="202">
        <v>0.59699999999999998</v>
      </c>
      <c r="AU310" s="202">
        <v>9.08</v>
      </c>
      <c r="AV310" s="202">
        <v>1.82</v>
      </c>
      <c r="AW310" s="202">
        <v>7.03</v>
      </c>
      <c r="AX310" s="202">
        <v>5</v>
      </c>
      <c r="AY310" s="202">
        <v>14.5</v>
      </c>
    </row>
    <row r="311" spans="1:51" ht="12.75" customHeight="1" x14ac:dyDescent="0.2">
      <c r="A311" s="76">
        <v>26</v>
      </c>
      <c r="B311" t="s">
        <v>430</v>
      </c>
      <c r="C311" s="76" t="s">
        <v>169</v>
      </c>
      <c r="D311" s="76">
        <v>6</v>
      </c>
      <c r="E311" s="76">
        <v>11</v>
      </c>
      <c r="F311" s="76">
        <v>5.46</v>
      </c>
      <c r="G311" s="76">
        <v>21</v>
      </c>
      <c r="H311" s="76">
        <v>21</v>
      </c>
      <c r="I311" s="76">
        <v>0</v>
      </c>
      <c r="J311" s="76">
        <v>0</v>
      </c>
      <c r="K311" s="76">
        <v>0</v>
      </c>
      <c r="L311" s="76">
        <v>0</v>
      </c>
      <c r="M311" s="76">
        <v>113.2</v>
      </c>
      <c r="N311" s="76">
        <v>115</v>
      </c>
      <c r="O311" s="76">
        <v>76</v>
      </c>
      <c r="P311" s="76">
        <v>69</v>
      </c>
      <c r="Q311" s="76">
        <v>19</v>
      </c>
      <c r="R311" s="76">
        <v>69</v>
      </c>
      <c r="S311" s="76">
        <v>1</v>
      </c>
      <c r="T311" s="76">
        <v>116</v>
      </c>
      <c r="U311" s="76">
        <v>523</v>
      </c>
      <c r="V311" s="76">
        <v>113.2</v>
      </c>
      <c r="W311" s="76">
        <v>0.26400000000000001</v>
      </c>
      <c r="X311" s="76">
        <v>1.62</v>
      </c>
      <c r="Y311" s="76"/>
      <c r="Z311" t="s">
        <v>430</v>
      </c>
      <c r="AA311" s="76" t="s">
        <v>169</v>
      </c>
      <c r="AB311" s="76">
        <v>7</v>
      </c>
      <c r="AC311" s="76">
        <v>1</v>
      </c>
      <c r="AD311" s="76">
        <v>0</v>
      </c>
      <c r="AE311" s="76">
        <v>0</v>
      </c>
      <c r="AF311" s="76">
        <v>13</v>
      </c>
      <c r="AG311" s="76">
        <v>134</v>
      </c>
      <c r="AH311" s="76">
        <v>82</v>
      </c>
      <c r="AI311" s="76">
        <v>8</v>
      </c>
      <c r="AJ311" s="76">
        <v>0</v>
      </c>
      <c r="AK311" s="76">
        <v>7</v>
      </c>
      <c r="AL311" s="76">
        <v>0</v>
      </c>
      <c r="AM311" s="76">
        <v>1</v>
      </c>
      <c r="AN311" s="76">
        <v>2000</v>
      </c>
      <c r="AO311" s="202" t="s">
        <v>169</v>
      </c>
      <c r="AP311" s="202" t="s">
        <v>243</v>
      </c>
      <c r="AQ311" s="202">
        <v>0.88</v>
      </c>
      <c r="AR311" s="202">
        <v>0.29199999999999998</v>
      </c>
      <c r="AS311" s="202">
        <v>0.27800000000000002</v>
      </c>
      <c r="AT311" s="202">
        <v>0.57099999999999995</v>
      </c>
      <c r="AU311" s="202">
        <v>9.4499999999999993</v>
      </c>
      <c r="AV311" s="202">
        <v>2.7</v>
      </c>
      <c r="AW311" s="202">
        <v>7.76</v>
      </c>
      <c r="AX311" s="202">
        <v>3.5</v>
      </c>
      <c r="AY311" s="202">
        <v>17.329999999999998</v>
      </c>
    </row>
    <row r="312" spans="1:51" ht="12.75" customHeight="1" x14ac:dyDescent="0.2">
      <c r="A312" s="76">
        <v>16</v>
      </c>
      <c r="B312" s="41" t="s">
        <v>797</v>
      </c>
      <c r="C312" s="76" t="s">
        <v>169</v>
      </c>
      <c r="D312" s="76">
        <v>2</v>
      </c>
      <c r="E312" s="76">
        <v>0</v>
      </c>
      <c r="F312" s="76">
        <v>3.96</v>
      </c>
      <c r="G312" s="76">
        <v>14</v>
      </c>
      <c r="H312" s="76">
        <v>0</v>
      </c>
      <c r="I312" s="76">
        <v>0</v>
      </c>
      <c r="J312" s="76">
        <v>0</v>
      </c>
      <c r="K312" s="76">
        <v>0</v>
      </c>
      <c r="L312" s="76">
        <v>0</v>
      </c>
      <c r="M312" s="76">
        <v>25</v>
      </c>
      <c r="N312" s="76">
        <v>25</v>
      </c>
      <c r="O312" s="76">
        <v>11</v>
      </c>
      <c r="P312" s="76">
        <v>11</v>
      </c>
      <c r="Q312" s="76">
        <v>2</v>
      </c>
      <c r="R312" s="76">
        <v>12</v>
      </c>
      <c r="S312" s="76">
        <v>1</v>
      </c>
      <c r="T312" s="76">
        <v>15</v>
      </c>
      <c r="U312" s="76">
        <v>110</v>
      </c>
      <c r="V312" s="76">
        <v>25</v>
      </c>
      <c r="W312" s="76">
        <v>0.26300000000000001</v>
      </c>
      <c r="X312" s="76">
        <v>1.48</v>
      </c>
      <c r="Y312" s="76"/>
      <c r="Z312" t="s">
        <v>797</v>
      </c>
      <c r="AA312" s="76" t="s">
        <v>169</v>
      </c>
      <c r="AB312" s="76">
        <v>2</v>
      </c>
      <c r="AC312" s="76">
        <v>1</v>
      </c>
      <c r="AD312" s="76">
        <v>3</v>
      </c>
      <c r="AE312" s="76">
        <v>0</v>
      </c>
      <c r="AF312" s="76">
        <v>4</v>
      </c>
      <c r="AG312" s="76">
        <v>36</v>
      </c>
      <c r="AH312" s="76">
        <v>20</v>
      </c>
      <c r="AI312" s="76">
        <v>2</v>
      </c>
      <c r="AJ312" s="76">
        <v>0</v>
      </c>
      <c r="AK312" s="76">
        <v>0</v>
      </c>
      <c r="AL312" s="76">
        <v>0</v>
      </c>
      <c r="AM312" s="76">
        <v>0</v>
      </c>
      <c r="AN312" s="76">
        <v>412</v>
      </c>
      <c r="AO312" s="202" t="s">
        <v>169</v>
      </c>
      <c r="AP312" s="202">
        <v>0.77800000000000002</v>
      </c>
      <c r="AQ312" s="202">
        <v>0.89</v>
      </c>
      <c r="AR312" s="202">
        <v>0.26200000000000001</v>
      </c>
      <c r="AS312" s="202">
        <v>0.315</v>
      </c>
      <c r="AT312" s="202">
        <v>0.57699999999999996</v>
      </c>
      <c r="AU312" s="202">
        <v>9.81</v>
      </c>
      <c r="AV312" s="202">
        <v>1.85</v>
      </c>
      <c r="AW312" s="202">
        <v>7.39</v>
      </c>
      <c r="AX312" s="202">
        <v>5.31</v>
      </c>
      <c r="AY312" s="202">
        <v>15.6</v>
      </c>
    </row>
    <row r="313" spans="1:51" ht="12.75" customHeight="1" x14ac:dyDescent="0.2">
      <c r="A313" s="76">
        <v>25</v>
      </c>
      <c r="B313" s="41" t="s">
        <v>435</v>
      </c>
      <c r="C313" s="76" t="s">
        <v>169</v>
      </c>
      <c r="D313" s="76">
        <v>9</v>
      </c>
      <c r="E313" s="76">
        <v>8</v>
      </c>
      <c r="F313" s="76">
        <v>5.44</v>
      </c>
      <c r="G313" s="76">
        <v>30</v>
      </c>
      <c r="H313" s="76">
        <v>19</v>
      </c>
      <c r="I313" s="76">
        <v>1</v>
      </c>
      <c r="J313" s="76">
        <v>1</v>
      </c>
      <c r="K313" s="76">
        <v>0</v>
      </c>
      <c r="L313" s="76">
        <v>0</v>
      </c>
      <c r="M313" s="76">
        <v>127.1</v>
      </c>
      <c r="N313" s="76">
        <v>151</v>
      </c>
      <c r="O313" s="76">
        <v>81</v>
      </c>
      <c r="P313" s="76">
        <v>77</v>
      </c>
      <c r="Q313" s="76">
        <v>17</v>
      </c>
      <c r="R313" s="76">
        <v>44</v>
      </c>
      <c r="S313" s="76">
        <v>4</v>
      </c>
      <c r="T313" s="76">
        <v>73</v>
      </c>
      <c r="U313" s="76">
        <v>564</v>
      </c>
      <c r="V313" s="76">
        <v>127.1</v>
      </c>
      <c r="W313" s="76">
        <v>0.29799999999999999</v>
      </c>
      <c r="X313" s="76">
        <v>1.53</v>
      </c>
      <c r="Y313" s="76"/>
      <c r="Z313" t="s">
        <v>435</v>
      </c>
      <c r="AA313" s="76" t="s">
        <v>169</v>
      </c>
      <c r="AB313" s="76">
        <v>3</v>
      </c>
      <c r="AC313" s="76">
        <v>4</v>
      </c>
      <c r="AD313" s="76">
        <v>4</v>
      </c>
      <c r="AE313" s="76">
        <v>0</v>
      </c>
      <c r="AF313" s="76">
        <v>16</v>
      </c>
      <c r="AG313" s="76">
        <v>162</v>
      </c>
      <c r="AH313" s="76">
        <v>130</v>
      </c>
      <c r="AI313" s="76">
        <v>7</v>
      </c>
      <c r="AJ313" s="76">
        <v>0</v>
      </c>
      <c r="AK313" s="76">
        <v>9</v>
      </c>
      <c r="AL313" s="76">
        <v>3</v>
      </c>
      <c r="AM313" s="76">
        <v>1</v>
      </c>
      <c r="AN313" s="76">
        <v>2096</v>
      </c>
      <c r="AO313" s="202" t="s">
        <v>169</v>
      </c>
      <c r="AP313" s="202">
        <v>0.33300000000000002</v>
      </c>
      <c r="AQ313" s="202">
        <v>2.4</v>
      </c>
      <c r="AR313" s="202">
        <v>0.35499999999999998</v>
      </c>
      <c r="AS313" s="202">
        <v>0.40699999999999997</v>
      </c>
      <c r="AT313" s="202">
        <v>0.76100000000000001</v>
      </c>
      <c r="AU313" s="202">
        <v>7.04</v>
      </c>
      <c r="AV313" s="202">
        <v>4.7</v>
      </c>
      <c r="AW313" s="202">
        <v>9.68</v>
      </c>
      <c r="AX313" s="202">
        <v>1.5</v>
      </c>
      <c r="AY313" s="202">
        <v>17.45</v>
      </c>
    </row>
    <row r="314" spans="1:51" ht="12.75" customHeight="1" x14ac:dyDescent="0.2">
      <c r="A314" s="76">
        <v>30</v>
      </c>
      <c r="B314" t="s">
        <v>1481</v>
      </c>
      <c r="C314" s="76" t="s">
        <v>169</v>
      </c>
      <c r="D314" s="76">
        <v>0</v>
      </c>
      <c r="E314" s="76">
        <v>1</v>
      </c>
      <c r="F314" s="76">
        <v>9.35</v>
      </c>
      <c r="G314" s="76">
        <v>9</v>
      </c>
      <c r="H314" s="76">
        <v>0</v>
      </c>
      <c r="I314" s="76">
        <v>0</v>
      </c>
      <c r="J314" s="76">
        <v>0</v>
      </c>
      <c r="K314" s="76">
        <v>0</v>
      </c>
      <c r="L314" s="76">
        <v>0</v>
      </c>
      <c r="M314" s="76">
        <v>8.1999999999999993</v>
      </c>
      <c r="N314" s="76">
        <v>15</v>
      </c>
      <c r="O314" s="76">
        <v>9</v>
      </c>
      <c r="P314" s="76">
        <v>9</v>
      </c>
      <c r="Q314" s="76">
        <v>2</v>
      </c>
      <c r="R314" s="76">
        <v>11</v>
      </c>
      <c r="S314" s="76">
        <v>2</v>
      </c>
      <c r="T314" s="76">
        <v>9</v>
      </c>
      <c r="U314" s="76">
        <v>53</v>
      </c>
      <c r="V314" s="76">
        <v>8.1999999999999993</v>
      </c>
      <c r="W314" s="76">
        <v>0.38500000000000001</v>
      </c>
      <c r="X314" s="76">
        <v>3</v>
      </c>
      <c r="Y314" s="76"/>
      <c r="Z314" t="s">
        <v>1481</v>
      </c>
      <c r="AA314" s="76" t="s">
        <v>169</v>
      </c>
      <c r="AB314" s="76">
        <v>1</v>
      </c>
      <c r="AC314" s="76">
        <v>2</v>
      </c>
      <c r="AD314" s="76">
        <v>5</v>
      </c>
      <c r="AE314" s="76">
        <v>0</v>
      </c>
      <c r="AF314" s="76">
        <v>0</v>
      </c>
      <c r="AG314" s="76">
        <v>6</v>
      </c>
      <c r="AH314" s="76">
        <v>11</v>
      </c>
      <c r="AI314" s="76">
        <v>0</v>
      </c>
      <c r="AJ314" s="76">
        <v>0</v>
      </c>
      <c r="AK314" s="76">
        <v>0</v>
      </c>
      <c r="AL314" s="76">
        <v>0</v>
      </c>
      <c r="AM314" s="76">
        <v>0</v>
      </c>
      <c r="AN314" s="76">
        <v>221</v>
      </c>
      <c r="AO314" s="102" t="s">
        <v>157</v>
      </c>
      <c r="AP314" s="102" t="s">
        <v>1081</v>
      </c>
      <c r="AQ314" s="102" t="s">
        <v>1068</v>
      </c>
      <c r="AR314" s="102" t="s">
        <v>1059</v>
      </c>
      <c r="AS314" s="102" t="s">
        <v>1060</v>
      </c>
      <c r="AT314" s="102" t="s">
        <v>1061</v>
      </c>
      <c r="AU314" s="102" t="s">
        <v>1092</v>
      </c>
      <c r="AV314" s="102" t="s">
        <v>1093</v>
      </c>
      <c r="AW314" s="102" t="s">
        <v>1094</v>
      </c>
      <c r="AX314" s="102" t="s">
        <v>1095</v>
      </c>
      <c r="AY314" s="102" t="s">
        <v>1096</v>
      </c>
    </row>
    <row r="315" spans="1:51" ht="12.75" customHeight="1" x14ac:dyDescent="0.2">
      <c r="A315" s="76">
        <v>1</v>
      </c>
      <c r="B315" t="s">
        <v>1473</v>
      </c>
      <c r="C315" s="76" t="s">
        <v>169</v>
      </c>
      <c r="D315" s="76">
        <v>0</v>
      </c>
      <c r="E315" s="76">
        <v>0</v>
      </c>
      <c r="F315" s="76">
        <v>0</v>
      </c>
      <c r="G315" s="76">
        <v>2</v>
      </c>
      <c r="H315" s="76">
        <v>0</v>
      </c>
      <c r="I315" s="76">
        <v>0</v>
      </c>
      <c r="J315" s="76">
        <v>0</v>
      </c>
      <c r="K315" s="76">
        <v>0</v>
      </c>
      <c r="L315" s="76">
        <v>0</v>
      </c>
      <c r="M315" s="76">
        <v>3.1</v>
      </c>
      <c r="N315" s="76">
        <v>5</v>
      </c>
      <c r="O315" s="76">
        <v>5</v>
      </c>
      <c r="P315" s="76">
        <v>0</v>
      </c>
      <c r="Q315" s="76">
        <v>2</v>
      </c>
      <c r="R315" s="76">
        <v>2</v>
      </c>
      <c r="S315" s="76">
        <v>0</v>
      </c>
      <c r="T315" s="76">
        <v>1</v>
      </c>
      <c r="U315" s="76">
        <v>17</v>
      </c>
      <c r="V315" s="76">
        <v>3.1</v>
      </c>
      <c r="W315" s="76">
        <v>0.33300000000000002</v>
      </c>
      <c r="X315" s="76">
        <v>2.1</v>
      </c>
      <c r="Y315" s="76"/>
      <c r="Z315" t="s">
        <v>1473</v>
      </c>
      <c r="AA315" s="76" t="s">
        <v>169</v>
      </c>
      <c r="AB315" s="76">
        <v>0</v>
      </c>
      <c r="AC315" s="76">
        <v>0</v>
      </c>
      <c r="AD315" s="76">
        <v>1</v>
      </c>
      <c r="AE315" s="76">
        <v>0</v>
      </c>
      <c r="AF315" s="76">
        <v>1</v>
      </c>
      <c r="AG315" s="76">
        <v>6</v>
      </c>
      <c r="AH315" s="76">
        <v>3</v>
      </c>
      <c r="AI315" s="76">
        <v>0</v>
      </c>
      <c r="AJ315" s="76">
        <v>0</v>
      </c>
      <c r="AK315" s="76">
        <v>0</v>
      </c>
      <c r="AL315" s="76">
        <v>0</v>
      </c>
      <c r="AM315" s="76">
        <v>0</v>
      </c>
      <c r="AN315" s="76">
        <v>58</v>
      </c>
      <c r="AO315" s="202" t="s">
        <v>168</v>
      </c>
      <c r="AP315" s="202">
        <v>0.14299999999999999</v>
      </c>
      <c r="AQ315" s="202">
        <v>1</v>
      </c>
      <c r="AR315" s="202">
        <v>0.372</v>
      </c>
      <c r="AS315" s="202">
        <v>0.57199999999999995</v>
      </c>
      <c r="AT315" s="202">
        <v>0.94299999999999995</v>
      </c>
      <c r="AU315" s="202">
        <v>4.4400000000000004</v>
      </c>
      <c r="AV315" s="202">
        <v>2.54</v>
      </c>
      <c r="AW315" s="202">
        <v>11.92</v>
      </c>
      <c r="AX315" s="202">
        <v>1.75</v>
      </c>
      <c r="AY315" s="202">
        <v>16.62</v>
      </c>
    </row>
    <row r="316" spans="1:51" ht="12.75" customHeight="1" x14ac:dyDescent="0.2">
      <c r="A316" s="76">
        <v>5</v>
      </c>
      <c r="B316" t="s">
        <v>425</v>
      </c>
      <c r="C316" s="76" t="s">
        <v>169</v>
      </c>
      <c r="D316" s="76">
        <v>1</v>
      </c>
      <c r="E316" s="76">
        <v>1</v>
      </c>
      <c r="F316" s="76">
        <v>1.51</v>
      </c>
      <c r="G316" s="76">
        <v>45</v>
      </c>
      <c r="H316" s="76">
        <v>0</v>
      </c>
      <c r="I316" s="76">
        <v>0</v>
      </c>
      <c r="J316" s="76">
        <v>0</v>
      </c>
      <c r="K316" s="76">
        <v>30</v>
      </c>
      <c r="L316" s="76">
        <v>33</v>
      </c>
      <c r="M316" s="76">
        <v>41.2</v>
      </c>
      <c r="N316" s="76">
        <v>31</v>
      </c>
      <c r="O316" s="76">
        <v>10</v>
      </c>
      <c r="P316" s="76">
        <v>7</v>
      </c>
      <c r="Q316" s="76">
        <v>2</v>
      </c>
      <c r="R316" s="76">
        <v>9</v>
      </c>
      <c r="S316" s="76">
        <v>0</v>
      </c>
      <c r="T316" s="76">
        <v>38</v>
      </c>
      <c r="U316" s="76">
        <v>163</v>
      </c>
      <c r="V316" s="76">
        <v>41.2</v>
      </c>
      <c r="W316" s="76">
        <v>0.20499999999999999</v>
      </c>
      <c r="X316" s="76">
        <v>0.96</v>
      </c>
      <c r="Y316" s="76"/>
      <c r="Z316" t="s">
        <v>425</v>
      </c>
      <c r="AA316" s="76" t="s">
        <v>169</v>
      </c>
      <c r="AB316" s="76">
        <v>1</v>
      </c>
      <c r="AC316" s="76">
        <v>0</v>
      </c>
      <c r="AD316" s="76">
        <v>39</v>
      </c>
      <c r="AE316" s="76">
        <v>0</v>
      </c>
      <c r="AF316" s="76">
        <v>2</v>
      </c>
      <c r="AG316" s="76">
        <v>42</v>
      </c>
      <c r="AH316" s="76">
        <v>42</v>
      </c>
      <c r="AI316" s="76">
        <v>1</v>
      </c>
      <c r="AJ316" s="76">
        <v>0</v>
      </c>
      <c r="AK316" s="76">
        <v>2</v>
      </c>
      <c r="AL316" s="76">
        <v>0</v>
      </c>
      <c r="AM316" s="76">
        <v>0</v>
      </c>
      <c r="AN316" s="76">
        <v>605</v>
      </c>
      <c r="AO316" s="202" t="s">
        <v>168</v>
      </c>
      <c r="AP316" s="202">
        <v>1</v>
      </c>
      <c r="AQ316" s="202">
        <v>4.5</v>
      </c>
      <c r="AR316" s="202">
        <v>0.47599999999999998</v>
      </c>
      <c r="AS316" s="202">
        <v>0.57899999999999996</v>
      </c>
      <c r="AT316" s="202">
        <v>1.0549999999999999</v>
      </c>
      <c r="AU316" s="202">
        <v>2.08</v>
      </c>
      <c r="AV316" s="202">
        <v>2.08</v>
      </c>
      <c r="AW316" s="202">
        <v>18.690000000000001</v>
      </c>
      <c r="AX316" s="202">
        <v>1</v>
      </c>
      <c r="AY316" s="202">
        <v>15.92</v>
      </c>
    </row>
    <row r="317" spans="1:51" ht="12.75" customHeight="1" x14ac:dyDescent="0.2">
      <c r="A317" s="76">
        <v>21</v>
      </c>
      <c r="B317" s="41" t="s">
        <v>370</v>
      </c>
      <c r="C317" s="76" t="s">
        <v>169</v>
      </c>
      <c r="D317" s="76">
        <v>10</v>
      </c>
      <c r="E317" s="76">
        <v>7</v>
      </c>
      <c r="F317" s="76">
        <v>4.5</v>
      </c>
      <c r="G317" s="76">
        <v>52</v>
      </c>
      <c r="H317" s="76">
        <v>12</v>
      </c>
      <c r="I317" s="76">
        <v>0</v>
      </c>
      <c r="J317" s="76">
        <v>0</v>
      </c>
      <c r="K317" s="76">
        <v>0</v>
      </c>
      <c r="L317" s="76">
        <v>2</v>
      </c>
      <c r="M317" s="76">
        <v>118</v>
      </c>
      <c r="N317" s="76">
        <v>117</v>
      </c>
      <c r="O317" s="76">
        <v>64</v>
      </c>
      <c r="P317" s="76">
        <v>59</v>
      </c>
      <c r="Q317" s="76">
        <v>15</v>
      </c>
      <c r="R317" s="76">
        <v>45</v>
      </c>
      <c r="S317" s="76">
        <v>3</v>
      </c>
      <c r="T317" s="76">
        <v>138</v>
      </c>
      <c r="U317" s="76">
        <v>513</v>
      </c>
      <c r="V317" s="76">
        <v>118</v>
      </c>
      <c r="W317" s="76">
        <v>0.26100000000000001</v>
      </c>
      <c r="X317" s="76">
        <v>1.37</v>
      </c>
      <c r="Y317" s="76"/>
      <c r="Z317" t="s">
        <v>370</v>
      </c>
      <c r="AA317" s="76" t="s">
        <v>169</v>
      </c>
      <c r="AB317" s="76">
        <v>7</v>
      </c>
      <c r="AC317" s="76">
        <v>3</v>
      </c>
      <c r="AD317" s="76">
        <v>9</v>
      </c>
      <c r="AE317" s="76">
        <v>6</v>
      </c>
      <c r="AF317" s="76">
        <v>8</v>
      </c>
      <c r="AG317" s="76">
        <v>108</v>
      </c>
      <c r="AH317" s="76">
        <v>98</v>
      </c>
      <c r="AI317" s="76">
        <v>3</v>
      </c>
      <c r="AJ317" s="76">
        <v>0</v>
      </c>
      <c r="AK317" s="76">
        <v>4</v>
      </c>
      <c r="AL317" s="76">
        <v>4</v>
      </c>
      <c r="AM317" s="76">
        <v>1</v>
      </c>
      <c r="AN317" s="76">
        <v>2165</v>
      </c>
      <c r="AO317" s="202" t="s">
        <v>169</v>
      </c>
      <c r="AP317" s="202">
        <v>0.42099999999999999</v>
      </c>
      <c r="AQ317" s="202">
        <v>1.51</v>
      </c>
      <c r="AR317" s="202">
        <v>0.33700000000000002</v>
      </c>
      <c r="AS317" s="202">
        <v>0.39800000000000002</v>
      </c>
      <c r="AT317" s="202">
        <v>0.73499999999999999</v>
      </c>
      <c r="AU317" s="202">
        <v>6.9</v>
      </c>
      <c r="AV317" s="202">
        <v>3.21</v>
      </c>
      <c r="AW317" s="202">
        <v>9.57</v>
      </c>
      <c r="AX317" s="202">
        <v>2.15</v>
      </c>
      <c r="AY317" s="202">
        <v>16.510000000000002</v>
      </c>
    </row>
    <row r="318" spans="1:51" ht="12.75" customHeight="1" x14ac:dyDescent="0.2">
      <c r="A318" s="76">
        <v>24</v>
      </c>
      <c r="B318" t="s">
        <v>415</v>
      </c>
      <c r="C318" s="76" t="s">
        <v>169</v>
      </c>
      <c r="D318" s="76">
        <v>8</v>
      </c>
      <c r="E318" s="76">
        <v>6</v>
      </c>
      <c r="F318" s="76">
        <v>4.91</v>
      </c>
      <c r="G318" s="76">
        <v>23</v>
      </c>
      <c r="H318" s="76">
        <v>18</v>
      </c>
      <c r="I318" s="76">
        <v>0</v>
      </c>
      <c r="J318" s="76">
        <v>0</v>
      </c>
      <c r="K318" s="76">
        <v>0</v>
      </c>
      <c r="L318" s="76">
        <v>0</v>
      </c>
      <c r="M318" s="76">
        <v>110</v>
      </c>
      <c r="N318" s="76">
        <v>132</v>
      </c>
      <c r="O318" s="76">
        <v>63</v>
      </c>
      <c r="P318" s="76">
        <v>60</v>
      </c>
      <c r="Q318" s="76">
        <v>21</v>
      </c>
      <c r="R318" s="76">
        <v>38</v>
      </c>
      <c r="S318" s="76">
        <v>2</v>
      </c>
      <c r="T318" s="76">
        <v>76</v>
      </c>
      <c r="U318" s="76">
        <v>491</v>
      </c>
      <c r="V318" s="76">
        <v>110</v>
      </c>
      <c r="W318" s="76">
        <v>0.29699999999999999</v>
      </c>
      <c r="X318" s="76">
        <v>1.55</v>
      </c>
      <c r="Y318" s="76"/>
      <c r="Z318" t="s">
        <v>415</v>
      </c>
      <c r="AA318" s="76" t="s">
        <v>169</v>
      </c>
      <c r="AB318" s="76">
        <v>3</v>
      </c>
      <c r="AC318" s="76">
        <v>2</v>
      </c>
      <c r="AD318" s="76">
        <v>2</v>
      </c>
      <c r="AE318" s="76">
        <v>0</v>
      </c>
      <c r="AF318" s="76">
        <v>13</v>
      </c>
      <c r="AG318" s="76">
        <v>155</v>
      </c>
      <c r="AH318" s="76">
        <v>87</v>
      </c>
      <c r="AI318" s="76">
        <v>9</v>
      </c>
      <c r="AJ318" s="76">
        <v>0</v>
      </c>
      <c r="AK318" s="76">
        <v>2</v>
      </c>
      <c r="AL318" s="76">
        <v>2</v>
      </c>
      <c r="AM318" s="76">
        <v>1</v>
      </c>
      <c r="AN318" s="76">
        <v>1786</v>
      </c>
      <c r="AO318" s="202" t="s">
        <v>169</v>
      </c>
      <c r="AP318" s="202">
        <v>1</v>
      </c>
      <c r="AQ318" s="202">
        <v>1.25</v>
      </c>
      <c r="AR318" s="202">
        <v>0.26300000000000001</v>
      </c>
      <c r="AS318" s="202">
        <v>0.5</v>
      </c>
      <c r="AT318" s="202">
        <v>0.76300000000000001</v>
      </c>
      <c r="AU318" s="202">
        <v>9</v>
      </c>
      <c r="AV318" s="202">
        <v>1.8</v>
      </c>
      <c r="AW318" s="202">
        <v>7.2</v>
      </c>
      <c r="AX318" s="202">
        <v>5</v>
      </c>
      <c r="AY318" s="202">
        <v>15.4</v>
      </c>
    </row>
    <row r="319" spans="1:51" ht="12.75" customHeight="1" x14ac:dyDescent="0.2">
      <c r="A319" s="76">
        <v>9</v>
      </c>
      <c r="B319" s="41" t="s">
        <v>584</v>
      </c>
      <c r="C319" s="76" t="s">
        <v>169</v>
      </c>
      <c r="D319" s="76">
        <v>5</v>
      </c>
      <c r="E319" s="76">
        <v>2</v>
      </c>
      <c r="F319" s="76">
        <v>3.06</v>
      </c>
      <c r="G319" s="76">
        <v>11</v>
      </c>
      <c r="H319" s="76">
        <v>11</v>
      </c>
      <c r="I319" s="76">
        <v>3</v>
      </c>
      <c r="J319" s="76">
        <v>0</v>
      </c>
      <c r="K319" s="76">
        <v>0</v>
      </c>
      <c r="L319" s="76">
        <v>0</v>
      </c>
      <c r="M319" s="76">
        <v>64.2</v>
      </c>
      <c r="N319" s="76">
        <v>68</v>
      </c>
      <c r="O319" s="76">
        <v>27</v>
      </c>
      <c r="P319" s="76">
        <v>22</v>
      </c>
      <c r="Q319" s="76">
        <v>4</v>
      </c>
      <c r="R319" s="76">
        <v>3</v>
      </c>
      <c r="S319" s="76">
        <v>0</v>
      </c>
      <c r="T319" s="76">
        <v>52</v>
      </c>
      <c r="U319" s="76">
        <v>263</v>
      </c>
      <c r="V319" s="76">
        <v>64.2</v>
      </c>
      <c r="W319" s="76">
        <v>0.27300000000000002</v>
      </c>
      <c r="X319" s="76">
        <v>1.1000000000000001</v>
      </c>
      <c r="Y319" s="76"/>
      <c r="Z319" t="s">
        <v>584</v>
      </c>
      <c r="AA319" s="76" t="s">
        <v>169</v>
      </c>
      <c r="AB319" s="76">
        <v>3</v>
      </c>
      <c r="AC319" s="76">
        <v>0</v>
      </c>
      <c r="AD319" s="76">
        <v>0</v>
      </c>
      <c r="AE319" s="76">
        <v>0</v>
      </c>
      <c r="AF319" s="76">
        <v>8</v>
      </c>
      <c r="AG319" s="76">
        <v>89</v>
      </c>
      <c r="AH319" s="76">
        <v>48</v>
      </c>
      <c r="AI319" s="76">
        <v>3</v>
      </c>
      <c r="AJ319" s="76">
        <v>0</v>
      </c>
      <c r="AK319" s="76">
        <v>2</v>
      </c>
      <c r="AL319" s="76">
        <v>0</v>
      </c>
      <c r="AM319" s="76">
        <v>0</v>
      </c>
      <c r="AN319" s="76">
        <v>831</v>
      </c>
      <c r="AO319" s="202" t="s">
        <v>169</v>
      </c>
      <c r="AP319" s="202">
        <v>0.8</v>
      </c>
      <c r="AQ319" s="202">
        <v>0.47</v>
      </c>
      <c r="AR319" s="202">
        <v>0.28699999999999998</v>
      </c>
      <c r="AS319" s="202">
        <v>0.28399999999999997</v>
      </c>
      <c r="AT319" s="202">
        <v>0.57099999999999995</v>
      </c>
      <c r="AU319" s="202">
        <v>10.050000000000001</v>
      </c>
      <c r="AV319" s="202">
        <v>4.08</v>
      </c>
      <c r="AW319" s="202">
        <v>6.12</v>
      </c>
      <c r="AX319" s="202">
        <v>2.46</v>
      </c>
      <c r="AY319" s="202">
        <v>18.440000000000001</v>
      </c>
    </row>
    <row r="320" spans="1:51" ht="12.75" customHeight="1" x14ac:dyDescent="0.2">
      <c r="A320" s="76">
        <v>32</v>
      </c>
      <c r="B320" t="s">
        <v>1482</v>
      </c>
      <c r="C320" s="76" t="s">
        <v>169</v>
      </c>
      <c r="D320" s="76">
        <v>0</v>
      </c>
      <c r="E320" s="76">
        <v>0</v>
      </c>
      <c r="F320" s="76">
        <v>40.5</v>
      </c>
      <c r="G320" s="76">
        <v>2</v>
      </c>
      <c r="H320" s="76">
        <v>0</v>
      </c>
      <c r="I320" s="76">
        <v>0</v>
      </c>
      <c r="J320" s="76">
        <v>0</v>
      </c>
      <c r="K320" s="76">
        <v>0</v>
      </c>
      <c r="L320" s="76">
        <v>0</v>
      </c>
      <c r="M320" s="76">
        <v>0.2</v>
      </c>
      <c r="N320" s="76">
        <v>2</v>
      </c>
      <c r="O320" s="76">
        <v>3</v>
      </c>
      <c r="P320" s="76">
        <v>3</v>
      </c>
      <c r="Q320" s="76">
        <v>0</v>
      </c>
      <c r="R320" s="76">
        <v>2</v>
      </c>
      <c r="S320" s="76">
        <v>0</v>
      </c>
      <c r="T320" s="76">
        <v>0</v>
      </c>
      <c r="U320" s="76">
        <v>6</v>
      </c>
      <c r="V320" s="76">
        <v>0.2</v>
      </c>
      <c r="W320" s="76">
        <v>0.5</v>
      </c>
      <c r="X320" s="76">
        <v>6</v>
      </c>
      <c r="Y320" s="76"/>
      <c r="Z320" t="s">
        <v>1482</v>
      </c>
      <c r="AA320" s="76" t="s">
        <v>169</v>
      </c>
      <c r="AB320" s="76">
        <v>0</v>
      </c>
      <c r="AC320" s="76">
        <v>0</v>
      </c>
      <c r="AD320" s="76">
        <v>0</v>
      </c>
      <c r="AE320" s="76">
        <v>0</v>
      </c>
      <c r="AF320" s="76">
        <v>1</v>
      </c>
      <c r="AG320" s="76">
        <v>2</v>
      </c>
      <c r="AH320" s="76">
        <v>0</v>
      </c>
      <c r="AI320" s="76">
        <v>1</v>
      </c>
      <c r="AJ320" s="76">
        <v>0</v>
      </c>
      <c r="AK320" s="76">
        <v>1</v>
      </c>
      <c r="AL320" s="76">
        <v>0</v>
      </c>
      <c r="AM320" s="76">
        <v>0</v>
      </c>
      <c r="AN320" s="76">
        <v>24</v>
      </c>
      <c r="AO320" s="202" t="s">
        <v>170</v>
      </c>
      <c r="AP320" s="202">
        <v>0.54500000000000004</v>
      </c>
      <c r="AQ320" s="202">
        <v>1.1299999999999999</v>
      </c>
      <c r="AR320" s="202">
        <v>0.24199999999999999</v>
      </c>
      <c r="AS320" s="202">
        <v>0.30499999999999999</v>
      </c>
      <c r="AT320" s="202">
        <v>0.54700000000000004</v>
      </c>
      <c r="AU320" s="202">
        <v>8.68</v>
      </c>
      <c r="AV320" s="202">
        <v>3.17</v>
      </c>
      <c r="AW320" s="202">
        <v>4.96</v>
      </c>
      <c r="AX320" s="202">
        <v>2.74</v>
      </c>
      <c r="AY320" s="202">
        <v>15.89</v>
      </c>
    </row>
    <row r="321" spans="1:51" ht="12.75" customHeight="1" x14ac:dyDescent="0.2">
      <c r="A321" s="76">
        <v>6</v>
      </c>
      <c r="B321" t="s">
        <v>1474</v>
      </c>
      <c r="C321" s="76" t="s">
        <v>169</v>
      </c>
      <c r="D321" s="76">
        <v>0</v>
      </c>
      <c r="E321" s="76">
        <v>0</v>
      </c>
      <c r="F321" s="76">
        <v>2.7</v>
      </c>
      <c r="G321" s="76">
        <v>8</v>
      </c>
      <c r="H321" s="76">
        <v>0</v>
      </c>
      <c r="I321" s="76">
        <v>0</v>
      </c>
      <c r="J321" s="76">
        <v>0</v>
      </c>
      <c r="K321" s="76">
        <v>0</v>
      </c>
      <c r="L321" s="76">
        <v>0</v>
      </c>
      <c r="M321" s="76">
        <v>6.2</v>
      </c>
      <c r="N321" s="76">
        <v>8</v>
      </c>
      <c r="O321" s="76">
        <v>2</v>
      </c>
      <c r="P321" s="76">
        <v>2</v>
      </c>
      <c r="Q321" s="76">
        <v>1</v>
      </c>
      <c r="R321" s="76">
        <v>1</v>
      </c>
      <c r="S321" s="76">
        <v>0</v>
      </c>
      <c r="T321" s="76">
        <v>6</v>
      </c>
      <c r="U321" s="76">
        <v>28</v>
      </c>
      <c r="V321" s="76">
        <v>6.2</v>
      </c>
      <c r="W321" s="76">
        <v>0.29599999999999999</v>
      </c>
      <c r="X321" s="76">
        <v>1.35</v>
      </c>
      <c r="Y321" s="76"/>
      <c r="Z321" t="s">
        <v>1474</v>
      </c>
      <c r="AA321" s="76" t="s">
        <v>169</v>
      </c>
      <c r="AB321" s="76">
        <v>0</v>
      </c>
      <c r="AC321" s="76">
        <v>0</v>
      </c>
      <c r="AD321" s="76">
        <v>0</v>
      </c>
      <c r="AE321" s="76">
        <v>1</v>
      </c>
      <c r="AF321" s="76">
        <v>2</v>
      </c>
      <c r="AG321" s="76">
        <v>6</v>
      </c>
      <c r="AH321" s="76">
        <v>7</v>
      </c>
      <c r="AI321" s="76">
        <v>1</v>
      </c>
      <c r="AJ321" s="76">
        <v>0</v>
      </c>
      <c r="AK321" s="76">
        <v>0</v>
      </c>
      <c r="AL321" s="76">
        <v>0</v>
      </c>
      <c r="AM321" s="76">
        <v>0</v>
      </c>
      <c r="AN321" s="76">
        <v>113</v>
      </c>
      <c r="AO321" s="202" t="s">
        <v>168</v>
      </c>
      <c r="AP321" s="202" t="s">
        <v>243</v>
      </c>
      <c r="AQ321" s="202">
        <v>1.5</v>
      </c>
      <c r="AR321" s="202">
        <v>0.64300000000000002</v>
      </c>
      <c r="AS321" s="202">
        <v>1.091</v>
      </c>
      <c r="AT321" s="202">
        <v>1.734</v>
      </c>
      <c r="AU321" s="202">
        <v>0</v>
      </c>
      <c r="AV321" s="202">
        <v>4.5</v>
      </c>
      <c r="AW321" s="202">
        <v>31.5</v>
      </c>
      <c r="AX321" s="202">
        <v>0</v>
      </c>
      <c r="AY321" s="202">
        <v>26</v>
      </c>
    </row>
    <row r="322" spans="1:51" ht="12.75" customHeight="1" x14ac:dyDescent="0.2">
      <c r="A322" s="76">
        <v>10</v>
      </c>
      <c r="B322" s="41" t="s">
        <v>1161</v>
      </c>
      <c r="C322" s="76" t="s">
        <v>169</v>
      </c>
      <c r="D322" s="76">
        <v>1</v>
      </c>
      <c r="E322" s="76">
        <v>3</v>
      </c>
      <c r="F322" s="76">
        <v>3.29</v>
      </c>
      <c r="G322" s="76">
        <v>28</v>
      </c>
      <c r="H322" s="76">
        <v>0</v>
      </c>
      <c r="I322" s="76">
        <v>0</v>
      </c>
      <c r="J322" s="76">
        <v>0</v>
      </c>
      <c r="K322" s="76">
        <v>0</v>
      </c>
      <c r="L322" s="76">
        <v>2</v>
      </c>
      <c r="M322" s="76">
        <v>27.1</v>
      </c>
      <c r="N322" s="76">
        <v>23</v>
      </c>
      <c r="O322" s="76">
        <v>13</v>
      </c>
      <c r="P322" s="76">
        <v>10</v>
      </c>
      <c r="Q322" s="76">
        <v>3</v>
      </c>
      <c r="R322" s="76">
        <v>18</v>
      </c>
      <c r="S322" s="76">
        <v>1</v>
      </c>
      <c r="T322" s="76">
        <v>39</v>
      </c>
      <c r="U322" s="76">
        <v>124</v>
      </c>
      <c r="V322" s="76">
        <v>27.1</v>
      </c>
      <c r="W322" s="76">
        <v>0.221</v>
      </c>
      <c r="X322" s="76">
        <v>1.5</v>
      </c>
      <c r="Y322" s="76"/>
      <c r="Z322" t="s">
        <v>1161</v>
      </c>
      <c r="AA322" s="76" t="s">
        <v>169</v>
      </c>
      <c r="AB322" s="76">
        <v>1</v>
      </c>
      <c r="AC322" s="76">
        <v>1</v>
      </c>
      <c r="AD322" s="76">
        <v>3</v>
      </c>
      <c r="AE322" s="76">
        <v>10</v>
      </c>
      <c r="AF322" s="76">
        <v>1</v>
      </c>
      <c r="AG322" s="76">
        <v>24</v>
      </c>
      <c r="AH322" s="76">
        <v>19</v>
      </c>
      <c r="AI322" s="76">
        <v>2</v>
      </c>
      <c r="AJ322" s="76">
        <v>0</v>
      </c>
      <c r="AK322" s="76">
        <v>1</v>
      </c>
      <c r="AL322" s="76">
        <v>1</v>
      </c>
      <c r="AM322" s="76">
        <v>0</v>
      </c>
      <c r="AN322" s="76">
        <v>498</v>
      </c>
      <c r="AO322" s="202" t="s">
        <v>169</v>
      </c>
      <c r="AP322" s="202">
        <v>1</v>
      </c>
      <c r="AQ322" s="202">
        <v>1.38</v>
      </c>
      <c r="AR322" s="202">
        <v>0.26300000000000001</v>
      </c>
      <c r="AS322" s="202">
        <v>0.29399999999999998</v>
      </c>
      <c r="AT322" s="202">
        <v>0.55600000000000005</v>
      </c>
      <c r="AU322" s="202">
        <v>10.220000000000001</v>
      </c>
      <c r="AV322" s="202">
        <v>2.36</v>
      </c>
      <c r="AW322" s="202">
        <v>6.82</v>
      </c>
      <c r="AX322" s="202">
        <v>4.33</v>
      </c>
      <c r="AY322" s="202">
        <v>14.65</v>
      </c>
    </row>
    <row r="323" spans="1:51" ht="12.75" customHeight="1" x14ac:dyDescent="0.2">
      <c r="A323" s="76">
        <v>31</v>
      </c>
      <c r="B323" t="s">
        <v>784</v>
      </c>
      <c r="C323" s="76" t="s">
        <v>169</v>
      </c>
      <c r="D323" s="76">
        <v>0</v>
      </c>
      <c r="E323" s="76">
        <v>0</v>
      </c>
      <c r="F323" s="76">
        <v>17.18</v>
      </c>
      <c r="G323" s="76">
        <v>2</v>
      </c>
      <c r="H323" s="76">
        <v>0</v>
      </c>
      <c r="I323" s="76">
        <v>0</v>
      </c>
      <c r="J323" s="76">
        <v>0</v>
      </c>
      <c r="K323" s="76">
        <v>0</v>
      </c>
      <c r="L323" s="76">
        <v>0</v>
      </c>
      <c r="M323" s="76">
        <v>3.2</v>
      </c>
      <c r="N323" s="76">
        <v>9</v>
      </c>
      <c r="O323" s="76">
        <v>7</v>
      </c>
      <c r="P323" s="76">
        <v>7</v>
      </c>
      <c r="Q323" s="76">
        <v>1</v>
      </c>
      <c r="R323" s="76">
        <v>1</v>
      </c>
      <c r="S323" s="76">
        <v>0</v>
      </c>
      <c r="T323" s="76">
        <v>4</v>
      </c>
      <c r="U323" s="76">
        <v>20</v>
      </c>
      <c r="V323" s="76">
        <v>3.2</v>
      </c>
      <c r="W323" s="76">
        <v>0.47399999999999998</v>
      </c>
      <c r="X323" s="76">
        <v>2.73</v>
      </c>
      <c r="Y323" s="76"/>
      <c r="Z323" t="s">
        <v>784</v>
      </c>
      <c r="AA323" s="76" t="s">
        <v>169</v>
      </c>
      <c r="AB323" s="76">
        <v>0</v>
      </c>
      <c r="AC323" s="76">
        <v>0</v>
      </c>
      <c r="AD323" s="76">
        <v>1</v>
      </c>
      <c r="AE323" s="76">
        <v>0</v>
      </c>
      <c r="AF323" s="76">
        <v>2</v>
      </c>
      <c r="AG323" s="76">
        <v>5</v>
      </c>
      <c r="AH323" s="76">
        <v>1</v>
      </c>
      <c r="AI323" s="76">
        <v>1</v>
      </c>
      <c r="AJ323" s="76">
        <v>0</v>
      </c>
      <c r="AK323" s="76">
        <v>0</v>
      </c>
      <c r="AL323" s="76">
        <v>0</v>
      </c>
      <c r="AM323" s="76">
        <v>0</v>
      </c>
      <c r="AN323" s="76">
        <v>79</v>
      </c>
      <c r="AO323" s="202" t="s">
        <v>170</v>
      </c>
      <c r="AP323" s="202" t="s">
        <v>243</v>
      </c>
      <c r="AQ323" s="202">
        <v>0</v>
      </c>
      <c r="AR323" s="202">
        <v>0</v>
      </c>
      <c r="AS323" s="202">
        <v>0</v>
      </c>
      <c r="AT323" s="202">
        <v>0</v>
      </c>
      <c r="AU323" s="202">
        <v>0</v>
      </c>
      <c r="AV323" s="202">
        <v>0</v>
      </c>
      <c r="AW323" s="202">
        <v>0</v>
      </c>
      <c r="AX323" s="202" t="s">
        <v>243</v>
      </c>
      <c r="AY323" s="202">
        <v>6</v>
      </c>
    </row>
    <row r="324" spans="1:51" ht="12.75" customHeight="1" x14ac:dyDescent="0.2">
      <c r="A324" s="76">
        <v>20</v>
      </c>
      <c r="B324" t="s">
        <v>369</v>
      </c>
      <c r="C324" s="76" t="s">
        <v>169</v>
      </c>
      <c r="D324" s="76">
        <v>0</v>
      </c>
      <c r="E324" s="76">
        <v>0</v>
      </c>
      <c r="F324" s="76">
        <v>4.41</v>
      </c>
      <c r="G324" s="76">
        <v>15</v>
      </c>
      <c r="H324" s="76">
        <v>0</v>
      </c>
      <c r="I324" s="76">
        <v>0</v>
      </c>
      <c r="J324" s="76">
        <v>0</v>
      </c>
      <c r="K324" s="76">
        <v>0</v>
      </c>
      <c r="L324" s="76">
        <v>0</v>
      </c>
      <c r="M324" s="76">
        <v>16.100000000000001</v>
      </c>
      <c r="N324" s="76">
        <v>18</v>
      </c>
      <c r="O324" s="76">
        <v>9</v>
      </c>
      <c r="P324" s="76">
        <v>8</v>
      </c>
      <c r="Q324" s="76">
        <v>1</v>
      </c>
      <c r="R324" s="76">
        <v>6</v>
      </c>
      <c r="S324" s="76">
        <v>0</v>
      </c>
      <c r="T324" s="76">
        <v>13</v>
      </c>
      <c r="U324" s="76">
        <v>71</v>
      </c>
      <c r="V324" s="76">
        <v>16.100000000000001</v>
      </c>
      <c r="W324" s="76">
        <v>0.28999999999999998</v>
      </c>
      <c r="X324" s="76">
        <v>1.47</v>
      </c>
      <c r="Y324" s="76"/>
      <c r="Z324" t="s">
        <v>369</v>
      </c>
      <c r="AA324" s="76" t="s">
        <v>169</v>
      </c>
      <c r="AB324" s="76">
        <v>2</v>
      </c>
      <c r="AC324" s="76">
        <v>0</v>
      </c>
      <c r="AD324" s="76">
        <v>5</v>
      </c>
      <c r="AE324" s="76">
        <v>1</v>
      </c>
      <c r="AF324" s="76">
        <v>2</v>
      </c>
      <c r="AG324" s="76">
        <v>23</v>
      </c>
      <c r="AH324" s="76">
        <v>9</v>
      </c>
      <c r="AI324" s="76">
        <v>1</v>
      </c>
      <c r="AJ324" s="76">
        <v>0</v>
      </c>
      <c r="AK324" s="76">
        <v>2</v>
      </c>
      <c r="AL324" s="76">
        <v>0</v>
      </c>
      <c r="AM324" s="76">
        <v>1</v>
      </c>
      <c r="AN324" s="76">
        <v>258</v>
      </c>
      <c r="AO324" s="202" t="s">
        <v>169</v>
      </c>
      <c r="AP324" s="202">
        <v>0.2</v>
      </c>
      <c r="AQ324" s="202">
        <v>1.1100000000000001</v>
      </c>
      <c r="AR324" s="202">
        <v>0.38700000000000001</v>
      </c>
      <c r="AS324" s="202">
        <v>0.45100000000000001</v>
      </c>
      <c r="AT324" s="202">
        <v>0.83699999999999997</v>
      </c>
      <c r="AU324" s="202">
        <v>10.41</v>
      </c>
      <c r="AV324" s="202">
        <v>4.63</v>
      </c>
      <c r="AW324" s="202">
        <v>10.029999999999999</v>
      </c>
      <c r="AX324" s="202">
        <v>2.25</v>
      </c>
      <c r="AY324" s="202">
        <v>16.63</v>
      </c>
    </row>
    <row r="325" spans="1:51" ht="12.75" customHeight="1" x14ac:dyDescent="0.2">
      <c r="A325" s="76">
        <v>14</v>
      </c>
      <c r="B325" s="41" t="s">
        <v>1089</v>
      </c>
      <c r="C325" s="76" t="s">
        <v>169</v>
      </c>
      <c r="D325" s="76">
        <v>2</v>
      </c>
      <c r="E325" s="76">
        <v>2</v>
      </c>
      <c r="F325" s="76">
        <v>3.63</v>
      </c>
      <c r="G325" s="76">
        <v>36</v>
      </c>
      <c r="H325" s="76">
        <v>0</v>
      </c>
      <c r="I325" s="76">
        <v>0</v>
      </c>
      <c r="J325" s="76">
        <v>0</v>
      </c>
      <c r="K325" s="76">
        <v>1</v>
      </c>
      <c r="L325" s="76">
        <v>2</v>
      </c>
      <c r="M325" s="76">
        <v>52</v>
      </c>
      <c r="N325" s="76">
        <v>41</v>
      </c>
      <c r="O325" s="76">
        <v>22</v>
      </c>
      <c r="P325" s="76">
        <v>21</v>
      </c>
      <c r="Q325" s="76">
        <v>4</v>
      </c>
      <c r="R325" s="76">
        <v>13</v>
      </c>
      <c r="S325" s="76">
        <v>0</v>
      </c>
      <c r="T325" s="76">
        <v>46</v>
      </c>
      <c r="U325" s="76">
        <v>204</v>
      </c>
      <c r="V325" s="76">
        <v>52</v>
      </c>
      <c r="W325" s="76">
        <v>0.216</v>
      </c>
      <c r="X325" s="76">
        <v>1.04</v>
      </c>
      <c r="Y325" s="76"/>
      <c r="Z325" t="s">
        <v>1089</v>
      </c>
      <c r="AA325" s="76" t="s">
        <v>169</v>
      </c>
      <c r="AB325" s="76">
        <v>1</v>
      </c>
      <c r="AC325" s="76">
        <v>0</v>
      </c>
      <c r="AD325" s="76">
        <v>11</v>
      </c>
      <c r="AE325" s="76">
        <v>3</v>
      </c>
      <c r="AF325" s="76">
        <v>5</v>
      </c>
      <c r="AG325" s="76">
        <v>48</v>
      </c>
      <c r="AH325" s="76">
        <v>55</v>
      </c>
      <c r="AI325" s="76">
        <v>2</v>
      </c>
      <c r="AJ325" s="76">
        <v>0</v>
      </c>
      <c r="AK325" s="76">
        <v>2</v>
      </c>
      <c r="AL325" s="76">
        <v>1</v>
      </c>
      <c r="AM325" s="76">
        <v>0</v>
      </c>
      <c r="AN325" s="76">
        <v>817</v>
      </c>
      <c r="AO325" s="202" t="s">
        <v>169</v>
      </c>
      <c r="AP325" s="202" t="s">
        <v>243</v>
      </c>
      <c r="AQ325" s="202">
        <v>0.5</v>
      </c>
      <c r="AR325" s="202">
        <v>0.4</v>
      </c>
      <c r="AS325" s="202">
        <v>0.6</v>
      </c>
      <c r="AT325" s="202">
        <v>1</v>
      </c>
      <c r="AU325" s="202">
        <v>0</v>
      </c>
      <c r="AV325" s="202">
        <v>0</v>
      </c>
      <c r="AW325" s="202">
        <v>18</v>
      </c>
      <c r="AX325" s="202" t="s">
        <v>243</v>
      </c>
      <c r="AY325" s="202">
        <v>15</v>
      </c>
    </row>
    <row r="326" spans="1:51" ht="12.75" customHeight="1" x14ac:dyDescent="0.2">
      <c r="A326" s="76">
        <v>11</v>
      </c>
      <c r="B326" s="41" t="s">
        <v>1475</v>
      </c>
      <c r="C326" s="76" t="s">
        <v>169</v>
      </c>
      <c r="D326" s="76">
        <v>5</v>
      </c>
      <c r="E326" s="76">
        <v>4</v>
      </c>
      <c r="F326" s="76">
        <v>3.38</v>
      </c>
      <c r="G326" s="76">
        <v>18</v>
      </c>
      <c r="H326" s="76">
        <v>18</v>
      </c>
      <c r="I326" s="76">
        <v>0</v>
      </c>
      <c r="J326" s="76">
        <v>0</v>
      </c>
      <c r="K326" s="76">
        <v>0</v>
      </c>
      <c r="L326" s="76">
        <v>0</v>
      </c>
      <c r="M326" s="76">
        <v>104</v>
      </c>
      <c r="N326" s="76">
        <v>99</v>
      </c>
      <c r="O326" s="76">
        <v>40</v>
      </c>
      <c r="P326" s="76">
        <v>39</v>
      </c>
      <c r="Q326" s="76">
        <v>13</v>
      </c>
      <c r="R326" s="76">
        <v>17</v>
      </c>
      <c r="S326" s="76">
        <v>1</v>
      </c>
      <c r="T326" s="76">
        <v>85</v>
      </c>
      <c r="U326" s="76">
        <v>418</v>
      </c>
      <c r="V326" s="76">
        <v>104</v>
      </c>
      <c r="W326" s="76">
        <v>0.252</v>
      </c>
      <c r="X326" s="76">
        <v>1.1200000000000001</v>
      </c>
      <c r="Y326" s="76"/>
      <c r="Z326" t="s">
        <v>1475</v>
      </c>
      <c r="AA326" s="76" t="s">
        <v>169</v>
      </c>
      <c r="AB326" s="76">
        <v>3</v>
      </c>
      <c r="AC326" s="76">
        <v>1</v>
      </c>
      <c r="AD326" s="76">
        <v>0</v>
      </c>
      <c r="AE326" s="76">
        <v>0</v>
      </c>
      <c r="AF326" s="76">
        <v>12</v>
      </c>
      <c r="AG326" s="76">
        <v>135</v>
      </c>
      <c r="AH326" s="76">
        <v>79</v>
      </c>
      <c r="AI326" s="76">
        <v>1</v>
      </c>
      <c r="AJ326" s="76">
        <v>2</v>
      </c>
      <c r="AK326" s="76">
        <v>8</v>
      </c>
      <c r="AL326" s="76">
        <v>2</v>
      </c>
      <c r="AM326" s="76">
        <v>2</v>
      </c>
      <c r="AN326" s="76">
        <v>1550</v>
      </c>
      <c r="AO326" s="202" t="s">
        <v>169</v>
      </c>
      <c r="AP326" s="202">
        <v>0.56299999999999994</v>
      </c>
      <c r="AQ326" s="202">
        <v>1.64</v>
      </c>
      <c r="AR326" s="202">
        <v>0.33600000000000002</v>
      </c>
      <c r="AS326" s="202">
        <v>0.38100000000000001</v>
      </c>
      <c r="AT326" s="202">
        <v>0.71599999999999997</v>
      </c>
      <c r="AU326" s="202">
        <v>7.85</v>
      </c>
      <c r="AV326" s="202">
        <v>2.69</v>
      </c>
      <c r="AW326" s="202">
        <v>9.5500000000000007</v>
      </c>
      <c r="AX326" s="202">
        <v>2.92</v>
      </c>
      <c r="AY326" s="202">
        <v>15.24</v>
      </c>
    </row>
    <row r="327" spans="1:51" ht="12.75" customHeight="1" x14ac:dyDescent="0.2">
      <c r="A327" s="76">
        <v>22</v>
      </c>
      <c r="B327" s="41" t="s">
        <v>457</v>
      </c>
      <c r="C327" s="76" t="s">
        <v>169</v>
      </c>
      <c r="D327" s="76">
        <v>3</v>
      </c>
      <c r="E327" s="76">
        <v>7</v>
      </c>
      <c r="F327" s="76">
        <v>4.8099999999999996</v>
      </c>
      <c r="G327" s="76">
        <v>24</v>
      </c>
      <c r="H327" s="76">
        <v>14</v>
      </c>
      <c r="I327" s="76">
        <v>0</v>
      </c>
      <c r="J327" s="76">
        <v>0</v>
      </c>
      <c r="K327" s="76">
        <v>0</v>
      </c>
      <c r="L327" s="76">
        <v>0</v>
      </c>
      <c r="M327" s="76">
        <v>82.1</v>
      </c>
      <c r="N327" s="76">
        <v>80</v>
      </c>
      <c r="O327" s="76">
        <v>51</v>
      </c>
      <c r="P327" s="76">
        <v>44</v>
      </c>
      <c r="Q327" s="76">
        <v>11</v>
      </c>
      <c r="R327" s="76">
        <v>40</v>
      </c>
      <c r="S327" s="76">
        <v>2</v>
      </c>
      <c r="T327" s="76">
        <v>61</v>
      </c>
      <c r="U327" s="76">
        <v>366</v>
      </c>
      <c r="V327" s="76">
        <v>82.1</v>
      </c>
      <c r="W327" s="76">
        <v>0.254</v>
      </c>
      <c r="X327" s="76">
        <v>1.46</v>
      </c>
      <c r="Y327" s="76"/>
      <c r="Z327" t="s">
        <v>457</v>
      </c>
      <c r="AA327" s="76" t="s">
        <v>169</v>
      </c>
      <c r="AB327" s="76">
        <v>4</v>
      </c>
      <c r="AC327" s="76">
        <v>2</v>
      </c>
      <c r="AD327" s="76">
        <v>2</v>
      </c>
      <c r="AE327" s="76">
        <v>1</v>
      </c>
      <c r="AF327" s="76">
        <v>6</v>
      </c>
      <c r="AG327" s="76">
        <v>91</v>
      </c>
      <c r="AH327" s="76">
        <v>89</v>
      </c>
      <c r="AI327" s="76">
        <v>4</v>
      </c>
      <c r="AJ327" s="76">
        <v>0</v>
      </c>
      <c r="AK327" s="76">
        <v>6</v>
      </c>
      <c r="AL327" s="76">
        <v>2</v>
      </c>
      <c r="AM327" s="76">
        <v>0</v>
      </c>
      <c r="AN327" s="76">
        <v>1390</v>
      </c>
      <c r="AO327" s="202" t="s">
        <v>169</v>
      </c>
      <c r="AP327" s="202">
        <v>0.6</v>
      </c>
      <c r="AQ327" s="202">
        <v>1.77</v>
      </c>
      <c r="AR327" s="202">
        <v>0.25</v>
      </c>
      <c r="AS327" s="202">
        <v>0.29099999999999998</v>
      </c>
      <c r="AT327" s="202">
        <v>0.54100000000000004</v>
      </c>
      <c r="AU327" s="202">
        <v>7.28</v>
      </c>
      <c r="AV327" s="202">
        <v>1.64</v>
      </c>
      <c r="AW327" s="202">
        <v>6.69</v>
      </c>
      <c r="AX327" s="202">
        <v>4.43</v>
      </c>
      <c r="AY327" s="202">
        <v>14.19</v>
      </c>
    </row>
    <row r="328" spans="1:51" ht="12.75" customHeight="1" x14ac:dyDescent="0.2">
      <c r="A328" s="76">
        <v>8</v>
      </c>
      <c r="B328" s="41" t="s">
        <v>427</v>
      </c>
      <c r="C328" s="76" t="s">
        <v>169</v>
      </c>
      <c r="D328" s="76">
        <v>2</v>
      </c>
      <c r="E328" s="76">
        <v>5</v>
      </c>
      <c r="F328" s="76">
        <v>3.06</v>
      </c>
      <c r="G328" s="76">
        <v>70</v>
      </c>
      <c r="H328" s="76">
        <v>0</v>
      </c>
      <c r="I328" s="76">
        <v>0</v>
      </c>
      <c r="J328" s="76">
        <v>0</v>
      </c>
      <c r="K328" s="76">
        <v>15</v>
      </c>
      <c r="L328" s="76">
        <v>20</v>
      </c>
      <c r="M328" s="76">
        <v>67.2</v>
      </c>
      <c r="N328" s="76">
        <v>52</v>
      </c>
      <c r="O328" s="76">
        <v>26</v>
      </c>
      <c r="P328" s="76">
        <v>23</v>
      </c>
      <c r="Q328" s="76">
        <v>10</v>
      </c>
      <c r="R328" s="76">
        <v>20</v>
      </c>
      <c r="S328" s="76">
        <v>1</v>
      </c>
      <c r="T328" s="76">
        <v>58</v>
      </c>
      <c r="U328" s="76">
        <v>272</v>
      </c>
      <c r="V328" s="76">
        <v>67.2</v>
      </c>
      <c r="W328" s="76">
        <v>0.215</v>
      </c>
      <c r="X328" s="76">
        <v>1.06</v>
      </c>
      <c r="Y328" s="76"/>
      <c r="Z328" t="s">
        <v>427</v>
      </c>
      <c r="AA328" s="76" t="s">
        <v>169</v>
      </c>
      <c r="AB328" s="76">
        <v>3</v>
      </c>
      <c r="AC328" s="76">
        <v>1</v>
      </c>
      <c r="AD328" s="76">
        <v>27</v>
      </c>
      <c r="AE328" s="76">
        <v>23</v>
      </c>
      <c r="AF328" s="76">
        <v>9</v>
      </c>
      <c r="AG328" s="76">
        <v>70</v>
      </c>
      <c r="AH328" s="76">
        <v>69</v>
      </c>
      <c r="AI328" s="76">
        <v>0</v>
      </c>
      <c r="AJ328" s="76">
        <v>0</v>
      </c>
      <c r="AK328" s="76">
        <v>5</v>
      </c>
      <c r="AL328" s="76">
        <v>0</v>
      </c>
      <c r="AM328" s="76">
        <v>0</v>
      </c>
      <c r="AN328" s="76">
        <v>1045</v>
      </c>
      <c r="AO328" s="102" t="s">
        <v>157</v>
      </c>
      <c r="AP328" s="102" t="s">
        <v>1081</v>
      </c>
      <c r="AQ328" s="102" t="s">
        <v>1068</v>
      </c>
      <c r="AR328" s="102" t="s">
        <v>1059</v>
      </c>
      <c r="AS328" s="102" t="s">
        <v>1060</v>
      </c>
      <c r="AT328" s="102" t="s">
        <v>1061</v>
      </c>
      <c r="AU328" s="102" t="s">
        <v>1092</v>
      </c>
      <c r="AV328" s="102" t="s">
        <v>1093</v>
      </c>
      <c r="AW328" s="102" t="s">
        <v>1094</v>
      </c>
      <c r="AX328" s="102" t="s">
        <v>1095</v>
      </c>
      <c r="AY328" s="102" t="s">
        <v>1096</v>
      </c>
    </row>
    <row r="329" spans="1:51" ht="12.75" customHeight="1" x14ac:dyDescent="0.2">
      <c r="A329" s="76">
        <v>29</v>
      </c>
      <c r="B329" t="s">
        <v>1480</v>
      </c>
      <c r="C329" s="76" t="s">
        <v>169</v>
      </c>
      <c r="D329" s="76">
        <v>1</v>
      </c>
      <c r="E329" s="76">
        <v>1</v>
      </c>
      <c r="F329" s="76">
        <v>7.82</v>
      </c>
      <c r="G329" s="76">
        <v>7</v>
      </c>
      <c r="H329" s="76">
        <v>1</v>
      </c>
      <c r="I329" s="76">
        <v>0</v>
      </c>
      <c r="J329" s="76">
        <v>0</v>
      </c>
      <c r="K329" s="76">
        <v>0</v>
      </c>
      <c r="L329" s="76">
        <v>1</v>
      </c>
      <c r="M329" s="76">
        <v>12.2</v>
      </c>
      <c r="N329" s="76">
        <v>19</v>
      </c>
      <c r="O329" s="76">
        <v>13</v>
      </c>
      <c r="P329" s="76">
        <v>11</v>
      </c>
      <c r="Q329" s="76">
        <v>4</v>
      </c>
      <c r="R329" s="76">
        <v>5</v>
      </c>
      <c r="S329" s="76">
        <v>0</v>
      </c>
      <c r="T329" s="76">
        <v>11</v>
      </c>
      <c r="U329" s="76">
        <v>61</v>
      </c>
      <c r="V329" s="76">
        <v>12.2</v>
      </c>
      <c r="W329" s="76">
        <v>0.33900000000000002</v>
      </c>
      <c r="X329" s="76">
        <v>1.89</v>
      </c>
      <c r="Y329" s="76"/>
      <c r="Z329" t="s">
        <v>1480</v>
      </c>
      <c r="AA329" s="76" t="s">
        <v>169</v>
      </c>
      <c r="AB329" s="76">
        <v>0</v>
      </c>
      <c r="AC329" s="76">
        <v>0</v>
      </c>
      <c r="AD329" s="76">
        <v>1</v>
      </c>
      <c r="AE329" s="76">
        <v>0</v>
      </c>
      <c r="AF329" s="76">
        <v>2</v>
      </c>
      <c r="AG329" s="76">
        <v>16</v>
      </c>
      <c r="AH329" s="76">
        <v>10</v>
      </c>
      <c r="AI329" s="76">
        <v>0</v>
      </c>
      <c r="AJ329" s="76">
        <v>0</v>
      </c>
      <c r="AK329" s="76">
        <v>0</v>
      </c>
      <c r="AL329" s="76">
        <v>1</v>
      </c>
      <c r="AM329" s="76">
        <v>0</v>
      </c>
      <c r="AN329" s="76">
        <v>224</v>
      </c>
      <c r="AO329" s="202" t="s">
        <v>169</v>
      </c>
      <c r="AP329" s="202">
        <v>0.4</v>
      </c>
      <c r="AQ329" s="202">
        <v>1.1499999999999999</v>
      </c>
      <c r="AR329" s="202">
        <v>0.33900000000000002</v>
      </c>
      <c r="AS329" s="202">
        <v>0.42199999999999999</v>
      </c>
      <c r="AT329" s="202">
        <v>0.76100000000000001</v>
      </c>
      <c r="AU329" s="202">
        <v>6.15</v>
      </c>
      <c r="AV329" s="202">
        <v>2.64</v>
      </c>
      <c r="AW329" s="202">
        <v>10.17</v>
      </c>
      <c r="AX329" s="202">
        <v>2.33</v>
      </c>
      <c r="AY329" s="202">
        <v>15.95</v>
      </c>
    </row>
    <row r="330" spans="1:51" ht="12.75" customHeight="1" x14ac:dyDescent="0.2">
      <c r="A330" s="225" t="s">
        <v>105</v>
      </c>
      <c r="B330" s="225" t="s">
        <v>106</v>
      </c>
      <c r="C330" s="225" t="s">
        <v>157</v>
      </c>
      <c r="D330" s="225" t="s">
        <v>85</v>
      </c>
      <c r="E330" s="225" t="s">
        <v>86</v>
      </c>
      <c r="F330" s="225" t="s">
        <v>107</v>
      </c>
      <c r="G330" s="225" t="s">
        <v>108</v>
      </c>
      <c r="H330" s="225" t="s">
        <v>88</v>
      </c>
      <c r="I330" s="225" t="s">
        <v>89</v>
      </c>
      <c r="J330" s="225" t="s">
        <v>1073</v>
      </c>
      <c r="K330" s="225" t="s">
        <v>90</v>
      </c>
      <c r="L330" s="225" t="s">
        <v>158</v>
      </c>
      <c r="M330" s="225" t="s">
        <v>91</v>
      </c>
      <c r="N330" s="225" t="s">
        <v>92</v>
      </c>
      <c r="O330" s="225" t="s">
        <v>93</v>
      </c>
      <c r="P330" s="225" t="s">
        <v>94</v>
      </c>
      <c r="Q330" s="225" t="s">
        <v>95</v>
      </c>
      <c r="R330" s="225" t="s">
        <v>96</v>
      </c>
      <c r="S330" s="225" t="s">
        <v>98</v>
      </c>
      <c r="T330" s="225" t="s">
        <v>97</v>
      </c>
      <c r="U330" s="225" t="s">
        <v>109</v>
      </c>
      <c r="V330" s="225" t="s">
        <v>91</v>
      </c>
      <c r="W330" s="225" t="s">
        <v>1071</v>
      </c>
      <c r="X330" s="225" t="s">
        <v>1072</v>
      </c>
      <c r="Y330" s="225"/>
      <c r="Z330" s="225" t="s">
        <v>106</v>
      </c>
      <c r="AA330" s="225" t="s">
        <v>157</v>
      </c>
      <c r="AB330" s="225" t="s">
        <v>1074</v>
      </c>
      <c r="AC330" s="225" t="s">
        <v>98</v>
      </c>
      <c r="AD330" s="225" t="s">
        <v>1075</v>
      </c>
      <c r="AE330" s="225" t="s">
        <v>1076</v>
      </c>
      <c r="AF330" s="225" t="s">
        <v>1077</v>
      </c>
      <c r="AG330" s="225" t="s">
        <v>1066</v>
      </c>
      <c r="AH330" s="225" t="s">
        <v>1067</v>
      </c>
      <c r="AI330" s="225" t="s">
        <v>1078</v>
      </c>
      <c r="AJ330" s="225" t="s">
        <v>1079</v>
      </c>
      <c r="AK330" s="225" t="s">
        <v>1057</v>
      </c>
      <c r="AL330" s="225" t="s">
        <v>1058</v>
      </c>
      <c r="AM330" s="225" t="s">
        <v>1080</v>
      </c>
      <c r="AN330" s="225" t="s">
        <v>1069</v>
      </c>
      <c r="AO330" s="202" t="s">
        <v>170</v>
      </c>
      <c r="AP330" s="202" t="s">
        <v>243</v>
      </c>
      <c r="AQ330" s="202">
        <v>1</v>
      </c>
      <c r="AR330" s="202">
        <v>0.4</v>
      </c>
      <c r="AS330" s="202">
        <v>0.5</v>
      </c>
      <c r="AT330" s="202">
        <v>0.9</v>
      </c>
      <c r="AU330" s="202">
        <v>9</v>
      </c>
      <c r="AV330" s="202">
        <v>9</v>
      </c>
      <c r="AW330" s="202">
        <v>9</v>
      </c>
      <c r="AX330" s="202">
        <v>1</v>
      </c>
      <c r="AY330" s="202">
        <v>22</v>
      </c>
    </row>
    <row r="331" spans="1:51" ht="12.75" customHeight="1" x14ac:dyDescent="0.2">
      <c r="A331" s="76">
        <v>1</v>
      </c>
      <c r="B331" t="s">
        <v>1153</v>
      </c>
      <c r="C331" s="76" t="s">
        <v>170</v>
      </c>
      <c r="D331" s="76">
        <v>0</v>
      </c>
      <c r="E331" s="76">
        <v>0</v>
      </c>
      <c r="F331" s="76">
        <v>0</v>
      </c>
      <c r="G331" s="76">
        <v>1</v>
      </c>
      <c r="H331" s="76">
        <v>0</v>
      </c>
      <c r="I331" s="76">
        <v>0</v>
      </c>
      <c r="J331" s="76">
        <v>0</v>
      </c>
      <c r="K331" s="76">
        <v>0</v>
      </c>
      <c r="L331" s="76">
        <v>0</v>
      </c>
      <c r="M331" s="76">
        <v>0.1</v>
      </c>
      <c r="N331" s="76">
        <v>0</v>
      </c>
      <c r="O331" s="76">
        <v>0</v>
      </c>
      <c r="P331" s="76">
        <v>0</v>
      </c>
      <c r="Q331" s="76">
        <v>0</v>
      </c>
      <c r="R331" s="76">
        <v>0</v>
      </c>
      <c r="S331" s="76">
        <v>0</v>
      </c>
      <c r="T331" s="76">
        <v>0</v>
      </c>
      <c r="U331" s="76">
        <v>1</v>
      </c>
      <c r="V331" s="76">
        <v>0.1</v>
      </c>
      <c r="W331" s="76">
        <v>0</v>
      </c>
      <c r="X331" s="76">
        <v>0</v>
      </c>
      <c r="Y331" s="76"/>
      <c r="Z331" t="s">
        <v>1153</v>
      </c>
      <c r="AA331" s="76" t="s">
        <v>170</v>
      </c>
      <c r="AB331" s="76">
        <v>0</v>
      </c>
      <c r="AC331" s="76">
        <v>0</v>
      </c>
      <c r="AD331" s="76">
        <v>1</v>
      </c>
      <c r="AE331" s="76">
        <v>0</v>
      </c>
      <c r="AF331" s="76">
        <v>0</v>
      </c>
      <c r="AG331" s="76">
        <v>1</v>
      </c>
      <c r="AH331" s="76">
        <v>0</v>
      </c>
      <c r="AI331" s="76">
        <v>0</v>
      </c>
      <c r="AJ331" s="76">
        <v>0</v>
      </c>
      <c r="AK331" s="76">
        <v>0</v>
      </c>
      <c r="AL331" s="76">
        <v>0</v>
      </c>
      <c r="AM331" s="76">
        <v>0</v>
      </c>
      <c r="AN331" s="76">
        <v>1</v>
      </c>
      <c r="AO331" s="202" t="s">
        <v>170</v>
      </c>
      <c r="AP331" s="202">
        <v>0.27300000000000002</v>
      </c>
      <c r="AQ331" s="202">
        <v>1.22</v>
      </c>
      <c r="AR331" s="202">
        <v>0.34200000000000003</v>
      </c>
      <c r="AS331" s="202">
        <v>0.43</v>
      </c>
      <c r="AT331" s="202">
        <v>0.77200000000000002</v>
      </c>
      <c r="AU331" s="202">
        <v>8.0399999999999991</v>
      </c>
      <c r="AV331" s="202">
        <v>3.22</v>
      </c>
      <c r="AW331" s="202">
        <v>9.75</v>
      </c>
      <c r="AX331" s="202">
        <v>2.5</v>
      </c>
      <c r="AY331" s="202">
        <v>16.84</v>
      </c>
    </row>
    <row r="332" spans="1:51" ht="12.75" customHeight="1" x14ac:dyDescent="0.2">
      <c r="A332" s="76">
        <v>12</v>
      </c>
      <c r="B332" t="s">
        <v>1486</v>
      </c>
      <c r="C332" s="76" t="s">
        <v>170</v>
      </c>
      <c r="D332" s="76">
        <v>1</v>
      </c>
      <c r="E332" s="76">
        <v>0</v>
      </c>
      <c r="F332" s="76">
        <v>3.72</v>
      </c>
      <c r="G332" s="76">
        <v>11</v>
      </c>
      <c r="H332" s="76">
        <v>0</v>
      </c>
      <c r="I332" s="76">
        <v>0</v>
      </c>
      <c r="J332" s="76">
        <v>0</v>
      </c>
      <c r="K332" s="76">
        <v>0</v>
      </c>
      <c r="L332" s="76">
        <v>0</v>
      </c>
      <c r="M332" s="76">
        <v>9.1999999999999993</v>
      </c>
      <c r="N332" s="76">
        <v>7</v>
      </c>
      <c r="O332" s="76">
        <v>4</v>
      </c>
      <c r="P332" s="76">
        <v>4</v>
      </c>
      <c r="Q332" s="76">
        <v>0</v>
      </c>
      <c r="R332" s="76">
        <v>4</v>
      </c>
      <c r="S332" s="76">
        <v>0</v>
      </c>
      <c r="T332" s="76">
        <v>10</v>
      </c>
      <c r="U332" s="76">
        <v>40</v>
      </c>
      <c r="V332" s="76">
        <v>9.1999999999999993</v>
      </c>
      <c r="W332" s="76">
        <v>0.2</v>
      </c>
      <c r="X332" s="76">
        <v>1.1399999999999999</v>
      </c>
      <c r="Y332" s="76"/>
      <c r="Z332" t="s">
        <v>1486</v>
      </c>
      <c r="AA332" s="76" t="s">
        <v>170</v>
      </c>
      <c r="AB332" s="76">
        <v>1</v>
      </c>
      <c r="AC332" s="76">
        <v>0</v>
      </c>
      <c r="AD332" s="76">
        <v>2</v>
      </c>
      <c r="AE332" s="76">
        <v>2</v>
      </c>
      <c r="AF332" s="76">
        <v>0</v>
      </c>
      <c r="AG332" s="76">
        <v>6</v>
      </c>
      <c r="AH332" s="76">
        <v>12</v>
      </c>
      <c r="AI332" s="76">
        <v>0</v>
      </c>
      <c r="AJ332" s="76">
        <v>0</v>
      </c>
      <c r="AK332" s="76">
        <v>1</v>
      </c>
      <c r="AL332" s="76">
        <v>1</v>
      </c>
      <c r="AM332" s="76">
        <v>0</v>
      </c>
      <c r="AN332" s="76">
        <v>170</v>
      </c>
      <c r="AO332" s="202" t="s">
        <v>170</v>
      </c>
      <c r="AP332" s="202">
        <v>0.63600000000000001</v>
      </c>
      <c r="AQ332" s="202">
        <v>1.04</v>
      </c>
      <c r="AR332" s="202">
        <v>0.26800000000000002</v>
      </c>
      <c r="AS332" s="202">
        <v>0.29899999999999999</v>
      </c>
      <c r="AT332" s="202">
        <v>0.56799999999999995</v>
      </c>
      <c r="AU332" s="202">
        <v>6.88</v>
      </c>
      <c r="AV332" s="202">
        <v>2.65</v>
      </c>
      <c r="AW332" s="202">
        <v>6.88</v>
      </c>
      <c r="AX332" s="202">
        <v>2.6</v>
      </c>
      <c r="AY332" s="202">
        <v>15.49</v>
      </c>
    </row>
    <row r="333" spans="1:51" ht="12.75" customHeight="1" x14ac:dyDescent="0.2">
      <c r="A333" s="76">
        <v>1</v>
      </c>
      <c r="B333" t="s">
        <v>1483</v>
      </c>
      <c r="C333" s="76" t="s">
        <v>170</v>
      </c>
      <c r="D333" s="76">
        <v>0</v>
      </c>
      <c r="E333" s="76">
        <v>0</v>
      </c>
      <c r="F333" s="76">
        <v>0</v>
      </c>
      <c r="G333" s="76">
        <v>2</v>
      </c>
      <c r="H333" s="76">
        <v>0</v>
      </c>
      <c r="I333" s="76">
        <v>0</v>
      </c>
      <c r="J333" s="76">
        <v>0</v>
      </c>
      <c r="K333" s="76">
        <v>0</v>
      </c>
      <c r="L333" s="76">
        <v>0</v>
      </c>
      <c r="M333" s="76">
        <v>1.2</v>
      </c>
      <c r="N333" s="76">
        <v>1</v>
      </c>
      <c r="O333" s="76">
        <v>0</v>
      </c>
      <c r="P333" s="76">
        <v>0</v>
      </c>
      <c r="Q333" s="76">
        <v>0</v>
      </c>
      <c r="R333" s="76">
        <v>3</v>
      </c>
      <c r="S333" s="76">
        <v>0</v>
      </c>
      <c r="T333" s="76">
        <v>1</v>
      </c>
      <c r="U333" s="76">
        <v>10</v>
      </c>
      <c r="V333" s="76">
        <v>1.2</v>
      </c>
      <c r="W333" s="76">
        <v>0.16700000000000001</v>
      </c>
      <c r="X333" s="76">
        <v>2.4</v>
      </c>
      <c r="Y333" s="76"/>
      <c r="Z333" t="s">
        <v>1483</v>
      </c>
      <c r="AA333" s="76" t="s">
        <v>170</v>
      </c>
      <c r="AB333" s="76">
        <v>1</v>
      </c>
      <c r="AC333" s="76">
        <v>0</v>
      </c>
      <c r="AD333" s="76">
        <v>1</v>
      </c>
      <c r="AE333" s="76">
        <v>0</v>
      </c>
      <c r="AF333" s="76">
        <v>0</v>
      </c>
      <c r="AG333" s="76">
        <v>0</v>
      </c>
      <c r="AH333" s="76">
        <v>4</v>
      </c>
      <c r="AI333" s="76">
        <v>0</v>
      </c>
      <c r="AJ333" s="76">
        <v>0</v>
      </c>
      <c r="AK333" s="76">
        <v>0</v>
      </c>
      <c r="AL333" s="76">
        <v>0</v>
      </c>
      <c r="AM333" s="76">
        <v>0</v>
      </c>
      <c r="AN333" s="76">
        <v>44</v>
      </c>
      <c r="AO333" s="202" t="s">
        <v>170</v>
      </c>
      <c r="AP333" s="202">
        <v>0.35699999999999998</v>
      </c>
      <c r="AQ333" s="202">
        <v>1.66</v>
      </c>
      <c r="AR333" s="202">
        <v>0.34</v>
      </c>
      <c r="AS333" s="202">
        <v>0.46300000000000002</v>
      </c>
      <c r="AT333" s="202">
        <v>0.80200000000000005</v>
      </c>
      <c r="AU333" s="202">
        <v>4.9400000000000004</v>
      </c>
      <c r="AV333" s="202">
        <v>2.29</v>
      </c>
      <c r="AW333" s="202">
        <v>10.17</v>
      </c>
      <c r="AX333" s="202">
        <v>2.16</v>
      </c>
      <c r="AY333" s="202">
        <v>16.62</v>
      </c>
    </row>
    <row r="334" spans="1:51" ht="12.75" customHeight="1" x14ac:dyDescent="0.2">
      <c r="A334" s="76">
        <v>8</v>
      </c>
      <c r="B334" s="41" t="s">
        <v>1485</v>
      </c>
      <c r="C334" s="76" t="s">
        <v>170</v>
      </c>
      <c r="D334" s="76">
        <v>3</v>
      </c>
      <c r="E334" s="76">
        <v>0</v>
      </c>
      <c r="F334" s="76">
        <v>2.86</v>
      </c>
      <c r="G334" s="76">
        <v>67</v>
      </c>
      <c r="H334" s="76">
        <v>0</v>
      </c>
      <c r="I334" s="76">
        <v>0</v>
      </c>
      <c r="J334" s="76">
        <v>0</v>
      </c>
      <c r="K334" s="76">
        <v>1</v>
      </c>
      <c r="L334" s="76">
        <v>2</v>
      </c>
      <c r="M334" s="76">
        <v>63</v>
      </c>
      <c r="N334" s="76">
        <v>34</v>
      </c>
      <c r="O334" s="76">
        <v>20</v>
      </c>
      <c r="P334" s="76">
        <v>20</v>
      </c>
      <c r="Q334" s="76">
        <v>4</v>
      </c>
      <c r="R334" s="76">
        <v>31</v>
      </c>
      <c r="S334" s="76">
        <v>3</v>
      </c>
      <c r="T334" s="76">
        <v>78</v>
      </c>
      <c r="U334" s="76">
        <v>247</v>
      </c>
      <c r="V334" s="76">
        <v>63</v>
      </c>
      <c r="W334" s="76">
        <v>0.16</v>
      </c>
      <c r="X334" s="76">
        <v>1.03</v>
      </c>
      <c r="Y334" s="76"/>
      <c r="Z334" t="s">
        <v>1485</v>
      </c>
      <c r="AA334" s="76" t="s">
        <v>170</v>
      </c>
      <c r="AB334" s="76">
        <v>2</v>
      </c>
      <c r="AC334" s="76">
        <v>3</v>
      </c>
      <c r="AD334" s="76">
        <v>10</v>
      </c>
      <c r="AE334" s="76">
        <v>20</v>
      </c>
      <c r="AF334" s="76">
        <v>4</v>
      </c>
      <c r="AG334" s="76">
        <v>20</v>
      </c>
      <c r="AH334" s="76">
        <v>82</v>
      </c>
      <c r="AI334" s="76">
        <v>3</v>
      </c>
      <c r="AJ334" s="76">
        <v>0</v>
      </c>
      <c r="AK334" s="76">
        <v>2</v>
      </c>
      <c r="AL334" s="76">
        <v>2</v>
      </c>
      <c r="AM334" s="76">
        <v>3</v>
      </c>
      <c r="AN334" s="76">
        <v>1127</v>
      </c>
      <c r="AO334" s="202" t="s">
        <v>170</v>
      </c>
      <c r="AP334" s="202">
        <v>0</v>
      </c>
      <c r="AQ334" s="202">
        <v>1.6</v>
      </c>
      <c r="AR334" s="202">
        <v>0.41099999999999998</v>
      </c>
      <c r="AS334" s="202">
        <v>0.5</v>
      </c>
      <c r="AT334" s="202">
        <v>0.91100000000000003</v>
      </c>
      <c r="AU334" s="202">
        <v>5.56</v>
      </c>
      <c r="AV334" s="202">
        <v>2.38</v>
      </c>
      <c r="AW334" s="202">
        <v>15.09</v>
      </c>
      <c r="AX334" s="202">
        <v>2.33</v>
      </c>
      <c r="AY334" s="202">
        <v>17.739999999999998</v>
      </c>
    </row>
    <row r="335" spans="1:51" ht="12.75" customHeight="1" x14ac:dyDescent="0.2">
      <c r="A335" s="76">
        <v>25</v>
      </c>
      <c r="B335" s="41" t="s">
        <v>780</v>
      </c>
      <c r="C335" s="76" t="s">
        <v>170</v>
      </c>
      <c r="D335" s="76">
        <v>1</v>
      </c>
      <c r="E335" s="76">
        <v>0</v>
      </c>
      <c r="F335" s="76">
        <v>5.73</v>
      </c>
      <c r="G335" s="76">
        <v>18</v>
      </c>
      <c r="H335" s="76">
        <v>0</v>
      </c>
      <c r="I335" s="76">
        <v>0</v>
      </c>
      <c r="J335" s="76">
        <v>0</v>
      </c>
      <c r="K335" s="76">
        <v>0</v>
      </c>
      <c r="L335" s="76">
        <v>0</v>
      </c>
      <c r="M335" s="76">
        <v>22</v>
      </c>
      <c r="N335" s="76">
        <v>18</v>
      </c>
      <c r="O335" s="76">
        <v>16</v>
      </c>
      <c r="P335" s="76">
        <v>14</v>
      </c>
      <c r="Q335" s="76">
        <v>3</v>
      </c>
      <c r="R335" s="76">
        <v>14</v>
      </c>
      <c r="S335" s="76">
        <v>2</v>
      </c>
      <c r="T335" s="76">
        <v>24</v>
      </c>
      <c r="U335" s="76">
        <v>98</v>
      </c>
      <c r="V335" s="76">
        <v>22</v>
      </c>
      <c r="W335" s="76">
        <v>0.222</v>
      </c>
      <c r="X335" s="76">
        <v>1.45</v>
      </c>
      <c r="Y335" s="76"/>
      <c r="Z335" t="s">
        <v>780</v>
      </c>
      <c r="AA335" s="76" t="s">
        <v>170</v>
      </c>
      <c r="AB335" s="76">
        <v>1</v>
      </c>
      <c r="AC335" s="76">
        <v>2</v>
      </c>
      <c r="AD335" s="76">
        <v>10</v>
      </c>
      <c r="AE335" s="76">
        <v>0</v>
      </c>
      <c r="AF335" s="76">
        <v>2</v>
      </c>
      <c r="AG335" s="76">
        <v>21</v>
      </c>
      <c r="AH335" s="76">
        <v>20</v>
      </c>
      <c r="AI335" s="76">
        <v>1</v>
      </c>
      <c r="AJ335" s="76">
        <v>0</v>
      </c>
      <c r="AK335" s="76">
        <v>1</v>
      </c>
      <c r="AL335" s="76">
        <v>0</v>
      </c>
      <c r="AM335" s="76">
        <v>0</v>
      </c>
      <c r="AN335" s="76">
        <v>388</v>
      </c>
      <c r="AO335" s="202" t="s">
        <v>171</v>
      </c>
      <c r="AP335" s="202">
        <v>0.5</v>
      </c>
      <c r="AQ335" s="202">
        <v>2.0699999999999998</v>
      </c>
      <c r="AR335" s="202">
        <v>0.36199999999999999</v>
      </c>
      <c r="AS335" s="202">
        <v>0.45600000000000002</v>
      </c>
      <c r="AT335" s="202">
        <v>0.81799999999999995</v>
      </c>
      <c r="AU335" s="202">
        <v>5.35</v>
      </c>
      <c r="AV335" s="202">
        <v>3.57</v>
      </c>
      <c r="AW335" s="202">
        <v>10.95</v>
      </c>
      <c r="AX335" s="202">
        <v>1.5</v>
      </c>
      <c r="AY335" s="202">
        <v>15.91</v>
      </c>
    </row>
    <row r="336" spans="1:51" ht="12.75" customHeight="1" x14ac:dyDescent="0.2">
      <c r="A336" s="76">
        <v>19</v>
      </c>
      <c r="B336" t="s">
        <v>442</v>
      </c>
      <c r="C336" s="76" t="s">
        <v>170</v>
      </c>
      <c r="D336" s="76">
        <v>4</v>
      </c>
      <c r="E336" s="76">
        <v>7</v>
      </c>
      <c r="F336" s="76">
        <v>4.76</v>
      </c>
      <c r="G336" s="76">
        <v>16</v>
      </c>
      <c r="H336" s="76">
        <v>16</v>
      </c>
      <c r="I336" s="76">
        <v>0</v>
      </c>
      <c r="J336" s="76">
        <v>0</v>
      </c>
      <c r="K336" s="76">
        <v>0</v>
      </c>
      <c r="L336" s="76">
        <v>0</v>
      </c>
      <c r="M336" s="76">
        <v>79.099999999999994</v>
      </c>
      <c r="N336" s="76">
        <v>80</v>
      </c>
      <c r="O336" s="76">
        <v>47</v>
      </c>
      <c r="P336" s="76">
        <v>42</v>
      </c>
      <c r="Q336" s="76">
        <v>13</v>
      </c>
      <c r="R336" s="76">
        <v>30</v>
      </c>
      <c r="S336" s="76">
        <v>0</v>
      </c>
      <c r="T336" s="76">
        <v>67</v>
      </c>
      <c r="U336" s="76">
        <v>347</v>
      </c>
      <c r="V336" s="76">
        <v>79.099999999999994</v>
      </c>
      <c r="W336" s="76">
        <v>0.26400000000000001</v>
      </c>
      <c r="X336" s="76">
        <v>1.39</v>
      </c>
      <c r="Y336" s="76"/>
      <c r="Z336" t="s">
        <v>442</v>
      </c>
      <c r="AA336" s="76" t="s">
        <v>170</v>
      </c>
      <c r="AB336" s="76">
        <v>6</v>
      </c>
      <c r="AC336" s="76">
        <v>0</v>
      </c>
      <c r="AD336" s="76">
        <v>0</v>
      </c>
      <c r="AE336" s="76">
        <v>0</v>
      </c>
      <c r="AF336" s="76">
        <v>10</v>
      </c>
      <c r="AG336" s="76">
        <v>94</v>
      </c>
      <c r="AH336" s="76">
        <v>69</v>
      </c>
      <c r="AI336" s="76">
        <v>1</v>
      </c>
      <c r="AJ336" s="76">
        <v>0</v>
      </c>
      <c r="AK336" s="76">
        <v>4</v>
      </c>
      <c r="AL336" s="76">
        <v>2</v>
      </c>
      <c r="AM336" s="76">
        <v>0</v>
      </c>
      <c r="AN336" s="76">
        <v>1399</v>
      </c>
      <c r="AO336" s="202" t="s">
        <v>170</v>
      </c>
      <c r="AP336" s="202">
        <v>0.45500000000000002</v>
      </c>
      <c r="AQ336" s="202">
        <v>2.21</v>
      </c>
      <c r="AR336" s="202">
        <v>0.32200000000000001</v>
      </c>
      <c r="AS336" s="202">
        <v>0.33</v>
      </c>
      <c r="AT336" s="202">
        <v>0.65200000000000002</v>
      </c>
      <c r="AU336" s="202">
        <v>9.73</v>
      </c>
      <c r="AV336" s="202">
        <v>3.86</v>
      </c>
      <c r="AW336" s="202">
        <v>7.9</v>
      </c>
      <c r="AX336" s="202">
        <v>2.52</v>
      </c>
      <c r="AY336" s="202">
        <v>16.47</v>
      </c>
    </row>
    <row r="337" spans="1:51" ht="12.75" customHeight="1" x14ac:dyDescent="0.2">
      <c r="A337" s="76">
        <v>11</v>
      </c>
      <c r="B337" s="41" t="s">
        <v>1454</v>
      </c>
      <c r="C337" s="76" t="s">
        <v>170</v>
      </c>
      <c r="D337" s="76">
        <v>3</v>
      </c>
      <c r="E337" s="76">
        <v>5</v>
      </c>
      <c r="F337" s="76">
        <v>3.67</v>
      </c>
      <c r="G337" s="76">
        <v>16</v>
      </c>
      <c r="H337" s="76">
        <v>12</v>
      </c>
      <c r="I337" s="76">
        <v>0</v>
      </c>
      <c r="J337" s="76">
        <v>0</v>
      </c>
      <c r="K337" s="76">
        <v>0</v>
      </c>
      <c r="L337" s="76">
        <v>1</v>
      </c>
      <c r="M337" s="76">
        <v>61.1</v>
      </c>
      <c r="N337" s="76">
        <v>61</v>
      </c>
      <c r="O337" s="76">
        <v>32</v>
      </c>
      <c r="P337" s="76">
        <v>25</v>
      </c>
      <c r="Q337" s="76">
        <v>9</v>
      </c>
      <c r="R337" s="76">
        <v>23</v>
      </c>
      <c r="S337" s="76">
        <v>0</v>
      </c>
      <c r="T337" s="76">
        <v>47</v>
      </c>
      <c r="U337" s="76">
        <v>267</v>
      </c>
      <c r="V337" s="76">
        <v>61.1</v>
      </c>
      <c r="W337" s="76">
        <v>0.25700000000000001</v>
      </c>
      <c r="X337" s="76">
        <v>1.37</v>
      </c>
      <c r="Y337" s="76"/>
      <c r="Z337" t="s">
        <v>1454</v>
      </c>
      <c r="AA337" s="76" t="s">
        <v>170</v>
      </c>
      <c r="AB337" s="76">
        <v>3</v>
      </c>
      <c r="AC337" s="76">
        <v>0</v>
      </c>
      <c r="AD337" s="76">
        <v>2</v>
      </c>
      <c r="AE337" s="76">
        <v>0</v>
      </c>
      <c r="AF337" s="76">
        <v>6</v>
      </c>
      <c r="AG337" s="76">
        <v>59</v>
      </c>
      <c r="AH337" s="76">
        <v>74</v>
      </c>
      <c r="AI337" s="76">
        <v>4</v>
      </c>
      <c r="AJ337" s="76">
        <v>1</v>
      </c>
      <c r="AK337" s="76">
        <v>5</v>
      </c>
      <c r="AL337" s="76">
        <v>1</v>
      </c>
      <c r="AM337" s="76">
        <v>0</v>
      </c>
      <c r="AN337" s="76">
        <v>1015</v>
      </c>
      <c r="AO337" s="202" t="s">
        <v>170</v>
      </c>
      <c r="AP337" s="202">
        <v>0.5</v>
      </c>
      <c r="AQ337" s="202">
        <v>0.7</v>
      </c>
      <c r="AR337" s="202">
        <v>0.30399999999999999</v>
      </c>
      <c r="AS337" s="202">
        <v>0.434</v>
      </c>
      <c r="AT337" s="202">
        <v>0.73799999999999999</v>
      </c>
      <c r="AU337" s="202">
        <v>11</v>
      </c>
      <c r="AV337" s="202">
        <v>3</v>
      </c>
      <c r="AW337" s="202">
        <v>7.33</v>
      </c>
      <c r="AX337" s="202">
        <v>3.67</v>
      </c>
      <c r="AY337" s="202">
        <v>17.670000000000002</v>
      </c>
    </row>
    <row r="338" spans="1:51" ht="12.75" customHeight="1" x14ac:dyDescent="0.2">
      <c r="A338" s="76">
        <v>29</v>
      </c>
      <c r="B338" s="41" t="s">
        <v>547</v>
      </c>
      <c r="C338" s="76" t="s">
        <v>170</v>
      </c>
      <c r="D338" s="76">
        <v>0</v>
      </c>
      <c r="E338" s="76">
        <v>3</v>
      </c>
      <c r="F338" s="76">
        <v>6.03</v>
      </c>
      <c r="G338" s="76">
        <v>9</v>
      </c>
      <c r="H338" s="76">
        <v>9</v>
      </c>
      <c r="I338" s="76">
        <v>0</v>
      </c>
      <c r="J338" s="76">
        <v>0</v>
      </c>
      <c r="K338" s="76">
        <v>0</v>
      </c>
      <c r="L338" s="76">
        <v>0</v>
      </c>
      <c r="M338" s="76">
        <v>37.1</v>
      </c>
      <c r="N338" s="76">
        <v>42</v>
      </c>
      <c r="O338" s="76">
        <v>27</v>
      </c>
      <c r="P338" s="76">
        <v>25</v>
      </c>
      <c r="Q338" s="76">
        <v>4</v>
      </c>
      <c r="R338" s="76">
        <v>23</v>
      </c>
      <c r="S338" s="76">
        <v>0</v>
      </c>
      <c r="T338" s="76">
        <v>27</v>
      </c>
      <c r="U338" s="76">
        <v>176</v>
      </c>
      <c r="V338" s="76">
        <v>37.1</v>
      </c>
      <c r="W338" s="76">
        <v>0.27800000000000002</v>
      </c>
      <c r="X338" s="76">
        <v>1.74</v>
      </c>
      <c r="Y338" s="76"/>
      <c r="Z338" t="s">
        <v>547</v>
      </c>
      <c r="AA338" s="76" t="s">
        <v>170</v>
      </c>
      <c r="AB338" s="76">
        <v>2</v>
      </c>
      <c r="AC338" s="76">
        <v>0</v>
      </c>
      <c r="AD338" s="76">
        <v>0</v>
      </c>
      <c r="AE338" s="76">
        <v>0</v>
      </c>
      <c r="AF338" s="76">
        <v>8</v>
      </c>
      <c r="AG338" s="76">
        <v>56</v>
      </c>
      <c r="AH338" s="76">
        <v>26</v>
      </c>
      <c r="AI338" s="76">
        <v>1</v>
      </c>
      <c r="AJ338" s="76">
        <v>0</v>
      </c>
      <c r="AK338" s="76">
        <v>0</v>
      </c>
      <c r="AL338" s="76">
        <v>0</v>
      </c>
      <c r="AM338" s="76">
        <v>0</v>
      </c>
      <c r="AN338" s="76">
        <v>694</v>
      </c>
      <c r="AO338" s="202" t="s">
        <v>171</v>
      </c>
      <c r="AP338" s="202">
        <v>0.33300000000000002</v>
      </c>
      <c r="AQ338" s="202">
        <v>0.85</v>
      </c>
      <c r="AR338" s="202">
        <v>0.35199999999999998</v>
      </c>
      <c r="AS338" s="202">
        <v>0.54500000000000004</v>
      </c>
      <c r="AT338" s="202">
        <v>0.89700000000000002</v>
      </c>
      <c r="AU338" s="202">
        <v>6.08</v>
      </c>
      <c r="AV338" s="202">
        <v>2.97</v>
      </c>
      <c r="AW338" s="202">
        <v>10.53</v>
      </c>
      <c r="AX338" s="202">
        <v>2.0499999999999998</v>
      </c>
      <c r="AY338" s="202">
        <v>16.37</v>
      </c>
    </row>
    <row r="339" spans="1:51" ht="12.75" customHeight="1" x14ac:dyDescent="0.2">
      <c r="A339" s="76">
        <v>23</v>
      </c>
      <c r="B339" s="41" t="s">
        <v>378</v>
      </c>
      <c r="C339" s="76" t="s">
        <v>170</v>
      </c>
      <c r="D339" s="76">
        <v>1</v>
      </c>
      <c r="E339" s="76">
        <v>0</v>
      </c>
      <c r="F339" s="76">
        <v>5.05</v>
      </c>
      <c r="G339" s="76">
        <v>34</v>
      </c>
      <c r="H339" s="76">
        <v>0</v>
      </c>
      <c r="I339" s="76">
        <v>0</v>
      </c>
      <c r="J339" s="76">
        <v>0</v>
      </c>
      <c r="K339" s="76">
        <v>0</v>
      </c>
      <c r="L339" s="76">
        <v>1</v>
      </c>
      <c r="M339" s="76">
        <v>35.200000000000003</v>
      </c>
      <c r="N339" s="76">
        <v>34</v>
      </c>
      <c r="O339" s="76">
        <v>23</v>
      </c>
      <c r="P339" s="76">
        <v>20</v>
      </c>
      <c r="Q339" s="76">
        <v>5</v>
      </c>
      <c r="R339" s="76">
        <v>17</v>
      </c>
      <c r="S339" s="76">
        <v>1</v>
      </c>
      <c r="T339" s="76">
        <v>20</v>
      </c>
      <c r="U339" s="76">
        <v>155</v>
      </c>
      <c r="V339" s="76">
        <v>35.200000000000003</v>
      </c>
      <c r="W339" s="76">
        <v>0.25800000000000001</v>
      </c>
      <c r="X339" s="76">
        <v>1.43</v>
      </c>
      <c r="Y339" s="76"/>
      <c r="Z339" t="s">
        <v>378</v>
      </c>
      <c r="AA339" s="76" t="s">
        <v>170</v>
      </c>
      <c r="AB339" s="76">
        <v>4</v>
      </c>
      <c r="AC339" s="76">
        <v>1</v>
      </c>
      <c r="AD339" s="76">
        <v>6</v>
      </c>
      <c r="AE339" s="76">
        <v>1</v>
      </c>
      <c r="AF339" s="76">
        <v>8</v>
      </c>
      <c r="AG339" s="76">
        <v>39</v>
      </c>
      <c r="AH339" s="76">
        <v>41</v>
      </c>
      <c r="AI339" s="76">
        <v>2</v>
      </c>
      <c r="AJ339" s="76">
        <v>0</v>
      </c>
      <c r="AK339" s="76">
        <v>6</v>
      </c>
      <c r="AL339" s="76">
        <v>1</v>
      </c>
      <c r="AM339" s="76">
        <v>0</v>
      </c>
      <c r="AN339" s="76">
        <v>597</v>
      </c>
      <c r="AO339" s="202" t="s">
        <v>170</v>
      </c>
      <c r="AP339" s="202">
        <v>0</v>
      </c>
      <c r="AQ339" s="202">
        <v>0.54</v>
      </c>
      <c r="AR339" s="202">
        <v>0.35</v>
      </c>
      <c r="AS339" s="202">
        <v>0.34799999999999998</v>
      </c>
      <c r="AT339" s="202">
        <v>0.69799999999999995</v>
      </c>
      <c r="AU339" s="202">
        <v>8.61</v>
      </c>
      <c r="AV339" s="202">
        <v>3.91</v>
      </c>
      <c r="AW339" s="202">
        <v>9.7799999999999994</v>
      </c>
      <c r="AX339" s="202">
        <v>2.2000000000000002</v>
      </c>
      <c r="AY339" s="202">
        <v>18.09</v>
      </c>
    </row>
    <row r="340" spans="1:51" ht="12.75" customHeight="1" x14ac:dyDescent="0.2">
      <c r="A340" s="76">
        <v>14</v>
      </c>
      <c r="B340" t="s">
        <v>446</v>
      </c>
      <c r="C340" s="76" t="s">
        <v>170</v>
      </c>
      <c r="D340" s="76">
        <v>1</v>
      </c>
      <c r="E340" s="76">
        <v>2</v>
      </c>
      <c r="F340" s="76">
        <v>4.0199999999999996</v>
      </c>
      <c r="G340" s="76">
        <v>3</v>
      </c>
      <c r="H340" s="76">
        <v>2</v>
      </c>
      <c r="I340" s="76">
        <v>0</v>
      </c>
      <c r="J340" s="76">
        <v>0</v>
      </c>
      <c r="K340" s="76">
        <v>0</v>
      </c>
      <c r="L340" s="76">
        <v>0</v>
      </c>
      <c r="M340" s="76">
        <v>15.2</v>
      </c>
      <c r="N340" s="76">
        <v>12</v>
      </c>
      <c r="O340" s="76">
        <v>7</v>
      </c>
      <c r="P340" s="76">
        <v>7</v>
      </c>
      <c r="Q340" s="76">
        <v>3</v>
      </c>
      <c r="R340" s="76">
        <v>3</v>
      </c>
      <c r="S340" s="76">
        <v>0</v>
      </c>
      <c r="T340" s="76">
        <v>13</v>
      </c>
      <c r="U340" s="76">
        <v>58</v>
      </c>
      <c r="V340" s="76">
        <v>15.2</v>
      </c>
      <c r="W340" s="76">
        <v>0.218</v>
      </c>
      <c r="X340" s="76">
        <v>0.96</v>
      </c>
      <c r="Y340" s="76"/>
      <c r="Z340" t="s">
        <v>446</v>
      </c>
      <c r="AA340" s="76" t="s">
        <v>170</v>
      </c>
      <c r="AB340" s="76">
        <v>0</v>
      </c>
      <c r="AC340" s="76">
        <v>0</v>
      </c>
      <c r="AD340" s="76">
        <v>0</v>
      </c>
      <c r="AE340" s="76">
        <v>0</v>
      </c>
      <c r="AF340" s="76">
        <v>5</v>
      </c>
      <c r="AG340" s="76">
        <v>16</v>
      </c>
      <c r="AH340" s="76">
        <v>14</v>
      </c>
      <c r="AI340" s="76">
        <v>2</v>
      </c>
      <c r="AJ340" s="76">
        <v>0</v>
      </c>
      <c r="AK340" s="76">
        <v>1</v>
      </c>
      <c r="AL340" s="76">
        <v>0</v>
      </c>
      <c r="AM340" s="76">
        <v>0</v>
      </c>
      <c r="AN340" s="76">
        <v>204</v>
      </c>
      <c r="AO340" s="202" t="s">
        <v>170</v>
      </c>
      <c r="AP340" s="202">
        <v>1</v>
      </c>
      <c r="AQ340" s="202">
        <v>1.1599999999999999</v>
      </c>
      <c r="AR340" s="202">
        <v>0.28799999999999998</v>
      </c>
      <c r="AS340" s="202">
        <v>0.39300000000000002</v>
      </c>
      <c r="AT340" s="202">
        <v>0.68100000000000005</v>
      </c>
      <c r="AU340" s="202">
        <v>6.27</v>
      </c>
      <c r="AV340" s="202">
        <v>1.91</v>
      </c>
      <c r="AW340" s="202">
        <v>7.91</v>
      </c>
      <c r="AX340" s="202">
        <v>3.29</v>
      </c>
      <c r="AY340" s="202">
        <v>14.67</v>
      </c>
    </row>
    <row r="341" spans="1:51" ht="12.75" customHeight="1" x14ac:dyDescent="0.2">
      <c r="A341" s="76">
        <v>20</v>
      </c>
      <c r="B341" s="41" t="s">
        <v>758</v>
      </c>
      <c r="C341" s="76" t="s">
        <v>170</v>
      </c>
      <c r="D341" s="76">
        <v>5</v>
      </c>
      <c r="E341" s="76">
        <v>12</v>
      </c>
      <c r="F341" s="76">
        <v>4.8</v>
      </c>
      <c r="G341" s="76">
        <v>24</v>
      </c>
      <c r="H341" s="76">
        <v>23</v>
      </c>
      <c r="I341" s="76">
        <v>0</v>
      </c>
      <c r="J341" s="76">
        <v>0</v>
      </c>
      <c r="K341" s="76">
        <v>0</v>
      </c>
      <c r="L341" s="76">
        <v>0</v>
      </c>
      <c r="M341" s="76">
        <v>129.1</v>
      </c>
      <c r="N341" s="76">
        <v>131</v>
      </c>
      <c r="O341" s="76">
        <v>74</v>
      </c>
      <c r="P341" s="76">
        <v>69</v>
      </c>
      <c r="Q341" s="76">
        <v>13</v>
      </c>
      <c r="R341" s="76">
        <v>52</v>
      </c>
      <c r="S341" s="76">
        <v>2</v>
      </c>
      <c r="T341" s="76">
        <v>100</v>
      </c>
      <c r="U341" s="76">
        <v>567</v>
      </c>
      <c r="V341" s="76">
        <v>129.1</v>
      </c>
      <c r="W341" s="76">
        <v>0.25900000000000001</v>
      </c>
      <c r="X341" s="76">
        <v>1.41</v>
      </c>
      <c r="Y341" s="76"/>
      <c r="Z341" t="s">
        <v>758</v>
      </c>
      <c r="AA341" s="76" t="s">
        <v>170</v>
      </c>
      <c r="AB341" s="76">
        <v>2</v>
      </c>
      <c r="AC341" s="76">
        <v>2</v>
      </c>
      <c r="AD341" s="76">
        <v>0</v>
      </c>
      <c r="AE341" s="76">
        <v>0</v>
      </c>
      <c r="AF341" s="76">
        <v>7</v>
      </c>
      <c r="AG341" s="76">
        <v>140</v>
      </c>
      <c r="AH341" s="76">
        <v>142</v>
      </c>
      <c r="AI341" s="76">
        <v>7</v>
      </c>
      <c r="AJ341" s="76">
        <v>0</v>
      </c>
      <c r="AK341" s="76">
        <v>1</v>
      </c>
      <c r="AL341" s="76">
        <v>1</v>
      </c>
      <c r="AM341" s="76">
        <v>0</v>
      </c>
      <c r="AN341" s="76">
        <v>2139</v>
      </c>
      <c r="AO341" s="202" t="s">
        <v>170</v>
      </c>
      <c r="AP341" s="202">
        <v>0</v>
      </c>
      <c r="AQ341" s="202">
        <v>3.8</v>
      </c>
      <c r="AR341" s="202">
        <v>0.36499999999999999</v>
      </c>
      <c r="AS341" s="202">
        <v>0.45500000000000002</v>
      </c>
      <c r="AT341" s="202">
        <v>0.82</v>
      </c>
      <c r="AU341" s="202">
        <v>10.43</v>
      </c>
      <c r="AV341" s="202">
        <v>2.4500000000000002</v>
      </c>
      <c r="AW341" s="202">
        <v>10.43</v>
      </c>
      <c r="AX341" s="202">
        <v>4.25</v>
      </c>
      <c r="AY341" s="202">
        <v>15.55</v>
      </c>
    </row>
    <row r="342" spans="1:51" ht="12.75" customHeight="1" x14ac:dyDescent="0.2">
      <c r="A342" s="76">
        <v>16</v>
      </c>
      <c r="B342" t="s">
        <v>1487</v>
      </c>
      <c r="C342" s="76" t="s">
        <v>170</v>
      </c>
      <c r="D342" s="76">
        <v>0</v>
      </c>
      <c r="E342" s="76">
        <v>0</v>
      </c>
      <c r="F342" s="76">
        <v>4.5</v>
      </c>
      <c r="G342" s="76">
        <v>1</v>
      </c>
      <c r="H342" s="76">
        <v>0</v>
      </c>
      <c r="I342" s="76">
        <v>0</v>
      </c>
      <c r="J342" s="76">
        <v>0</v>
      </c>
      <c r="K342" s="76">
        <v>0</v>
      </c>
      <c r="L342" s="76">
        <v>0</v>
      </c>
      <c r="M342" s="76">
        <v>2</v>
      </c>
      <c r="N342" s="76">
        <v>3</v>
      </c>
      <c r="O342" s="76">
        <v>1</v>
      </c>
      <c r="P342" s="76">
        <v>1</v>
      </c>
      <c r="Q342" s="76">
        <v>0</v>
      </c>
      <c r="R342" s="76">
        <v>1</v>
      </c>
      <c r="S342" s="76">
        <v>0</v>
      </c>
      <c r="T342" s="76">
        <v>0</v>
      </c>
      <c r="U342" s="76">
        <v>9</v>
      </c>
      <c r="V342" s="76">
        <v>2</v>
      </c>
      <c r="W342" s="76">
        <v>0.375</v>
      </c>
      <c r="X342" s="76">
        <v>2</v>
      </c>
      <c r="Y342" s="76"/>
      <c r="Z342" t="s">
        <v>1487</v>
      </c>
      <c r="AA342" s="76" t="s">
        <v>170</v>
      </c>
      <c r="AB342" s="76">
        <v>0</v>
      </c>
      <c r="AC342" s="76">
        <v>0</v>
      </c>
      <c r="AD342" s="76">
        <v>1</v>
      </c>
      <c r="AE342" s="76">
        <v>0</v>
      </c>
      <c r="AF342" s="76">
        <v>0</v>
      </c>
      <c r="AG342" s="76">
        <v>2</v>
      </c>
      <c r="AH342" s="76">
        <v>3</v>
      </c>
      <c r="AI342" s="76">
        <v>0</v>
      </c>
      <c r="AJ342" s="76">
        <v>0</v>
      </c>
      <c r="AK342" s="76">
        <v>0</v>
      </c>
      <c r="AL342" s="76">
        <v>0</v>
      </c>
      <c r="AM342" s="76">
        <v>0</v>
      </c>
      <c r="AN342" s="76">
        <v>22</v>
      </c>
      <c r="AO342" s="202" t="s">
        <v>170</v>
      </c>
      <c r="AP342" s="202">
        <v>0.6</v>
      </c>
      <c r="AQ342" s="202">
        <v>1</v>
      </c>
      <c r="AR342" s="202">
        <v>0.30199999999999999</v>
      </c>
      <c r="AS342" s="202">
        <v>0.36899999999999999</v>
      </c>
      <c r="AT342" s="202">
        <v>0.67</v>
      </c>
      <c r="AU342" s="202">
        <v>8.9499999999999993</v>
      </c>
      <c r="AV342" s="202">
        <v>3.09</v>
      </c>
      <c r="AW342" s="202">
        <v>8.02</v>
      </c>
      <c r="AX342" s="202">
        <v>2.9</v>
      </c>
      <c r="AY342" s="202">
        <v>17.899999999999999</v>
      </c>
    </row>
    <row r="343" spans="1:51" ht="12.75" customHeight="1" x14ac:dyDescent="0.2">
      <c r="A343" s="76">
        <v>9</v>
      </c>
      <c r="B343" s="41" t="s">
        <v>391</v>
      </c>
      <c r="C343" s="76" t="s">
        <v>170</v>
      </c>
      <c r="D343" s="76">
        <v>4</v>
      </c>
      <c r="E343" s="76">
        <v>4</v>
      </c>
      <c r="F343" s="76">
        <v>2.92</v>
      </c>
      <c r="G343" s="76">
        <v>82</v>
      </c>
      <c r="H343" s="76">
        <v>0</v>
      </c>
      <c r="I343" s="76">
        <v>0</v>
      </c>
      <c r="J343" s="76">
        <v>0</v>
      </c>
      <c r="K343" s="76">
        <v>1</v>
      </c>
      <c r="L343" s="76">
        <v>7</v>
      </c>
      <c r="M343" s="76">
        <v>89.1</v>
      </c>
      <c r="N343" s="76">
        <v>63</v>
      </c>
      <c r="O343" s="76">
        <v>32</v>
      </c>
      <c r="P343" s="76">
        <v>29</v>
      </c>
      <c r="Q343" s="76">
        <v>8</v>
      </c>
      <c r="R343" s="76">
        <v>36</v>
      </c>
      <c r="S343" s="76">
        <v>4</v>
      </c>
      <c r="T343" s="76">
        <v>111</v>
      </c>
      <c r="U343" s="76">
        <v>364</v>
      </c>
      <c r="V343" s="76">
        <v>89.1</v>
      </c>
      <c r="W343" s="76">
        <v>0.19500000000000001</v>
      </c>
      <c r="X343" s="76">
        <v>1.1100000000000001</v>
      </c>
      <c r="Y343" s="76"/>
      <c r="Z343" t="s">
        <v>391</v>
      </c>
      <c r="AA343" s="76" t="s">
        <v>170</v>
      </c>
      <c r="AB343" s="76">
        <v>1</v>
      </c>
      <c r="AC343" s="76">
        <v>4</v>
      </c>
      <c r="AD343" s="76">
        <v>16</v>
      </c>
      <c r="AE343" s="76">
        <v>21</v>
      </c>
      <c r="AF343" s="76">
        <v>6</v>
      </c>
      <c r="AG343" s="76">
        <v>82</v>
      </c>
      <c r="AH343" s="76">
        <v>71</v>
      </c>
      <c r="AI343" s="76">
        <v>7</v>
      </c>
      <c r="AJ343" s="76">
        <v>0</v>
      </c>
      <c r="AK343" s="76">
        <v>11</v>
      </c>
      <c r="AL343" s="76">
        <v>2</v>
      </c>
      <c r="AM343" s="76">
        <v>1</v>
      </c>
      <c r="AN343" s="76">
        <v>1447</v>
      </c>
      <c r="AO343" s="202" t="s">
        <v>170</v>
      </c>
      <c r="AP343" s="202">
        <v>0.375</v>
      </c>
      <c r="AQ343" s="202">
        <v>0.95</v>
      </c>
      <c r="AR343" s="202">
        <v>0.31900000000000001</v>
      </c>
      <c r="AS343" s="202">
        <v>0.497</v>
      </c>
      <c r="AT343" s="202">
        <v>0.81599999999999995</v>
      </c>
      <c r="AU343" s="202">
        <v>9.3000000000000007</v>
      </c>
      <c r="AV343" s="202">
        <v>2.78</v>
      </c>
      <c r="AW343" s="202">
        <v>8.8800000000000008</v>
      </c>
      <c r="AX343" s="202">
        <v>3.35</v>
      </c>
      <c r="AY343" s="202">
        <v>17.29</v>
      </c>
    </row>
    <row r="344" spans="1:51" ht="12.75" customHeight="1" x14ac:dyDescent="0.2">
      <c r="A344" s="76">
        <v>10</v>
      </c>
      <c r="B344" s="41" t="s">
        <v>1091</v>
      </c>
      <c r="C344" s="76" t="s">
        <v>170</v>
      </c>
      <c r="D344" s="76">
        <v>1</v>
      </c>
      <c r="E344" s="76">
        <v>0</v>
      </c>
      <c r="F344" s="76">
        <v>3.38</v>
      </c>
      <c r="G344" s="76">
        <v>15</v>
      </c>
      <c r="H344" s="76">
        <v>0</v>
      </c>
      <c r="I344" s="76">
        <v>0</v>
      </c>
      <c r="J344" s="76">
        <v>0</v>
      </c>
      <c r="K344" s="76">
        <v>0</v>
      </c>
      <c r="L344" s="76">
        <v>0</v>
      </c>
      <c r="M344" s="76">
        <v>18.2</v>
      </c>
      <c r="N344" s="76">
        <v>19</v>
      </c>
      <c r="O344" s="76">
        <v>7</v>
      </c>
      <c r="P344" s="76">
        <v>7</v>
      </c>
      <c r="Q344" s="76">
        <v>2</v>
      </c>
      <c r="R344" s="76">
        <v>11</v>
      </c>
      <c r="S344" s="76">
        <v>2</v>
      </c>
      <c r="T344" s="76">
        <v>9</v>
      </c>
      <c r="U344" s="76">
        <v>86</v>
      </c>
      <c r="V344" s="76">
        <v>18.2</v>
      </c>
      <c r="W344" s="76">
        <v>0.25700000000000001</v>
      </c>
      <c r="X344" s="76">
        <v>1.61</v>
      </c>
      <c r="Y344" s="76"/>
      <c r="Z344" t="s">
        <v>1091</v>
      </c>
      <c r="AA344" s="76" t="s">
        <v>170</v>
      </c>
      <c r="AB344" s="76">
        <v>0</v>
      </c>
      <c r="AC344" s="76">
        <v>2</v>
      </c>
      <c r="AD344" s="76">
        <v>4</v>
      </c>
      <c r="AE344" s="76">
        <v>1</v>
      </c>
      <c r="AF344" s="76">
        <v>1</v>
      </c>
      <c r="AG344" s="76">
        <v>19</v>
      </c>
      <c r="AH344" s="76">
        <v>28</v>
      </c>
      <c r="AI344" s="76">
        <v>0</v>
      </c>
      <c r="AJ344" s="76">
        <v>0</v>
      </c>
      <c r="AK344" s="76">
        <v>0</v>
      </c>
      <c r="AL344" s="76">
        <v>0</v>
      </c>
      <c r="AM344" s="76">
        <v>0</v>
      </c>
      <c r="AN344" s="76">
        <v>354</v>
      </c>
      <c r="AO344" s="202" t="s">
        <v>170</v>
      </c>
      <c r="AP344" s="202">
        <v>0.66700000000000004</v>
      </c>
      <c r="AQ344" s="202">
        <v>1.1200000000000001</v>
      </c>
      <c r="AR344" s="202">
        <v>0.26400000000000001</v>
      </c>
      <c r="AS344" s="202">
        <v>0.30599999999999999</v>
      </c>
      <c r="AT344" s="202">
        <v>0.56899999999999995</v>
      </c>
      <c r="AU344" s="202">
        <v>13.2</v>
      </c>
      <c r="AV344" s="202">
        <v>3.34</v>
      </c>
      <c r="AW344" s="202">
        <v>6.07</v>
      </c>
      <c r="AX344" s="202">
        <v>3.95</v>
      </c>
      <c r="AY344" s="202">
        <v>16.989999999999998</v>
      </c>
    </row>
    <row r="345" spans="1:51" ht="12.75" customHeight="1" x14ac:dyDescent="0.2">
      <c r="A345" s="76">
        <v>27</v>
      </c>
      <c r="B345" s="41" t="s">
        <v>352</v>
      </c>
      <c r="C345" s="76" t="s">
        <v>170</v>
      </c>
      <c r="D345" s="76">
        <v>5</v>
      </c>
      <c r="E345" s="76">
        <v>6</v>
      </c>
      <c r="F345" s="76">
        <v>5.89</v>
      </c>
      <c r="G345" s="76">
        <v>13</v>
      </c>
      <c r="H345" s="76">
        <v>13</v>
      </c>
      <c r="I345" s="76">
        <v>0</v>
      </c>
      <c r="J345" s="76">
        <v>0</v>
      </c>
      <c r="K345" s="76">
        <v>0</v>
      </c>
      <c r="L345" s="76">
        <v>0</v>
      </c>
      <c r="M345" s="76">
        <v>73.099999999999994</v>
      </c>
      <c r="N345" s="76">
        <v>79</v>
      </c>
      <c r="O345" s="76">
        <v>49</v>
      </c>
      <c r="P345" s="76">
        <v>48</v>
      </c>
      <c r="Q345" s="76">
        <v>12</v>
      </c>
      <c r="R345" s="76">
        <v>35</v>
      </c>
      <c r="S345" s="76">
        <v>2</v>
      </c>
      <c r="T345" s="76">
        <v>54</v>
      </c>
      <c r="U345" s="76">
        <v>326</v>
      </c>
      <c r="V345" s="76">
        <v>73.099999999999994</v>
      </c>
      <c r="W345" s="76">
        <v>0.27800000000000002</v>
      </c>
      <c r="X345" s="76">
        <v>1.55</v>
      </c>
      <c r="Y345" s="76"/>
      <c r="Z345" t="s">
        <v>352</v>
      </c>
      <c r="AA345" s="76" t="s">
        <v>170</v>
      </c>
      <c r="AB345" s="76">
        <v>1</v>
      </c>
      <c r="AC345" s="76">
        <v>2</v>
      </c>
      <c r="AD345" s="76">
        <v>0</v>
      </c>
      <c r="AE345" s="76">
        <v>0</v>
      </c>
      <c r="AF345" s="76">
        <v>9</v>
      </c>
      <c r="AG345" s="76">
        <v>75</v>
      </c>
      <c r="AH345" s="76">
        <v>82</v>
      </c>
      <c r="AI345" s="76">
        <v>5</v>
      </c>
      <c r="AJ345" s="76">
        <v>0</v>
      </c>
      <c r="AK345" s="76">
        <v>3</v>
      </c>
      <c r="AL345" s="76">
        <v>1</v>
      </c>
      <c r="AM345" s="76">
        <v>0</v>
      </c>
      <c r="AN345" s="76">
        <v>1209</v>
      </c>
      <c r="AO345" s="202" t="s">
        <v>171</v>
      </c>
      <c r="AP345" s="202">
        <v>0</v>
      </c>
      <c r="AQ345" s="202">
        <v>0.89</v>
      </c>
      <c r="AR345" s="202">
        <v>0.36799999999999999</v>
      </c>
      <c r="AS345" s="202">
        <v>0.47099999999999997</v>
      </c>
      <c r="AT345" s="202">
        <v>0.83899999999999997</v>
      </c>
      <c r="AU345" s="202">
        <v>6.75</v>
      </c>
      <c r="AV345" s="202">
        <v>3.63</v>
      </c>
      <c r="AW345" s="202">
        <v>10.38</v>
      </c>
      <c r="AX345" s="202">
        <v>1.86</v>
      </c>
      <c r="AY345" s="202">
        <v>16.73</v>
      </c>
    </row>
    <row r="346" spans="1:51" ht="12.75" customHeight="1" x14ac:dyDescent="0.2">
      <c r="A346" s="76">
        <v>30</v>
      </c>
      <c r="B346" t="s">
        <v>512</v>
      </c>
      <c r="C346" s="76" t="s">
        <v>170</v>
      </c>
      <c r="D346" s="76">
        <v>0</v>
      </c>
      <c r="E346" s="76">
        <v>4</v>
      </c>
      <c r="F346" s="76">
        <v>9.15</v>
      </c>
      <c r="G346" s="76">
        <v>4</v>
      </c>
      <c r="H346" s="76">
        <v>4</v>
      </c>
      <c r="I346" s="76">
        <v>0</v>
      </c>
      <c r="J346" s="76">
        <v>0</v>
      </c>
      <c r="K346" s="76">
        <v>0</v>
      </c>
      <c r="L346" s="76">
        <v>0</v>
      </c>
      <c r="M346" s="76">
        <v>19.2</v>
      </c>
      <c r="N346" s="76">
        <v>32</v>
      </c>
      <c r="O346" s="76">
        <v>20</v>
      </c>
      <c r="P346" s="76">
        <v>20</v>
      </c>
      <c r="Q346" s="76">
        <v>9</v>
      </c>
      <c r="R346" s="76">
        <v>5</v>
      </c>
      <c r="S346" s="76">
        <v>0</v>
      </c>
      <c r="T346" s="76">
        <v>10</v>
      </c>
      <c r="U346" s="76">
        <v>93</v>
      </c>
      <c r="V346" s="76">
        <v>19.2</v>
      </c>
      <c r="W346" s="76">
        <v>0.372</v>
      </c>
      <c r="X346" s="76">
        <v>1.88</v>
      </c>
      <c r="Y346" s="76"/>
      <c r="Z346" t="s">
        <v>512</v>
      </c>
      <c r="AA346" s="76" t="s">
        <v>170</v>
      </c>
      <c r="AB346" s="76">
        <v>0</v>
      </c>
      <c r="AC346" s="76">
        <v>0</v>
      </c>
      <c r="AD346" s="76">
        <v>0</v>
      </c>
      <c r="AE346" s="76">
        <v>0</v>
      </c>
      <c r="AF346" s="76">
        <v>3</v>
      </c>
      <c r="AG346" s="76">
        <v>20</v>
      </c>
      <c r="AH346" s="76">
        <v>26</v>
      </c>
      <c r="AI346" s="76">
        <v>2</v>
      </c>
      <c r="AJ346" s="76">
        <v>0</v>
      </c>
      <c r="AK346" s="76">
        <v>0</v>
      </c>
      <c r="AL346" s="76">
        <v>0</v>
      </c>
      <c r="AM346" s="76">
        <v>0</v>
      </c>
      <c r="AN346" s="76">
        <v>353</v>
      </c>
      <c r="AO346" s="202" t="s">
        <v>171</v>
      </c>
      <c r="AP346" s="202">
        <v>0.66700000000000004</v>
      </c>
      <c r="AQ346" s="202">
        <v>1.47</v>
      </c>
      <c r="AR346" s="202">
        <v>0.314</v>
      </c>
      <c r="AS346" s="202">
        <v>0.36599999999999999</v>
      </c>
      <c r="AT346" s="202">
        <v>0.68</v>
      </c>
      <c r="AU346" s="202">
        <v>9.6199999999999992</v>
      </c>
      <c r="AV346" s="202">
        <v>3.57</v>
      </c>
      <c r="AW346" s="202">
        <v>7.91</v>
      </c>
      <c r="AX346" s="202">
        <v>2.7</v>
      </c>
      <c r="AY346" s="202">
        <v>15.64</v>
      </c>
    </row>
    <row r="347" spans="1:51" ht="12.75" customHeight="1" x14ac:dyDescent="0.2">
      <c r="A347" s="76">
        <v>32</v>
      </c>
      <c r="B347" t="s">
        <v>1459</v>
      </c>
      <c r="C347" s="76" t="s">
        <v>170</v>
      </c>
      <c r="D347" s="76">
        <v>0</v>
      </c>
      <c r="E347" s="76">
        <v>0</v>
      </c>
      <c r="F347" s="76">
        <v>27</v>
      </c>
      <c r="G347" s="76">
        <v>1</v>
      </c>
      <c r="H347" s="76">
        <v>0</v>
      </c>
      <c r="I347" s="76">
        <v>0</v>
      </c>
      <c r="J347" s="76">
        <v>0</v>
      </c>
      <c r="K347" s="76">
        <v>0</v>
      </c>
      <c r="L347" s="76">
        <v>0</v>
      </c>
      <c r="M347" s="76">
        <v>1.1000000000000001</v>
      </c>
      <c r="N347" s="76">
        <v>6</v>
      </c>
      <c r="O347" s="76">
        <v>4</v>
      </c>
      <c r="P347" s="76">
        <v>4</v>
      </c>
      <c r="Q347" s="76">
        <v>0</v>
      </c>
      <c r="R347" s="76">
        <v>0</v>
      </c>
      <c r="S347" s="76">
        <v>0</v>
      </c>
      <c r="T347" s="76">
        <v>0</v>
      </c>
      <c r="U347" s="76">
        <v>10</v>
      </c>
      <c r="V347" s="76">
        <v>1.1000000000000001</v>
      </c>
      <c r="W347" s="76">
        <v>0.6</v>
      </c>
      <c r="X347" s="76">
        <v>4.5</v>
      </c>
      <c r="Y347" s="76"/>
      <c r="Z347" t="s">
        <v>1459</v>
      </c>
      <c r="AA347" s="76" t="s">
        <v>170</v>
      </c>
      <c r="AB347" s="76">
        <v>0</v>
      </c>
      <c r="AC347" s="76">
        <v>0</v>
      </c>
      <c r="AD347" s="76">
        <v>0</v>
      </c>
      <c r="AE347" s="76">
        <v>0</v>
      </c>
      <c r="AF347" s="76">
        <v>0</v>
      </c>
      <c r="AG347" s="76">
        <v>3</v>
      </c>
      <c r="AH347" s="76">
        <v>1</v>
      </c>
      <c r="AI347" s="76">
        <v>0</v>
      </c>
      <c r="AJ347" s="76">
        <v>0</v>
      </c>
      <c r="AK347" s="76">
        <v>0</v>
      </c>
      <c r="AL347" s="76">
        <v>0</v>
      </c>
      <c r="AM347" s="76">
        <v>0</v>
      </c>
      <c r="AN347" s="76">
        <v>19</v>
      </c>
      <c r="AO347" s="202" t="s">
        <v>171</v>
      </c>
      <c r="AP347" s="202" t="s">
        <v>243</v>
      </c>
      <c r="AQ347" s="202">
        <v>1.38</v>
      </c>
      <c r="AR347" s="202">
        <v>0.36599999999999999</v>
      </c>
      <c r="AS347" s="202">
        <v>0.38900000000000001</v>
      </c>
      <c r="AT347" s="202">
        <v>0.755</v>
      </c>
      <c r="AU347" s="202">
        <v>7.56</v>
      </c>
      <c r="AV347" s="202">
        <v>4.32</v>
      </c>
      <c r="AW347" s="202">
        <v>10.8</v>
      </c>
      <c r="AX347" s="202">
        <v>1.75</v>
      </c>
      <c r="AY347" s="202">
        <v>18.239999999999998</v>
      </c>
    </row>
    <row r="348" spans="1:51" ht="12.75" customHeight="1" x14ac:dyDescent="0.2">
      <c r="A348" s="76">
        <v>18</v>
      </c>
      <c r="B348" s="41" t="s">
        <v>613</v>
      </c>
      <c r="C348" s="76" t="s">
        <v>170</v>
      </c>
      <c r="D348" s="76">
        <v>0</v>
      </c>
      <c r="E348" s="76">
        <v>5</v>
      </c>
      <c r="F348" s="76">
        <v>4.5199999999999996</v>
      </c>
      <c r="G348" s="76">
        <v>71</v>
      </c>
      <c r="H348" s="76">
        <v>0</v>
      </c>
      <c r="I348" s="76">
        <v>0</v>
      </c>
      <c r="J348" s="76">
        <v>0</v>
      </c>
      <c r="K348" s="76">
        <v>13</v>
      </c>
      <c r="L348" s="76">
        <v>19</v>
      </c>
      <c r="M348" s="76">
        <v>69.2</v>
      </c>
      <c r="N348" s="76">
        <v>65</v>
      </c>
      <c r="O348" s="76">
        <v>37</v>
      </c>
      <c r="P348" s="76">
        <v>35</v>
      </c>
      <c r="Q348" s="76">
        <v>7</v>
      </c>
      <c r="R348" s="76">
        <v>23</v>
      </c>
      <c r="S348" s="76">
        <v>5</v>
      </c>
      <c r="T348" s="76">
        <v>72</v>
      </c>
      <c r="U348" s="76">
        <v>300</v>
      </c>
      <c r="V348" s="76">
        <v>69.2</v>
      </c>
      <c r="W348" s="76">
        <v>0.23799999999999999</v>
      </c>
      <c r="X348" s="76">
        <v>1.26</v>
      </c>
      <c r="Y348" s="76"/>
      <c r="Z348" t="s">
        <v>613</v>
      </c>
      <c r="AA348" s="76" t="s">
        <v>170</v>
      </c>
      <c r="AB348" s="76">
        <v>2</v>
      </c>
      <c r="AC348" s="76">
        <v>5</v>
      </c>
      <c r="AD348" s="76">
        <v>36</v>
      </c>
      <c r="AE348" s="76">
        <v>13</v>
      </c>
      <c r="AF348" s="76">
        <v>2</v>
      </c>
      <c r="AG348" s="76">
        <v>57</v>
      </c>
      <c r="AH348" s="76">
        <v>80</v>
      </c>
      <c r="AI348" s="76">
        <v>3</v>
      </c>
      <c r="AJ348" s="76">
        <v>0</v>
      </c>
      <c r="AK348" s="76">
        <v>3</v>
      </c>
      <c r="AL348" s="76">
        <v>1</v>
      </c>
      <c r="AM348" s="76">
        <v>0</v>
      </c>
      <c r="AN348" s="76">
        <v>1229</v>
      </c>
      <c r="AO348" s="202" t="s">
        <v>170</v>
      </c>
      <c r="AP348" s="202" t="s">
        <v>243</v>
      </c>
      <c r="AQ348" s="202">
        <v>3</v>
      </c>
      <c r="AR348" s="202">
        <v>0.53300000000000003</v>
      </c>
      <c r="AS348" s="202">
        <v>1.1539999999999999</v>
      </c>
      <c r="AT348" s="202">
        <v>1.6870000000000001</v>
      </c>
      <c r="AU348" s="202">
        <v>12</v>
      </c>
      <c r="AV348" s="202">
        <v>6</v>
      </c>
      <c r="AW348" s="202">
        <v>18</v>
      </c>
      <c r="AX348" s="202">
        <v>2</v>
      </c>
      <c r="AY348" s="202">
        <v>19.329999999999998</v>
      </c>
    </row>
    <row r="349" spans="1:51" ht="12.75" customHeight="1" x14ac:dyDescent="0.2">
      <c r="A349" s="76">
        <v>5</v>
      </c>
      <c r="B349" s="41" t="s">
        <v>623</v>
      </c>
      <c r="C349" s="76" t="s">
        <v>170</v>
      </c>
      <c r="D349" s="76">
        <v>1</v>
      </c>
      <c r="E349" s="76">
        <v>0</v>
      </c>
      <c r="F349" s="76">
        <v>1.69</v>
      </c>
      <c r="G349" s="76">
        <v>18</v>
      </c>
      <c r="H349" s="76">
        <v>0</v>
      </c>
      <c r="I349" s="76">
        <v>0</v>
      </c>
      <c r="J349" s="76">
        <v>0</v>
      </c>
      <c r="K349" s="76">
        <v>0</v>
      </c>
      <c r="L349" s="76">
        <v>1</v>
      </c>
      <c r="M349" s="76">
        <v>16</v>
      </c>
      <c r="N349" s="76">
        <v>19</v>
      </c>
      <c r="O349" s="76">
        <v>4</v>
      </c>
      <c r="P349" s="76">
        <v>3</v>
      </c>
      <c r="Q349" s="76">
        <v>2</v>
      </c>
      <c r="R349" s="76">
        <v>3</v>
      </c>
      <c r="S349" s="76">
        <v>1</v>
      </c>
      <c r="T349" s="76">
        <v>8</v>
      </c>
      <c r="U349" s="76">
        <v>68</v>
      </c>
      <c r="V349" s="76">
        <v>16</v>
      </c>
      <c r="W349" s="76">
        <v>0.30599999999999999</v>
      </c>
      <c r="X349" s="76">
        <v>1.38</v>
      </c>
      <c r="Y349" s="76"/>
      <c r="Z349" t="s">
        <v>623</v>
      </c>
      <c r="AA349" s="76" t="s">
        <v>170</v>
      </c>
      <c r="AB349" s="76">
        <v>0</v>
      </c>
      <c r="AC349" s="76">
        <v>1</v>
      </c>
      <c r="AD349" s="76">
        <v>2</v>
      </c>
      <c r="AE349" s="76">
        <v>2</v>
      </c>
      <c r="AF349" s="76">
        <v>2</v>
      </c>
      <c r="AG349" s="76">
        <v>20</v>
      </c>
      <c r="AH349" s="76">
        <v>18</v>
      </c>
      <c r="AI349" s="76">
        <v>0</v>
      </c>
      <c r="AJ349" s="76">
        <v>0</v>
      </c>
      <c r="AK349" s="76">
        <v>1</v>
      </c>
      <c r="AL349" s="76">
        <v>0</v>
      </c>
      <c r="AM349" s="76">
        <v>0</v>
      </c>
      <c r="AN349" s="76">
        <v>232</v>
      </c>
      <c r="AO349" s="202" t="s">
        <v>170</v>
      </c>
      <c r="AP349" s="202">
        <v>0</v>
      </c>
      <c r="AQ349" s="202">
        <v>0.73</v>
      </c>
      <c r="AR349" s="202">
        <v>0.374</v>
      </c>
      <c r="AS349" s="202">
        <v>0.5</v>
      </c>
      <c r="AT349" s="202">
        <v>0.874</v>
      </c>
      <c r="AU349" s="202">
        <v>7.11</v>
      </c>
      <c r="AV349" s="202">
        <v>5.21</v>
      </c>
      <c r="AW349" s="202">
        <v>9.7100000000000009</v>
      </c>
      <c r="AX349" s="202">
        <v>1.36</v>
      </c>
      <c r="AY349" s="202">
        <v>17.82</v>
      </c>
    </row>
    <row r="350" spans="1:51" ht="12.75" customHeight="1" x14ac:dyDescent="0.2">
      <c r="A350" s="76">
        <v>24</v>
      </c>
      <c r="B350" s="41" t="s">
        <v>1489</v>
      </c>
      <c r="C350" s="76" t="s">
        <v>170</v>
      </c>
      <c r="D350" s="76">
        <v>9</v>
      </c>
      <c r="E350" s="76">
        <v>10</v>
      </c>
      <c r="F350" s="76">
        <v>5.71</v>
      </c>
      <c r="G350" s="76">
        <v>35</v>
      </c>
      <c r="H350" s="76">
        <v>20</v>
      </c>
      <c r="I350" s="76">
        <v>1</v>
      </c>
      <c r="J350" s="76">
        <v>0</v>
      </c>
      <c r="K350" s="76">
        <v>0</v>
      </c>
      <c r="L350" s="76">
        <v>0</v>
      </c>
      <c r="M350" s="76">
        <v>146.19999999999999</v>
      </c>
      <c r="N350" s="76">
        <v>187</v>
      </c>
      <c r="O350" s="76">
        <v>99</v>
      </c>
      <c r="P350" s="76">
        <v>93</v>
      </c>
      <c r="Q350" s="76">
        <v>23</v>
      </c>
      <c r="R350" s="76">
        <v>46</v>
      </c>
      <c r="S350" s="76">
        <v>7</v>
      </c>
      <c r="T350" s="76">
        <v>105</v>
      </c>
      <c r="U350" s="76">
        <v>662</v>
      </c>
      <c r="V350" s="76">
        <v>146.19999999999999</v>
      </c>
      <c r="W350" s="76">
        <v>0.31</v>
      </c>
      <c r="X350" s="76">
        <v>1.59</v>
      </c>
      <c r="Y350" s="76"/>
      <c r="Z350" t="s">
        <v>1489</v>
      </c>
      <c r="AA350" s="76" t="s">
        <v>170</v>
      </c>
      <c r="AB350" s="76">
        <v>7</v>
      </c>
      <c r="AC350" s="76">
        <v>7</v>
      </c>
      <c r="AD350" s="76">
        <v>8</v>
      </c>
      <c r="AE350" s="76">
        <v>0</v>
      </c>
      <c r="AF350" s="76">
        <v>20</v>
      </c>
      <c r="AG350" s="76">
        <v>216</v>
      </c>
      <c r="AH350" s="76">
        <v>100</v>
      </c>
      <c r="AI350" s="76">
        <v>10</v>
      </c>
      <c r="AJ350" s="76">
        <v>0</v>
      </c>
      <c r="AK350" s="76">
        <v>12</v>
      </c>
      <c r="AL350" s="76">
        <v>0</v>
      </c>
      <c r="AM350" s="76">
        <v>1</v>
      </c>
      <c r="AN350" s="76">
        <v>2371</v>
      </c>
      <c r="AO350" s="102" t="s">
        <v>157</v>
      </c>
      <c r="AP350" s="102" t="s">
        <v>1081</v>
      </c>
      <c r="AQ350" s="102" t="s">
        <v>1068</v>
      </c>
      <c r="AR350" s="102" t="s">
        <v>1059</v>
      </c>
      <c r="AS350" s="102" t="s">
        <v>1060</v>
      </c>
      <c r="AT350" s="102" t="s">
        <v>1061</v>
      </c>
      <c r="AU350" s="102" t="s">
        <v>1092</v>
      </c>
      <c r="AV350" s="102" t="s">
        <v>1093</v>
      </c>
      <c r="AW350" s="102" t="s">
        <v>1094</v>
      </c>
      <c r="AX350" s="102" t="s">
        <v>1095</v>
      </c>
      <c r="AY350" s="102" t="s">
        <v>1096</v>
      </c>
    </row>
    <row r="351" spans="1:51" ht="12.75" customHeight="1" x14ac:dyDescent="0.2">
      <c r="A351" s="76">
        <v>6</v>
      </c>
      <c r="B351" t="s">
        <v>372</v>
      </c>
      <c r="C351" s="76" t="s">
        <v>170</v>
      </c>
      <c r="D351" s="76">
        <v>8</v>
      </c>
      <c r="E351" s="76">
        <v>7</v>
      </c>
      <c r="F351" s="76">
        <v>2.4700000000000002</v>
      </c>
      <c r="G351" s="76">
        <v>17</v>
      </c>
      <c r="H351" s="76">
        <v>17</v>
      </c>
      <c r="I351" s="76">
        <v>0</v>
      </c>
      <c r="J351" s="76">
        <v>0</v>
      </c>
      <c r="K351" s="76">
        <v>0</v>
      </c>
      <c r="L351" s="76">
        <v>0</v>
      </c>
      <c r="M351" s="76">
        <v>102</v>
      </c>
      <c r="N351" s="76">
        <v>67</v>
      </c>
      <c r="O351" s="76">
        <v>30</v>
      </c>
      <c r="P351" s="76">
        <v>28</v>
      </c>
      <c r="Q351" s="76">
        <v>8</v>
      </c>
      <c r="R351" s="76">
        <v>41</v>
      </c>
      <c r="S351" s="76">
        <v>2</v>
      </c>
      <c r="T351" s="76">
        <v>115</v>
      </c>
      <c r="U351" s="76">
        <v>411</v>
      </c>
      <c r="V351" s="76">
        <v>102</v>
      </c>
      <c r="W351" s="76">
        <v>0.184</v>
      </c>
      <c r="X351" s="76">
        <v>1.06</v>
      </c>
      <c r="Y351" s="76"/>
      <c r="Z351" t="s">
        <v>372</v>
      </c>
      <c r="AA351" s="76" t="s">
        <v>170</v>
      </c>
      <c r="AB351" s="76">
        <v>1</v>
      </c>
      <c r="AC351" s="76">
        <v>2</v>
      </c>
      <c r="AD351" s="76">
        <v>0</v>
      </c>
      <c r="AE351" s="76">
        <v>0</v>
      </c>
      <c r="AF351" s="76">
        <v>4</v>
      </c>
      <c r="AG351" s="76">
        <v>94</v>
      </c>
      <c r="AH351" s="76">
        <v>93</v>
      </c>
      <c r="AI351" s="76">
        <v>7</v>
      </c>
      <c r="AJ351" s="76">
        <v>0</v>
      </c>
      <c r="AK351" s="76">
        <v>3</v>
      </c>
      <c r="AL351" s="76">
        <v>5</v>
      </c>
      <c r="AM351" s="76">
        <v>1</v>
      </c>
      <c r="AN351" s="76">
        <v>1698</v>
      </c>
      <c r="AO351" s="202" t="s">
        <v>170</v>
      </c>
      <c r="AP351" s="202" t="s">
        <v>243</v>
      </c>
      <c r="AQ351" s="202">
        <v>1</v>
      </c>
      <c r="AR351" s="202">
        <v>0.4</v>
      </c>
      <c r="AS351" s="202">
        <v>0.47399999999999998</v>
      </c>
      <c r="AT351" s="202">
        <v>0.874</v>
      </c>
      <c r="AU351" s="202">
        <v>8.31</v>
      </c>
      <c r="AV351" s="202">
        <v>2.08</v>
      </c>
      <c r="AW351" s="202">
        <v>14.54</v>
      </c>
      <c r="AX351" s="202">
        <v>4</v>
      </c>
      <c r="AY351" s="202">
        <v>16.850000000000001</v>
      </c>
    </row>
    <row r="352" spans="1:51" ht="12.75" customHeight="1" x14ac:dyDescent="0.2">
      <c r="A352" s="76">
        <v>13</v>
      </c>
      <c r="B352" s="41" t="s">
        <v>775</v>
      </c>
      <c r="C352" s="76" t="s">
        <v>170</v>
      </c>
      <c r="D352" s="76">
        <v>7</v>
      </c>
      <c r="E352" s="76">
        <v>7</v>
      </c>
      <c r="F352" s="76">
        <v>3.92</v>
      </c>
      <c r="G352" s="76">
        <v>60</v>
      </c>
      <c r="H352" s="76">
        <v>0</v>
      </c>
      <c r="I352" s="76">
        <v>0</v>
      </c>
      <c r="J352" s="76">
        <v>0</v>
      </c>
      <c r="K352" s="76">
        <v>2</v>
      </c>
      <c r="L352" s="76">
        <v>3</v>
      </c>
      <c r="M352" s="76">
        <v>59.2</v>
      </c>
      <c r="N352" s="76">
        <v>55</v>
      </c>
      <c r="O352" s="76">
        <v>27</v>
      </c>
      <c r="P352" s="76">
        <v>26</v>
      </c>
      <c r="Q352" s="76">
        <v>8</v>
      </c>
      <c r="R352" s="76">
        <v>22</v>
      </c>
      <c r="S352" s="76">
        <v>2</v>
      </c>
      <c r="T352" s="76">
        <v>42</v>
      </c>
      <c r="U352" s="76">
        <v>253</v>
      </c>
      <c r="V352" s="76">
        <v>59.2</v>
      </c>
      <c r="W352" s="76">
        <v>0.24199999999999999</v>
      </c>
      <c r="X352" s="76">
        <v>1.29</v>
      </c>
      <c r="Y352" s="76"/>
      <c r="Z352" t="s">
        <v>775</v>
      </c>
      <c r="AA352" s="76" t="s">
        <v>170</v>
      </c>
      <c r="AB352" s="76">
        <v>0</v>
      </c>
      <c r="AC352" s="76">
        <v>2</v>
      </c>
      <c r="AD352" s="76">
        <v>17</v>
      </c>
      <c r="AE352" s="76">
        <v>9</v>
      </c>
      <c r="AF352" s="76">
        <v>2</v>
      </c>
      <c r="AG352" s="76">
        <v>56</v>
      </c>
      <c r="AH352" s="76">
        <v>78</v>
      </c>
      <c r="AI352" s="76">
        <v>2</v>
      </c>
      <c r="AJ352" s="76">
        <v>0</v>
      </c>
      <c r="AK352" s="76">
        <v>7</v>
      </c>
      <c r="AL352" s="76">
        <v>1</v>
      </c>
      <c r="AM352" s="76">
        <v>0</v>
      </c>
      <c r="AN352" s="76">
        <v>1025</v>
      </c>
      <c r="AO352" s="202" t="s">
        <v>170</v>
      </c>
      <c r="AP352" s="202" t="s">
        <v>243</v>
      </c>
      <c r="AQ352" s="202">
        <v>1.43</v>
      </c>
      <c r="AR352" s="202">
        <v>0.52800000000000002</v>
      </c>
      <c r="AS352" s="202">
        <v>0.78700000000000003</v>
      </c>
      <c r="AT352" s="202">
        <v>1.3160000000000001</v>
      </c>
      <c r="AU352" s="202">
        <v>8.31</v>
      </c>
      <c r="AV352" s="202">
        <v>5.19</v>
      </c>
      <c r="AW352" s="202">
        <v>23.88</v>
      </c>
      <c r="AX352" s="202">
        <v>1.6</v>
      </c>
      <c r="AY352" s="202">
        <v>23.19</v>
      </c>
    </row>
    <row r="353" spans="1:51" ht="12.75" customHeight="1" x14ac:dyDescent="0.2">
      <c r="A353" s="76">
        <v>21</v>
      </c>
      <c r="B353" s="41" t="s">
        <v>1154</v>
      </c>
      <c r="C353" s="76" t="s">
        <v>170</v>
      </c>
      <c r="D353" s="76">
        <v>5</v>
      </c>
      <c r="E353" s="76">
        <v>5</v>
      </c>
      <c r="F353" s="76">
        <v>4.9800000000000004</v>
      </c>
      <c r="G353" s="76">
        <v>19</v>
      </c>
      <c r="H353" s="76">
        <v>18</v>
      </c>
      <c r="I353" s="76">
        <v>0</v>
      </c>
      <c r="J353" s="76">
        <v>0</v>
      </c>
      <c r="K353" s="76">
        <v>0</v>
      </c>
      <c r="L353" s="76">
        <v>0</v>
      </c>
      <c r="M353" s="76">
        <v>99.1</v>
      </c>
      <c r="N353" s="76">
        <v>101</v>
      </c>
      <c r="O353" s="76">
        <v>63</v>
      </c>
      <c r="P353" s="76">
        <v>55</v>
      </c>
      <c r="Q353" s="76">
        <v>12</v>
      </c>
      <c r="R353" s="76">
        <v>44</v>
      </c>
      <c r="S353" s="76">
        <v>4</v>
      </c>
      <c r="T353" s="76">
        <v>76</v>
      </c>
      <c r="U353" s="76">
        <v>443</v>
      </c>
      <c r="V353" s="76">
        <v>99.1</v>
      </c>
      <c r="W353" s="76">
        <v>0.26200000000000001</v>
      </c>
      <c r="X353" s="76">
        <v>1.46</v>
      </c>
      <c r="Y353" s="76"/>
      <c r="Z353" t="s">
        <v>1154</v>
      </c>
      <c r="AA353" s="76" t="s">
        <v>170</v>
      </c>
      <c r="AB353" s="76">
        <v>8</v>
      </c>
      <c r="AC353" s="76">
        <v>4</v>
      </c>
      <c r="AD353" s="76">
        <v>0</v>
      </c>
      <c r="AE353" s="76">
        <v>0</v>
      </c>
      <c r="AF353" s="76">
        <v>10</v>
      </c>
      <c r="AG353" s="76">
        <v>113</v>
      </c>
      <c r="AH353" s="76">
        <v>100</v>
      </c>
      <c r="AI353" s="76">
        <v>0</v>
      </c>
      <c r="AJ353" s="76">
        <v>1</v>
      </c>
      <c r="AK353" s="76">
        <v>13</v>
      </c>
      <c r="AL353" s="76">
        <v>2</v>
      </c>
      <c r="AM353" s="76">
        <v>0</v>
      </c>
      <c r="AN353" s="76">
        <v>1717</v>
      </c>
      <c r="AO353" s="202" t="s">
        <v>170</v>
      </c>
      <c r="AP353" s="202">
        <v>0.65</v>
      </c>
      <c r="AQ353" s="202">
        <v>1.1299999999999999</v>
      </c>
      <c r="AR353" s="202">
        <v>0.32700000000000001</v>
      </c>
      <c r="AS353" s="202">
        <v>0.45</v>
      </c>
      <c r="AT353" s="202">
        <v>0.77600000000000002</v>
      </c>
      <c r="AU353" s="202">
        <v>9.61</v>
      </c>
      <c r="AV353" s="202">
        <v>3.6</v>
      </c>
      <c r="AW353" s="202">
        <v>8.41</v>
      </c>
      <c r="AX353" s="202">
        <v>2.67</v>
      </c>
      <c r="AY353" s="202">
        <v>16.489999999999998</v>
      </c>
    </row>
    <row r="354" spans="1:51" ht="12.75" customHeight="1" x14ac:dyDescent="0.2">
      <c r="A354" s="76">
        <v>7</v>
      </c>
      <c r="B354" s="41" t="s">
        <v>1104</v>
      </c>
      <c r="C354" s="76" t="s">
        <v>170</v>
      </c>
      <c r="D354" s="76">
        <v>3</v>
      </c>
      <c r="E354" s="76">
        <v>3</v>
      </c>
      <c r="F354" s="76">
        <v>2.52</v>
      </c>
      <c r="G354" s="76">
        <v>11</v>
      </c>
      <c r="H354" s="76">
        <v>9</v>
      </c>
      <c r="I354" s="76">
        <v>0</v>
      </c>
      <c r="J354" s="76">
        <v>0</v>
      </c>
      <c r="K354" s="76">
        <v>0</v>
      </c>
      <c r="L354" s="76">
        <v>0</v>
      </c>
      <c r="M354" s="76">
        <v>53.2</v>
      </c>
      <c r="N354" s="76">
        <v>58</v>
      </c>
      <c r="O354" s="76">
        <v>21</v>
      </c>
      <c r="P354" s="76">
        <v>15</v>
      </c>
      <c r="Q354" s="76">
        <v>4</v>
      </c>
      <c r="R354" s="76">
        <v>24</v>
      </c>
      <c r="S354" s="76">
        <v>0</v>
      </c>
      <c r="T354" s="76">
        <v>34</v>
      </c>
      <c r="U354" s="76">
        <v>234</v>
      </c>
      <c r="V354" s="76">
        <v>53.2</v>
      </c>
      <c r="W354" s="76">
        <v>0.27800000000000002</v>
      </c>
      <c r="X354" s="76">
        <v>1.53</v>
      </c>
      <c r="Y354" s="76"/>
      <c r="Z354" t="s">
        <v>1104</v>
      </c>
      <c r="AA354" s="76" t="s">
        <v>170</v>
      </c>
      <c r="AB354" s="76">
        <v>0</v>
      </c>
      <c r="AC354" s="76">
        <v>0</v>
      </c>
      <c r="AD354" s="76">
        <v>0</v>
      </c>
      <c r="AE354" s="76">
        <v>0</v>
      </c>
      <c r="AF354" s="76">
        <v>12</v>
      </c>
      <c r="AG354" s="76">
        <v>85</v>
      </c>
      <c r="AH354" s="76">
        <v>33</v>
      </c>
      <c r="AI354" s="76">
        <v>2</v>
      </c>
      <c r="AJ354" s="76">
        <v>0</v>
      </c>
      <c r="AK354" s="76">
        <v>6</v>
      </c>
      <c r="AL354" s="76">
        <v>1</v>
      </c>
      <c r="AM354" s="76">
        <v>2</v>
      </c>
      <c r="AN354" s="76">
        <v>843</v>
      </c>
      <c r="AO354" s="202" t="s">
        <v>170</v>
      </c>
      <c r="AP354" s="202">
        <v>0.5</v>
      </c>
      <c r="AQ354" s="202">
        <v>0.79</v>
      </c>
      <c r="AR354" s="202">
        <v>0.27300000000000002</v>
      </c>
      <c r="AS354" s="202">
        <v>0.32300000000000001</v>
      </c>
      <c r="AT354" s="202">
        <v>0.59599999999999997</v>
      </c>
      <c r="AU354" s="202">
        <v>11.05</v>
      </c>
      <c r="AV354" s="202">
        <v>2.63</v>
      </c>
      <c r="AW354" s="202">
        <v>7.19</v>
      </c>
      <c r="AX354" s="202">
        <v>4.2</v>
      </c>
      <c r="AY354" s="202">
        <v>15.76</v>
      </c>
    </row>
    <row r="355" spans="1:51" ht="12.75" customHeight="1" x14ac:dyDescent="0.2">
      <c r="A355" s="76">
        <v>4</v>
      </c>
      <c r="B355" t="s">
        <v>629</v>
      </c>
      <c r="C355" s="76" t="s">
        <v>170</v>
      </c>
      <c r="D355" s="76">
        <v>0</v>
      </c>
      <c r="E355" s="76">
        <v>1</v>
      </c>
      <c r="F355" s="76">
        <v>0.31</v>
      </c>
      <c r="G355" s="76">
        <v>28</v>
      </c>
      <c r="H355" s="76">
        <v>0</v>
      </c>
      <c r="I355" s="76">
        <v>0</v>
      </c>
      <c r="J355" s="76">
        <v>0</v>
      </c>
      <c r="K355" s="76">
        <v>17</v>
      </c>
      <c r="L355" s="76">
        <v>17</v>
      </c>
      <c r="M355" s="76">
        <v>28.2</v>
      </c>
      <c r="N355" s="76">
        <v>13</v>
      </c>
      <c r="O355" s="76">
        <v>2</v>
      </c>
      <c r="P355" s="76">
        <v>1</v>
      </c>
      <c r="Q355" s="76">
        <v>0</v>
      </c>
      <c r="R355" s="76">
        <v>12</v>
      </c>
      <c r="S355" s="76">
        <v>0</v>
      </c>
      <c r="T355" s="76">
        <v>33</v>
      </c>
      <c r="U355" s="76">
        <v>109</v>
      </c>
      <c r="V355" s="76">
        <v>28.2</v>
      </c>
      <c r="W355" s="76">
        <v>0.13700000000000001</v>
      </c>
      <c r="X355" s="76">
        <v>0.87</v>
      </c>
      <c r="Y355" s="76"/>
      <c r="Z355" t="s">
        <v>629</v>
      </c>
      <c r="AA355" s="76" t="s">
        <v>170</v>
      </c>
      <c r="AB355" s="76">
        <v>2</v>
      </c>
      <c r="AC355" s="76">
        <v>0</v>
      </c>
      <c r="AD355" s="76">
        <v>24</v>
      </c>
      <c r="AE355" s="76">
        <v>0</v>
      </c>
      <c r="AF355" s="76">
        <v>3</v>
      </c>
      <c r="AG355" s="76">
        <v>29</v>
      </c>
      <c r="AH355" s="76">
        <v>20</v>
      </c>
      <c r="AI355" s="76">
        <v>1</v>
      </c>
      <c r="AJ355" s="76">
        <v>1</v>
      </c>
      <c r="AK355" s="76">
        <v>3</v>
      </c>
      <c r="AL355" s="76">
        <v>2</v>
      </c>
      <c r="AM355" s="76">
        <v>1</v>
      </c>
      <c r="AN355" s="76">
        <v>437</v>
      </c>
      <c r="AO355" s="202" t="s">
        <v>170</v>
      </c>
      <c r="AP355" s="202">
        <v>0.33300000000000002</v>
      </c>
      <c r="AQ355" s="202">
        <v>1.25</v>
      </c>
      <c r="AR355" s="202">
        <v>0.29199999999999998</v>
      </c>
      <c r="AS355" s="202">
        <v>0.371</v>
      </c>
      <c r="AT355" s="202">
        <v>0.66300000000000003</v>
      </c>
      <c r="AU355" s="202">
        <v>5.29</v>
      </c>
      <c r="AV355" s="202">
        <v>1.06</v>
      </c>
      <c r="AW355" s="202">
        <v>8.4700000000000006</v>
      </c>
      <c r="AX355" s="202">
        <v>5</v>
      </c>
      <c r="AY355" s="202">
        <v>12.94</v>
      </c>
    </row>
    <row r="356" spans="1:51" ht="12.75" customHeight="1" x14ac:dyDescent="0.2">
      <c r="A356" s="76">
        <v>31</v>
      </c>
      <c r="B356" t="s">
        <v>443</v>
      </c>
      <c r="C356" s="76" t="s">
        <v>170</v>
      </c>
      <c r="D356" s="76">
        <v>0</v>
      </c>
      <c r="E356" s="76">
        <v>1</v>
      </c>
      <c r="F356" s="76">
        <v>11.81</v>
      </c>
      <c r="G356" s="76">
        <v>1</v>
      </c>
      <c r="H356" s="76">
        <v>1</v>
      </c>
      <c r="I356" s="76">
        <v>0</v>
      </c>
      <c r="J356" s="76">
        <v>0</v>
      </c>
      <c r="K356" s="76">
        <v>0</v>
      </c>
      <c r="L356" s="76">
        <v>0</v>
      </c>
      <c r="M356" s="76">
        <v>5.0999999999999996</v>
      </c>
      <c r="N356" s="76">
        <v>9</v>
      </c>
      <c r="O356" s="76">
        <v>8</v>
      </c>
      <c r="P356" s="76">
        <v>7</v>
      </c>
      <c r="Q356" s="76">
        <v>0</v>
      </c>
      <c r="R356" s="76">
        <v>1</v>
      </c>
      <c r="S356" s="76">
        <v>0</v>
      </c>
      <c r="T356" s="76">
        <v>5</v>
      </c>
      <c r="U356" s="76">
        <v>27</v>
      </c>
      <c r="V356" s="76">
        <v>5.0999999999999996</v>
      </c>
      <c r="W356" s="76">
        <v>0.375</v>
      </c>
      <c r="X356" s="76">
        <v>1.88</v>
      </c>
      <c r="Y356" s="76"/>
      <c r="Z356" t="s">
        <v>443</v>
      </c>
      <c r="AA356" s="76" t="s">
        <v>170</v>
      </c>
      <c r="AB356" s="76">
        <v>2</v>
      </c>
      <c r="AC356" s="76">
        <v>0</v>
      </c>
      <c r="AD356" s="76">
        <v>0</v>
      </c>
      <c r="AE356" s="76">
        <v>0</v>
      </c>
      <c r="AF356" s="76">
        <v>0</v>
      </c>
      <c r="AG356" s="76">
        <v>6</v>
      </c>
      <c r="AH356" s="76">
        <v>4</v>
      </c>
      <c r="AI356" s="76">
        <v>1</v>
      </c>
      <c r="AJ356" s="76">
        <v>0</v>
      </c>
      <c r="AK356" s="76">
        <v>0</v>
      </c>
      <c r="AL356" s="76">
        <v>0</v>
      </c>
      <c r="AM356" s="76">
        <v>0</v>
      </c>
      <c r="AN356" s="76">
        <v>94</v>
      </c>
      <c r="AO356" s="202" t="s">
        <v>171</v>
      </c>
      <c r="AP356" s="202" t="s">
        <v>243</v>
      </c>
      <c r="AQ356" s="202" t="s">
        <v>243</v>
      </c>
      <c r="AR356" s="202">
        <v>0.154</v>
      </c>
      <c r="AS356" s="202">
        <v>8.3000000000000004E-2</v>
      </c>
      <c r="AT356" s="202">
        <v>0.23699999999999999</v>
      </c>
      <c r="AU356" s="202">
        <v>12.27</v>
      </c>
      <c r="AV356" s="202">
        <v>2.4500000000000002</v>
      </c>
      <c r="AW356" s="202">
        <v>2.4500000000000002</v>
      </c>
      <c r="AX356" s="202">
        <v>5</v>
      </c>
      <c r="AY356" s="202">
        <v>13.36</v>
      </c>
    </row>
    <row r="357" spans="1:51" ht="12.75" customHeight="1" x14ac:dyDescent="0.2">
      <c r="A357" s="76">
        <v>15</v>
      </c>
      <c r="B357" t="s">
        <v>556</v>
      </c>
      <c r="C357" s="76" t="s">
        <v>170</v>
      </c>
      <c r="D357" s="76">
        <v>2</v>
      </c>
      <c r="E357" s="76">
        <v>7</v>
      </c>
      <c r="F357" s="76">
        <v>4.28</v>
      </c>
      <c r="G357" s="76">
        <v>11</v>
      </c>
      <c r="H357" s="76">
        <v>11</v>
      </c>
      <c r="I357" s="76">
        <v>0</v>
      </c>
      <c r="J357" s="76">
        <v>0</v>
      </c>
      <c r="K357" s="76">
        <v>0</v>
      </c>
      <c r="L357" s="76">
        <v>0</v>
      </c>
      <c r="M357" s="76">
        <v>67.099999999999994</v>
      </c>
      <c r="N357" s="76">
        <v>69</v>
      </c>
      <c r="O357" s="76">
        <v>33</v>
      </c>
      <c r="P357" s="76">
        <v>32</v>
      </c>
      <c r="Q357" s="76">
        <v>9</v>
      </c>
      <c r="R357" s="76">
        <v>27</v>
      </c>
      <c r="S357" s="76">
        <v>2</v>
      </c>
      <c r="T357" s="76">
        <v>57</v>
      </c>
      <c r="U357" s="76">
        <v>284</v>
      </c>
      <c r="V357" s="76">
        <v>67.099999999999994</v>
      </c>
      <c r="W357" s="76">
        <v>0.27200000000000002</v>
      </c>
      <c r="X357" s="76">
        <v>1.43</v>
      </c>
      <c r="Y357" s="76"/>
      <c r="Z357" t="s">
        <v>556</v>
      </c>
      <c r="AA357" s="76" t="s">
        <v>170</v>
      </c>
      <c r="AB357" s="76">
        <v>1</v>
      </c>
      <c r="AC357" s="76">
        <v>2</v>
      </c>
      <c r="AD357" s="76">
        <v>0</v>
      </c>
      <c r="AE357" s="76">
        <v>0</v>
      </c>
      <c r="AF357" s="76">
        <v>11</v>
      </c>
      <c r="AG357" s="76">
        <v>71</v>
      </c>
      <c r="AH357" s="76">
        <v>59</v>
      </c>
      <c r="AI357" s="76">
        <v>3</v>
      </c>
      <c r="AJ357" s="76">
        <v>0</v>
      </c>
      <c r="AK357" s="76">
        <v>8</v>
      </c>
      <c r="AL357" s="76">
        <v>2</v>
      </c>
      <c r="AM357" s="76">
        <v>0</v>
      </c>
      <c r="AN357" s="76">
        <v>1081</v>
      </c>
      <c r="AO357" s="202" t="s">
        <v>170</v>
      </c>
      <c r="AP357" s="202">
        <v>0.33300000000000002</v>
      </c>
      <c r="AQ357" s="202">
        <v>1.55</v>
      </c>
      <c r="AR357" s="202">
        <v>0.31900000000000001</v>
      </c>
      <c r="AS357" s="202">
        <v>0.43099999999999999</v>
      </c>
      <c r="AT357" s="202">
        <v>0.75</v>
      </c>
      <c r="AU357" s="202">
        <v>11.34</v>
      </c>
      <c r="AV357" s="202">
        <v>3.24</v>
      </c>
      <c r="AW357" s="202">
        <v>8.64</v>
      </c>
      <c r="AX357" s="202">
        <v>3.5</v>
      </c>
      <c r="AY357" s="202">
        <v>16.38</v>
      </c>
    </row>
    <row r="358" spans="1:51" ht="12.75" customHeight="1" x14ac:dyDescent="0.2">
      <c r="A358" s="76">
        <v>16</v>
      </c>
      <c r="B358" t="s">
        <v>521</v>
      </c>
      <c r="C358" s="76" t="s">
        <v>170</v>
      </c>
      <c r="D358" s="76">
        <v>1</v>
      </c>
      <c r="E358" s="76">
        <v>0</v>
      </c>
      <c r="F358" s="76">
        <v>4.5</v>
      </c>
      <c r="G358" s="76">
        <v>4</v>
      </c>
      <c r="H358" s="76">
        <v>0</v>
      </c>
      <c r="I358" s="76">
        <v>0</v>
      </c>
      <c r="J358" s="76">
        <v>0</v>
      </c>
      <c r="K358" s="76">
        <v>0</v>
      </c>
      <c r="L358" s="76">
        <v>0</v>
      </c>
      <c r="M358" s="76">
        <v>4</v>
      </c>
      <c r="N358" s="76">
        <v>5</v>
      </c>
      <c r="O358" s="76">
        <v>2</v>
      </c>
      <c r="P358" s="76">
        <v>2</v>
      </c>
      <c r="Q358" s="76">
        <v>1</v>
      </c>
      <c r="R358" s="76">
        <v>1</v>
      </c>
      <c r="S358" s="76">
        <v>0</v>
      </c>
      <c r="T358" s="76">
        <v>3</v>
      </c>
      <c r="U358" s="76">
        <v>17</v>
      </c>
      <c r="V358" s="76">
        <v>4</v>
      </c>
      <c r="W358" s="76">
        <v>0.33300000000000002</v>
      </c>
      <c r="X358" s="76">
        <v>1.5</v>
      </c>
      <c r="Y358" s="76"/>
      <c r="Z358" t="s">
        <v>521</v>
      </c>
      <c r="AA358" s="76" t="s">
        <v>170</v>
      </c>
      <c r="AB358" s="76">
        <v>1</v>
      </c>
      <c r="AC358" s="76">
        <v>0</v>
      </c>
      <c r="AD358" s="76">
        <v>1</v>
      </c>
      <c r="AE358" s="76">
        <v>0</v>
      </c>
      <c r="AF358" s="76">
        <v>1</v>
      </c>
      <c r="AG358" s="76">
        <v>2</v>
      </c>
      <c r="AH358" s="76">
        <v>5</v>
      </c>
      <c r="AI358" s="76">
        <v>0</v>
      </c>
      <c r="AJ358" s="76">
        <v>0</v>
      </c>
      <c r="AK358" s="76">
        <v>0</v>
      </c>
      <c r="AL358" s="76">
        <v>0</v>
      </c>
      <c r="AM358" s="76">
        <v>0</v>
      </c>
      <c r="AN358" s="76">
        <v>56</v>
      </c>
      <c r="AO358" s="202" t="s">
        <v>170</v>
      </c>
      <c r="AP358" s="202">
        <v>0.5</v>
      </c>
      <c r="AQ358" s="202">
        <v>1.28</v>
      </c>
      <c r="AR358" s="202">
        <v>0.311</v>
      </c>
      <c r="AS358" s="202">
        <v>0.39</v>
      </c>
      <c r="AT358" s="202">
        <v>0.7</v>
      </c>
      <c r="AU358" s="202">
        <v>7.39</v>
      </c>
      <c r="AV358" s="202">
        <v>3.13</v>
      </c>
      <c r="AW358" s="202">
        <v>8.24</v>
      </c>
      <c r="AX358" s="202">
        <v>2.36</v>
      </c>
      <c r="AY358" s="202">
        <v>16.579999999999998</v>
      </c>
    </row>
    <row r="359" spans="1:51" ht="12.75" customHeight="1" x14ac:dyDescent="0.2">
      <c r="A359" s="76">
        <v>26</v>
      </c>
      <c r="B359" t="s">
        <v>502</v>
      </c>
      <c r="C359" s="76" t="s">
        <v>170</v>
      </c>
      <c r="D359" s="76">
        <v>1</v>
      </c>
      <c r="E359" s="76">
        <v>0</v>
      </c>
      <c r="F359" s="76">
        <v>5.82</v>
      </c>
      <c r="G359" s="76">
        <v>18</v>
      </c>
      <c r="H359" s="76">
        <v>0</v>
      </c>
      <c r="I359" s="76">
        <v>0</v>
      </c>
      <c r="J359" s="76">
        <v>0</v>
      </c>
      <c r="K359" s="76">
        <v>0</v>
      </c>
      <c r="L359" s="76">
        <v>0</v>
      </c>
      <c r="M359" s="76">
        <v>17</v>
      </c>
      <c r="N359" s="76">
        <v>22</v>
      </c>
      <c r="O359" s="76">
        <v>12</v>
      </c>
      <c r="P359" s="76">
        <v>11</v>
      </c>
      <c r="Q359" s="76">
        <v>2</v>
      </c>
      <c r="R359" s="76">
        <v>6</v>
      </c>
      <c r="S359" s="76">
        <v>0</v>
      </c>
      <c r="T359" s="76">
        <v>9</v>
      </c>
      <c r="U359" s="76">
        <v>77</v>
      </c>
      <c r="V359" s="76">
        <v>17</v>
      </c>
      <c r="W359" s="76">
        <v>0.314</v>
      </c>
      <c r="X359" s="76">
        <v>1.65</v>
      </c>
      <c r="Y359" s="76"/>
      <c r="Z359" t="s">
        <v>502</v>
      </c>
      <c r="AA359" s="76" t="s">
        <v>170</v>
      </c>
      <c r="AB359" s="76">
        <v>1</v>
      </c>
      <c r="AC359" s="76">
        <v>0</v>
      </c>
      <c r="AD359" s="76">
        <v>8</v>
      </c>
      <c r="AE359" s="76">
        <v>0</v>
      </c>
      <c r="AF359" s="76">
        <v>4</v>
      </c>
      <c r="AG359" s="76">
        <v>26</v>
      </c>
      <c r="AH359" s="76">
        <v>13</v>
      </c>
      <c r="AI359" s="76">
        <v>0</v>
      </c>
      <c r="AJ359" s="76">
        <v>0</v>
      </c>
      <c r="AK359" s="76">
        <v>3</v>
      </c>
      <c r="AL359" s="76">
        <v>0</v>
      </c>
      <c r="AM359" s="76">
        <v>0</v>
      </c>
      <c r="AN359" s="76">
        <v>280</v>
      </c>
      <c r="AO359" s="202" t="s">
        <v>171</v>
      </c>
      <c r="AP359" s="202" t="s">
        <v>243</v>
      </c>
      <c r="AQ359" s="202">
        <v>0.2</v>
      </c>
      <c r="AR359" s="202">
        <v>0.25</v>
      </c>
      <c r="AS359" s="202">
        <v>0.1</v>
      </c>
      <c r="AT359" s="202">
        <v>0.35</v>
      </c>
      <c r="AU359" s="202">
        <v>9</v>
      </c>
      <c r="AV359" s="202">
        <v>3</v>
      </c>
      <c r="AW359" s="202">
        <v>3</v>
      </c>
      <c r="AX359" s="202">
        <v>3</v>
      </c>
      <c r="AY359" s="202">
        <v>14.33</v>
      </c>
    </row>
    <row r="360" spans="1:51" ht="12.75" customHeight="1" x14ac:dyDescent="0.2">
      <c r="A360" s="76">
        <v>1</v>
      </c>
      <c r="B360" t="s">
        <v>1484</v>
      </c>
      <c r="C360" s="76" t="s">
        <v>170</v>
      </c>
      <c r="D360" s="76">
        <v>0</v>
      </c>
      <c r="E360" s="76">
        <v>0</v>
      </c>
      <c r="F360" s="76">
        <v>0</v>
      </c>
      <c r="G360" s="76">
        <v>4</v>
      </c>
      <c r="H360" s="76">
        <v>0</v>
      </c>
      <c r="I360" s="76">
        <v>0</v>
      </c>
      <c r="J360" s="76">
        <v>0</v>
      </c>
      <c r="K360" s="76">
        <v>0</v>
      </c>
      <c r="L360" s="76">
        <v>0</v>
      </c>
      <c r="M360" s="76">
        <v>3</v>
      </c>
      <c r="N360" s="76">
        <v>3</v>
      </c>
      <c r="O360" s="76">
        <v>0</v>
      </c>
      <c r="P360" s="76">
        <v>0</v>
      </c>
      <c r="Q360" s="76">
        <v>0</v>
      </c>
      <c r="R360" s="76">
        <v>2</v>
      </c>
      <c r="S360" s="76">
        <v>0</v>
      </c>
      <c r="T360" s="76">
        <v>3</v>
      </c>
      <c r="U360" s="76">
        <v>14</v>
      </c>
      <c r="V360" s="76">
        <v>3</v>
      </c>
      <c r="W360" s="76">
        <v>0.25</v>
      </c>
      <c r="X360" s="76">
        <v>1.67</v>
      </c>
      <c r="Y360" s="76"/>
      <c r="Z360" t="s">
        <v>1484</v>
      </c>
      <c r="AA360" s="76" t="s">
        <v>170</v>
      </c>
      <c r="AB360" s="76">
        <v>0</v>
      </c>
      <c r="AC360" s="76">
        <v>0</v>
      </c>
      <c r="AD360" s="76">
        <v>1</v>
      </c>
      <c r="AE360" s="76">
        <v>1</v>
      </c>
      <c r="AF360" s="76">
        <v>0</v>
      </c>
      <c r="AG360" s="76">
        <v>1</v>
      </c>
      <c r="AH360" s="76">
        <v>5</v>
      </c>
      <c r="AI360" s="76">
        <v>1</v>
      </c>
      <c r="AJ360" s="76">
        <v>0</v>
      </c>
      <c r="AK360" s="76">
        <v>0</v>
      </c>
      <c r="AL360" s="76">
        <v>0</v>
      </c>
      <c r="AM360" s="76">
        <v>0</v>
      </c>
      <c r="AN360" s="76">
        <v>58</v>
      </c>
      <c r="AO360" s="202" t="s">
        <v>170</v>
      </c>
      <c r="AP360" s="202" t="s">
        <v>243</v>
      </c>
      <c r="AQ360" s="202">
        <v>0.27</v>
      </c>
      <c r="AR360" s="202">
        <v>0.318</v>
      </c>
      <c r="AS360" s="202">
        <v>0.45700000000000002</v>
      </c>
      <c r="AT360" s="202">
        <v>0.77500000000000002</v>
      </c>
      <c r="AU360" s="202">
        <v>13.5</v>
      </c>
      <c r="AV360" s="202">
        <v>6.75</v>
      </c>
      <c r="AW360" s="202">
        <v>5.0599999999999996</v>
      </c>
      <c r="AX360" s="202">
        <v>2</v>
      </c>
      <c r="AY360" s="202">
        <v>16.22</v>
      </c>
    </row>
    <row r="361" spans="1:51" ht="12.75" customHeight="1" x14ac:dyDescent="0.2">
      <c r="A361" s="76">
        <v>22</v>
      </c>
      <c r="B361" t="s">
        <v>1488</v>
      </c>
      <c r="C361" s="76" t="s">
        <v>170</v>
      </c>
      <c r="D361" s="76">
        <v>0</v>
      </c>
      <c r="E361" s="76">
        <v>3</v>
      </c>
      <c r="F361" s="76">
        <v>5.03</v>
      </c>
      <c r="G361" s="76">
        <v>7</v>
      </c>
      <c r="H361" s="76">
        <v>7</v>
      </c>
      <c r="I361" s="76">
        <v>0</v>
      </c>
      <c r="J361" s="76">
        <v>0</v>
      </c>
      <c r="K361" s="76">
        <v>0</v>
      </c>
      <c r="L361" s="76">
        <v>0</v>
      </c>
      <c r="M361" s="76">
        <v>34</v>
      </c>
      <c r="N361" s="76">
        <v>41</v>
      </c>
      <c r="O361" s="76">
        <v>19</v>
      </c>
      <c r="P361" s="76">
        <v>19</v>
      </c>
      <c r="Q361" s="76">
        <v>5</v>
      </c>
      <c r="R361" s="76">
        <v>15</v>
      </c>
      <c r="S361" s="76">
        <v>1</v>
      </c>
      <c r="T361" s="76">
        <v>28</v>
      </c>
      <c r="U361" s="76">
        <v>154</v>
      </c>
      <c r="V361" s="76">
        <v>34</v>
      </c>
      <c r="W361" s="76">
        <v>0.30099999999999999</v>
      </c>
      <c r="X361" s="76">
        <v>1.65</v>
      </c>
      <c r="Y361" s="76"/>
      <c r="Z361" t="s">
        <v>1488</v>
      </c>
      <c r="AA361" s="76" t="s">
        <v>170</v>
      </c>
      <c r="AB361" s="76">
        <v>1</v>
      </c>
      <c r="AC361" s="76">
        <v>1</v>
      </c>
      <c r="AD361" s="76">
        <v>0</v>
      </c>
      <c r="AE361" s="76">
        <v>0</v>
      </c>
      <c r="AF361" s="76">
        <v>3</v>
      </c>
      <c r="AG361" s="76">
        <v>45</v>
      </c>
      <c r="AH361" s="76">
        <v>24</v>
      </c>
      <c r="AI361" s="76">
        <v>0</v>
      </c>
      <c r="AJ361" s="76">
        <v>0</v>
      </c>
      <c r="AK361" s="76">
        <v>0</v>
      </c>
      <c r="AL361" s="76">
        <v>1</v>
      </c>
      <c r="AM361" s="76">
        <v>0</v>
      </c>
      <c r="AN361" s="76">
        <v>607</v>
      </c>
      <c r="AO361" s="202" t="s">
        <v>170</v>
      </c>
      <c r="AP361" s="202">
        <v>0.5</v>
      </c>
      <c r="AQ361" s="202">
        <v>0.8</v>
      </c>
      <c r="AR361" s="202">
        <v>0.33100000000000002</v>
      </c>
      <c r="AS361" s="202">
        <v>0.433</v>
      </c>
      <c r="AT361" s="202">
        <v>0.76400000000000001</v>
      </c>
      <c r="AU361" s="202">
        <v>5.97</v>
      </c>
      <c r="AV361" s="202">
        <v>3.58</v>
      </c>
      <c r="AW361" s="202">
        <v>8.84</v>
      </c>
      <c r="AX361" s="202">
        <v>1.67</v>
      </c>
      <c r="AY361" s="202">
        <v>16.38</v>
      </c>
    </row>
    <row r="362" spans="1:51" ht="12.75" customHeight="1" x14ac:dyDescent="0.2">
      <c r="A362" s="76">
        <v>28</v>
      </c>
      <c r="B362" s="41" t="s">
        <v>349</v>
      </c>
      <c r="C362" s="76" t="s">
        <v>170</v>
      </c>
      <c r="D362" s="76">
        <v>2</v>
      </c>
      <c r="E362" s="76">
        <v>2</v>
      </c>
      <c r="F362" s="76">
        <v>5.96</v>
      </c>
      <c r="G362" s="76">
        <v>51</v>
      </c>
      <c r="H362" s="76">
        <v>0</v>
      </c>
      <c r="I362" s="76">
        <v>0</v>
      </c>
      <c r="J362" s="76">
        <v>0</v>
      </c>
      <c r="K362" s="76">
        <v>1</v>
      </c>
      <c r="L362" s="76">
        <v>2</v>
      </c>
      <c r="M362" s="76">
        <v>74</v>
      </c>
      <c r="N362" s="76">
        <v>89</v>
      </c>
      <c r="O362" s="76">
        <v>50</v>
      </c>
      <c r="P362" s="76">
        <v>49</v>
      </c>
      <c r="Q362" s="76">
        <v>17</v>
      </c>
      <c r="R362" s="76">
        <v>14</v>
      </c>
      <c r="S362" s="76">
        <v>4</v>
      </c>
      <c r="T362" s="76">
        <v>61</v>
      </c>
      <c r="U362" s="76">
        <v>321</v>
      </c>
      <c r="V362" s="76">
        <v>74</v>
      </c>
      <c r="W362" s="76">
        <v>0.29699999999999999</v>
      </c>
      <c r="X362" s="76">
        <v>1.39</v>
      </c>
      <c r="Y362" s="76"/>
      <c r="Z362" t="s">
        <v>349</v>
      </c>
      <c r="AA362" s="76" t="s">
        <v>170</v>
      </c>
      <c r="AB362" s="76">
        <v>3</v>
      </c>
      <c r="AC362" s="76">
        <v>4</v>
      </c>
      <c r="AD362" s="76">
        <v>11</v>
      </c>
      <c r="AE362" s="76">
        <v>4</v>
      </c>
      <c r="AF362" s="76">
        <v>4</v>
      </c>
      <c r="AG362" s="76">
        <v>79</v>
      </c>
      <c r="AH362" s="76">
        <v>75</v>
      </c>
      <c r="AI362" s="76">
        <v>2</v>
      </c>
      <c r="AJ362" s="76">
        <v>0</v>
      </c>
      <c r="AK362" s="76">
        <v>4</v>
      </c>
      <c r="AL362" s="76">
        <v>3</v>
      </c>
      <c r="AM362" s="76">
        <v>0</v>
      </c>
      <c r="AN362" s="76">
        <v>1193</v>
      </c>
      <c r="AO362" s="202" t="s">
        <v>171</v>
      </c>
      <c r="AP362" s="202">
        <v>0.66700000000000004</v>
      </c>
      <c r="AQ362" s="202">
        <v>0.87</v>
      </c>
      <c r="AR362" s="202">
        <v>0.26300000000000001</v>
      </c>
      <c r="AS362" s="202">
        <v>0.34899999999999998</v>
      </c>
      <c r="AT362" s="202">
        <v>0.61199999999999999</v>
      </c>
      <c r="AU362" s="202">
        <v>9.65</v>
      </c>
      <c r="AV362" s="202">
        <v>1.61</v>
      </c>
      <c r="AW362" s="202">
        <v>7.46</v>
      </c>
      <c r="AX362" s="202">
        <v>6</v>
      </c>
      <c r="AY362" s="202">
        <v>15.17</v>
      </c>
    </row>
    <row r="363" spans="1:51" ht="12.75" customHeight="1" x14ac:dyDescent="0.2">
      <c r="A363" s="225" t="s">
        <v>105</v>
      </c>
      <c r="B363" s="225" t="s">
        <v>106</v>
      </c>
      <c r="C363" s="225" t="s">
        <v>157</v>
      </c>
      <c r="D363" s="225" t="s">
        <v>85</v>
      </c>
      <c r="E363" s="225" t="s">
        <v>86</v>
      </c>
      <c r="F363" s="225" t="s">
        <v>107</v>
      </c>
      <c r="G363" s="225" t="s">
        <v>108</v>
      </c>
      <c r="H363" s="225" t="s">
        <v>88</v>
      </c>
      <c r="I363" s="225" t="s">
        <v>89</v>
      </c>
      <c r="J363" s="225" t="s">
        <v>1073</v>
      </c>
      <c r="K363" s="225" t="s">
        <v>90</v>
      </c>
      <c r="L363" s="225" t="s">
        <v>158</v>
      </c>
      <c r="M363" s="225" t="s">
        <v>91</v>
      </c>
      <c r="N363" s="225" t="s">
        <v>92</v>
      </c>
      <c r="O363" s="225" t="s">
        <v>93</v>
      </c>
      <c r="P363" s="225" t="s">
        <v>94</v>
      </c>
      <c r="Q363" s="225" t="s">
        <v>95</v>
      </c>
      <c r="R363" s="225" t="s">
        <v>96</v>
      </c>
      <c r="S363" s="225" t="s">
        <v>98</v>
      </c>
      <c r="T363" s="225" t="s">
        <v>97</v>
      </c>
      <c r="U363" s="225" t="s">
        <v>109</v>
      </c>
      <c r="V363" s="225" t="s">
        <v>91</v>
      </c>
      <c r="W363" s="225" t="s">
        <v>1071</v>
      </c>
      <c r="X363" s="225" t="s">
        <v>1072</v>
      </c>
      <c r="Y363" s="225"/>
      <c r="Z363" s="225" t="s">
        <v>106</v>
      </c>
      <c r="AA363" s="225" t="s">
        <v>157</v>
      </c>
      <c r="AB363" s="225" t="s">
        <v>1074</v>
      </c>
      <c r="AC363" s="225" t="s">
        <v>98</v>
      </c>
      <c r="AD363" s="225" t="s">
        <v>1075</v>
      </c>
      <c r="AE363" s="225" t="s">
        <v>1076</v>
      </c>
      <c r="AF363" s="225" t="s">
        <v>1077</v>
      </c>
      <c r="AG363" s="225" t="s">
        <v>1066</v>
      </c>
      <c r="AH363" s="225" t="s">
        <v>1067</v>
      </c>
      <c r="AI363" s="225" t="s">
        <v>1078</v>
      </c>
      <c r="AJ363" s="225" t="s">
        <v>1079</v>
      </c>
      <c r="AK363" s="225" t="s">
        <v>1057</v>
      </c>
      <c r="AL363" s="225" t="s">
        <v>1058</v>
      </c>
      <c r="AM363" s="225" t="s">
        <v>1080</v>
      </c>
      <c r="AN363" s="225" t="s">
        <v>1069</v>
      </c>
      <c r="AO363" s="202" t="s">
        <v>171</v>
      </c>
      <c r="AP363" s="202">
        <v>0.52200000000000002</v>
      </c>
      <c r="AQ363" s="202">
        <v>1.76</v>
      </c>
      <c r="AR363" s="202">
        <v>0.33100000000000002</v>
      </c>
      <c r="AS363" s="202">
        <v>0.39700000000000002</v>
      </c>
      <c r="AT363" s="202">
        <v>0.72799999999999998</v>
      </c>
      <c r="AU363" s="202">
        <v>7.14</v>
      </c>
      <c r="AV363" s="202">
        <v>3.24</v>
      </c>
      <c r="AW363" s="202">
        <v>8.56</v>
      </c>
      <c r="AX363" s="202">
        <v>2.2000000000000002</v>
      </c>
      <c r="AY363" s="202">
        <v>15.71</v>
      </c>
    </row>
    <row r="364" spans="1:51" ht="12.75" customHeight="1" x14ac:dyDescent="0.2">
      <c r="A364" s="76">
        <v>2</v>
      </c>
      <c r="B364" t="s">
        <v>1490</v>
      </c>
      <c r="C364" s="76" t="s">
        <v>171</v>
      </c>
      <c r="D364" s="76">
        <v>1</v>
      </c>
      <c r="E364" s="76">
        <v>0</v>
      </c>
      <c r="F364" s="76">
        <v>1.06</v>
      </c>
      <c r="G364" s="76">
        <v>4</v>
      </c>
      <c r="H364" s="76">
        <v>2</v>
      </c>
      <c r="I364" s="76">
        <v>0</v>
      </c>
      <c r="J364" s="76">
        <v>0</v>
      </c>
      <c r="K364" s="76">
        <v>0</v>
      </c>
      <c r="L364" s="76">
        <v>0</v>
      </c>
      <c r="M364" s="76">
        <v>17</v>
      </c>
      <c r="N364" s="76">
        <v>8</v>
      </c>
      <c r="O364" s="76">
        <v>2</v>
      </c>
      <c r="P364" s="76">
        <v>2</v>
      </c>
      <c r="Q364" s="76">
        <v>1</v>
      </c>
      <c r="R364" s="76">
        <v>5</v>
      </c>
      <c r="S364" s="76">
        <v>0</v>
      </c>
      <c r="T364" s="76">
        <v>10</v>
      </c>
      <c r="U364" s="76">
        <v>62</v>
      </c>
      <c r="V364" s="76">
        <v>17</v>
      </c>
      <c r="W364" s="76">
        <v>0.14299999999999999</v>
      </c>
      <c r="X364" s="76">
        <v>0.76</v>
      </c>
      <c r="Y364" s="76"/>
      <c r="Z364" t="s">
        <v>1490</v>
      </c>
      <c r="AA364" s="76" t="s">
        <v>171</v>
      </c>
      <c r="AB364" s="76">
        <v>0</v>
      </c>
      <c r="AC364" s="76">
        <v>0</v>
      </c>
      <c r="AD364" s="76">
        <v>2</v>
      </c>
      <c r="AE364" s="76">
        <v>0</v>
      </c>
      <c r="AF364" s="76">
        <v>2</v>
      </c>
      <c r="AG364" s="76">
        <v>25</v>
      </c>
      <c r="AH364" s="76">
        <v>14</v>
      </c>
      <c r="AI364" s="76">
        <v>0</v>
      </c>
      <c r="AJ364" s="76">
        <v>1</v>
      </c>
      <c r="AK364" s="76">
        <v>1</v>
      </c>
      <c r="AL364" s="76">
        <v>0</v>
      </c>
      <c r="AM364" s="76">
        <v>0</v>
      </c>
      <c r="AN364" s="76">
        <v>241</v>
      </c>
      <c r="AO364" s="202" t="s">
        <v>171</v>
      </c>
      <c r="AP364" s="202">
        <v>0.5</v>
      </c>
      <c r="AQ364" s="202">
        <v>1.06</v>
      </c>
      <c r="AR364" s="202">
        <v>0.24399999999999999</v>
      </c>
      <c r="AS364" s="202">
        <v>0.35099999999999998</v>
      </c>
      <c r="AT364" s="202">
        <v>0.59499999999999997</v>
      </c>
      <c r="AU364" s="202">
        <v>5.4</v>
      </c>
      <c r="AV364" s="202">
        <v>1.47</v>
      </c>
      <c r="AW364" s="202">
        <v>7</v>
      </c>
      <c r="AX364" s="202">
        <v>3.67</v>
      </c>
      <c r="AY364" s="202">
        <v>14.36</v>
      </c>
    </row>
    <row r="365" spans="1:51" ht="12.75" customHeight="1" x14ac:dyDescent="0.2">
      <c r="A365" s="76">
        <v>23</v>
      </c>
      <c r="B365" t="s">
        <v>1158</v>
      </c>
      <c r="C365" s="76" t="s">
        <v>171</v>
      </c>
      <c r="D365" s="76">
        <v>0</v>
      </c>
      <c r="E365" s="76">
        <v>0</v>
      </c>
      <c r="F365" s="76">
        <v>11.81</v>
      </c>
      <c r="G365" s="76">
        <v>4</v>
      </c>
      <c r="H365" s="76">
        <v>0</v>
      </c>
      <c r="I365" s="76">
        <v>0</v>
      </c>
      <c r="J365" s="76">
        <v>0</v>
      </c>
      <c r="K365" s="76">
        <v>0</v>
      </c>
      <c r="L365" s="76">
        <v>0</v>
      </c>
      <c r="M365" s="76">
        <v>5.0999999999999996</v>
      </c>
      <c r="N365" s="76">
        <v>9</v>
      </c>
      <c r="O365" s="76">
        <v>7</v>
      </c>
      <c r="P365" s="76">
        <v>7</v>
      </c>
      <c r="Q365" s="76">
        <v>2</v>
      </c>
      <c r="R365" s="76">
        <v>1</v>
      </c>
      <c r="S365" s="76">
        <v>0</v>
      </c>
      <c r="T365" s="76">
        <v>4</v>
      </c>
      <c r="U365" s="76">
        <v>25</v>
      </c>
      <c r="V365" s="76">
        <v>5.0999999999999996</v>
      </c>
      <c r="W365" s="76">
        <v>0.375</v>
      </c>
      <c r="X365" s="76">
        <v>1.88</v>
      </c>
      <c r="Y365" s="76"/>
      <c r="Z365" t="s">
        <v>1158</v>
      </c>
      <c r="AA365" s="76" t="s">
        <v>171</v>
      </c>
      <c r="AB365" s="76">
        <v>0</v>
      </c>
      <c r="AC365" s="76">
        <v>0</v>
      </c>
      <c r="AD365" s="76">
        <v>2</v>
      </c>
      <c r="AE365" s="76">
        <v>0</v>
      </c>
      <c r="AF365" s="76">
        <v>1</v>
      </c>
      <c r="AG365" s="76">
        <v>6</v>
      </c>
      <c r="AH365" s="76">
        <v>5</v>
      </c>
      <c r="AI365" s="76">
        <v>0</v>
      </c>
      <c r="AJ365" s="76">
        <v>0</v>
      </c>
      <c r="AK365" s="76">
        <v>0</v>
      </c>
      <c r="AL365" s="76">
        <v>0</v>
      </c>
      <c r="AM365" s="76">
        <v>0</v>
      </c>
      <c r="AN365" s="76">
        <v>85</v>
      </c>
      <c r="AO365" s="202" t="s">
        <v>172</v>
      </c>
      <c r="AP365" s="202" t="s">
        <v>243</v>
      </c>
      <c r="AQ365" s="202" t="s">
        <v>243</v>
      </c>
      <c r="AR365" s="202">
        <v>0.42899999999999999</v>
      </c>
      <c r="AS365" s="202">
        <v>0.2</v>
      </c>
      <c r="AT365" s="202">
        <v>0.629</v>
      </c>
      <c r="AU365" s="202">
        <v>13.5</v>
      </c>
      <c r="AV365" s="202">
        <v>13.5</v>
      </c>
      <c r="AW365" s="202">
        <v>6.75</v>
      </c>
      <c r="AX365" s="202">
        <v>1</v>
      </c>
      <c r="AY365" s="202">
        <v>18</v>
      </c>
    </row>
    <row r="366" spans="1:51" ht="12.75" customHeight="1" x14ac:dyDescent="0.2">
      <c r="A366" s="76">
        <v>6</v>
      </c>
      <c r="B366" s="41" t="s">
        <v>452</v>
      </c>
      <c r="C366" s="76" t="s">
        <v>171</v>
      </c>
      <c r="D366" s="76">
        <v>15</v>
      </c>
      <c r="E366" s="76">
        <v>9</v>
      </c>
      <c r="F366" s="76">
        <v>2.74</v>
      </c>
      <c r="G366" s="76">
        <v>34</v>
      </c>
      <c r="H366" s="76">
        <v>34</v>
      </c>
      <c r="I366" s="76">
        <v>4</v>
      </c>
      <c r="J366" s="76">
        <v>1</v>
      </c>
      <c r="K366" s="76">
        <v>0</v>
      </c>
      <c r="L366" s="76">
        <v>0</v>
      </c>
      <c r="M366" s="76">
        <v>226.2</v>
      </c>
      <c r="N366" s="76">
        <v>179</v>
      </c>
      <c r="O366" s="76">
        <v>79</v>
      </c>
      <c r="P366" s="76">
        <v>69</v>
      </c>
      <c r="Q366" s="76">
        <v>26</v>
      </c>
      <c r="R366" s="76">
        <v>54</v>
      </c>
      <c r="S366" s="76">
        <v>0</v>
      </c>
      <c r="T366" s="76">
        <v>251</v>
      </c>
      <c r="U366" s="76">
        <v>912</v>
      </c>
      <c r="V366" s="76">
        <v>226.2</v>
      </c>
      <c r="W366" s="76">
        <v>0.21299999999999999</v>
      </c>
      <c r="X366" s="76">
        <v>1.03</v>
      </c>
      <c r="Y366" s="76"/>
      <c r="Z366" t="s">
        <v>452</v>
      </c>
      <c r="AA366" s="76" t="s">
        <v>171</v>
      </c>
      <c r="AB366" s="76">
        <v>8</v>
      </c>
      <c r="AC366" s="76">
        <v>0</v>
      </c>
      <c r="AD366" s="76">
        <v>0</v>
      </c>
      <c r="AE366" s="76">
        <v>0</v>
      </c>
      <c r="AF366" s="76">
        <v>15</v>
      </c>
      <c r="AG366" s="76">
        <v>193</v>
      </c>
      <c r="AH366" s="76">
        <v>227</v>
      </c>
      <c r="AI366" s="76">
        <v>4</v>
      </c>
      <c r="AJ366" s="76">
        <v>1</v>
      </c>
      <c r="AK366" s="76">
        <v>6</v>
      </c>
      <c r="AL366" s="76">
        <v>5</v>
      </c>
      <c r="AM366" s="76">
        <v>4</v>
      </c>
      <c r="AN366" s="76">
        <v>3571</v>
      </c>
      <c r="AO366" s="202" t="s">
        <v>171</v>
      </c>
      <c r="AP366" s="202">
        <v>1</v>
      </c>
      <c r="AQ366" s="202">
        <v>1.47</v>
      </c>
      <c r="AR366" s="202">
        <v>0.33800000000000002</v>
      </c>
      <c r="AS366" s="202">
        <v>0.436</v>
      </c>
      <c r="AT366" s="202">
        <v>0.77300000000000002</v>
      </c>
      <c r="AU366" s="202">
        <v>5.66</v>
      </c>
      <c r="AV366" s="202">
        <v>3.6</v>
      </c>
      <c r="AW366" s="202">
        <v>9.77</v>
      </c>
      <c r="AX366" s="202">
        <v>1.57</v>
      </c>
      <c r="AY366" s="202">
        <v>15.17</v>
      </c>
    </row>
    <row r="367" spans="1:51" ht="12.75" customHeight="1" x14ac:dyDescent="0.2">
      <c r="A367" s="76">
        <v>20</v>
      </c>
      <c r="B367" s="41" t="s">
        <v>454</v>
      </c>
      <c r="C367" s="76" t="s">
        <v>171</v>
      </c>
      <c r="D367" s="76">
        <v>4</v>
      </c>
      <c r="E367" s="76">
        <v>8</v>
      </c>
      <c r="F367" s="76">
        <v>5.64</v>
      </c>
      <c r="G367" s="76">
        <v>21</v>
      </c>
      <c r="H367" s="76">
        <v>17</v>
      </c>
      <c r="I367" s="76">
        <v>0</v>
      </c>
      <c r="J367" s="76">
        <v>0</v>
      </c>
      <c r="K367" s="76">
        <v>0</v>
      </c>
      <c r="L367" s="76">
        <v>0</v>
      </c>
      <c r="M367" s="76">
        <v>89.1</v>
      </c>
      <c r="N367" s="76">
        <v>103</v>
      </c>
      <c r="O367" s="76">
        <v>58</v>
      </c>
      <c r="P367" s="76">
        <v>56</v>
      </c>
      <c r="Q367" s="76">
        <v>16</v>
      </c>
      <c r="R367" s="76">
        <v>32</v>
      </c>
      <c r="S367" s="76">
        <v>1</v>
      </c>
      <c r="T367" s="76">
        <v>72</v>
      </c>
      <c r="U367" s="76">
        <v>397</v>
      </c>
      <c r="V367" s="76">
        <v>89.1</v>
      </c>
      <c r="W367" s="76">
        <v>0.29899999999999999</v>
      </c>
      <c r="X367" s="76">
        <v>1.51</v>
      </c>
      <c r="Y367" s="76"/>
      <c r="Z367" t="s">
        <v>454</v>
      </c>
      <c r="AA367" s="76" t="s">
        <v>171</v>
      </c>
      <c r="AB367" s="76">
        <v>6</v>
      </c>
      <c r="AC367" s="76">
        <v>1</v>
      </c>
      <c r="AD367" s="76">
        <v>2</v>
      </c>
      <c r="AE367" s="76">
        <v>0</v>
      </c>
      <c r="AF367" s="76">
        <v>8</v>
      </c>
      <c r="AG367" s="76">
        <v>87</v>
      </c>
      <c r="AH367" s="76">
        <v>97</v>
      </c>
      <c r="AI367" s="76">
        <v>5</v>
      </c>
      <c r="AJ367" s="76">
        <v>0</v>
      </c>
      <c r="AK367" s="76">
        <v>7</v>
      </c>
      <c r="AL367" s="76">
        <v>5</v>
      </c>
      <c r="AM367" s="76">
        <v>0</v>
      </c>
      <c r="AN367" s="76">
        <v>1568</v>
      </c>
      <c r="AO367" s="202" t="s">
        <v>172</v>
      </c>
      <c r="AP367" s="202" t="s">
        <v>243</v>
      </c>
      <c r="AQ367" s="202">
        <v>2.5</v>
      </c>
      <c r="AR367" s="202">
        <v>0.5</v>
      </c>
      <c r="AS367" s="202">
        <v>0.78600000000000003</v>
      </c>
      <c r="AT367" s="202">
        <v>1.286</v>
      </c>
      <c r="AU367" s="202">
        <v>3.38</v>
      </c>
      <c r="AV367" s="202">
        <v>3.38</v>
      </c>
      <c r="AW367" s="202">
        <v>23.63</v>
      </c>
      <c r="AX367" s="202">
        <v>1</v>
      </c>
      <c r="AY367" s="202">
        <v>24.75</v>
      </c>
    </row>
    <row r="368" spans="1:51" ht="12.75" customHeight="1" x14ac:dyDescent="0.2">
      <c r="A368" s="76">
        <v>11</v>
      </c>
      <c r="B368" s="41" t="s">
        <v>449</v>
      </c>
      <c r="C368" s="76" t="s">
        <v>171</v>
      </c>
      <c r="D368" s="76">
        <v>2</v>
      </c>
      <c r="E368" s="76">
        <v>5</v>
      </c>
      <c r="F368" s="76">
        <v>3.57</v>
      </c>
      <c r="G368" s="76">
        <v>62</v>
      </c>
      <c r="H368" s="76">
        <v>0</v>
      </c>
      <c r="I368" s="76">
        <v>0</v>
      </c>
      <c r="J368" s="76">
        <v>0</v>
      </c>
      <c r="K368" s="76">
        <v>31</v>
      </c>
      <c r="L368" s="76">
        <v>40</v>
      </c>
      <c r="M368" s="76">
        <v>58</v>
      </c>
      <c r="N368" s="76">
        <v>50</v>
      </c>
      <c r="O368" s="76">
        <v>23</v>
      </c>
      <c r="P368" s="76">
        <v>23</v>
      </c>
      <c r="Q368" s="76">
        <v>8</v>
      </c>
      <c r="R368" s="76">
        <v>19</v>
      </c>
      <c r="S368" s="76">
        <v>2</v>
      </c>
      <c r="T368" s="76">
        <v>65</v>
      </c>
      <c r="U368" s="76">
        <v>241</v>
      </c>
      <c r="V368" s="76">
        <v>58</v>
      </c>
      <c r="W368" s="76">
        <v>0.23499999999999999</v>
      </c>
      <c r="X368" s="76">
        <v>1.19</v>
      </c>
      <c r="Y368" s="76"/>
      <c r="Z368" t="s">
        <v>449</v>
      </c>
      <c r="AA368" s="76" t="s">
        <v>171</v>
      </c>
      <c r="AB368" s="76">
        <v>5</v>
      </c>
      <c r="AC368" s="76">
        <v>2</v>
      </c>
      <c r="AD368" s="76">
        <v>44</v>
      </c>
      <c r="AE368" s="76">
        <v>3</v>
      </c>
      <c r="AF368" s="76">
        <v>6</v>
      </c>
      <c r="AG368" s="76">
        <v>58</v>
      </c>
      <c r="AH368" s="76">
        <v>44</v>
      </c>
      <c r="AI368" s="76">
        <v>4</v>
      </c>
      <c r="AJ368" s="76">
        <v>2</v>
      </c>
      <c r="AK368" s="76">
        <v>4</v>
      </c>
      <c r="AL368" s="76">
        <v>1</v>
      </c>
      <c r="AM368" s="76">
        <v>0</v>
      </c>
      <c r="AN368" s="76">
        <v>950</v>
      </c>
      <c r="AO368" s="202" t="s">
        <v>171</v>
      </c>
      <c r="AP368" s="202">
        <v>0.5</v>
      </c>
      <c r="AQ368" s="202">
        <v>0.67</v>
      </c>
      <c r="AR368" s="202">
        <v>0.24099999999999999</v>
      </c>
      <c r="AS368" s="202">
        <v>0.30199999999999999</v>
      </c>
      <c r="AT368" s="202">
        <v>0.54300000000000004</v>
      </c>
      <c r="AU368" s="202">
        <v>8.77</v>
      </c>
      <c r="AV368" s="202">
        <v>1.75</v>
      </c>
      <c r="AW368" s="202">
        <v>5.96</v>
      </c>
      <c r="AX368" s="202">
        <v>5</v>
      </c>
      <c r="AY368" s="202">
        <v>14.34</v>
      </c>
    </row>
    <row r="369" spans="1:51" ht="12.75" customHeight="1" x14ac:dyDescent="0.2">
      <c r="A369" s="76">
        <v>7</v>
      </c>
      <c r="B369" s="41" t="s">
        <v>356</v>
      </c>
      <c r="C369" s="76" t="s">
        <v>171</v>
      </c>
      <c r="D369" s="76">
        <v>18</v>
      </c>
      <c r="E369" s="76">
        <v>5</v>
      </c>
      <c r="F369" s="76">
        <v>2.79</v>
      </c>
      <c r="G369" s="76">
        <v>32</v>
      </c>
      <c r="H369" s="76">
        <v>32</v>
      </c>
      <c r="I369" s="76">
        <v>5</v>
      </c>
      <c r="J369" s="76">
        <v>2</v>
      </c>
      <c r="K369" s="76">
        <v>0</v>
      </c>
      <c r="L369" s="76">
        <v>0</v>
      </c>
      <c r="M369" s="76">
        <v>219.2</v>
      </c>
      <c r="N369" s="76">
        <v>195</v>
      </c>
      <c r="O369" s="76">
        <v>71</v>
      </c>
      <c r="P369" s="76">
        <v>68</v>
      </c>
      <c r="Q369" s="76">
        <v>15</v>
      </c>
      <c r="R369" s="76">
        <v>45</v>
      </c>
      <c r="S369" s="76">
        <v>1</v>
      </c>
      <c r="T369" s="76">
        <v>198</v>
      </c>
      <c r="U369" s="76">
        <v>881</v>
      </c>
      <c r="V369" s="76">
        <v>219.2</v>
      </c>
      <c r="W369" s="76">
        <v>0.23799999999999999</v>
      </c>
      <c r="X369" s="76">
        <v>1.0900000000000001</v>
      </c>
      <c r="Y369" s="76"/>
      <c r="Z369" t="s">
        <v>356</v>
      </c>
      <c r="AA369" s="76" t="s">
        <v>171</v>
      </c>
      <c r="AB369" s="76">
        <v>8</v>
      </c>
      <c r="AC369" s="76">
        <v>1</v>
      </c>
      <c r="AD369" s="76">
        <v>0</v>
      </c>
      <c r="AE369" s="76">
        <v>0</v>
      </c>
      <c r="AF369" s="76">
        <v>13</v>
      </c>
      <c r="AG369" s="76">
        <v>258</v>
      </c>
      <c r="AH369" s="76">
        <v>177</v>
      </c>
      <c r="AI369" s="76">
        <v>3</v>
      </c>
      <c r="AJ369" s="76">
        <v>1</v>
      </c>
      <c r="AK369" s="76">
        <v>4</v>
      </c>
      <c r="AL369" s="76">
        <v>7</v>
      </c>
      <c r="AM369" s="76">
        <v>5</v>
      </c>
      <c r="AN369" s="76">
        <v>3299</v>
      </c>
      <c r="AO369" s="202" t="s">
        <v>171</v>
      </c>
      <c r="AP369" s="202">
        <v>1</v>
      </c>
      <c r="AQ369" s="202">
        <v>1.18</v>
      </c>
      <c r="AR369" s="202">
        <v>0.26900000000000002</v>
      </c>
      <c r="AS369" s="202">
        <v>0.36399999999999999</v>
      </c>
      <c r="AT369" s="202">
        <v>0.63300000000000001</v>
      </c>
      <c r="AU369" s="202">
        <v>8.48</v>
      </c>
      <c r="AV369" s="202">
        <v>2.5099999999999998</v>
      </c>
      <c r="AW369" s="202">
        <v>7.53</v>
      </c>
      <c r="AX369" s="202">
        <v>3.38</v>
      </c>
      <c r="AY369" s="202">
        <v>16.010000000000002</v>
      </c>
    </row>
    <row r="370" spans="1:51" ht="12.75" customHeight="1" x14ac:dyDescent="0.2">
      <c r="A370" s="76">
        <v>16</v>
      </c>
      <c r="B370" s="41" t="s">
        <v>1157</v>
      </c>
      <c r="C370" s="76" t="s">
        <v>171</v>
      </c>
      <c r="D370" s="76">
        <v>3</v>
      </c>
      <c r="E370" s="76">
        <v>2</v>
      </c>
      <c r="F370" s="76">
        <v>4.28</v>
      </c>
      <c r="G370" s="76">
        <v>56</v>
      </c>
      <c r="H370" s="76">
        <v>0</v>
      </c>
      <c r="I370" s="76">
        <v>0</v>
      </c>
      <c r="J370" s="76">
        <v>0</v>
      </c>
      <c r="K370" s="76">
        <v>3</v>
      </c>
      <c r="L370" s="76">
        <v>7</v>
      </c>
      <c r="M370" s="76">
        <v>48.1</v>
      </c>
      <c r="N370" s="76">
        <v>42</v>
      </c>
      <c r="O370" s="76">
        <v>24</v>
      </c>
      <c r="P370" s="76">
        <v>23</v>
      </c>
      <c r="Q370" s="76">
        <v>4</v>
      </c>
      <c r="R370" s="76">
        <v>14</v>
      </c>
      <c r="S370" s="76">
        <v>2</v>
      </c>
      <c r="T370" s="76">
        <v>45</v>
      </c>
      <c r="U370" s="76">
        <v>197</v>
      </c>
      <c r="V370" s="76">
        <v>48.1</v>
      </c>
      <c r="W370" s="76">
        <v>0.23300000000000001</v>
      </c>
      <c r="X370" s="76">
        <v>1.1599999999999999</v>
      </c>
      <c r="Y370" s="76"/>
      <c r="Z370" t="s">
        <v>1157</v>
      </c>
      <c r="AA370" s="76" t="s">
        <v>171</v>
      </c>
      <c r="AB370" s="76">
        <v>1</v>
      </c>
      <c r="AC370" s="76">
        <v>2</v>
      </c>
      <c r="AD370" s="76">
        <v>10</v>
      </c>
      <c r="AE370" s="76">
        <v>15</v>
      </c>
      <c r="AF370" s="76">
        <v>7</v>
      </c>
      <c r="AG370" s="76">
        <v>60</v>
      </c>
      <c r="AH370" s="76">
        <v>35</v>
      </c>
      <c r="AI370" s="76">
        <v>1</v>
      </c>
      <c r="AJ370" s="76">
        <v>0</v>
      </c>
      <c r="AK370" s="76">
        <v>9</v>
      </c>
      <c r="AL370" s="76">
        <v>0</v>
      </c>
      <c r="AM370" s="76">
        <v>0</v>
      </c>
      <c r="AN370" s="76">
        <v>732</v>
      </c>
      <c r="AO370" s="202" t="s">
        <v>172</v>
      </c>
      <c r="AP370" s="202">
        <v>1</v>
      </c>
      <c r="AQ370" s="202">
        <v>2.2400000000000002</v>
      </c>
      <c r="AR370" s="202">
        <v>0.34499999999999997</v>
      </c>
      <c r="AS370" s="202">
        <v>0.375</v>
      </c>
      <c r="AT370" s="202">
        <v>0.72</v>
      </c>
      <c r="AU370" s="202">
        <v>7.24</v>
      </c>
      <c r="AV370" s="202">
        <v>1.65</v>
      </c>
      <c r="AW370" s="202">
        <v>9.5500000000000007</v>
      </c>
      <c r="AX370" s="202">
        <v>4.4000000000000004</v>
      </c>
      <c r="AY370" s="202">
        <v>14.85</v>
      </c>
    </row>
    <row r="371" spans="1:51" ht="12.75" customHeight="1" x14ac:dyDescent="0.2">
      <c r="A371" s="76">
        <v>22</v>
      </c>
      <c r="B371" t="s">
        <v>783</v>
      </c>
      <c r="C371" s="76" t="s">
        <v>171</v>
      </c>
      <c r="D371" s="76">
        <v>1</v>
      </c>
      <c r="E371" s="76">
        <v>1</v>
      </c>
      <c r="F371" s="76">
        <v>10.8</v>
      </c>
      <c r="G371" s="76">
        <v>4</v>
      </c>
      <c r="H371" s="76">
        <v>0</v>
      </c>
      <c r="I371" s="76">
        <v>0</v>
      </c>
      <c r="J371" s="76">
        <v>0</v>
      </c>
      <c r="K371" s="76">
        <v>0</v>
      </c>
      <c r="L371" s="76">
        <v>0</v>
      </c>
      <c r="M371" s="76">
        <v>5</v>
      </c>
      <c r="N371" s="76">
        <v>9</v>
      </c>
      <c r="O371" s="76">
        <v>6</v>
      </c>
      <c r="P371" s="76">
        <v>6</v>
      </c>
      <c r="Q371" s="76">
        <v>0</v>
      </c>
      <c r="R371" s="76">
        <v>6</v>
      </c>
      <c r="S371" s="76">
        <v>2</v>
      </c>
      <c r="T371" s="76">
        <v>3</v>
      </c>
      <c r="U371" s="76">
        <v>29</v>
      </c>
      <c r="V371" s="76">
        <v>5</v>
      </c>
      <c r="W371" s="76">
        <v>0.40899999999999997</v>
      </c>
      <c r="X371" s="76">
        <v>3</v>
      </c>
      <c r="Y371" s="76"/>
      <c r="Z371" t="s">
        <v>783</v>
      </c>
      <c r="AA371" s="76" t="s">
        <v>171</v>
      </c>
      <c r="AB371" s="76">
        <v>0</v>
      </c>
      <c r="AC371" s="76">
        <v>2</v>
      </c>
      <c r="AD371" s="76">
        <v>0</v>
      </c>
      <c r="AE371" s="76">
        <v>0</v>
      </c>
      <c r="AF371" s="76">
        <v>0</v>
      </c>
      <c r="AG371" s="76">
        <v>6</v>
      </c>
      <c r="AH371" s="76">
        <v>5</v>
      </c>
      <c r="AI371" s="76">
        <v>3</v>
      </c>
      <c r="AJ371" s="76">
        <v>0</v>
      </c>
      <c r="AK371" s="76">
        <v>0</v>
      </c>
      <c r="AL371" s="76">
        <v>1</v>
      </c>
      <c r="AM371" s="76">
        <v>0</v>
      </c>
      <c r="AN371" s="76">
        <v>110</v>
      </c>
      <c r="AO371" s="202" t="s">
        <v>172</v>
      </c>
      <c r="AP371" s="202">
        <v>0.66700000000000004</v>
      </c>
      <c r="AQ371" s="202">
        <v>1</v>
      </c>
      <c r="AR371" s="202">
        <v>0.35499999999999998</v>
      </c>
      <c r="AS371" s="202">
        <v>0.39800000000000002</v>
      </c>
      <c r="AT371" s="202">
        <v>0.754</v>
      </c>
      <c r="AU371" s="202">
        <v>5</v>
      </c>
      <c r="AV371" s="202">
        <v>4.33</v>
      </c>
      <c r="AW371" s="202">
        <v>10</v>
      </c>
      <c r="AX371" s="202">
        <v>1.1499999999999999</v>
      </c>
      <c r="AY371" s="202">
        <v>16.149999999999999</v>
      </c>
    </row>
    <row r="372" spans="1:51" ht="12.75" customHeight="1" x14ac:dyDescent="0.2">
      <c r="A372" s="76">
        <v>4</v>
      </c>
      <c r="B372" s="41" t="s">
        <v>456</v>
      </c>
      <c r="C372" s="76" t="s">
        <v>171</v>
      </c>
      <c r="D372" s="76">
        <v>3</v>
      </c>
      <c r="E372" s="76">
        <v>2</v>
      </c>
      <c r="F372" s="76">
        <v>2.5299999999999998</v>
      </c>
      <c r="G372" s="76">
        <v>57</v>
      </c>
      <c r="H372" s="76">
        <v>0</v>
      </c>
      <c r="I372" s="76">
        <v>0</v>
      </c>
      <c r="J372" s="76">
        <v>0</v>
      </c>
      <c r="K372" s="76">
        <v>0</v>
      </c>
      <c r="L372" s="76">
        <v>2</v>
      </c>
      <c r="M372" s="76">
        <v>53.1</v>
      </c>
      <c r="N372" s="76">
        <v>42</v>
      </c>
      <c r="O372" s="76">
        <v>19</v>
      </c>
      <c r="P372" s="76">
        <v>15</v>
      </c>
      <c r="Q372" s="76">
        <v>3</v>
      </c>
      <c r="R372" s="76">
        <v>20</v>
      </c>
      <c r="S372" s="76">
        <v>3</v>
      </c>
      <c r="T372" s="76">
        <v>35</v>
      </c>
      <c r="U372" s="76">
        <v>216</v>
      </c>
      <c r="V372" s="76">
        <v>53.1</v>
      </c>
      <c r="W372" s="76">
        <v>0.219</v>
      </c>
      <c r="X372" s="76">
        <v>1.1599999999999999</v>
      </c>
      <c r="Y372" s="76"/>
      <c r="Z372" t="s">
        <v>456</v>
      </c>
      <c r="AA372" s="76" t="s">
        <v>171</v>
      </c>
      <c r="AB372" s="76">
        <v>2</v>
      </c>
      <c r="AC372" s="76">
        <v>3</v>
      </c>
      <c r="AD372" s="76">
        <v>17</v>
      </c>
      <c r="AE372" s="76">
        <v>9</v>
      </c>
      <c r="AF372" s="76">
        <v>6</v>
      </c>
      <c r="AG372" s="76">
        <v>59</v>
      </c>
      <c r="AH372" s="76">
        <v>58</v>
      </c>
      <c r="AI372" s="76">
        <v>1</v>
      </c>
      <c r="AJ372" s="76">
        <v>0</v>
      </c>
      <c r="AK372" s="76">
        <v>7</v>
      </c>
      <c r="AL372" s="76">
        <v>0</v>
      </c>
      <c r="AM372" s="76">
        <v>0</v>
      </c>
      <c r="AN372" s="76">
        <v>799</v>
      </c>
      <c r="AO372" s="202" t="s">
        <v>171</v>
      </c>
      <c r="AP372" s="202">
        <v>0.63600000000000001</v>
      </c>
      <c r="AQ372" s="202">
        <v>0.96</v>
      </c>
      <c r="AR372" s="202">
        <v>0.34499999999999997</v>
      </c>
      <c r="AS372" s="202">
        <v>0.39100000000000001</v>
      </c>
      <c r="AT372" s="202">
        <v>0.73599999999999999</v>
      </c>
      <c r="AU372" s="202">
        <v>7.07</v>
      </c>
      <c r="AV372" s="202">
        <v>4.4800000000000004</v>
      </c>
      <c r="AW372" s="202">
        <v>8.84</v>
      </c>
      <c r="AX372" s="202">
        <v>1.58</v>
      </c>
      <c r="AY372" s="202">
        <v>17.329999999999998</v>
      </c>
    </row>
    <row r="373" spans="1:51" ht="12.75" customHeight="1" x14ac:dyDescent="0.2">
      <c r="A373" s="76">
        <v>3</v>
      </c>
      <c r="B373" s="41" t="s">
        <v>1491</v>
      </c>
      <c r="C373" s="76" t="s">
        <v>171</v>
      </c>
      <c r="D373" s="76">
        <v>4</v>
      </c>
      <c r="E373" s="76">
        <v>2</v>
      </c>
      <c r="F373" s="76">
        <v>2.13</v>
      </c>
      <c r="G373" s="76">
        <v>61</v>
      </c>
      <c r="H373" s="76">
        <v>0</v>
      </c>
      <c r="I373" s="76">
        <v>0</v>
      </c>
      <c r="J373" s="76">
        <v>0</v>
      </c>
      <c r="K373" s="76">
        <v>1</v>
      </c>
      <c r="L373" s="76">
        <v>2</v>
      </c>
      <c r="M373" s="76">
        <v>55</v>
      </c>
      <c r="N373" s="76">
        <v>44</v>
      </c>
      <c r="O373" s="76">
        <v>13</v>
      </c>
      <c r="P373" s="76">
        <v>13</v>
      </c>
      <c r="Q373" s="76">
        <v>3</v>
      </c>
      <c r="R373" s="76">
        <v>9</v>
      </c>
      <c r="S373" s="76">
        <v>0</v>
      </c>
      <c r="T373" s="76">
        <v>50</v>
      </c>
      <c r="U373" s="76">
        <v>214</v>
      </c>
      <c r="V373" s="76">
        <v>55</v>
      </c>
      <c r="W373" s="76">
        <v>0.215</v>
      </c>
      <c r="X373" s="76">
        <v>0.96</v>
      </c>
      <c r="Y373" s="76"/>
      <c r="Z373" t="s">
        <v>1491</v>
      </c>
      <c r="AA373" s="76" t="s">
        <v>171</v>
      </c>
      <c r="AB373" s="76">
        <v>0</v>
      </c>
      <c r="AC373" s="76">
        <v>0</v>
      </c>
      <c r="AD373" s="76">
        <v>12</v>
      </c>
      <c r="AE373" s="76">
        <v>14</v>
      </c>
      <c r="AF373" s="76">
        <v>4</v>
      </c>
      <c r="AG373" s="76">
        <v>65</v>
      </c>
      <c r="AH373" s="76">
        <v>46</v>
      </c>
      <c r="AI373" s="76">
        <v>1</v>
      </c>
      <c r="AJ373" s="76">
        <v>0</v>
      </c>
      <c r="AK373" s="76">
        <v>0</v>
      </c>
      <c r="AL373" s="76">
        <v>1</v>
      </c>
      <c r="AM373" s="76">
        <v>0</v>
      </c>
      <c r="AN373" s="76">
        <v>796</v>
      </c>
      <c r="AO373" s="202" t="s">
        <v>171</v>
      </c>
      <c r="AP373" s="202">
        <v>0.28599999999999998</v>
      </c>
      <c r="AQ373" s="202">
        <v>1.57</v>
      </c>
      <c r="AR373" s="202">
        <v>0.30199999999999999</v>
      </c>
      <c r="AS373" s="202">
        <v>0.434</v>
      </c>
      <c r="AT373" s="202">
        <v>0.73599999999999999</v>
      </c>
      <c r="AU373" s="202">
        <v>4.72</v>
      </c>
      <c r="AV373" s="202">
        <v>2.44</v>
      </c>
      <c r="AW373" s="202">
        <v>8.3000000000000007</v>
      </c>
      <c r="AX373" s="202">
        <v>1.93</v>
      </c>
      <c r="AY373" s="202">
        <v>13.72</v>
      </c>
    </row>
    <row r="374" spans="1:51" ht="12.75" customHeight="1" x14ac:dyDescent="0.2">
      <c r="A374" s="76">
        <v>14</v>
      </c>
      <c r="B374" s="41" t="s">
        <v>448</v>
      </c>
      <c r="C374" s="76" t="s">
        <v>171</v>
      </c>
      <c r="D374" s="76">
        <v>1</v>
      </c>
      <c r="E374" s="76">
        <v>3</v>
      </c>
      <c r="F374" s="76">
        <v>4.05</v>
      </c>
      <c r="G374" s="76">
        <v>68</v>
      </c>
      <c r="H374" s="76">
        <v>0</v>
      </c>
      <c r="I374" s="76">
        <v>0</v>
      </c>
      <c r="J374" s="76">
        <v>0</v>
      </c>
      <c r="K374" s="76">
        <v>1</v>
      </c>
      <c r="L374" s="76">
        <v>3</v>
      </c>
      <c r="M374" s="76">
        <v>26.2</v>
      </c>
      <c r="N374" s="76">
        <v>24</v>
      </c>
      <c r="O374" s="76">
        <v>13</v>
      </c>
      <c r="P374" s="76">
        <v>12</v>
      </c>
      <c r="Q374" s="76">
        <v>3</v>
      </c>
      <c r="R374" s="76">
        <v>15</v>
      </c>
      <c r="S374" s="76">
        <v>0</v>
      </c>
      <c r="T374" s="76">
        <v>15</v>
      </c>
      <c r="U374" s="76">
        <v>118</v>
      </c>
      <c r="V374" s="76">
        <v>26.2</v>
      </c>
      <c r="W374" s="76">
        <v>0.24</v>
      </c>
      <c r="X374" s="76">
        <v>1.46</v>
      </c>
      <c r="Y374" s="76"/>
      <c r="Z374" t="s">
        <v>448</v>
      </c>
      <c r="AA374" s="76" t="s">
        <v>171</v>
      </c>
      <c r="AB374" s="76">
        <v>2</v>
      </c>
      <c r="AC374" s="76">
        <v>0</v>
      </c>
      <c r="AD374" s="76">
        <v>6</v>
      </c>
      <c r="AE374" s="76">
        <v>20</v>
      </c>
      <c r="AF374" s="76">
        <v>4</v>
      </c>
      <c r="AG374" s="76">
        <v>44</v>
      </c>
      <c r="AH374" s="76">
        <v>18</v>
      </c>
      <c r="AI374" s="76">
        <v>0</v>
      </c>
      <c r="AJ374" s="76">
        <v>0</v>
      </c>
      <c r="AK374" s="76">
        <v>0</v>
      </c>
      <c r="AL374" s="76">
        <v>0</v>
      </c>
      <c r="AM374" s="76">
        <v>0</v>
      </c>
      <c r="AN374" s="76">
        <v>443</v>
      </c>
      <c r="AO374" s="202" t="s">
        <v>172</v>
      </c>
      <c r="AP374" s="202">
        <v>0.5</v>
      </c>
      <c r="AQ374" s="202">
        <v>1.32</v>
      </c>
      <c r="AR374" s="202">
        <v>0.35399999999999998</v>
      </c>
      <c r="AS374" s="202">
        <v>0.33600000000000002</v>
      </c>
      <c r="AT374" s="202">
        <v>0.69</v>
      </c>
      <c r="AU374" s="202">
        <v>6.68</v>
      </c>
      <c r="AV374" s="202">
        <v>4.01</v>
      </c>
      <c r="AW374" s="202">
        <v>9.09</v>
      </c>
      <c r="AX374" s="202">
        <v>1.67</v>
      </c>
      <c r="AY374" s="202">
        <v>17.64</v>
      </c>
    </row>
    <row r="375" spans="1:51" ht="12.75" customHeight="1" x14ac:dyDescent="0.2">
      <c r="A375" s="76">
        <v>24</v>
      </c>
      <c r="B375" t="s">
        <v>429</v>
      </c>
      <c r="C375" s="76" t="s">
        <v>171</v>
      </c>
      <c r="D375" s="76">
        <v>1</v>
      </c>
      <c r="E375" s="76">
        <v>0</v>
      </c>
      <c r="F375" s="76">
        <v>54</v>
      </c>
      <c r="G375" s="76">
        <v>2</v>
      </c>
      <c r="H375" s="76">
        <v>0</v>
      </c>
      <c r="I375" s="76">
        <v>0</v>
      </c>
      <c r="J375" s="76">
        <v>0</v>
      </c>
      <c r="K375" s="76">
        <v>0</v>
      </c>
      <c r="L375" s="76">
        <v>0</v>
      </c>
      <c r="M375" s="76">
        <v>1</v>
      </c>
      <c r="N375" s="76">
        <v>7</v>
      </c>
      <c r="O375" s="76">
        <v>9</v>
      </c>
      <c r="P375" s="76">
        <v>6</v>
      </c>
      <c r="Q375" s="76">
        <v>0</v>
      </c>
      <c r="R375" s="76">
        <v>1</v>
      </c>
      <c r="S375" s="76">
        <v>0</v>
      </c>
      <c r="T375" s="76">
        <v>0</v>
      </c>
      <c r="U375" s="76">
        <v>13</v>
      </c>
      <c r="V375" s="76">
        <v>1</v>
      </c>
      <c r="W375" s="76">
        <v>0.63600000000000001</v>
      </c>
      <c r="X375" s="76">
        <v>8</v>
      </c>
      <c r="Y375" s="76"/>
      <c r="Z375" t="s">
        <v>429</v>
      </c>
      <c r="AA375" s="76" t="s">
        <v>171</v>
      </c>
      <c r="AB375" s="76">
        <v>1</v>
      </c>
      <c r="AC375" s="76">
        <v>0</v>
      </c>
      <c r="AD375" s="76">
        <v>0</v>
      </c>
      <c r="AE375" s="76">
        <v>0</v>
      </c>
      <c r="AF375" s="76">
        <v>0</v>
      </c>
      <c r="AG375" s="76">
        <v>3</v>
      </c>
      <c r="AH375" s="76">
        <v>1</v>
      </c>
      <c r="AI375" s="76">
        <v>0</v>
      </c>
      <c r="AJ375" s="76">
        <v>0</v>
      </c>
      <c r="AK375" s="76">
        <v>0</v>
      </c>
      <c r="AL375" s="76">
        <v>0</v>
      </c>
      <c r="AM375" s="76">
        <v>0</v>
      </c>
      <c r="AN375" s="76">
        <v>45</v>
      </c>
      <c r="AO375" s="202" t="s">
        <v>172</v>
      </c>
      <c r="AP375" s="202">
        <v>0.56499999999999995</v>
      </c>
      <c r="AQ375" s="202">
        <v>1.02</v>
      </c>
      <c r="AR375" s="202">
        <v>0.30299999999999999</v>
      </c>
      <c r="AS375" s="202">
        <v>0.376</v>
      </c>
      <c r="AT375" s="202">
        <v>0.67900000000000005</v>
      </c>
      <c r="AU375" s="202">
        <v>7.22</v>
      </c>
      <c r="AV375" s="202">
        <v>2.19</v>
      </c>
      <c r="AW375" s="202">
        <v>8.7100000000000009</v>
      </c>
      <c r="AX375" s="202">
        <v>3.3</v>
      </c>
      <c r="AY375" s="202">
        <v>14.34</v>
      </c>
    </row>
    <row r="376" spans="1:51" ht="12.75" customHeight="1" x14ac:dyDescent="0.2">
      <c r="A376" s="76">
        <v>15</v>
      </c>
      <c r="B376" s="41" t="s">
        <v>627</v>
      </c>
      <c r="C376" s="76" t="s">
        <v>171</v>
      </c>
      <c r="D376" s="76">
        <v>6</v>
      </c>
      <c r="E376" s="76">
        <v>5</v>
      </c>
      <c r="F376" s="76">
        <v>4.08</v>
      </c>
      <c r="G376" s="76">
        <v>12</v>
      </c>
      <c r="H376" s="76">
        <v>12</v>
      </c>
      <c r="I376" s="76">
        <v>0</v>
      </c>
      <c r="J376" s="76">
        <v>0</v>
      </c>
      <c r="K376" s="76">
        <v>0</v>
      </c>
      <c r="L376" s="76">
        <v>0</v>
      </c>
      <c r="M376" s="76">
        <v>68.099999999999994</v>
      </c>
      <c r="N376" s="76">
        <v>59</v>
      </c>
      <c r="O376" s="76">
        <v>31</v>
      </c>
      <c r="P376" s="76">
        <v>31</v>
      </c>
      <c r="Q376" s="76">
        <v>5</v>
      </c>
      <c r="R376" s="76">
        <v>32</v>
      </c>
      <c r="S376" s="76">
        <v>1</v>
      </c>
      <c r="T376" s="76">
        <v>69</v>
      </c>
      <c r="U376" s="76">
        <v>289</v>
      </c>
      <c r="V376" s="76">
        <v>68.099999999999994</v>
      </c>
      <c r="W376" s="76">
        <v>0.23300000000000001</v>
      </c>
      <c r="X376" s="76">
        <v>1.33</v>
      </c>
      <c r="Y376" s="76"/>
      <c r="Z376" t="s">
        <v>627</v>
      </c>
      <c r="AA376" s="76" t="s">
        <v>171</v>
      </c>
      <c r="AB376" s="76">
        <v>1</v>
      </c>
      <c r="AC376" s="76">
        <v>1</v>
      </c>
      <c r="AD376" s="76">
        <v>0</v>
      </c>
      <c r="AE376" s="76">
        <v>0</v>
      </c>
      <c r="AF376" s="76">
        <v>4</v>
      </c>
      <c r="AG376" s="76">
        <v>57</v>
      </c>
      <c r="AH376" s="76">
        <v>71</v>
      </c>
      <c r="AI376" s="76">
        <v>3</v>
      </c>
      <c r="AJ376" s="76">
        <v>0</v>
      </c>
      <c r="AK376" s="76">
        <v>2</v>
      </c>
      <c r="AL376" s="76">
        <v>0</v>
      </c>
      <c r="AM376" s="76">
        <v>1</v>
      </c>
      <c r="AN376" s="76">
        <v>1159</v>
      </c>
      <c r="AO376" s="202" t="s">
        <v>172</v>
      </c>
      <c r="AP376" s="202">
        <v>0.5</v>
      </c>
      <c r="AQ376" s="202">
        <v>1.87</v>
      </c>
      <c r="AR376" s="202">
        <v>0.32700000000000001</v>
      </c>
      <c r="AS376" s="202">
        <v>0.38400000000000001</v>
      </c>
      <c r="AT376" s="202">
        <v>0.71</v>
      </c>
      <c r="AU376" s="202">
        <v>9.89</v>
      </c>
      <c r="AV376" s="202">
        <v>4.5599999999999996</v>
      </c>
      <c r="AW376" s="202">
        <v>7.61</v>
      </c>
      <c r="AX376" s="202">
        <v>2.17</v>
      </c>
      <c r="AY376" s="202">
        <v>16.77</v>
      </c>
    </row>
    <row r="377" spans="1:51" ht="12.75" customHeight="1" x14ac:dyDescent="0.2">
      <c r="A377" s="76">
        <v>1</v>
      </c>
      <c r="B377" t="s">
        <v>638</v>
      </c>
      <c r="C377" s="76" t="s">
        <v>171</v>
      </c>
      <c r="D377" s="76">
        <v>1</v>
      </c>
      <c r="E377" s="76">
        <v>0</v>
      </c>
      <c r="F377" s="76">
        <v>0</v>
      </c>
      <c r="G377" s="76">
        <v>7</v>
      </c>
      <c r="H377" s="76">
        <v>0</v>
      </c>
      <c r="I377" s="76">
        <v>0</v>
      </c>
      <c r="J377" s="76">
        <v>0</v>
      </c>
      <c r="K377" s="76">
        <v>0</v>
      </c>
      <c r="L377" s="76">
        <v>1</v>
      </c>
      <c r="M377" s="76">
        <v>4.0999999999999996</v>
      </c>
      <c r="N377" s="76">
        <v>3</v>
      </c>
      <c r="O377" s="76">
        <v>0</v>
      </c>
      <c r="P377" s="76">
        <v>0</v>
      </c>
      <c r="Q377" s="76">
        <v>0</v>
      </c>
      <c r="R377" s="76">
        <v>2</v>
      </c>
      <c r="S377" s="76">
        <v>0</v>
      </c>
      <c r="T377" s="76">
        <v>5</v>
      </c>
      <c r="U377" s="76">
        <v>18</v>
      </c>
      <c r="V377" s="76">
        <v>4.0999999999999996</v>
      </c>
      <c r="W377" s="76">
        <v>0.188</v>
      </c>
      <c r="X377" s="76">
        <v>1.1499999999999999</v>
      </c>
      <c r="Y377" s="76"/>
      <c r="Z377" t="s">
        <v>638</v>
      </c>
      <c r="AA377" s="76" t="s">
        <v>171</v>
      </c>
      <c r="AB377" s="76">
        <v>0</v>
      </c>
      <c r="AC377" s="76">
        <v>0</v>
      </c>
      <c r="AD377" s="76">
        <v>1</v>
      </c>
      <c r="AE377" s="76">
        <v>0</v>
      </c>
      <c r="AF377" s="76">
        <v>0</v>
      </c>
      <c r="AG377" s="76">
        <v>2</v>
      </c>
      <c r="AH377" s="76">
        <v>6</v>
      </c>
      <c r="AI377" s="76">
        <v>1</v>
      </c>
      <c r="AJ377" s="76">
        <v>0</v>
      </c>
      <c r="AK377" s="76">
        <v>0</v>
      </c>
      <c r="AL377" s="76">
        <v>0</v>
      </c>
      <c r="AM377" s="76">
        <v>0</v>
      </c>
      <c r="AN377" s="76">
        <v>70</v>
      </c>
      <c r="AO377" s="202" t="s">
        <v>171</v>
      </c>
      <c r="AP377" s="202">
        <v>0.47099999999999997</v>
      </c>
      <c r="AQ377" s="202">
        <v>1.92</v>
      </c>
      <c r="AR377" s="202">
        <v>0.34</v>
      </c>
      <c r="AS377" s="202">
        <v>0.40500000000000003</v>
      </c>
      <c r="AT377" s="202">
        <v>0.746</v>
      </c>
      <c r="AU377" s="202">
        <v>4.66</v>
      </c>
      <c r="AV377" s="202">
        <v>2.69</v>
      </c>
      <c r="AW377" s="202">
        <v>9.75</v>
      </c>
      <c r="AX377" s="202">
        <v>1.73</v>
      </c>
      <c r="AY377" s="202">
        <v>14.99</v>
      </c>
    </row>
    <row r="378" spans="1:51" ht="12.75" customHeight="1" x14ac:dyDescent="0.2">
      <c r="A378" s="76">
        <v>10</v>
      </c>
      <c r="B378" t="s">
        <v>1492</v>
      </c>
      <c r="C378" s="76" t="s">
        <v>171</v>
      </c>
      <c r="D378" s="76">
        <v>0</v>
      </c>
      <c r="E378" s="76">
        <v>0</v>
      </c>
      <c r="F378" s="76">
        <v>3.21</v>
      </c>
      <c r="G378" s="76">
        <v>16</v>
      </c>
      <c r="H378" s="76">
        <v>0</v>
      </c>
      <c r="I378" s="76">
        <v>0</v>
      </c>
      <c r="J378" s="76">
        <v>0</v>
      </c>
      <c r="K378" s="76">
        <v>0</v>
      </c>
      <c r="L378" s="76">
        <v>1</v>
      </c>
      <c r="M378" s="76">
        <v>14</v>
      </c>
      <c r="N378" s="76">
        <v>14</v>
      </c>
      <c r="O378" s="76">
        <v>5</v>
      </c>
      <c r="P378" s="76">
        <v>5</v>
      </c>
      <c r="Q378" s="76">
        <v>2</v>
      </c>
      <c r="R378" s="76">
        <v>4</v>
      </c>
      <c r="S378" s="76">
        <v>1</v>
      </c>
      <c r="T378" s="76">
        <v>14</v>
      </c>
      <c r="U378" s="76">
        <v>58</v>
      </c>
      <c r="V378" s="76">
        <v>14</v>
      </c>
      <c r="W378" s="76">
        <v>0.25900000000000001</v>
      </c>
      <c r="X378" s="76">
        <v>1.29</v>
      </c>
      <c r="Y378" s="76"/>
      <c r="Z378" t="s">
        <v>1492</v>
      </c>
      <c r="AA378" s="76" t="s">
        <v>171</v>
      </c>
      <c r="AB378" s="76">
        <v>0</v>
      </c>
      <c r="AC378" s="76">
        <v>1</v>
      </c>
      <c r="AD378" s="76">
        <v>3</v>
      </c>
      <c r="AE378" s="76">
        <v>2</v>
      </c>
      <c r="AF378" s="76">
        <v>2</v>
      </c>
      <c r="AG378" s="76">
        <v>12</v>
      </c>
      <c r="AH378" s="76">
        <v>14</v>
      </c>
      <c r="AI378" s="76">
        <v>0</v>
      </c>
      <c r="AJ378" s="76">
        <v>0</v>
      </c>
      <c r="AK378" s="76">
        <v>0</v>
      </c>
      <c r="AL378" s="76">
        <v>0</v>
      </c>
      <c r="AM378" s="76">
        <v>0</v>
      </c>
      <c r="AN378" s="76">
        <v>232</v>
      </c>
      <c r="AO378" s="202" t="s">
        <v>171</v>
      </c>
      <c r="AP378" s="202">
        <v>0</v>
      </c>
      <c r="AQ378" s="202">
        <v>1.1599999999999999</v>
      </c>
      <c r="AR378" s="202">
        <v>0.27200000000000002</v>
      </c>
      <c r="AS378" s="202">
        <v>0.35</v>
      </c>
      <c r="AT378" s="202">
        <v>0.622</v>
      </c>
      <c r="AU378" s="202">
        <v>11.15</v>
      </c>
      <c r="AV378" s="202">
        <v>1.57</v>
      </c>
      <c r="AW378" s="202">
        <v>8.01</v>
      </c>
      <c r="AX378" s="202">
        <v>7.1</v>
      </c>
      <c r="AY378" s="202">
        <v>15.37</v>
      </c>
    </row>
    <row r="379" spans="1:51" ht="12.75" customHeight="1" x14ac:dyDescent="0.2">
      <c r="A379" s="76">
        <v>18</v>
      </c>
      <c r="B379" s="41" t="s">
        <v>1156</v>
      </c>
      <c r="C379" s="76" t="s">
        <v>171</v>
      </c>
      <c r="D379" s="76">
        <v>1</v>
      </c>
      <c r="E379" s="76">
        <v>3</v>
      </c>
      <c r="F379" s="76">
        <v>4.71</v>
      </c>
      <c r="G379" s="76">
        <v>59</v>
      </c>
      <c r="H379" s="76">
        <v>0</v>
      </c>
      <c r="I379" s="76">
        <v>0</v>
      </c>
      <c r="J379" s="76">
        <v>0</v>
      </c>
      <c r="K379" s="76">
        <v>0</v>
      </c>
      <c r="L379" s="76">
        <v>3</v>
      </c>
      <c r="M379" s="76">
        <v>36.1</v>
      </c>
      <c r="N379" s="76">
        <v>31</v>
      </c>
      <c r="O379" s="76">
        <v>20</v>
      </c>
      <c r="P379" s="76">
        <v>19</v>
      </c>
      <c r="Q379" s="76">
        <v>7</v>
      </c>
      <c r="R379" s="76">
        <v>19</v>
      </c>
      <c r="S379" s="76">
        <v>1</v>
      </c>
      <c r="T379" s="76">
        <v>25</v>
      </c>
      <c r="U379" s="76">
        <v>159</v>
      </c>
      <c r="V379" s="76">
        <v>36.1</v>
      </c>
      <c r="W379" s="76">
        <v>0.22800000000000001</v>
      </c>
      <c r="X379" s="76">
        <v>1.38</v>
      </c>
      <c r="Y379" s="76"/>
      <c r="Z379" t="s">
        <v>1156</v>
      </c>
      <c r="AA379" s="76" t="s">
        <v>171</v>
      </c>
      <c r="AB379" s="76">
        <v>3</v>
      </c>
      <c r="AC379" s="76">
        <v>1</v>
      </c>
      <c r="AD379" s="76">
        <v>9</v>
      </c>
      <c r="AE379" s="76">
        <v>18</v>
      </c>
      <c r="AF379" s="76">
        <v>4</v>
      </c>
      <c r="AG379" s="76">
        <v>61</v>
      </c>
      <c r="AH379" s="76">
        <v>21</v>
      </c>
      <c r="AI379" s="76">
        <v>2</v>
      </c>
      <c r="AJ379" s="76">
        <v>0</v>
      </c>
      <c r="AK379" s="76">
        <v>4</v>
      </c>
      <c r="AL379" s="76">
        <v>0</v>
      </c>
      <c r="AM379" s="76">
        <v>0</v>
      </c>
      <c r="AN379" s="76">
        <v>576</v>
      </c>
      <c r="AO379" s="202" t="s">
        <v>172</v>
      </c>
      <c r="AP379" s="202">
        <v>1</v>
      </c>
      <c r="AQ379" s="202">
        <v>0.88</v>
      </c>
      <c r="AR379" s="202">
        <v>0.307</v>
      </c>
      <c r="AS379" s="202">
        <v>0.39700000000000002</v>
      </c>
      <c r="AT379" s="202">
        <v>0.70399999999999996</v>
      </c>
      <c r="AU379" s="202">
        <v>8.33</v>
      </c>
      <c r="AV379" s="202">
        <v>2.87</v>
      </c>
      <c r="AW379" s="202">
        <v>8.0399999999999991</v>
      </c>
      <c r="AX379" s="202">
        <v>2.9</v>
      </c>
      <c r="AY379" s="202">
        <v>15.35</v>
      </c>
    </row>
    <row r="380" spans="1:51" ht="12.75" customHeight="1" x14ac:dyDescent="0.2">
      <c r="A380" s="76">
        <v>19</v>
      </c>
      <c r="B380" s="41" t="s">
        <v>504</v>
      </c>
      <c r="C380" s="76" t="s">
        <v>171</v>
      </c>
      <c r="D380" s="76">
        <v>5</v>
      </c>
      <c r="E380" s="76">
        <v>9</v>
      </c>
      <c r="F380" s="76">
        <v>5.54</v>
      </c>
      <c r="G380" s="76">
        <v>31</v>
      </c>
      <c r="H380" s="76">
        <v>21</v>
      </c>
      <c r="I380" s="76">
        <v>0</v>
      </c>
      <c r="J380" s="76">
        <v>0</v>
      </c>
      <c r="K380" s="76">
        <v>0</v>
      </c>
      <c r="L380" s="76">
        <v>0</v>
      </c>
      <c r="M380" s="76">
        <v>118.2</v>
      </c>
      <c r="N380" s="76">
        <v>134</v>
      </c>
      <c r="O380" s="76">
        <v>76</v>
      </c>
      <c r="P380" s="76">
        <v>73</v>
      </c>
      <c r="Q380" s="76">
        <v>18</v>
      </c>
      <c r="R380" s="76">
        <v>36</v>
      </c>
      <c r="S380" s="76">
        <v>1</v>
      </c>
      <c r="T380" s="76">
        <v>102</v>
      </c>
      <c r="U380" s="76">
        <v>520</v>
      </c>
      <c r="V380" s="76">
        <v>118.2</v>
      </c>
      <c r="W380" s="76">
        <v>0.28199999999999997</v>
      </c>
      <c r="X380" s="76">
        <v>1.43</v>
      </c>
      <c r="Y380" s="76"/>
      <c r="Z380" t="s">
        <v>504</v>
      </c>
      <c r="AA380" s="76" t="s">
        <v>171</v>
      </c>
      <c r="AB380" s="76">
        <v>2</v>
      </c>
      <c r="AC380" s="76">
        <v>1</v>
      </c>
      <c r="AD380" s="76">
        <v>3</v>
      </c>
      <c r="AE380" s="76">
        <v>0</v>
      </c>
      <c r="AF380" s="76">
        <v>8</v>
      </c>
      <c r="AG380" s="76">
        <v>106</v>
      </c>
      <c r="AH380" s="76">
        <v>140</v>
      </c>
      <c r="AI380" s="76">
        <v>4</v>
      </c>
      <c r="AJ380" s="76">
        <v>1</v>
      </c>
      <c r="AK380" s="76">
        <v>3</v>
      </c>
      <c r="AL380" s="76">
        <v>3</v>
      </c>
      <c r="AM380" s="76">
        <v>0</v>
      </c>
      <c r="AN380" s="76">
        <v>2026</v>
      </c>
      <c r="AO380" s="202" t="s">
        <v>172</v>
      </c>
      <c r="AP380" s="202">
        <v>0.625</v>
      </c>
      <c r="AQ380" s="202">
        <v>2.15</v>
      </c>
      <c r="AR380" s="202">
        <v>0.27400000000000002</v>
      </c>
      <c r="AS380" s="202">
        <v>0.29899999999999999</v>
      </c>
      <c r="AT380" s="202">
        <v>0.57399999999999995</v>
      </c>
      <c r="AU380" s="202">
        <v>6.73</v>
      </c>
      <c r="AV380" s="202">
        <v>2.08</v>
      </c>
      <c r="AW380" s="202">
        <v>7.36</v>
      </c>
      <c r="AX380" s="202">
        <v>3.23</v>
      </c>
      <c r="AY380" s="202">
        <v>14.32</v>
      </c>
    </row>
    <row r="381" spans="1:51" ht="12.75" customHeight="1" x14ac:dyDescent="0.2">
      <c r="A381" s="76">
        <v>21</v>
      </c>
      <c r="B381" t="s">
        <v>1087</v>
      </c>
      <c r="C381" s="76" t="s">
        <v>171</v>
      </c>
      <c r="D381" s="76">
        <v>0</v>
      </c>
      <c r="E381" s="76">
        <v>1</v>
      </c>
      <c r="F381" s="76">
        <v>7.5</v>
      </c>
      <c r="G381" s="76">
        <v>8</v>
      </c>
      <c r="H381" s="76">
        <v>0</v>
      </c>
      <c r="I381" s="76">
        <v>0</v>
      </c>
      <c r="J381" s="76">
        <v>0</v>
      </c>
      <c r="K381" s="76">
        <v>0</v>
      </c>
      <c r="L381" s="76">
        <v>0</v>
      </c>
      <c r="M381" s="76">
        <v>6</v>
      </c>
      <c r="N381" s="76">
        <v>7</v>
      </c>
      <c r="O381" s="76">
        <v>5</v>
      </c>
      <c r="P381" s="76">
        <v>5</v>
      </c>
      <c r="Q381" s="76">
        <v>0</v>
      </c>
      <c r="R381" s="76">
        <v>5</v>
      </c>
      <c r="S381" s="76">
        <v>2</v>
      </c>
      <c r="T381" s="76">
        <v>3</v>
      </c>
      <c r="U381" s="76">
        <v>30</v>
      </c>
      <c r="V381" s="76">
        <v>6</v>
      </c>
      <c r="W381" s="76">
        <v>0.29199999999999998</v>
      </c>
      <c r="X381" s="76">
        <v>2</v>
      </c>
      <c r="Y381" s="76"/>
      <c r="Z381" t="s">
        <v>1087</v>
      </c>
      <c r="AA381" s="76" t="s">
        <v>171</v>
      </c>
      <c r="AB381" s="76">
        <v>0</v>
      </c>
      <c r="AC381" s="76">
        <v>2</v>
      </c>
      <c r="AD381" s="76">
        <v>4</v>
      </c>
      <c r="AE381" s="76">
        <v>0</v>
      </c>
      <c r="AF381" s="76">
        <v>0</v>
      </c>
      <c r="AG381" s="76">
        <v>6</v>
      </c>
      <c r="AH381" s="76">
        <v>9</v>
      </c>
      <c r="AI381" s="76">
        <v>1</v>
      </c>
      <c r="AJ381" s="76">
        <v>0</v>
      </c>
      <c r="AK381" s="76">
        <v>1</v>
      </c>
      <c r="AL381" s="76">
        <v>0</v>
      </c>
      <c r="AM381" s="76">
        <v>0</v>
      </c>
      <c r="AN381" s="76">
        <v>124</v>
      </c>
      <c r="AO381" s="202" t="s">
        <v>172</v>
      </c>
      <c r="AP381" s="202">
        <v>0</v>
      </c>
      <c r="AQ381" s="202" t="s">
        <v>243</v>
      </c>
      <c r="AR381" s="202">
        <v>1</v>
      </c>
      <c r="AS381" s="202">
        <v>2.5</v>
      </c>
      <c r="AT381" s="202">
        <v>3.5</v>
      </c>
      <c r="AU381" s="202" t="s">
        <v>243</v>
      </c>
      <c r="AV381" s="202" t="s">
        <v>243</v>
      </c>
      <c r="AW381" s="202" t="s">
        <v>243</v>
      </c>
      <c r="AX381" s="202" t="s">
        <v>243</v>
      </c>
      <c r="AY381" s="202" t="s">
        <v>243</v>
      </c>
    </row>
    <row r="382" spans="1:51" ht="12.75" customHeight="1" x14ac:dyDescent="0.2">
      <c r="A382" s="76">
        <v>5</v>
      </c>
      <c r="B382" s="41" t="s">
        <v>451</v>
      </c>
      <c r="C382" s="76" t="s">
        <v>171</v>
      </c>
      <c r="D382" s="76">
        <v>1</v>
      </c>
      <c r="E382" s="76">
        <v>0</v>
      </c>
      <c r="F382" s="76">
        <v>2.64</v>
      </c>
      <c r="G382" s="76">
        <v>40</v>
      </c>
      <c r="H382" s="76">
        <v>0</v>
      </c>
      <c r="I382" s="76">
        <v>0</v>
      </c>
      <c r="J382" s="76">
        <v>0</v>
      </c>
      <c r="K382" s="76">
        <v>4</v>
      </c>
      <c r="L382" s="76">
        <v>4</v>
      </c>
      <c r="M382" s="76">
        <v>30.2</v>
      </c>
      <c r="N382" s="76">
        <v>26</v>
      </c>
      <c r="O382" s="76">
        <v>9</v>
      </c>
      <c r="P382" s="76">
        <v>9</v>
      </c>
      <c r="Q382" s="76">
        <v>5</v>
      </c>
      <c r="R382" s="76">
        <v>7</v>
      </c>
      <c r="S382" s="76">
        <v>1</v>
      </c>
      <c r="T382" s="76">
        <v>33</v>
      </c>
      <c r="U382" s="76">
        <v>117</v>
      </c>
      <c r="V382" s="76">
        <v>30.2</v>
      </c>
      <c r="W382" s="76">
        <v>0.23599999999999999</v>
      </c>
      <c r="X382" s="76">
        <v>1.08</v>
      </c>
      <c r="Y382" s="76"/>
      <c r="Z382" t="s">
        <v>451</v>
      </c>
      <c r="AA382" s="76" t="s">
        <v>171</v>
      </c>
      <c r="AB382" s="76">
        <v>0</v>
      </c>
      <c r="AC382" s="76">
        <v>1</v>
      </c>
      <c r="AD382" s="76">
        <v>13</v>
      </c>
      <c r="AE382" s="76">
        <v>14</v>
      </c>
      <c r="AF382" s="76">
        <v>4</v>
      </c>
      <c r="AG382" s="76">
        <v>22</v>
      </c>
      <c r="AH382" s="76">
        <v>29</v>
      </c>
      <c r="AI382" s="76">
        <v>1</v>
      </c>
      <c r="AJ382" s="76">
        <v>0</v>
      </c>
      <c r="AK382" s="76">
        <v>2</v>
      </c>
      <c r="AL382" s="76">
        <v>3</v>
      </c>
      <c r="AM382" s="76">
        <v>0</v>
      </c>
      <c r="AN382" s="76">
        <v>469</v>
      </c>
      <c r="AO382" s="202" t="s">
        <v>171</v>
      </c>
      <c r="AP382" s="202">
        <v>1</v>
      </c>
      <c r="AQ382" s="202">
        <v>2.91</v>
      </c>
      <c r="AR382" s="202">
        <v>0.23799999999999999</v>
      </c>
      <c r="AS382" s="202">
        <v>0.221</v>
      </c>
      <c r="AT382" s="202">
        <v>0.45900000000000002</v>
      </c>
      <c r="AU382" s="202">
        <v>5.95</v>
      </c>
      <c r="AV382" s="202">
        <v>3.66</v>
      </c>
      <c r="AW382" s="202">
        <v>4.3499999999999996</v>
      </c>
      <c r="AX382" s="202">
        <v>1.63</v>
      </c>
      <c r="AY382" s="202">
        <v>13.86</v>
      </c>
    </row>
    <row r="383" spans="1:51" ht="12.75" customHeight="1" x14ac:dyDescent="0.2">
      <c r="A383" s="76">
        <v>13</v>
      </c>
      <c r="B383" s="41" t="s">
        <v>350</v>
      </c>
      <c r="C383" s="76" t="s">
        <v>171</v>
      </c>
      <c r="D383" s="76">
        <v>12</v>
      </c>
      <c r="E383" s="76">
        <v>11</v>
      </c>
      <c r="F383" s="76">
        <v>3.81</v>
      </c>
      <c r="G383" s="76">
        <v>32</v>
      </c>
      <c r="H383" s="76">
        <v>32</v>
      </c>
      <c r="I383" s="76">
        <v>1</v>
      </c>
      <c r="J383" s="76">
        <v>0</v>
      </c>
      <c r="K383" s="76">
        <v>0</v>
      </c>
      <c r="L383" s="76">
        <v>0</v>
      </c>
      <c r="M383" s="76">
        <v>203.1</v>
      </c>
      <c r="N383" s="76">
        <v>190</v>
      </c>
      <c r="O383" s="76">
        <v>88</v>
      </c>
      <c r="P383" s="76">
        <v>86</v>
      </c>
      <c r="Q383" s="76">
        <v>24</v>
      </c>
      <c r="R383" s="76">
        <v>54</v>
      </c>
      <c r="S383" s="76">
        <v>4</v>
      </c>
      <c r="T383" s="76">
        <v>167</v>
      </c>
      <c r="U383" s="76">
        <v>829</v>
      </c>
      <c r="V383" s="76">
        <v>203.1</v>
      </c>
      <c r="W383" s="76">
        <v>0.249</v>
      </c>
      <c r="X383" s="76">
        <v>1.2</v>
      </c>
      <c r="Y383" s="76"/>
      <c r="Z383" t="s">
        <v>350</v>
      </c>
      <c r="AA383" s="76" t="s">
        <v>171</v>
      </c>
      <c r="AB383" s="76">
        <v>1</v>
      </c>
      <c r="AC383" s="76">
        <v>4</v>
      </c>
      <c r="AD383" s="76">
        <v>0</v>
      </c>
      <c r="AE383" s="76">
        <v>0</v>
      </c>
      <c r="AF383" s="76">
        <v>19</v>
      </c>
      <c r="AG383" s="76">
        <v>227</v>
      </c>
      <c r="AH383" s="76">
        <v>190</v>
      </c>
      <c r="AI383" s="76">
        <v>2</v>
      </c>
      <c r="AJ383" s="76">
        <v>0</v>
      </c>
      <c r="AK383" s="76">
        <v>13</v>
      </c>
      <c r="AL383" s="76">
        <v>6</v>
      </c>
      <c r="AM383" s="76">
        <v>0</v>
      </c>
      <c r="AN383" s="76">
        <v>3190</v>
      </c>
      <c r="AO383" s="102" t="s">
        <v>157</v>
      </c>
      <c r="AP383" s="102" t="s">
        <v>1081</v>
      </c>
      <c r="AQ383" s="102" t="s">
        <v>1068</v>
      </c>
      <c r="AR383" s="102" t="s">
        <v>1059</v>
      </c>
      <c r="AS383" s="102" t="s">
        <v>1060</v>
      </c>
      <c r="AT383" s="102" t="s">
        <v>1061</v>
      </c>
      <c r="AU383" s="102" t="s">
        <v>1092</v>
      </c>
      <c r="AV383" s="102" t="s">
        <v>1093</v>
      </c>
      <c r="AW383" s="102" t="s">
        <v>1094</v>
      </c>
      <c r="AX383" s="102" t="s">
        <v>1095</v>
      </c>
      <c r="AY383" s="102" t="s">
        <v>1096</v>
      </c>
    </row>
    <row r="384" spans="1:51" ht="12.75" customHeight="1" x14ac:dyDescent="0.2">
      <c r="A384" s="76">
        <v>8</v>
      </c>
      <c r="B384" s="41" t="s">
        <v>557</v>
      </c>
      <c r="C384" s="76" t="s">
        <v>171</v>
      </c>
      <c r="D384" s="76">
        <v>1</v>
      </c>
      <c r="E384" s="76">
        <v>1</v>
      </c>
      <c r="F384" s="76">
        <v>2.95</v>
      </c>
      <c r="G384" s="76">
        <v>26</v>
      </c>
      <c r="H384" s="76">
        <v>0</v>
      </c>
      <c r="I384" s="76">
        <v>0</v>
      </c>
      <c r="J384" s="76">
        <v>0</v>
      </c>
      <c r="K384" s="76">
        <v>0</v>
      </c>
      <c r="L384" s="76">
        <v>1</v>
      </c>
      <c r="M384" s="76">
        <v>18.100000000000001</v>
      </c>
      <c r="N384" s="76">
        <v>13</v>
      </c>
      <c r="O384" s="76">
        <v>6</v>
      </c>
      <c r="P384" s="76">
        <v>6</v>
      </c>
      <c r="Q384" s="76">
        <v>0</v>
      </c>
      <c r="R384" s="76">
        <v>9</v>
      </c>
      <c r="S384" s="76">
        <v>0</v>
      </c>
      <c r="T384" s="76">
        <v>26</v>
      </c>
      <c r="U384" s="76">
        <v>75</v>
      </c>
      <c r="V384" s="76">
        <v>18.100000000000001</v>
      </c>
      <c r="W384" s="76">
        <v>0.19700000000000001</v>
      </c>
      <c r="X384" s="76">
        <v>1.2</v>
      </c>
      <c r="Y384" s="76"/>
      <c r="Z384" t="s">
        <v>557</v>
      </c>
      <c r="AA384" s="76" t="s">
        <v>171</v>
      </c>
      <c r="AB384" s="76">
        <v>0</v>
      </c>
      <c r="AC384" s="76">
        <v>0</v>
      </c>
      <c r="AD384" s="76">
        <v>1</v>
      </c>
      <c r="AE384" s="76">
        <v>11</v>
      </c>
      <c r="AF384" s="76">
        <v>1</v>
      </c>
      <c r="AG384" s="76">
        <v>10</v>
      </c>
      <c r="AH384" s="76">
        <v>17</v>
      </c>
      <c r="AI384" s="76">
        <v>0</v>
      </c>
      <c r="AJ384" s="76">
        <v>0</v>
      </c>
      <c r="AK384" s="76">
        <v>1</v>
      </c>
      <c r="AL384" s="76">
        <v>0</v>
      </c>
      <c r="AM384" s="76">
        <v>0</v>
      </c>
      <c r="AN384" s="76">
        <v>305</v>
      </c>
      <c r="AO384" s="202" t="s">
        <v>171</v>
      </c>
      <c r="AP384" s="202">
        <v>0.57099999999999995</v>
      </c>
      <c r="AQ384" s="202">
        <v>0.78</v>
      </c>
      <c r="AR384" s="202">
        <v>0.28399999999999997</v>
      </c>
      <c r="AS384" s="202">
        <v>0.4</v>
      </c>
      <c r="AT384" s="202">
        <v>0.68400000000000005</v>
      </c>
      <c r="AU384" s="202">
        <v>6.34</v>
      </c>
      <c r="AV384" s="202">
        <v>2.0299999999999998</v>
      </c>
      <c r="AW384" s="202">
        <v>8.0500000000000007</v>
      </c>
      <c r="AX384" s="202">
        <v>3.12</v>
      </c>
      <c r="AY384" s="202">
        <v>15.73</v>
      </c>
    </row>
    <row r="385" spans="1:51" ht="12.75" customHeight="1" x14ac:dyDescent="0.2">
      <c r="A385" s="76">
        <v>12</v>
      </c>
      <c r="B385" t="s">
        <v>1493</v>
      </c>
      <c r="C385" s="76" t="s">
        <v>171</v>
      </c>
      <c r="D385" s="76">
        <v>1</v>
      </c>
      <c r="E385" s="76">
        <v>0</v>
      </c>
      <c r="F385" s="76">
        <v>3.6</v>
      </c>
      <c r="G385" s="76">
        <v>7</v>
      </c>
      <c r="H385" s="76">
        <v>0</v>
      </c>
      <c r="I385" s="76">
        <v>0</v>
      </c>
      <c r="J385" s="76">
        <v>0</v>
      </c>
      <c r="K385" s="76">
        <v>0</v>
      </c>
      <c r="L385" s="76">
        <v>0</v>
      </c>
      <c r="M385" s="76">
        <v>10</v>
      </c>
      <c r="N385" s="76">
        <v>11</v>
      </c>
      <c r="O385" s="76">
        <v>4</v>
      </c>
      <c r="P385" s="76">
        <v>4</v>
      </c>
      <c r="Q385" s="76">
        <v>1</v>
      </c>
      <c r="R385" s="76">
        <v>5</v>
      </c>
      <c r="S385" s="76">
        <v>0</v>
      </c>
      <c r="T385" s="76">
        <v>6</v>
      </c>
      <c r="U385" s="76">
        <v>43</v>
      </c>
      <c r="V385" s="76">
        <v>10</v>
      </c>
      <c r="W385" s="76">
        <v>0.28899999999999998</v>
      </c>
      <c r="X385" s="76">
        <v>1.6</v>
      </c>
      <c r="Y385" s="76"/>
      <c r="Z385" t="s">
        <v>1493</v>
      </c>
      <c r="AA385" s="76" t="s">
        <v>171</v>
      </c>
      <c r="AB385" s="76">
        <v>0</v>
      </c>
      <c r="AC385" s="76">
        <v>0</v>
      </c>
      <c r="AD385" s="76">
        <v>7</v>
      </c>
      <c r="AE385" s="76">
        <v>0</v>
      </c>
      <c r="AF385" s="76">
        <v>2</v>
      </c>
      <c r="AG385" s="76">
        <v>8</v>
      </c>
      <c r="AH385" s="76">
        <v>13</v>
      </c>
      <c r="AI385" s="76">
        <v>0</v>
      </c>
      <c r="AJ385" s="76">
        <v>0</v>
      </c>
      <c r="AK385" s="76">
        <v>0</v>
      </c>
      <c r="AL385" s="76">
        <v>0</v>
      </c>
      <c r="AM385" s="76">
        <v>0</v>
      </c>
      <c r="AN385" s="76">
        <v>168</v>
      </c>
      <c r="AO385" s="202" t="s">
        <v>171</v>
      </c>
      <c r="AP385" s="202">
        <v>0.45</v>
      </c>
      <c r="AQ385" s="202">
        <v>1.05</v>
      </c>
      <c r="AR385" s="202">
        <v>0.33800000000000002</v>
      </c>
      <c r="AS385" s="202">
        <v>0.443</v>
      </c>
      <c r="AT385" s="202">
        <v>0.78100000000000003</v>
      </c>
      <c r="AU385" s="202">
        <v>7.2</v>
      </c>
      <c r="AV385" s="202">
        <v>3.87</v>
      </c>
      <c r="AW385" s="202">
        <v>9.33</v>
      </c>
      <c r="AX385" s="202">
        <v>1.86</v>
      </c>
      <c r="AY385" s="202">
        <v>17.11</v>
      </c>
    </row>
    <row r="386" spans="1:51" ht="12.75" customHeight="1" x14ac:dyDescent="0.2">
      <c r="A386" s="76">
        <v>9</v>
      </c>
      <c r="B386" s="41" t="s">
        <v>782</v>
      </c>
      <c r="C386" s="76" t="s">
        <v>171</v>
      </c>
      <c r="D386" s="76">
        <v>3</v>
      </c>
      <c r="E386" s="76">
        <v>3</v>
      </c>
      <c r="F386" s="76">
        <v>3.1</v>
      </c>
      <c r="G386" s="76">
        <v>72</v>
      </c>
      <c r="H386" s="76">
        <v>0</v>
      </c>
      <c r="I386" s="76">
        <v>0</v>
      </c>
      <c r="J386" s="76">
        <v>0</v>
      </c>
      <c r="K386" s="76">
        <v>3</v>
      </c>
      <c r="L386" s="76">
        <v>8</v>
      </c>
      <c r="M386" s="76">
        <v>61</v>
      </c>
      <c r="N386" s="76">
        <v>50</v>
      </c>
      <c r="O386" s="76">
        <v>21</v>
      </c>
      <c r="P386" s="76">
        <v>21</v>
      </c>
      <c r="Q386" s="76">
        <v>4</v>
      </c>
      <c r="R386" s="76">
        <v>19</v>
      </c>
      <c r="S386" s="76">
        <v>3</v>
      </c>
      <c r="T386" s="76">
        <v>57</v>
      </c>
      <c r="U386" s="76">
        <v>250</v>
      </c>
      <c r="V386" s="76">
        <v>61</v>
      </c>
      <c r="W386" s="76">
        <v>0.221</v>
      </c>
      <c r="X386" s="76">
        <v>1.1299999999999999</v>
      </c>
      <c r="Y386" s="76"/>
      <c r="Z386" t="s">
        <v>782</v>
      </c>
      <c r="AA386" s="76" t="s">
        <v>171</v>
      </c>
      <c r="AB386" s="76">
        <v>2</v>
      </c>
      <c r="AC386" s="76">
        <v>3</v>
      </c>
      <c r="AD386" s="76">
        <v>14</v>
      </c>
      <c r="AE386" s="76">
        <v>18</v>
      </c>
      <c r="AF386" s="76">
        <v>2</v>
      </c>
      <c r="AG386" s="76">
        <v>60</v>
      </c>
      <c r="AH386" s="76">
        <v>62</v>
      </c>
      <c r="AI386" s="76">
        <v>3</v>
      </c>
      <c r="AJ386" s="76">
        <v>0</v>
      </c>
      <c r="AK386" s="76">
        <v>7</v>
      </c>
      <c r="AL386" s="76">
        <v>2</v>
      </c>
      <c r="AM386" s="76">
        <v>0</v>
      </c>
      <c r="AN386" s="76">
        <v>1019</v>
      </c>
      <c r="AO386" s="202" t="s">
        <v>171</v>
      </c>
      <c r="AP386" s="202">
        <v>0.5</v>
      </c>
      <c r="AQ386" s="202">
        <v>0.56999999999999995</v>
      </c>
      <c r="AR386" s="202">
        <v>0.28899999999999998</v>
      </c>
      <c r="AS386" s="202">
        <v>0.45400000000000001</v>
      </c>
      <c r="AT386" s="202">
        <v>0.74299999999999999</v>
      </c>
      <c r="AU386" s="202">
        <v>6.99</v>
      </c>
      <c r="AV386" s="202">
        <v>1.78</v>
      </c>
      <c r="AW386" s="202">
        <v>8.8800000000000008</v>
      </c>
      <c r="AX386" s="202">
        <v>3.93</v>
      </c>
      <c r="AY386" s="202">
        <v>14.66</v>
      </c>
    </row>
    <row r="387" spans="1:51" ht="12.75" customHeight="1" x14ac:dyDescent="0.2">
      <c r="A387" s="76">
        <v>17</v>
      </c>
      <c r="B387" s="41" t="s">
        <v>1494</v>
      </c>
      <c r="C387" s="76" t="s">
        <v>171</v>
      </c>
      <c r="D387" s="76">
        <v>3</v>
      </c>
      <c r="E387" s="76">
        <v>5</v>
      </c>
      <c r="F387" s="76">
        <v>4.29</v>
      </c>
      <c r="G387" s="76">
        <v>22</v>
      </c>
      <c r="H387" s="76">
        <v>12</v>
      </c>
      <c r="I387" s="76">
        <v>0</v>
      </c>
      <c r="J387" s="76">
        <v>0</v>
      </c>
      <c r="K387" s="76">
        <v>0</v>
      </c>
      <c r="L387" s="76">
        <v>0</v>
      </c>
      <c r="M387" s="76">
        <v>84</v>
      </c>
      <c r="N387" s="76">
        <v>84</v>
      </c>
      <c r="O387" s="76">
        <v>42</v>
      </c>
      <c r="P387" s="76">
        <v>40</v>
      </c>
      <c r="Q387" s="76">
        <v>11</v>
      </c>
      <c r="R387" s="76">
        <v>26</v>
      </c>
      <c r="S387" s="76">
        <v>5</v>
      </c>
      <c r="T387" s="76">
        <v>54</v>
      </c>
      <c r="U387" s="76">
        <v>355</v>
      </c>
      <c r="V387" s="76">
        <v>84</v>
      </c>
      <c r="W387" s="76">
        <v>0.26400000000000001</v>
      </c>
      <c r="X387" s="76">
        <v>1.31</v>
      </c>
      <c r="Y387" s="76"/>
      <c r="Z387" t="s">
        <v>1494</v>
      </c>
      <c r="AA387" s="76" t="s">
        <v>171</v>
      </c>
      <c r="AB387" s="76">
        <v>4</v>
      </c>
      <c r="AC387" s="76">
        <v>5</v>
      </c>
      <c r="AD387" s="76">
        <v>2</v>
      </c>
      <c r="AE387" s="76">
        <v>1</v>
      </c>
      <c r="AF387" s="76">
        <v>8</v>
      </c>
      <c r="AG387" s="76">
        <v>114</v>
      </c>
      <c r="AH387" s="76">
        <v>73</v>
      </c>
      <c r="AI387" s="76">
        <v>1</v>
      </c>
      <c r="AJ387" s="76">
        <v>0</v>
      </c>
      <c r="AK387" s="76">
        <v>0</v>
      </c>
      <c r="AL387" s="76">
        <v>1</v>
      </c>
      <c r="AM387" s="76">
        <v>1</v>
      </c>
      <c r="AN387" s="76">
        <v>1373</v>
      </c>
      <c r="AO387" s="202" t="s">
        <v>172</v>
      </c>
      <c r="AP387" s="202" t="s">
        <v>243</v>
      </c>
      <c r="AQ387" s="202">
        <v>0.96</v>
      </c>
      <c r="AR387" s="202">
        <v>0.32300000000000001</v>
      </c>
      <c r="AS387" s="202">
        <v>0.30599999999999999</v>
      </c>
      <c r="AT387" s="202">
        <v>0.629</v>
      </c>
      <c r="AU387" s="202">
        <v>7.71</v>
      </c>
      <c r="AV387" s="202">
        <v>5.01</v>
      </c>
      <c r="AW387" s="202">
        <v>6.94</v>
      </c>
      <c r="AX387" s="202">
        <v>1.54</v>
      </c>
      <c r="AY387" s="202">
        <v>16.63</v>
      </c>
    </row>
    <row r="388" spans="1:51" ht="12.75" customHeight="1" x14ac:dyDescent="0.2">
      <c r="A388" s="225" t="s">
        <v>105</v>
      </c>
      <c r="B388" s="225" t="s">
        <v>106</v>
      </c>
      <c r="C388" s="225" t="s">
        <v>157</v>
      </c>
      <c r="D388" s="225" t="s">
        <v>85</v>
      </c>
      <c r="E388" s="225" t="s">
        <v>86</v>
      </c>
      <c r="F388" s="225" t="s">
        <v>107</v>
      </c>
      <c r="G388" s="225" t="s">
        <v>108</v>
      </c>
      <c r="H388" s="225" t="s">
        <v>88</v>
      </c>
      <c r="I388" s="225" t="s">
        <v>89</v>
      </c>
      <c r="J388" s="225" t="s">
        <v>1073</v>
      </c>
      <c r="K388" s="225" t="s">
        <v>90</v>
      </c>
      <c r="L388" s="225" t="s">
        <v>158</v>
      </c>
      <c r="M388" s="225" t="s">
        <v>91</v>
      </c>
      <c r="N388" s="225" t="s">
        <v>92</v>
      </c>
      <c r="O388" s="225" t="s">
        <v>93</v>
      </c>
      <c r="P388" s="225" t="s">
        <v>94</v>
      </c>
      <c r="Q388" s="225" t="s">
        <v>95</v>
      </c>
      <c r="R388" s="225" t="s">
        <v>96</v>
      </c>
      <c r="S388" s="225" t="s">
        <v>98</v>
      </c>
      <c r="T388" s="225" t="s">
        <v>97</v>
      </c>
      <c r="U388" s="225" t="s">
        <v>109</v>
      </c>
      <c r="V388" s="225" t="s">
        <v>91</v>
      </c>
      <c r="W388" s="225" t="s">
        <v>1071</v>
      </c>
      <c r="X388" s="225" t="s">
        <v>1072</v>
      </c>
      <c r="Y388" s="225"/>
      <c r="Z388" s="225" t="s">
        <v>106</v>
      </c>
      <c r="AA388" s="225" t="s">
        <v>157</v>
      </c>
      <c r="AB388" s="225" t="s">
        <v>1074</v>
      </c>
      <c r="AC388" s="225" t="s">
        <v>98</v>
      </c>
      <c r="AD388" s="225" t="s">
        <v>1075</v>
      </c>
      <c r="AE388" s="225" t="s">
        <v>1076</v>
      </c>
      <c r="AF388" s="225" t="s">
        <v>1077</v>
      </c>
      <c r="AG388" s="225" t="s">
        <v>1066</v>
      </c>
      <c r="AH388" s="225" t="s">
        <v>1067</v>
      </c>
      <c r="AI388" s="225" t="s">
        <v>1078</v>
      </c>
      <c r="AJ388" s="225" t="s">
        <v>1079</v>
      </c>
      <c r="AK388" s="225" t="s">
        <v>1057</v>
      </c>
      <c r="AL388" s="225" t="s">
        <v>1058</v>
      </c>
      <c r="AM388" s="225" t="s">
        <v>1080</v>
      </c>
      <c r="AN388" s="225" t="s">
        <v>1069</v>
      </c>
      <c r="AO388" s="202" t="s">
        <v>172</v>
      </c>
      <c r="AP388" s="202">
        <v>0.52200000000000002</v>
      </c>
      <c r="AQ388" s="202">
        <v>1.02</v>
      </c>
      <c r="AR388" s="202">
        <v>0.33</v>
      </c>
      <c r="AS388" s="202">
        <v>0.378</v>
      </c>
      <c r="AT388" s="202">
        <v>0.70799999999999996</v>
      </c>
      <c r="AU388" s="202">
        <v>8.57</v>
      </c>
      <c r="AV388" s="202">
        <v>3.49</v>
      </c>
      <c r="AW388" s="202">
        <v>8.83</v>
      </c>
      <c r="AX388" s="202">
        <v>2.46</v>
      </c>
      <c r="AY388" s="202">
        <v>17.41</v>
      </c>
    </row>
    <row r="389" spans="1:51" ht="12.75" customHeight="1" x14ac:dyDescent="0.2">
      <c r="A389" s="76">
        <v>9</v>
      </c>
      <c r="B389" s="41" t="s">
        <v>1497</v>
      </c>
      <c r="C389" s="76" t="s">
        <v>172</v>
      </c>
      <c r="D389" s="76">
        <v>2</v>
      </c>
      <c r="E389" s="76">
        <v>5</v>
      </c>
      <c r="F389" s="76">
        <v>3.46</v>
      </c>
      <c r="G389" s="76">
        <v>59</v>
      </c>
      <c r="H389" s="76">
        <v>0</v>
      </c>
      <c r="I389" s="76">
        <v>0</v>
      </c>
      <c r="J389" s="76">
        <v>0</v>
      </c>
      <c r="K389" s="76">
        <v>0</v>
      </c>
      <c r="L389" s="76">
        <v>1</v>
      </c>
      <c r="M389" s="76">
        <v>67.2</v>
      </c>
      <c r="N389" s="76">
        <v>59</v>
      </c>
      <c r="O389" s="76">
        <v>31</v>
      </c>
      <c r="P389" s="76">
        <v>26</v>
      </c>
      <c r="Q389" s="76">
        <v>4</v>
      </c>
      <c r="R389" s="76">
        <v>20</v>
      </c>
      <c r="S389" s="76">
        <v>2</v>
      </c>
      <c r="T389" s="76">
        <v>52</v>
      </c>
      <c r="U389" s="76">
        <v>281</v>
      </c>
      <c r="V389" s="76">
        <v>67.2</v>
      </c>
      <c r="W389" s="76">
        <v>0.22900000000000001</v>
      </c>
      <c r="X389" s="76">
        <v>1.17</v>
      </c>
      <c r="Y389" s="76"/>
      <c r="Z389" t="s">
        <v>1497</v>
      </c>
      <c r="AA389" s="76" t="s">
        <v>172</v>
      </c>
      <c r="AB389" s="76">
        <v>1</v>
      </c>
      <c r="AC389" s="76">
        <v>2</v>
      </c>
      <c r="AD389" s="76">
        <v>12</v>
      </c>
      <c r="AE389" s="76">
        <v>13</v>
      </c>
      <c r="AF389" s="76">
        <v>8</v>
      </c>
      <c r="AG389" s="76">
        <v>106</v>
      </c>
      <c r="AH389" s="76">
        <v>43</v>
      </c>
      <c r="AI389" s="76">
        <v>0</v>
      </c>
      <c r="AJ389" s="76">
        <v>0</v>
      </c>
      <c r="AK389" s="76">
        <v>2</v>
      </c>
      <c r="AL389" s="76">
        <v>1</v>
      </c>
      <c r="AM389" s="76">
        <v>0</v>
      </c>
      <c r="AN389" s="76">
        <v>1060</v>
      </c>
      <c r="AO389" s="202" t="s">
        <v>172</v>
      </c>
      <c r="AP389" s="202">
        <v>0.70799999999999996</v>
      </c>
      <c r="AQ389" s="202">
        <v>1.06</v>
      </c>
      <c r="AR389" s="202">
        <v>0.3</v>
      </c>
      <c r="AS389" s="202">
        <v>0.373</v>
      </c>
      <c r="AT389" s="202">
        <v>0.67200000000000004</v>
      </c>
      <c r="AU389" s="202">
        <v>7.59</v>
      </c>
      <c r="AV389" s="202">
        <v>2.88</v>
      </c>
      <c r="AW389" s="202">
        <v>8.0399999999999991</v>
      </c>
      <c r="AX389" s="202">
        <v>2.64</v>
      </c>
      <c r="AY389" s="202">
        <v>16.2</v>
      </c>
    </row>
    <row r="390" spans="1:51" ht="12.75" customHeight="1" x14ac:dyDescent="0.2">
      <c r="A390" s="76">
        <v>10</v>
      </c>
      <c r="B390" s="41" t="s">
        <v>363</v>
      </c>
      <c r="C390" s="76" t="s">
        <v>172</v>
      </c>
      <c r="D390" s="76">
        <v>4</v>
      </c>
      <c r="E390" s="76">
        <v>2</v>
      </c>
      <c r="F390" s="76">
        <v>4.3</v>
      </c>
      <c r="G390" s="76">
        <v>66</v>
      </c>
      <c r="H390" s="76">
        <v>0</v>
      </c>
      <c r="I390" s="76">
        <v>0</v>
      </c>
      <c r="J390" s="76">
        <v>0</v>
      </c>
      <c r="K390" s="76">
        <v>0</v>
      </c>
      <c r="L390" s="76">
        <v>3</v>
      </c>
      <c r="M390" s="76">
        <v>60.2</v>
      </c>
      <c r="N390" s="76">
        <v>52</v>
      </c>
      <c r="O390" s="76">
        <v>32</v>
      </c>
      <c r="P390" s="76">
        <v>29</v>
      </c>
      <c r="Q390" s="76">
        <v>7</v>
      </c>
      <c r="R390" s="76">
        <v>24</v>
      </c>
      <c r="S390" s="76">
        <v>5</v>
      </c>
      <c r="T390" s="76">
        <v>57</v>
      </c>
      <c r="U390" s="76">
        <v>259</v>
      </c>
      <c r="V390" s="76">
        <v>60.2</v>
      </c>
      <c r="W390" s="76">
        <v>0.22900000000000001</v>
      </c>
      <c r="X390" s="76">
        <v>1.25</v>
      </c>
      <c r="Y390" s="76"/>
      <c r="Z390" t="s">
        <v>363</v>
      </c>
      <c r="AA390" s="76" t="s">
        <v>172</v>
      </c>
      <c r="AB390" s="76">
        <v>3</v>
      </c>
      <c r="AC390" s="76">
        <v>5</v>
      </c>
      <c r="AD390" s="76">
        <v>14</v>
      </c>
      <c r="AE390" s="76">
        <v>12</v>
      </c>
      <c r="AF390" s="76">
        <v>1</v>
      </c>
      <c r="AG390" s="76">
        <v>69</v>
      </c>
      <c r="AH390" s="76">
        <v>54</v>
      </c>
      <c r="AI390" s="76">
        <v>1</v>
      </c>
      <c r="AJ390" s="76">
        <v>0</v>
      </c>
      <c r="AK390" s="76">
        <v>6</v>
      </c>
      <c r="AL390" s="76">
        <v>1</v>
      </c>
      <c r="AM390" s="76">
        <v>0</v>
      </c>
      <c r="AN390" s="76">
        <v>1002</v>
      </c>
      <c r="AO390" s="202" t="s">
        <v>172</v>
      </c>
      <c r="AP390" s="202">
        <v>0.66700000000000004</v>
      </c>
      <c r="AQ390" s="202">
        <v>1.58</v>
      </c>
      <c r="AR390" s="202">
        <v>0.26600000000000001</v>
      </c>
      <c r="AS390" s="202">
        <v>0.32400000000000001</v>
      </c>
      <c r="AT390" s="202">
        <v>0.59</v>
      </c>
      <c r="AU390" s="202">
        <v>6.43</v>
      </c>
      <c r="AV390" s="202">
        <v>1.29</v>
      </c>
      <c r="AW390" s="202">
        <v>8.0399999999999991</v>
      </c>
      <c r="AX390" s="202">
        <v>5</v>
      </c>
      <c r="AY390" s="202">
        <v>13.68</v>
      </c>
    </row>
    <row r="391" spans="1:51" ht="12.75" customHeight="1" x14ac:dyDescent="0.2">
      <c r="A391" s="76">
        <v>3</v>
      </c>
      <c r="B391" s="41" t="s">
        <v>354</v>
      </c>
      <c r="C391" s="76" t="s">
        <v>172</v>
      </c>
      <c r="D391" s="76">
        <v>0</v>
      </c>
      <c r="E391" s="76">
        <v>1</v>
      </c>
      <c r="F391" s="76">
        <v>1.93</v>
      </c>
      <c r="G391" s="76">
        <v>28</v>
      </c>
      <c r="H391" s="76">
        <v>0</v>
      </c>
      <c r="I391" s="76">
        <v>0</v>
      </c>
      <c r="J391" s="76">
        <v>0</v>
      </c>
      <c r="K391" s="76">
        <v>1</v>
      </c>
      <c r="L391" s="76">
        <v>1</v>
      </c>
      <c r="M391" s="76">
        <v>23.1</v>
      </c>
      <c r="N391" s="76">
        <v>17</v>
      </c>
      <c r="O391" s="76">
        <v>5</v>
      </c>
      <c r="P391" s="76">
        <v>5</v>
      </c>
      <c r="Q391" s="76">
        <v>0</v>
      </c>
      <c r="R391" s="76">
        <v>13</v>
      </c>
      <c r="S391" s="76">
        <v>0</v>
      </c>
      <c r="T391" s="76">
        <v>26</v>
      </c>
      <c r="U391" s="76">
        <v>99</v>
      </c>
      <c r="V391" s="76">
        <v>23.1</v>
      </c>
      <c r="W391" s="76">
        <v>0.20499999999999999</v>
      </c>
      <c r="X391" s="76">
        <v>1.29</v>
      </c>
      <c r="Y391" s="76"/>
      <c r="Z391" t="s">
        <v>354</v>
      </c>
      <c r="AA391" s="76" t="s">
        <v>172</v>
      </c>
      <c r="AB391" s="76">
        <v>2</v>
      </c>
      <c r="AC391" s="76">
        <v>0</v>
      </c>
      <c r="AD391" s="76">
        <v>4</v>
      </c>
      <c r="AE391" s="76">
        <v>6</v>
      </c>
      <c r="AF391" s="76">
        <v>3</v>
      </c>
      <c r="AG391" s="76">
        <v>24</v>
      </c>
      <c r="AH391" s="76">
        <v>17</v>
      </c>
      <c r="AI391" s="76">
        <v>2</v>
      </c>
      <c r="AJ391" s="76">
        <v>0</v>
      </c>
      <c r="AK391" s="76">
        <v>2</v>
      </c>
      <c r="AL391" s="76">
        <v>0</v>
      </c>
      <c r="AM391" s="76">
        <v>0</v>
      </c>
      <c r="AN391" s="76">
        <v>399</v>
      </c>
      <c r="AO391" s="202" t="s">
        <v>172</v>
      </c>
      <c r="AP391" s="202">
        <v>0.66700000000000004</v>
      </c>
      <c r="AQ391" s="202">
        <v>1.77</v>
      </c>
      <c r="AR391" s="202">
        <v>0.32</v>
      </c>
      <c r="AS391" s="202">
        <v>0.36699999999999999</v>
      </c>
      <c r="AT391" s="202">
        <v>0.68700000000000006</v>
      </c>
      <c r="AU391" s="202">
        <v>9.2200000000000006</v>
      </c>
      <c r="AV391" s="202">
        <v>3.16</v>
      </c>
      <c r="AW391" s="202">
        <v>8.42</v>
      </c>
      <c r="AX391" s="202">
        <v>2.92</v>
      </c>
      <c r="AY391" s="202">
        <v>15.83</v>
      </c>
    </row>
    <row r="392" spans="1:51" ht="12.75" customHeight="1" x14ac:dyDescent="0.2">
      <c r="A392" s="76">
        <v>13</v>
      </c>
      <c r="B392" s="41" t="s">
        <v>468</v>
      </c>
      <c r="C392" s="76" t="s">
        <v>172</v>
      </c>
      <c r="D392" s="76">
        <v>10</v>
      </c>
      <c r="E392" s="76">
        <v>13</v>
      </c>
      <c r="F392" s="76">
        <v>4.67</v>
      </c>
      <c r="G392" s="76">
        <v>32</v>
      </c>
      <c r="H392" s="76">
        <v>30</v>
      </c>
      <c r="I392" s="76">
        <v>1</v>
      </c>
      <c r="J392" s="76">
        <v>1</v>
      </c>
      <c r="K392" s="76">
        <v>0</v>
      </c>
      <c r="L392" s="76">
        <v>0</v>
      </c>
      <c r="M392" s="76">
        <v>171.2</v>
      </c>
      <c r="N392" s="76">
        <v>179</v>
      </c>
      <c r="O392" s="76">
        <v>94</v>
      </c>
      <c r="P392" s="76">
        <v>89</v>
      </c>
      <c r="Q392" s="76">
        <v>26</v>
      </c>
      <c r="R392" s="76">
        <v>57</v>
      </c>
      <c r="S392" s="76">
        <v>3</v>
      </c>
      <c r="T392" s="76">
        <v>150</v>
      </c>
      <c r="U392" s="76">
        <v>741</v>
      </c>
      <c r="V392" s="76">
        <v>171.2</v>
      </c>
      <c r="W392" s="76">
        <v>0.26800000000000002</v>
      </c>
      <c r="X392" s="76">
        <v>1.37</v>
      </c>
      <c r="Y392" s="76"/>
      <c r="Z392" t="s">
        <v>468</v>
      </c>
      <c r="AA392" s="76" t="s">
        <v>172</v>
      </c>
      <c r="AB392" s="76">
        <v>7</v>
      </c>
      <c r="AC392" s="76">
        <v>3</v>
      </c>
      <c r="AD392" s="76">
        <v>0</v>
      </c>
      <c r="AE392" s="76">
        <v>0</v>
      </c>
      <c r="AF392" s="76">
        <v>21</v>
      </c>
      <c r="AG392" s="76">
        <v>238</v>
      </c>
      <c r="AH392" s="76">
        <v>110</v>
      </c>
      <c r="AI392" s="76">
        <v>8</v>
      </c>
      <c r="AJ392" s="76">
        <v>0</v>
      </c>
      <c r="AK392" s="76">
        <v>14</v>
      </c>
      <c r="AL392" s="76">
        <v>6</v>
      </c>
      <c r="AM392" s="76">
        <v>0</v>
      </c>
      <c r="AN392" s="76">
        <v>2578</v>
      </c>
      <c r="AO392" s="202" t="s">
        <v>173</v>
      </c>
      <c r="AP392" s="202">
        <v>0.5</v>
      </c>
      <c r="AQ392" s="202">
        <v>0.85</v>
      </c>
      <c r="AR392" s="202">
        <v>0.309</v>
      </c>
      <c r="AS392" s="202">
        <v>0.32700000000000001</v>
      </c>
      <c r="AT392" s="202">
        <v>0.63600000000000001</v>
      </c>
      <c r="AU392" s="202">
        <v>10.74</v>
      </c>
      <c r="AV392" s="202">
        <v>2.15</v>
      </c>
      <c r="AW392" s="202">
        <v>8.59</v>
      </c>
      <c r="AX392" s="202">
        <v>5</v>
      </c>
      <c r="AY392" s="202">
        <v>16.3</v>
      </c>
    </row>
    <row r="393" spans="1:51" ht="12.75" customHeight="1" x14ac:dyDescent="0.2">
      <c r="A393" s="76">
        <v>16</v>
      </c>
      <c r="B393" t="s">
        <v>1498</v>
      </c>
      <c r="C393" s="76" t="s">
        <v>172</v>
      </c>
      <c r="D393" s="76">
        <v>0</v>
      </c>
      <c r="E393" s="76">
        <v>0</v>
      </c>
      <c r="F393" s="76">
        <v>5.32</v>
      </c>
      <c r="G393" s="76">
        <v>26</v>
      </c>
      <c r="H393" s="76">
        <v>0</v>
      </c>
      <c r="I393" s="76">
        <v>0</v>
      </c>
      <c r="J393" s="76">
        <v>0</v>
      </c>
      <c r="K393" s="76">
        <v>0</v>
      </c>
      <c r="L393" s="76">
        <v>0</v>
      </c>
      <c r="M393" s="76">
        <v>22</v>
      </c>
      <c r="N393" s="76">
        <v>24</v>
      </c>
      <c r="O393" s="76">
        <v>13</v>
      </c>
      <c r="P393" s="76">
        <v>13</v>
      </c>
      <c r="Q393" s="76">
        <v>2</v>
      </c>
      <c r="R393" s="76">
        <v>7</v>
      </c>
      <c r="S393" s="76">
        <v>4</v>
      </c>
      <c r="T393" s="76">
        <v>14</v>
      </c>
      <c r="U393" s="76">
        <v>98</v>
      </c>
      <c r="V393" s="76">
        <v>22</v>
      </c>
      <c r="W393" s="76">
        <v>0.27300000000000002</v>
      </c>
      <c r="X393" s="76">
        <v>1.41</v>
      </c>
      <c r="Y393" s="76"/>
      <c r="Z393" t="s">
        <v>1498</v>
      </c>
      <c r="AA393" s="76" t="s">
        <v>172</v>
      </c>
      <c r="AB393" s="76">
        <v>2</v>
      </c>
      <c r="AC393" s="76">
        <v>4</v>
      </c>
      <c r="AD393" s="76">
        <v>10</v>
      </c>
      <c r="AE393" s="76">
        <v>2</v>
      </c>
      <c r="AF393" s="76">
        <v>1</v>
      </c>
      <c r="AG393" s="76">
        <v>28</v>
      </c>
      <c r="AH393" s="76">
        <v>23</v>
      </c>
      <c r="AI393" s="76">
        <v>0</v>
      </c>
      <c r="AJ393" s="76">
        <v>0</v>
      </c>
      <c r="AK393" s="76">
        <v>0</v>
      </c>
      <c r="AL393" s="76">
        <v>0</v>
      </c>
      <c r="AM393" s="76">
        <v>0</v>
      </c>
      <c r="AN393" s="76">
        <v>364</v>
      </c>
      <c r="AO393" s="202" t="s">
        <v>173</v>
      </c>
      <c r="AP393" s="202" t="s">
        <v>243</v>
      </c>
      <c r="AQ393" s="202">
        <v>0.54</v>
      </c>
      <c r="AR393" s="202">
        <v>0.34899999999999998</v>
      </c>
      <c r="AS393" s="202">
        <v>0.46300000000000002</v>
      </c>
      <c r="AT393" s="202">
        <v>0.81200000000000006</v>
      </c>
      <c r="AU393" s="202">
        <v>8.68</v>
      </c>
      <c r="AV393" s="202">
        <v>0.96</v>
      </c>
      <c r="AW393" s="202">
        <v>13.5</v>
      </c>
      <c r="AX393" s="202">
        <v>9</v>
      </c>
      <c r="AY393" s="202">
        <v>16.82</v>
      </c>
    </row>
    <row r="394" spans="1:51" ht="12.75" customHeight="1" x14ac:dyDescent="0.2">
      <c r="A394" s="76">
        <v>14</v>
      </c>
      <c r="B394" s="41" t="s">
        <v>361</v>
      </c>
      <c r="C394" s="76" t="s">
        <v>172</v>
      </c>
      <c r="D394" s="76">
        <v>9</v>
      </c>
      <c r="E394" s="76">
        <v>12</v>
      </c>
      <c r="F394" s="76">
        <v>4.6900000000000004</v>
      </c>
      <c r="G394" s="76">
        <v>30</v>
      </c>
      <c r="H394" s="76">
        <v>30</v>
      </c>
      <c r="I394" s="76">
        <v>0</v>
      </c>
      <c r="J394" s="76">
        <v>0</v>
      </c>
      <c r="K394" s="76">
        <v>0</v>
      </c>
      <c r="L394" s="76">
        <v>0</v>
      </c>
      <c r="M394" s="76">
        <v>176.2</v>
      </c>
      <c r="N394" s="76">
        <v>203</v>
      </c>
      <c r="O394" s="76">
        <v>101</v>
      </c>
      <c r="P394" s="76">
        <v>92</v>
      </c>
      <c r="Q394" s="76">
        <v>20</v>
      </c>
      <c r="R394" s="76">
        <v>30</v>
      </c>
      <c r="S394" s="76">
        <v>1</v>
      </c>
      <c r="T394" s="76">
        <v>125</v>
      </c>
      <c r="U394" s="76">
        <v>757</v>
      </c>
      <c r="V394" s="76">
        <v>176.2</v>
      </c>
      <c r="W394" s="76">
        <v>0.28799999999999998</v>
      </c>
      <c r="X394" s="76">
        <v>1.32</v>
      </c>
      <c r="Y394" s="76"/>
      <c r="Z394" t="s">
        <v>361</v>
      </c>
      <c r="AA394" s="76" t="s">
        <v>172</v>
      </c>
      <c r="AB394" s="76">
        <v>7</v>
      </c>
      <c r="AC394" s="76">
        <v>1</v>
      </c>
      <c r="AD394" s="76">
        <v>0</v>
      </c>
      <c r="AE394" s="76">
        <v>0</v>
      </c>
      <c r="AF394" s="76">
        <v>13</v>
      </c>
      <c r="AG394" s="76">
        <v>243</v>
      </c>
      <c r="AH394" s="76">
        <v>149</v>
      </c>
      <c r="AI394" s="76">
        <v>7</v>
      </c>
      <c r="AJ394" s="76">
        <v>0</v>
      </c>
      <c r="AK394" s="76">
        <v>16</v>
      </c>
      <c r="AL394" s="76">
        <v>4</v>
      </c>
      <c r="AM394" s="76">
        <v>3</v>
      </c>
      <c r="AN394" s="76">
        <v>2659</v>
      </c>
      <c r="AO394" s="202" t="s">
        <v>173</v>
      </c>
      <c r="AP394" s="202" t="s">
        <v>243</v>
      </c>
      <c r="AQ394" s="202">
        <v>0.27</v>
      </c>
      <c r="AR394" s="202">
        <v>0.28000000000000003</v>
      </c>
      <c r="AS394" s="202">
        <v>0.34799999999999998</v>
      </c>
      <c r="AT394" s="202">
        <v>0.628</v>
      </c>
      <c r="AU394" s="202">
        <v>6</v>
      </c>
      <c r="AV394" s="202">
        <v>3</v>
      </c>
      <c r="AW394" s="202">
        <v>7.5</v>
      </c>
      <c r="AX394" s="202">
        <v>2</v>
      </c>
      <c r="AY394" s="202">
        <v>17.329999999999998</v>
      </c>
    </row>
    <row r="395" spans="1:51" ht="12.75" customHeight="1" x14ac:dyDescent="0.2">
      <c r="A395" s="76">
        <v>7</v>
      </c>
      <c r="B395" s="41" t="s">
        <v>470</v>
      </c>
      <c r="C395" s="76" t="s">
        <v>172</v>
      </c>
      <c r="D395" s="76">
        <v>2</v>
      </c>
      <c r="E395" s="76">
        <v>0</v>
      </c>
      <c r="F395" s="76">
        <v>3.38</v>
      </c>
      <c r="G395" s="76">
        <v>30</v>
      </c>
      <c r="H395" s="76">
        <v>0</v>
      </c>
      <c r="I395" s="76">
        <v>0</v>
      </c>
      <c r="J395" s="76">
        <v>0</v>
      </c>
      <c r="K395" s="76">
        <v>0</v>
      </c>
      <c r="L395" s="76">
        <v>0</v>
      </c>
      <c r="M395" s="76">
        <v>48</v>
      </c>
      <c r="N395" s="76">
        <v>35</v>
      </c>
      <c r="O395" s="76">
        <v>18</v>
      </c>
      <c r="P395" s="76">
        <v>18</v>
      </c>
      <c r="Q395" s="76">
        <v>9</v>
      </c>
      <c r="R395" s="76">
        <v>14</v>
      </c>
      <c r="S395" s="76">
        <v>0</v>
      </c>
      <c r="T395" s="76">
        <v>46</v>
      </c>
      <c r="U395" s="76">
        <v>187</v>
      </c>
      <c r="V395" s="76">
        <v>48</v>
      </c>
      <c r="W395" s="76">
        <v>0.20499999999999999</v>
      </c>
      <c r="X395" s="76">
        <v>1.02</v>
      </c>
      <c r="Y395" s="76"/>
      <c r="Z395" t="s">
        <v>470</v>
      </c>
      <c r="AA395" s="76" t="s">
        <v>172</v>
      </c>
      <c r="AB395" s="76">
        <v>0</v>
      </c>
      <c r="AC395" s="76">
        <v>0</v>
      </c>
      <c r="AD395" s="76">
        <v>10</v>
      </c>
      <c r="AE395" s="76">
        <v>4</v>
      </c>
      <c r="AF395" s="76">
        <v>6</v>
      </c>
      <c r="AG395" s="76">
        <v>45</v>
      </c>
      <c r="AH395" s="76">
        <v>47</v>
      </c>
      <c r="AI395" s="76">
        <v>2</v>
      </c>
      <c r="AJ395" s="76">
        <v>0</v>
      </c>
      <c r="AK395" s="76">
        <v>2</v>
      </c>
      <c r="AL395" s="76">
        <v>0</v>
      </c>
      <c r="AM395" s="76">
        <v>0</v>
      </c>
      <c r="AN395" s="76">
        <v>678</v>
      </c>
      <c r="AO395" s="202" t="s">
        <v>172</v>
      </c>
      <c r="AP395" s="202">
        <v>0</v>
      </c>
      <c r="AQ395" s="202">
        <v>1.4</v>
      </c>
      <c r="AR395" s="202">
        <v>0.32300000000000001</v>
      </c>
      <c r="AS395" s="202">
        <v>0.42099999999999999</v>
      </c>
      <c r="AT395" s="202">
        <v>0.74399999999999999</v>
      </c>
      <c r="AU395" s="202">
        <v>12.27</v>
      </c>
      <c r="AV395" s="202">
        <v>4.91</v>
      </c>
      <c r="AW395" s="202">
        <v>7.98</v>
      </c>
      <c r="AX395" s="202">
        <v>2.5</v>
      </c>
      <c r="AY395" s="202">
        <v>18.07</v>
      </c>
    </row>
    <row r="396" spans="1:51" ht="12.75" customHeight="1" x14ac:dyDescent="0.2">
      <c r="A396" s="76">
        <v>8</v>
      </c>
      <c r="B396" s="41" t="s">
        <v>461</v>
      </c>
      <c r="C396" s="76" t="s">
        <v>172</v>
      </c>
      <c r="D396" s="76">
        <v>2</v>
      </c>
      <c r="E396" s="76">
        <v>2</v>
      </c>
      <c r="F396" s="76">
        <v>3.41</v>
      </c>
      <c r="G396" s="76">
        <v>29</v>
      </c>
      <c r="H396" s="76">
        <v>0</v>
      </c>
      <c r="I396" s="76">
        <v>0</v>
      </c>
      <c r="J396" s="76">
        <v>0</v>
      </c>
      <c r="K396" s="76">
        <v>0</v>
      </c>
      <c r="L396" s="76">
        <v>0</v>
      </c>
      <c r="M396" s="76">
        <v>31.2</v>
      </c>
      <c r="N396" s="76">
        <v>34</v>
      </c>
      <c r="O396" s="76">
        <v>14</v>
      </c>
      <c r="P396" s="76">
        <v>12</v>
      </c>
      <c r="Q396" s="76">
        <v>2</v>
      </c>
      <c r="R396" s="76">
        <v>8</v>
      </c>
      <c r="S396" s="76">
        <v>2</v>
      </c>
      <c r="T396" s="76">
        <v>16</v>
      </c>
      <c r="U396" s="76">
        <v>134</v>
      </c>
      <c r="V396" s="76">
        <v>31.2</v>
      </c>
      <c r="W396" s="76">
        <v>0.27400000000000002</v>
      </c>
      <c r="X396" s="76">
        <v>1.33</v>
      </c>
      <c r="Y396" s="76"/>
      <c r="Z396" t="s">
        <v>461</v>
      </c>
      <c r="AA396" s="76" t="s">
        <v>172</v>
      </c>
      <c r="AB396" s="76">
        <v>0</v>
      </c>
      <c r="AC396" s="76">
        <v>2</v>
      </c>
      <c r="AD396" s="76">
        <v>13</v>
      </c>
      <c r="AE396" s="76">
        <v>1</v>
      </c>
      <c r="AF396" s="76">
        <v>4</v>
      </c>
      <c r="AG396" s="76">
        <v>51</v>
      </c>
      <c r="AH396" s="76">
        <v>25</v>
      </c>
      <c r="AI396" s="76">
        <v>2</v>
      </c>
      <c r="AJ396" s="76">
        <v>0</v>
      </c>
      <c r="AK396" s="76">
        <v>1</v>
      </c>
      <c r="AL396" s="76">
        <v>1</v>
      </c>
      <c r="AM396" s="76">
        <v>0</v>
      </c>
      <c r="AN396" s="76">
        <v>496</v>
      </c>
      <c r="AO396" s="202" t="s">
        <v>172</v>
      </c>
      <c r="AP396" s="202">
        <v>0.57099999999999995</v>
      </c>
      <c r="AQ396" s="202">
        <v>0.79</v>
      </c>
      <c r="AR396" s="202">
        <v>0.29299999999999998</v>
      </c>
      <c r="AS396" s="202">
        <v>0.38400000000000001</v>
      </c>
      <c r="AT396" s="202">
        <v>0.67700000000000005</v>
      </c>
      <c r="AU396" s="202">
        <v>8.11</v>
      </c>
      <c r="AV396" s="202">
        <v>3.1</v>
      </c>
      <c r="AW396" s="202">
        <v>7.38</v>
      </c>
      <c r="AX396" s="202">
        <v>2.62</v>
      </c>
      <c r="AY396" s="202">
        <v>15.2</v>
      </c>
    </row>
    <row r="397" spans="1:51" ht="12.75" customHeight="1" x14ac:dyDescent="0.2">
      <c r="A397" s="76">
        <v>6</v>
      </c>
      <c r="B397" s="41" t="s">
        <v>339</v>
      </c>
      <c r="C397" s="76" t="s">
        <v>172</v>
      </c>
      <c r="D397" s="76">
        <v>16</v>
      </c>
      <c r="E397" s="76">
        <v>9</v>
      </c>
      <c r="F397" s="76">
        <v>3.04</v>
      </c>
      <c r="G397" s="76">
        <v>31</v>
      </c>
      <c r="H397" s="76">
        <v>31</v>
      </c>
      <c r="I397" s="76">
        <v>0</v>
      </c>
      <c r="J397" s="76">
        <v>0</v>
      </c>
      <c r="K397" s="76">
        <v>0</v>
      </c>
      <c r="L397" s="76">
        <v>0</v>
      </c>
      <c r="M397" s="76">
        <v>195.1</v>
      </c>
      <c r="N397" s="76">
        <v>169</v>
      </c>
      <c r="O397" s="76">
        <v>68</v>
      </c>
      <c r="P397" s="76">
        <v>66</v>
      </c>
      <c r="Q397" s="76">
        <v>15</v>
      </c>
      <c r="R397" s="76">
        <v>70</v>
      </c>
      <c r="S397" s="76">
        <v>1</v>
      </c>
      <c r="T397" s="76">
        <v>174</v>
      </c>
      <c r="U397" s="76">
        <v>809</v>
      </c>
      <c r="V397" s="76">
        <v>195.1</v>
      </c>
      <c r="W397" s="76">
        <v>0.23300000000000001</v>
      </c>
      <c r="X397" s="76">
        <v>1.22</v>
      </c>
      <c r="Y397" s="76"/>
      <c r="Z397" t="s">
        <v>339</v>
      </c>
      <c r="AA397" s="76" t="s">
        <v>172</v>
      </c>
      <c r="AB397" s="76">
        <v>11</v>
      </c>
      <c r="AC397" s="76">
        <v>1</v>
      </c>
      <c r="AD397" s="76">
        <v>0</v>
      </c>
      <c r="AE397" s="76">
        <v>0</v>
      </c>
      <c r="AF397" s="76">
        <v>33</v>
      </c>
      <c r="AG397" s="76">
        <v>245</v>
      </c>
      <c r="AH397" s="76">
        <v>140</v>
      </c>
      <c r="AI397" s="76">
        <v>8</v>
      </c>
      <c r="AJ397" s="76">
        <v>0</v>
      </c>
      <c r="AK397" s="76">
        <v>12</v>
      </c>
      <c r="AL397" s="76">
        <v>3</v>
      </c>
      <c r="AM397" s="76">
        <v>0</v>
      </c>
      <c r="AN397" s="76">
        <v>3028</v>
      </c>
      <c r="AO397" s="202" t="s">
        <v>172</v>
      </c>
      <c r="AP397" s="202">
        <v>0.8</v>
      </c>
      <c r="AQ397" s="202">
        <v>0.97</v>
      </c>
      <c r="AR397" s="202">
        <v>0.28499999999999998</v>
      </c>
      <c r="AS397" s="202">
        <v>0.28299999999999997</v>
      </c>
      <c r="AT397" s="202">
        <v>0.56799999999999995</v>
      </c>
      <c r="AU397" s="202">
        <v>8.19</v>
      </c>
      <c r="AV397" s="202">
        <v>3.03</v>
      </c>
      <c r="AW397" s="202">
        <v>7.58</v>
      </c>
      <c r="AX397" s="202">
        <v>2.7</v>
      </c>
      <c r="AY397" s="202">
        <v>16.579999999999998</v>
      </c>
    </row>
    <row r="398" spans="1:51" ht="12.75" customHeight="1" x14ac:dyDescent="0.2">
      <c r="A398" s="76">
        <v>21</v>
      </c>
      <c r="B398" t="s">
        <v>1501</v>
      </c>
      <c r="C398" s="76" t="s">
        <v>172</v>
      </c>
      <c r="D398" s="76">
        <v>1</v>
      </c>
      <c r="E398" s="76">
        <v>1</v>
      </c>
      <c r="F398" s="76">
        <v>27</v>
      </c>
      <c r="G398" s="76">
        <v>4</v>
      </c>
      <c r="H398" s="76">
        <v>1</v>
      </c>
      <c r="I398" s="76">
        <v>0</v>
      </c>
      <c r="J398" s="76">
        <v>0</v>
      </c>
      <c r="K398" s="76">
        <v>0</v>
      </c>
      <c r="L398" s="76">
        <v>0</v>
      </c>
      <c r="M398" s="76">
        <v>5.0999999999999996</v>
      </c>
      <c r="N398" s="76">
        <v>16</v>
      </c>
      <c r="O398" s="76">
        <v>16</v>
      </c>
      <c r="P398" s="76">
        <v>16</v>
      </c>
      <c r="Q398" s="76">
        <v>3</v>
      </c>
      <c r="R398" s="76">
        <v>3</v>
      </c>
      <c r="S398" s="76">
        <v>0</v>
      </c>
      <c r="T398" s="76">
        <v>2</v>
      </c>
      <c r="U398" s="76">
        <v>35</v>
      </c>
      <c r="V398" s="76">
        <v>5.0999999999999996</v>
      </c>
      <c r="W398" s="76">
        <v>0.53300000000000003</v>
      </c>
      <c r="X398" s="76">
        <v>3.56</v>
      </c>
      <c r="Y398" s="76"/>
      <c r="Z398" t="s">
        <v>1501</v>
      </c>
      <c r="AA398" s="76" t="s">
        <v>172</v>
      </c>
      <c r="AB398" s="76">
        <v>1</v>
      </c>
      <c r="AC398" s="76">
        <v>0</v>
      </c>
      <c r="AD398" s="76">
        <v>0</v>
      </c>
      <c r="AE398" s="76">
        <v>0</v>
      </c>
      <c r="AF398" s="76">
        <v>1</v>
      </c>
      <c r="AG398" s="76">
        <v>8</v>
      </c>
      <c r="AH398" s="76">
        <v>5</v>
      </c>
      <c r="AI398" s="76">
        <v>0</v>
      </c>
      <c r="AJ398" s="76">
        <v>0</v>
      </c>
      <c r="AK398" s="76">
        <v>1</v>
      </c>
      <c r="AL398" s="76">
        <v>0</v>
      </c>
      <c r="AM398" s="76">
        <v>0</v>
      </c>
      <c r="AN398" s="76">
        <v>120</v>
      </c>
      <c r="AO398" s="202" t="s">
        <v>173</v>
      </c>
      <c r="AP398" s="202" t="s">
        <v>243</v>
      </c>
      <c r="AQ398" s="202">
        <v>1.3</v>
      </c>
      <c r="AR398" s="202">
        <v>0.373</v>
      </c>
      <c r="AS398" s="202">
        <v>0.52200000000000002</v>
      </c>
      <c r="AT398" s="202">
        <v>0.89400000000000002</v>
      </c>
      <c r="AU398" s="202">
        <v>6.75</v>
      </c>
      <c r="AV398" s="202">
        <v>3</v>
      </c>
      <c r="AW398" s="202">
        <v>10.5</v>
      </c>
      <c r="AX398" s="202">
        <v>2.25</v>
      </c>
      <c r="AY398" s="202">
        <v>16.5</v>
      </c>
    </row>
    <row r="399" spans="1:51" ht="12.75" customHeight="1" x14ac:dyDescent="0.2">
      <c r="A399" s="76">
        <v>2</v>
      </c>
      <c r="B399" s="41" t="s">
        <v>1496</v>
      </c>
      <c r="C399" s="76" t="s">
        <v>172</v>
      </c>
      <c r="D399" s="76">
        <v>6</v>
      </c>
      <c r="E399" s="76">
        <v>3</v>
      </c>
      <c r="F399" s="76">
        <v>1.92</v>
      </c>
      <c r="G399" s="76">
        <v>76</v>
      </c>
      <c r="H399" s="76">
        <v>0</v>
      </c>
      <c r="I399" s="76">
        <v>0</v>
      </c>
      <c r="J399" s="76">
        <v>0</v>
      </c>
      <c r="K399" s="76">
        <v>19</v>
      </c>
      <c r="L399" s="76">
        <v>23</v>
      </c>
      <c r="M399" s="76">
        <v>79.2</v>
      </c>
      <c r="N399" s="76">
        <v>55</v>
      </c>
      <c r="O399" s="76">
        <v>20</v>
      </c>
      <c r="P399" s="76">
        <v>17</v>
      </c>
      <c r="Q399" s="76">
        <v>5</v>
      </c>
      <c r="R399" s="76">
        <v>18</v>
      </c>
      <c r="S399" s="76">
        <v>3</v>
      </c>
      <c r="T399" s="76">
        <v>103</v>
      </c>
      <c r="U399" s="76">
        <v>313</v>
      </c>
      <c r="V399" s="76">
        <v>79.2</v>
      </c>
      <c r="W399" s="76">
        <v>0.19</v>
      </c>
      <c r="X399" s="76">
        <v>0.92</v>
      </c>
      <c r="Y399" s="76"/>
      <c r="Z399" t="s">
        <v>1496</v>
      </c>
      <c r="AA399" s="76" t="s">
        <v>172</v>
      </c>
      <c r="AB399" s="76">
        <v>2</v>
      </c>
      <c r="AC399" s="76">
        <v>3</v>
      </c>
      <c r="AD399" s="76">
        <v>35</v>
      </c>
      <c r="AE399" s="76">
        <v>14</v>
      </c>
      <c r="AF399" s="76">
        <v>5</v>
      </c>
      <c r="AG399" s="76">
        <v>57</v>
      </c>
      <c r="AH399" s="76">
        <v>78</v>
      </c>
      <c r="AI399" s="76">
        <v>3</v>
      </c>
      <c r="AJ399" s="76">
        <v>0</v>
      </c>
      <c r="AK399" s="76">
        <v>2</v>
      </c>
      <c r="AL399" s="76">
        <v>1</v>
      </c>
      <c r="AM399" s="76">
        <v>0</v>
      </c>
      <c r="AN399" s="76">
        <v>1303</v>
      </c>
      <c r="AO399" s="202" t="s">
        <v>172</v>
      </c>
      <c r="AP399" s="202">
        <v>0.66700000000000004</v>
      </c>
      <c r="AQ399" s="202">
        <v>1.89</v>
      </c>
      <c r="AR399" s="202">
        <v>0.34200000000000003</v>
      </c>
      <c r="AS399" s="202">
        <v>0.44600000000000001</v>
      </c>
      <c r="AT399" s="202">
        <v>0.78800000000000003</v>
      </c>
      <c r="AU399" s="202">
        <v>6.54</v>
      </c>
      <c r="AV399" s="202">
        <v>1.85</v>
      </c>
      <c r="AW399" s="202">
        <v>10.94</v>
      </c>
      <c r="AX399" s="202">
        <v>3.54</v>
      </c>
      <c r="AY399" s="202">
        <v>15.28</v>
      </c>
    </row>
    <row r="400" spans="1:51" ht="12.75" customHeight="1" x14ac:dyDescent="0.2">
      <c r="A400" s="76">
        <v>1</v>
      </c>
      <c r="B400" s="41" t="s">
        <v>1495</v>
      </c>
      <c r="C400" s="76" t="s">
        <v>172</v>
      </c>
      <c r="D400" s="76">
        <v>4</v>
      </c>
      <c r="E400" s="76">
        <v>1</v>
      </c>
      <c r="F400" s="76">
        <v>1.57</v>
      </c>
      <c r="G400" s="76">
        <v>12</v>
      </c>
      <c r="H400" s="76">
        <v>5</v>
      </c>
      <c r="I400" s="76">
        <v>0</v>
      </c>
      <c r="J400" s="76">
        <v>0</v>
      </c>
      <c r="K400" s="76">
        <v>1</v>
      </c>
      <c r="L400" s="76">
        <v>1</v>
      </c>
      <c r="M400" s="76">
        <v>46</v>
      </c>
      <c r="N400" s="76">
        <v>33</v>
      </c>
      <c r="O400" s="76">
        <v>8</v>
      </c>
      <c r="P400" s="76">
        <v>8</v>
      </c>
      <c r="Q400" s="76">
        <v>1</v>
      </c>
      <c r="R400" s="76">
        <v>23</v>
      </c>
      <c r="S400" s="76">
        <v>1</v>
      </c>
      <c r="T400" s="76">
        <v>52</v>
      </c>
      <c r="U400" s="76">
        <v>189</v>
      </c>
      <c r="V400" s="76">
        <v>46</v>
      </c>
      <c r="W400" s="76">
        <v>0.20100000000000001</v>
      </c>
      <c r="X400" s="76">
        <v>1.22</v>
      </c>
      <c r="Y400" s="76"/>
      <c r="Z400" t="s">
        <v>1495</v>
      </c>
      <c r="AA400" s="76" t="s">
        <v>172</v>
      </c>
      <c r="AB400" s="76">
        <v>0</v>
      </c>
      <c r="AC400" s="76">
        <v>1</v>
      </c>
      <c r="AD400" s="76">
        <v>3</v>
      </c>
      <c r="AE400" s="76">
        <v>1</v>
      </c>
      <c r="AF400" s="76">
        <v>1</v>
      </c>
      <c r="AG400" s="76">
        <v>33</v>
      </c>
      <c r="AH400" s="76">
        <v>48</v>
      </c>
      <c r="AI400" s="76">
        <v>3</v>
      </c>
      <c r="AJ400" s="76">
        <v>1</v>
      </c>
      <c r="AK400" s="76">
        <v>2</v>
      </c>
      <c r="AL400" s="76">
        <v>3</v>
      </c>
      <c r="AM400" s="76">
        <v>0</v>
      </c>
      <c r="AN400" s="76">
        <v>793</v>
      </c>
      <c r="AO400" s="202" t="s">
        <v>172</v>
      </c>
      <c r="AP400" s="202">
        <v>0.75</v>
      </c>
      <c r="AQ400" s="202">
        <v>1</v>
      </c>
      <c r="AR400" s="202">
        <v>0.29799999999999999</v>
      </c>
      <c r="AS400" s="202">
        <v>0.45300000000000001</v>
      </c>
      <c r="AT400" s="202">
        <v>0.751</v>
      </c>
      <c r="AU400" s="202">
        <v>9</v>
      </c>
      <c r="AV400" s="202">
        <v>2.25</v>
      </c>
      <c r="AW400" s="202">
        <v>8.85</v>
      </c>
      <c r="AX400" s="202">
        <v>4</v>
      </c>
      <c r="AY400" s="202">
        <v>15.98</v>
      </c>
    </row>
    <row r="401" spans="1:51" ht="12.75" customHeight="1" x14ac:dyDescent="0.2">
      <c r="A401" s="76">
        <v>11</v>
      </c>
      <c r="B401" s="41" t="s">
        <v>462</v>
      </c>
      <c r="C401" s="76" t="s">
        <v>172</v>
      </c>
      <c r="D401" s="76">
        <v>2</v>
      </c>
      <c r="E401" s="76">
        <v>4</v>
      </c>
      <c r="F401" s="76">
        <v>4.46</v>
      </c>
      <c r="G401" s="76">
        <v>45</v>
      </c>
      <c r="H401" s="76">
        <v>0</v>
      </c>
      <c r="I401" s="76">
        <v>0</v>
      </c>
      <c r="J401" s="76">
        <v>0</v>
      </c>
      <c r="K401" s="76">
        <v>14</v>
      </c>
      <c r="L401" s="76">
        <v>18</v>
      </c>
      <c r="M401" s="76">
        <v>40.1</v>
      </c>
      <c r="N401" s="76">
        <v>48</v>
      </c>
      <c r="O401" s="76">
        <v>22</v>
      </c>
      <c r="P401" s="76">
        <v>20</v>
      </c>
      <c r="Q401" s="76">
        <v>3</v>
      </c>
      <c r="R401" s="76">
        <v>29</v>
      </c>
      <c r="S401" s="76">
        <v>0</v>
      </c>
      <c r="T401" s="76">
        <v>56</v>
      </c>
      <c r="U401" s="76">
        <v>197</v>
      </c>
      <c r="V401" s="76">
        <v>40.1</v>
      </c>
      <c r="W401" s="76">
        <v>0.29299999999999998</v>
      </c>
      <c r="X401" s="76">
        <v>1.91</v>
      </c>
      <c r="Y401" s="76"/>
      <c r="Z401" t="s">
        <v>462</v>
      </c>
      <c r="AA401" s="76" t="s">
        <v>172</v>
      </c>
      <c r="AB401" s="76">
        <v>3</v>
      </c>
      <c r="AC401" s="76">
        <v>0</v>
      </c>
      <c r="AD401" s="76">
        <v>27</v>
      </c>
      <c r="AE401" s="76">
        <v>0</v>
      </c>
      <c r="AF401" s="76">
        <v>4</v>
      </c>
      <c r="AG401" s="76">
        <v>37</v>
      </c>
      <c r="AH401" s="76">
        <v>24</v>
      </c>
      <c r="AI401" s="76">
        <v>0</v>
      </c>
      <c r="AJ401" s="76">
        <v>0</v>
      </c>
      <c r="AK401" s="76">
        <v>2</v>
      </c>
      <c r="AL401" s="76">
        <v>0</v>
      </c>
      <c r="AM401" s="76">
        <v>0</v>
      </c>
      <c r="AN401" s="76">
        <v>858</v>
      </c>
      <c r="AO401" s="202" t="s">
        <v>172</v>
      </c>
      <c r="AP401" s="202">
        <v>0</v>
      </c>
      <c r="AQ401" s="202">
        <v>0.9</v>
      </c>
      <c r="AR401" s="202">
        <v>0.26200000000000001</v>
      </c>
      <c r="AS401" s="202">
        <v>0.24299999999999999</v>
      </c>
      <c r="AT401" s="202">
        <v>0.505</v>
      </c>
      <c r="AU401" s="202">
        <v>10.45</v>
      </c>
      <c r="AV401" s="202">
        <v>3.48</v>
      </c>
      <c r="AW401" s="202">
        <v>6.1</v>
      </c>
      <c r="AX401" s="202">
        <v>3</v>
      </c>
      <c r="AY401" s="202">
        <v>15.1</v>
      </c>
    </row>
    <row r="402" spans="1:51" ht="12.75" customHeight="1" x14ac:dyDescent="0.2">
      <c r="A402" s="76">
        <v>5</v>
      </c>
      <c r="B402" s="41" t="s">
        <v>459</v>
      </c>
      <c r="C402" s="76" t="s">
        <v>172</v>
      </c>
      <c r="D402" s="76">
        <v>6</v>
      </c>
      <c r="E402" s="76">
        <v>3</v>
      </c>
      <c r="F402" s="76">
        <v>2.77</v>
      </c>
      <c r="G402" s="76">
        <v>67</v>
      </c>
      <c r="H402" s="76">
        <v>0</v>
      </c>
      <c r="I402" s="76">
        <v>0</v>
      </c>
      <c r="J402" s="76">
        <v>0</v>
      </c>
      <c r="K402" s="76">
        <v>3</v>
      </c>
      <c r="L402" s="76">
        <v>8</v>
      </c>
      <c r="M402" s="76">
        <v>61.2</v>
      </c>
      <c r="N402" s="76">
        <v>42</v>
      </c>
      <c r="O402" s="76">
        <v>20</v>
      </c>
      <c r="P402" s="76">
        <v>19</v>
      </c>
      <c r="Q402" s="76">
        <v>10</v>
      </c>
      <c r="R402" s="76">
        <v>26</v>
      </c>
      <c r="S402" s="76">
        <v>2</v>
      </c>
      <c r="T402" s="76">
        <v>66</v>
      </c>
      <c r="U402" s="76">
        <v>248</v>
      </c>
      <c r="V402" s="76">
        <v>61.2</v>
      </c>
      <c r="W402" s="76">
        <v>0.193</v>
      </c>
      <c r="X402" s="76">
        <v>1.1000000000000001</v>
      </c>
      <c r="Y402" s="76"/>
      <c r="Z402" t="s">
        <v>459</v>
      </c>
      <c r="AA402" s="76" t="s">
        <v>172</v>
      </c>
      <c r="AB402" s="76">
        <v>1</v>
      </c>
      <c r="AC402" s="76">
        <v>2</v>
      </c>
      <c r="AD402" s="76">
        <v>11</v>
      </c>
      <c r="AE402" s="76">
        <v>17</v>
      </c>
      <c r="AF402" s="76">
        <v>4</v>
      </c>
      <c r="AG402" s="76">
        <v>42</v>
      </c>
      <c r="AH402" s="76">
        <v>71</v>
      </c>
      <c r="AI402" s="76">
        <v>5</v>
      </c>
      <c r="AJ402" s="76">
        <v>0</v>
      </c>
      <c r="AK402" s="76">
        <v>6</v>
      </c>
      <c r="AL402" s="76">
        <v>0</v>
      </c>
      <c r="AM402" s="76">
        <v>1</v>
      </c>
      <c r="AN402" s="76">
        <v>1050</v>
      </c>
      <c r="AO402" s="202" t="s">
        <v>172</v>
      </c>
      <c r="AP402" s="202">
        <v>0.875</v>
      </c>
      <c r="AQ402" s="202">
        <v>0.59</v>
      </c>
      <c r="AR402" s="202">
        <v>0.29099999999999998</v>
      </c>
      <c r="AS402" s="202">
        <v>0.313</v>
      </c>
      <c r="AT402" s="202">
        <v>0.60499999999999998</v>
      </c>
      <c r="AU402" s="202">
        <v>10.85</v>
      </c>
      <c r="AV402" s="202">
        <v>4.0999999999999996</v>
      </c>
      <c r="AW402" s="202">
        <v>6.39</v>
      </c>
      <c r="AX402" s="202">
        <v>2.65</v>
      </c>
      <c r="AY402" s="202">
        <v>17.170000000000002</v>
      </c>
    </row>
    <row r="403" spans="1:51" ht="12.75" customHeight="1" x14ac:dyDescent="0.2">
      <c r="A403" s="76">
        <v>4</v>
      </c>
      <c r="B403" t="s">
        <v>1160</v>
      </c>
      <c r="C403" s="76" t="s">
        <v>172</v>
      </c>
      <c r="D403" s="76">
        <v>1</v>
      </c>
      <c r="E403" s="76">
        <v>0</v>
      </c>
      <c r="F403" s="76">
        <v>2</v>
      </c>
      <c r="G403" s="76">
        <v>15</v>
      </c>
      <c r="H403" s="76">
        <v>0</v>
      </c>
      <c r="I403" s="76">
        <v>0</v>
      </c>
      <c r="J403" s="76">
        <v>0</v>
      </c>
      <c r="K403" s="76">
        <v>0</v>
      </c>
      <c r="L403" s="76">
        <v>0</v>
      </c>
      <c r="M403" s="76">
        <v>18</v>
      </c>
      <c r="N403" s="76">
        <v>5</v>
      </c>
      <c r="O403" s="76">
        <v>4</v>
      </c>
      <c r="P403" s="76">
        <v>4</v>
      </c>
      <c r="Q403" s="76">
        <v>2</v>
      </c>
      <c r="R403" s="76">
        <v>5</v>
      </c>
      <c r="S403" s="76">
        <v>0</v>
      </c>
      <c r="T403" s="76">
        <v>16</v>
      </c>
      <c r="U403" s="76">
        <v>64</v>
      </c>
      <c r="V403" s="76">
        <v>18</v>
      </c>
      <c r="W403" s="76">
        <v>8.5999999999999993E-2</v>
      </c>
      <c r="X403" s="76">
        <v>0.56000000000000005</v>
      </c>
      <c r="Y403" s="76"/>
      <c r="Z403" t="s">
        <v>1160</v>
      </c>
      <c r="AA403" s="76" t="s">
        <v>172</v>
      </c>
      <c r="AB403" s="76">
        <v>0</v>
      </c>
      <c r="AC403" s="76">
        <v>0</v>
      </c>
      <c r="AD403" s="76">
        <v>6</v>
      </c>
      <c r="AE403" s="76">
        <v>0</v>
      </c>
      <c r="AF403" s="76">
        <v>0</v>
      </c>
      <c r="AG403" s="76">
        <v>21</v>
      </c>
      <c r="AH403" s="76">
        <v>17</v>
      </c>
      <c r="AI403" s="76">
        <v>0</v>
      </c>
      <c r="AJ403" s="76">
        <v>0</v>
      </c>
      <c r="AK403" s="76">
        <v>4</v>
      </c>
      <c r="AL403" s="76">
        <v>0</v>
      </c>
      <c r="AM403" s="76">
        <v>0</v>
      </c>
      <c r="AN403" s="76">
        <v>236</v>
      </c>
      <c r="AO403" s="202" t="s">
        <v>172</v>
      </c>
      <c r="AP403" s="202">
        <v>0.33300000000000002</v>
      </c>
      <c r="AQ403" s="202">
        <v>0.87</v>
      </c>
      <c r="AR403" s="202">
        <v>0.308</v>
      </c>
      <c r="AS403" s="202">
        <v>0.312</v>
      </c>
      <c r="AT403" s="202">
        <v>0.61899999999999999</v>
      </c>
      <c r="AU403" s="202">
        <v>10.88</v>
      </c>
      <c r="AV403" s="202">
        <v>3.28</v>
      </c>
      <c r="AW403" s="202">
        <v>8.1300000000000008</v>
      </c>
      <c r="AX403" s="202">
        <v>3.32</v>
      </c>
      <c r="AY403" s="202">
        <v>17.55</v>
      </c>
    </row>
    <row r="404" spans="1:51" ht="12.75" customHeight="1" x14ac:dyDescent="0.2">
      <c r="A404" s="76">
        <v>20</v>
      </c>
      <c r="B404" t="s">
        <v>1500</v>
      </c>
      <c r="C404" s="76" t="s">
        <v>172</v>
      </c>
      <c r="D404" s="76">
        <v>0</v>
      </c>
      <c r="E404" s="76">
        <v>0</v>
      </c>
      <c r="F404" s="76">
        <v>18</v>
      </c>
      <c r="G404" s="76">
        <v>1</v>
      </c>
      <c r="H404" s="76">
        <v>0</v>
      </c>
      <c r="I404" s="76">
        <v>0</v>
      </c>
      <c r="J404" s="76">
        <v>0</v>
      </c>
      <c r="K404" s="76">
        <v>0</v>
      </c>
      <c r="L404" s="76">
        <v>0</v>
      </c>
      <c r="M404" s="76">
        <v>1</v>
      </c>
      <c r="N404" s="76">
        <v>2</v>
      </c>
      <c r="O404" s="76">
        <v>2</v>
      </c>
      <c r="P404" s="76">
        <v>2</v>
      </c>
      <c r="Q404" s="76">
        <v>2</v>
      </c>
      <c r="R404" s="76">
        <v>0</v>
      </c>
      <c r="S404" s="76">
        <v>0</v>
      </c>
      <c r="T404" s="76">
        <v>0</v>
      </c>
      <c r="U404" s="76">
        <v>5</v>
      </c>
      <c r="V404" s="76">
        <v>1</v>
      </c>
      <c r="W404" s="76">
        <v>0.4</v>
      </c>
      <c r="X404" s="76">
        <v>2</v>
      </c>
      <c r="Y404" s="76"/>
      <c r="Z404" t="s">
        <v>1500</v>
      </c>
      <c r="AA404" s="76" t="s">
        <v>172</v>
      </c>
      <c r="AB404" s="76">
        <v>0</v>
      </c>
      <c r="AC404" s="76">
        <v>0</v>
      </c>
      <c r="AD404" s="76">
        <v>1</v>
      </c>
      <c r="AE404" s="76">
        <v>0</v>
      </c>
      <c r="AF404" s="76">
        <v>0</v>
      </c>
      <c r="AG404" s="76">
        <v>0</v>
      </c>
      <c r="AH404" s="76">
        <v>3</v>
      </c>
      <c r="AI404" s="76">
        <v>0</v>
      </c>
      <c r="AJ404" s="76">
        <v>0</v>
      </c>
      <c r="AK404" s="76">
        <v>0</v>
      </c>
      <c r="AL404" s="76">
        <v>0</v>
      </c>
      <c r="AM404" s="76">
        <v>0</v>
      </c>
      <c r="AN404" s="76">
        <v>19</v>
      </c>
      <c r="AO404" s="202" t="s">
        <v>173</v>
      </c>
      <c r="AP404" s="202">
        <v>0.66700000000000004</v>
      </c>
      <c r="AQ404" s="202">
        <v>2.1800000000000002</v>
      </c>
      <c r="AR404" s="202">
        <v>0.41699999999999998</v>
      </c>
      <c r="AS404" s="202">
        <v>0.438</v>
      </c>
      <c r="AT404" s="202">
        <v>0.85499999999999998</v>
      </c>
      <c r="AU404" s="202">
        <v>7.41</v>
      </c>
      <c r="AV404" s="202">
        <v>4.24</v>
      </c>
      <c r="AW404" s="202">
        <v>13.76</v>
      </c>
      <c r="AX404" s="202">
        <v>1.75</v>
      </c>
      <c r="AY404" s="202">
        <v>18.12</v>
      </c>
    </row>
    <row r="405" spans="1:51" ht="12.75" customHeight="1" x14ac:dyDescent="0.2">
      <c r="A405" s="76">
        <v>19</v>
      </c>
      <c r="B405" t="s">
        <v>786</v>
      </c>
      <c r="C405" s="76" t="s">
        <v>172</v>
      </c>
      <c r="D405" s="76">
        <v>0</v>
      </c>
      <c r="E405" s="76">
        <v>0</v>
      </c>
      <c r="F405" s="76">
        <v>6</v>
      </c>
      <c r="G405" s="76">
        <v>12</v>
      </c>
      <c r="H405" s="76">
        <v>0</v>
      </c>
      <c r="I405" s="76">
        <v>0</v>
      </c>
      <c r="J405" s="76">
        <v>0</v>
      </c>
      <c r="K405" s="76">
        <v>0</v>
      </c>
      <c r="L405" s="76">
        <v>0</v>
      </c>
      <c r="M405" s="76">
        <v>9</v>
      </c>
      <c r="N405" s="76">
        <v>12</v>
      </c>
      <c r="O405" s="76">
        <v>6</v>
      </c>
      <c r="P405" s="76">
        <v>6</v>
      </c>
      <c r="Q405" s="76">
        <v>0</v>
      </c>
      <c r="R405" s="76">
        <v>6</v>
      </c>
      <c r="S405" s="76">
        <v>0</v>
      </c>
      <c r="T405" s="76">
        <v>7</v>
      </c>
      <c r="U405" s="76">
        <v>47</v>
      </c>
      <c r="V405" s="76">
        <v>9</v>
      </c>
      <c r="W405" s="76">
        <v>0.308</v>
      </c>
      <c r="X405" s="76">
        <v>2</v>
      </c>
      <c r="Y405" s="76"/>
      <c r="Z405" t="s">
        <v>786</v>
      </c>
      <c r="AA405" s="76" t="s">
        <v>172</v>
      </c>
      <c r="AB405" s="76">
        <v>2</v>
      </c>
      <c r="AC405" s="76">
        <v>0</v>
      </c>
      <c r="AD405" s="76">
        <v>4</v>
      </c>
      <c r="AE405" s="76">
        <v>0</v>
      </c>
      <c r="AF405" s="76">
        <v>0</v>
      </c>
      <c r="AG405" s="76">
        <v>9</v>
      </c>
      <c r="AH405" s="76">
        <v>11</v>
      </c>
      <c r="AI405" s="76">
        <v>1</v>
      </c>
      <c r="AJ405" s="76">
        <v>0</v>
      </c>
      <c r="AK405" s="76">
        <v>2</v>
      </c>
      <c r="AL405" s="76">
        <v>0</v>
      </c>
      <c r="AM405" s="76">
        <v>0</v>
      </c>
      <c r="AN405" s="76">
        <v>210</v>
      </c>
      <c r="AO405" s="202" t="s">
        <v>173</v>
      </c>
      <c r="AP405" s="202">
        <v>0.57899999999999996</v>
      </c>
      <c r="AQ405" s="202">
        <v>1.5</v>
      </c>
      <c r="AR405" s="202">
        <v>0.33600000000000002</v>
      </c>
      <c r="AS405" s="202">
        <v>0.374</v>
      </c>
      <c r="AT405" s="202">
        <v>0.71099999999999997</v>
      </c>
      <c r="AU405" s="202">
        <v>8.66</v>
      </c>
      <c r="AV405" s="202">
        <v>3.54</v>
      </c>
      <c r="AW405" s="202">
        <v>9.27</v>
      </c>
      <c r="AX405" s="202">
        <v>2.4500000000000002</v>
      </c>
      <c r="AY405" s="202">
        <v>16.78</v>
      </c>
    </row>
    <row r="406" spans="1:51" ht="12.75" customHeight="1" x14ac:dyDescent="0.2">
      <c r="A406" s="76">
        <v>15</v>
      </c>
      <c r="B406" s="41" t="s">
        <v>465</v>
      </c>
      <c r="C406" s="76" t="s">
        <v>172</v>
      </c>
      <c r="D406" s="76">
        <v>7</v>
      </c>
      <c r="E406" s="76">
        <v>7</v>
      </c>
      <c r="F406" s="76">
        <v>5.09</v>
      </c>
      <c r="G406" s="76">
        <v>27</v>
      </c>
      <c r="H406" s="76">
        <v>24</v>
      </c>
      <c r="I406" s="76">
        <v>0</v>
      </c>
      <c r="J406" s="76">
        <v>0</v>
      </c>
      <c r="K406" s="76">
        <v>0</v>
      </c>
      <c r="L406" s="76">
        <v>0</v>
      </c>
      <c r="M406" s="76">
        <v>138</v>
      </c>
      <c r="N406" s="76">
        <v>159</v>
      </c>
      <c r="O406" s="76">
        <v>86</v>
      </c>
      <c r="P406" s="76">
        <v>78</v>
      </c>
      <c r="Q406" s="76">
        <v>15</v>
      </c>
      <c r="R406" s="76">
        <v>45</v>
      </c>
      <c r="S406" s="76">
        <v>6</v>
      </c>
      <c r="T406" s="76">
        <v>114</v>
      </c>
      <c r="U406" s="76">
        <v>606</v>
      </c>
      <c r="V406" s="76">
        <v>138</v>
      </c>
      <c r="W406" s="76">
        <v>0.28899999999999998</v>
      </c>
      <c r="X406" s="76">
        <v>1.48</v>
      </c>
      <c r="Y406" s="76"/>
      <c r="Z406" t="s">
        <v>465</v>
      </c>
      <c r="AA406" s="76" t="s">
        <v>172</v>
      </c>
      <c r="AB406" s="76">
        <v>1</v>
      </c>
      <c r="AC406" s="76">
        <v>6</v>
      </c>
      <c r="AD406" s="76">
        <v>1</v>
      </c>
      <c r="AE406" s="76">
        <v>0</v>
      </c>
      <c r="AF406" s="76">
        <v>11</v>
      </c>
      <c r="AG406" s="76">
        <v>163</v>
      </c>
      <c r="AH406" s="76">
        <v>124</v>
      </c>
      <c r="AI406" s="76">
        <v>6</v>
      </c>
      <c r="AJ406" s="76">
        <v>0</v>
      </c>
      <c r="AK406" s="76">
        <v>6</v>
      </c>
      <c r="AL406" s="76">
        <v>2</v>
      </c>
      <c r="AM406" s="76">
        <v>2</v>
      </c>
      <c r="AN406" s="76">
        <v>2324</v>
      </c>
      <c r="AO406" s="202" t="s">
        <v>173</v>
      </c>
      <c r="AP406" s="202" t="s">
        <v>243</v>
      </c>
      <c r="AQ406" s="202">
        <v>0.67</v>
      </c>
      <c r="AR406" s="202">
        <v>0.4</v>
      </c>
      <c r="AS406" s="202">
        <v>0.5</v>
      </c>
      <c r="AT406" s="202">
        <v>0.9</v>
      </c>
      <c r="AU406" s="202">
        <v>12</v>
      </c>
      <c r="AV406" s="202">
        <v>6</v>
      </c>
      <c r="AW406" s="202">
        <v>9</v>
      </c>
      <c r="AX406" s="202">
        <v>2</v>
      </c>
      <c r="AY406" s="202">
        <v>21</v>
      </c>
    </row>
    <row r="407" spans="1:51" ht="12.75" customHeight="1" x14ac:dyDescent="0.2">
      <c r="A407" s="76">
        <v>12</v>
      </c>
      <c r="B407" s="41" t="s">
        <v>466</v>
      </c>
      <c r="C407" s="76" t="s">
        <v>172</v>
      </c>
      <c r="D407" s="76">
        <v>13</v>
      </c>
      <c r="E407" s="76">
        <v>9</v>
      </c>
      <c r="F407" s="76">
        <v>4.62</v>
      </c>
      <c r="G407" s="76">
        <v>33</v>
      </c>
      <c r="H407" s="76">
        <v>33</v>
      </c>
      <c r="I407" s="76">
        <v>1</v>
      </c>
      <c r="J407" s="76">
        <v>1</v>
      </c>
      <c r="K407" s="76">
        <v>0</v>
      </c>
      <c r="L407" s="76">
        <v>0</v>
      </c>
      <c r="M407" s="76">
        <v>198.2</v>
      </c>
      <c r="N407" s="76">
        <v>220</v>
      </c>
      <c r="O407" s="76">
        <v>108</v>
      </c>
      <c r="P407" s="76">
        <v>102</v>
      </c>
      <c r="Q407" s="76">
        <v>22</v>
      </c>
      <c r="R407" s="76">
        <v>59</v>
      </c>
      <c r="S407" s="76">
        <v>4</v>
      </c>
      <c r="T407" s="76">
        <v>161</v>
      </c>
      <c r="U407" s="76">
        <v>847</v>
      </c>
      <c r="V407" s="76">
        <v>198.2</v>
      </c>
      <c r="W407" s="76">
        <v>0.28699999999999998</v>
      </c>
      <c r="X407" s="76">
        <v>1.4</v>
      </c>
      <c r="Y407" s="76"/>
      <c r="Z407" t="s">
        <v>466</v>
      </c>
      <c r="AA407" s="76" t="s">
        <v>172</v>
      </c>
      <c r="AB407" s="76">
        <v>5</v>
      </c>
      <c r="AC407" s="76">
        <v>4</v>
      </c>
      <c r="AD407" s="76">
        <v>0</v>
      </c>
      <c r="AE407" s="76">
        <v>0</v>
      </c>
      <c r="AF407" s="76">
        <v>27</v>
      </c>
      <c r="AG407" s="76">
        <v>215</v>
      </c>
      <c r="AH407" s="76">
        <v>187</v>
      </c>
      <c r="AI407" s="76">
        <v>1</v>
      </c>
      <c r="AJ407" s="76">
        <v>0</v>
      </c>
      <c r="AK407" s="76">
        <v>5</v>
      </c>
      <c r="AL407" s="76">
        <v>4</v>
      </c>
      <c r="AM407" s="76">
        <v>0</v>
      </c>
      <c r="AN407" s="76">
        <v>3195</v>
      </c>
      <c r="AO407" s="102" t="s">
        <v>157</v>
      </c>
      <c r="AP407" s="102" t="s">
        <v>1081</v>
      </c>
      <c r="AQ407" s="102" t="s">
        <v>1068</v>
      </c>
      <c r="AR407" s="102" t="s">
        <v>1059</v>
      </c>
      <c r="AS407" s="102" t="s">
        <v>1060</v>
      </c>
      <c r="AT407" s="102" t="s">
        <v>1061</v>
      </c>
      <c r="AU407" s="102" t="s">
        <v>1092</v>
      </c>
      <c r="AV407" s="102" t="s">
        <v>1093</v>
      </c>
      <c r="AW407" s="102" t="s">
        <v>1094</v>
      </c>
      <c r="AX407" s="102" t="s">
        <v>1095</v>
      </c>
      <c r="AY407" s="102" t="s">
        <v>1096</v>
      </c>
    </row>
    <row r="408" spans="1:51" ht="12.75" customHeight="1" x14ac:dyDescent="0.2">
      <c r="A408" s="76">
        <v>17</v>
      </c>
      <c r="B408" s="41" t="s">
        <v>1499</v>
      </c>
      <c r="C408" s="76" t="s">
        <v>172</v>
      </c>
      <c r="D408" s="76">
        <v>1</v>
      </c>
      <c r="E408" s="76">
        <v>4</v>
      </c>
      <c r="F408" s="76">
        <v>5.7</v>
      </c>
      <c r="G408" s="76">
        <v>9</v>
      </c>
      <c r="H408" s="76">
        <v>8</v>
      </c>
      <c r="I408" s="76">
        <v>0</v>
      </c>
      <c r="J408" s="76">
        <v>0</v>
      </c>
      <c r="K408" s="76">
        <v>0</v>
      </c>
      <c r="L408" s="76">
        <v>0</v>
      </c>
      <c r="M408" s="76">
        <v>36.1</v>
      </c>
      <c r="N408" s="76">
        <v>46</v>
      </c>
      <c r="O408" s="76">
        <v>29</v>
      </c>
      <c r="P408" s="76">
        <v>23</v>
      </c>
      <c r="Q408" s="76">
        <v>7</v>
      </c>
      <c r="R408" s="76">
        <v>12</v>
      </c>
      <c r="S408" s="76">
        <v>0</v>
      </c>
      <c r="T408" s="76">
        <v>45</v>
      </c>
      <c r="U408" s="76">
        <v>167</v>
      </c>
      <c r="V408" s="76">
        <v>36.1</v>
      </c>
      <c r="W408" s="76">
        <v>0.311</v>
      </c>
      <c r="X408" s="76">
        <v>1.6</v>
      </c>
      <c r="Y408" s="76"/>
      <c r="Z408" t="s">
        <v>1499</v>
      </c>
      <c r="AA408" s="76" t="s">
        <v>172</v>
      </c>
      <c r="AB408" s="76">
        <v>2</v>
      </c>
      <c r="AC408" s="76">
        <v>0</v>
      </c>
      <c r="AD408" s="76">
        <v>0</v>
      </c>
      <c r="AE408" s="76">
        <v>0</v>
      </c>
      <c r="AF408" s="76">
        <v>3</v>
      </c>
      <c r="AG408" s="76">
        <v>30</v>
      </c>
      <c r="AH408" s="76">
        <v>32</v>
      </c>
      <c r="AI408" s="76">
        <v>1</v>
      </c>
      <c r="AJ408" s="76">
        <v>0</v>
      </c>
      <c r="AK408" s="76">
        <v>0</v>
      </c>
      <c r="AL408" s="76">
        <v>0</v>
      </c>
      <c r="AM408" s="76">
        <v>0</v>
      </c>
      <c r="AN408" s="76">
        <v>682</v>
      </c>
      <c r="AO408" s="202" t="s">
        <v>173</v>
      </c>
      <c r="AP408" s="202" t="s">
        <v>243</v>
      </c>
      <c r="AQ408" s="202">
        <v>1</v>
      </c>
      <c r="AR408" s="202">
        <v>0.375</v>
      </c>
      <c r="AS408" s="202">
        <v>0.71399999999999997</v>
      </c>
      <c r="AT408" s="202">
        <v>1.089</v>
      </c>
      <c r="AU408" s="202">
        <v>16.2</v>
      </c>
      <c r="AV408" s="202">
        <v>5.4</v>
      </c>
      <c r="AW408" s="202">
        <v>10.8</v>
      </c>
      <c r="AX408" s="202">
        <v>3</v>
      </c>
      <c r="AY408" s="202">
        <v>18.600000000000001</v>
      </c>
    </row>
    <row r="409" spans="1:51" ht="12.75" customHeight="1" x14ac:dyDescent="0.2">
      <c r="A409" s="76">
        <v>18</v>
      </c>
      <c r="B409" t="s">
        <v>568</v>
      </c>
      <c r="C409" s="76" t="s">
        <v>172</v>
      </c>
      <c r="D409" s="76">
        <v>0</v>
      </c>
      <c r="E409" s="76">
        <v>0</v>
      </c>
      <c r="F409" s="76">
        <v>5.71</v>
      </c>
      <c r="G409" s="76">
        <v>11</v>
      </c>
      <c r="H409" s="76">
        <v>0</v>
      </c>
      <c r="I409" s="76">
        <v>0</v>
      </c>
      <c r="J409" s="76">
        <v>0</v>
      </c>
      <c r="K409" s="76">
        <v>0</v>
      </c>
      <c r="L409" s="76">
        <v>0</v>
      </c>
      <c r="M409" s="76">
        <v>17.100000000000001</v>
      </c>
      <c r="N409" s="76">
        <v>22</v>
      </c>
      <c r="O409" s="76">
        <v>15</v>
      </c>
      <c r="P409" s="76">
        <v>11</v>
      </c>
      <c r="Q409" s="76">
        <v>4</v>
      </c>
      <c r="R409" s="76">
        <v>6</v>
      </c>
      <c r="S409" s="76">
        <v>1</v>
      </c>
      <c r="T409" s="76">
        <v>8</v>
      </c>
      <c r="U409" s="76">
        <v>81</v>
      </c>
      <c r="V409" s="76">
        <v>17.100000000000001</v>
      </c>
      <c r="W409" s="76">
        <v>0.30599999999999999</v>
      </c>
      <c r="X409" s="76">
        <v>1.62</v>
      </c>
      <c r="Y409" s="76"/>
      <c r="Z409" t="s">
        <v>568</v>
      </c>
      <c r="AA409" s="76" t="s">
        <v>172</v>
      </c>
      <c r="AB409" s="76">
        <v>2</v>
      </c>
      <c r="AC409" s="76">
        <v>1</v>
      </c>
      <c r="AD409" s="76">
        <v>9</v>
      </c>
      <c r="AE409" s="76">
        <v>0</v>
      </c>
      <c r="AF409" s="76">
        <v>3</v>
      </c>
      <c r="AG409" s="76">
        <v>22</v>
      </c>
      <c r="AH409" s="76">
        <v>21</v>
      </c>
      <c r="AI409" s="76">
        <v>0</v>
      </c>
      <c r="AJ409" s="76">
        <v>0</v>
      </c>
      <c r="AK409" s="76">
        <v>0</v>
      </c>
      <c r="AL409" s="76">
        <v>0</v>
      </c>
      <c r="AM409" s="76">
        <v>0</v>
      </c>
      <c r="AN409" s="76">
        <v>291</v>
      </c>
      <c r="AO409" s="202" t="s">
        <v>173</v>
      </c>
      <c r="AP409" s="202">
        <v>0.41699999999999998</v>
      </c>
      <c r="AQ409" s="202">
        <v>1.02</v>
      </c>
      <c r="AR409" s="202">
        <v>0.33900000000000002</v>
      </c>
      <c r="AS409" s="202">
        <v>0.45700000000000002</v>
      </c>
      <c r="AT409" s="202">
        <v>0.79600000000000004</v>
      </c>
      <c r="AU409" s="202">
        <v>5.5</v>
      </c>
      <c r="AV409" s="202">
        <v>2.1</v>
      </c>
      <c r="AW409" s="202">
        <v>10.49</v>
      </c>
      <c r="AX409" s="202">
        <v>2.63</v>
      </c>
      <c r="AY409" s="202">
        <v>16.059999999999999</v>
      </c>
    </row>
    <row r="410" spans="1:51" ht="12.75" customHeight="1" x14ac:dyDescent="0.2">
      <c r="A410" s="225" t="s">
        <v>105</v>
      </c>
      <c r="B410" s="225" t="s">
        <v>106</v>
      </c>
      <c r="C410" s="225" t="s">
        <v>157</v>
      </c>
      <c r="D410" s="225" t="s">
        <v>85</v>
      </c>
      <c r="E410" s="225" t="s">
        <v>86</v>
      </c>
      <c r="F410" s="225" t="s">
        <v>107</v>
      </c>
      <c r="G410" s="225" t="s">
        <v>108</v>
      </c>
      <c r="H410" s="225" t="s">
        <v>88</v>
      </c>
      <c r="I410" s="225" t="s">
        <v>89</v>
      </c>
      <c r="J410" s="225" t="s">
        <v>1073</v>
      </c>
      <c r="K410" s="225" t="s">
        <v>90</v>
      </c>
      <c r="L410" s="225" t="s">
        <v>158</v>
      </c>
      <c r="M410" s="225" t="s">
        <v>91</v>
      </c>
      <c r="N410" s="225" t="s">
        <v>92</v>
      </c>
      <c r="O410" s="225" t="s">
        <v>93</v>
      </c>
      <c r="P410" s="225" t="s">
        <v>94</v>
      </c>
      <c r="Q410" s="225" t="s">
        <v>95</v>
      </c>
      <c r="R410" s="225" t="s">
        <v>96</v>
      </c>
      <c r="S410" s="225" t="s">
        <v>98</v>
      </c>
      <c r="T410" s="225" t="s">
        <v>97</v>
      </c>
      <c r="U410" s="225" t="s">
        <v>109</v>
      </c>
      <c r="V410" s="225" t="s">
        <v>91</v>
      </c>
      <c r="W410" s="225" t="s">
        <v>1071</v>
      </c>
      <c r="X410" s="225" t="s">
        <v>1072</v>
      </c>
      <c r="Y410" s="225"/>
      <c r="Z410" s="225" t="s">
        <v>106</v>
      </c>
      <c r="AA410" s="225" t="s">
        <v>157</v>
      </c>
      <c r="AB410" s="225" t="s">
        <v>1074</v>
      </c>
      <c r="AC410" s="225" t="s">
        <v>98</v>
      </c>
      <c r="AD410" s="225" t="s">
        <v>1075</v>
      </c>
      <c r="AE410" s="225" t="s">
        <v>1076</v>
      </c>
      <c r="AF410" s="225" t="s">
        <v>1077</v>
      </c>
      <c r="AG410" s="225" t="s">
        <v>1066</v>
      </c>
      <c r="AH410" s="225" t="s">
        <v>1067</v>
      </c>
      <c r="AI410" s="225" t="s">
        <v>1078</v>
      </c>
      <c r="AJ410" s="225" t="s">
        <v>1079</v>
      </c>
      <c r="AK410" s="225" t="s">
        <v>1057</v>
      </c>
      <c r="AL410" s="225" t="s">
        <v>1058</v>
      </c>
      <c r="AM410" s="225" t="s">
        <v>1080</v>
      </c>
      <c r="AN410" s="225" t="s">
        <v>1069</v>
      </c>
      <c r="AO410" s="202" t="s">
        <v>173</v>
      </c>
      <c r="AP410" s="202">
        <v>0.28599999999999998</v>
      </c>
      <c r="AQ410" s="202">
        <v>0.56000000000000005</v>
      </c>
      <c r="AR410" s="202">
        <v>0.28799999999999998</v>
      </c>
      <c r="AS410" s="202">
        <v>0.43099999999999999</v>
      </c>
      <c r="AT410" s="202">
        <v>0.72</v>
      </c>
      <c r="AU410" s="202">
        <v>6.08</v>
      </c>
      <c r="AV410" s="202">
        <v>1.8</v>
      </c>
      <c r="AW410" s="202">
        <v>8.5500000000000007</v>
      </c>
      <c r="AX410" s="202">
        <v>3.38</v>
      </c>
      <c r="AY410" s="202">
        <v>15.1</v>
      </c>
    </row>
    <row r="411" spans="1:51" ht="12.75" customHeight="1" x14ac:dyDescent="0.2">
      <c r="A411" s="76">
        <v>4</v>
      </c>
      <c r="B411" s="41" t="s">
        <v>367</v>
      </c>
      <c r="C411" s="76" t="s">
        <v>173</v>
      </c>
      <c r="D411" s="76">
        <v>0</v>
      </c>
      <c r="E411" s="76">
        <v>0</v>
      </c>
      <c r="F411" s="76">
        <v>1.76</v>
      </c>
      <c r="G411" s="76">
        <v>40</v>
      </c>
      <c r="H411" s="76">
        <v>0</v>
      </c>
      <c r="I411" s="76">
        <v>0</v>
      </c>
      <c r="J411" s="76">
        <v>0</v>
      </c>
      <c r="K411" s="76">
        <v>0</v>
      </c>
      <c r="L411" s="76">
        <v>0</v>
      </c>
      <c r="M411" s="76">
        <v>46</v>
      </c>
      <c r="N411" s="76">
        <v>43</v>
      </c>
      <c r="O411" s="76">
        <v>13</v>
      </c>
      <c r="P411" s="76">
        <v>9</v>
      </c>
      <c r="Q411" s="76">
        <v>2</v>
      </c>
      <c r="R411" s="76">
        <v>7</v>
      </c>
      <c r="S411" s="76">
        <v>3</v>
      </c>
      <c r="T411" s="76">
        <v>32</v>
      </c>
      <c r="U411" s="76">
        <v>186</v>
      </c>
      <c r="V411" s="76">
        <v>46</v>
      </c>
      <c r="W411" s="76">
        <v>0.24399999999999999</v>
      </c>
      <c r="X411" s="76">
        <v>1.0900000000000001</v>
      </c>
      <c r="Y411" s="76"/>
      <c r="Z411" t="s">
        <v>367</v>
      </c>
      <c r="AA411" s="76" t="s">
        <v>173</v>
      </c>
      <c r="AB411" s="76">
        <v>1</v>
      </c>
      <c r="AC411" s="76">
        <v>3</v>
      </c>
      <c r="AD411" s="76">
        <v>6</v>
      </c>
      <c r="AE411" s="76">
        <v>4</v>
      </c>
      <c r="AF411" s="76">
        <v>4</v>
      </c>
      <c r="AG411" s="76">
        <v>54</v>
      </c>
      <c r="AH411" s="76">
        <v>49</v>
      </c>
      <c r="AI411" s="76">
        <v>2</v>
      </c>
      <c r="AJ411" s="76">
        <v>0</v>
      </c>
      <c r="AK411" s="76">
        <v>1</v>
      </c>
      <c r="AL411" s="76">
        <v>2</v>
      </c>
      <c r="AM411" s="76">
        <v>0</v>
      </c>
      <c r="AN411" s="76">
        <v>671</v>
      </c>
      <c r="AO411" s="202" t="s">
        <v>173</v>
      </c>
      <c r="AP411" s="202">
        <v>0.5</v>
      </c>
      <c r="AQ411" s="202">
        <v>0.93</v>
      </c>
      <c r="AR411" s="202">
        <v>0.29599999999999999</v>
      </c>
      <c r="AS411" s="202">
        <v>0.41599999999999998</v>
      </c>
      <c r="AT411" s="202">
        <v>0.71199999999999997</v>
      </c>
      <c r="AU411" s="202">
        <v>6.08</v>
      </c>
      <c r="AV411" s="202">
        <v>1.52</v>
      </c>
      <c r="AW411" s="202">
        <v>8.3699999999999992</v>
      </c>
      <c r="AX411" s="202">
        <v>4</v>
      </c>
      <c r="AY411" s="202">
        <v>13.77</v>
      </c>
    </row>
    <row r="412" spans="1:51" ht="12.75" customHeight="1" x14ac:dyDescent="0.2">
      <c r="A412" s="76">
        <v>12</v>
      </c>
      <c r="B412" t="s">
        <v>1502</v>
      </c>
      <c r="C412" s="76" t="s">
        <v>173</v>
      </c>
      <c r="D412" s="76">
        <v>0</v>
      </c>
      <c r="E412" s="76">
        <v>0</v>
      </c>
      <c r="F412" s="76">
        <v>3.18</v>
      </c>
      <c r="G412" s="76">
        <v>10</v>
      </c>
      <c r="H412" s="76">
        <v>0</v>
      </c>
      <c r="I412" s="76">
        <v>0</v>
      </c>
      <c r="J412" s="76">
        <v>0</v>
      </c>
      <c r="K412" s="76">
        <v>0</v>
      </c>
      <c r="L412" s="76">
        <v>0</v>
      </c>
      <c r="M412" s="76">
        <v>5.2</v>
      </c>
      <c r="N412" s="76">
        <v>5</v>
      </c>
      <c r="O412" s="76">
        <v>2</v>
      </c>
      <c r="P412" s="76">
        <v>2</v>
      </c>
      <c r="Q412" s="76">
        <v>1</v>
      </c>
      <c r="R412" s="76">
        <v>1</v>
      </c>
      <c r="S412" s="76">
        <v>0</v>
      </c>
      <c r="T412" s="76">
        <v>3</v>
      </c>
      <c r="U412" s="76">
        <v>22</v>
      </c>
      <c r="V412" s="76">
        <v>5.2</v>
      </c>
      <c r="W412" s="76">
        <v>0.23799999999999999</v>
      </c>
      <c r="X412" s="76">
        <v>1.06</v>
      </c>
      <c r="Y412" s="76"/>
      <c r="Z412" t="s">
        <v>1502</v>
      </c>
      <c r="AA412" s="76" t="s">
        <v>173</v>
      </c>
      <c r="AB412" s="76">
        <v>0</v>
      </c>
      <c r="AC412" s="76">
        <v>0</v>
      </c>
      <c r="AD412" s="76">
        <v>2</v>
      </c>
      <c r="AE412" s="76">
        <v>0</v>
      </c>
      <c r="AF412" s="76">
        <v>0</v>
      </c>
      <c r="AG412" s="76">
        <v>7</v>
      </c>
      <c r="AH412" s="76">
        <v>6</v>
      </c>
      <c r="AI412" s="76">
        <v>0</v>
      </c>
      <c r="AJ412" s="76">
        <v>0</v>
      </c>
      <c r="AK412" s="76">
        <v>0</v>
      </c>
      <c r="AL412" s="76">
        <v>1</v>
      </c>
      <c r="AM412" s="76">
        <v>0</v>
      </c>
      <c r="AN412" s="76">
        <v>88</v>
      </c>
      <c r="AO412" s="202" t="s">
        <v>173</v>
      </c>
      <c r="AP412" s="202">
        <v>0.5</v>
      </c>
      <c r="AQ412" s="202">
        <v>0.86</v>
      </c>
      <c r="AR412" s="202">
        <v>0.29099999999999998</v>
      </c>
      <c r="AS412" s="202">
        <v>0.312</v>
      </c>
      <c r="AT412" s="202">
        <v>0.60299999999999998</v>
      </c>
      <c r="AU412" s="202">
        <v>10.96</v>
      </c>
      <c r="AV412" s="202">
        <v>2.62</v>
      </c>
      <c r="AW412" s="202">
        <v>7.36</v>
      </c>
      <c r="AX412" s="202">
        <v>4.1900000000000004</v>
      </c>
      <c r="AY412" s="202">
        <v>15.6</v>
      </c>
    </row>
    <row r="413" spans="1:51" ht="12.75" customHeight="1" x14ac:dyDescent="0.2">
      <c r="A413" s="76">
        <v>22</v>
      </c>
      <c r="B413" t="s">
        <v>1167</v>
      </c>
      <c r="C413" s="76" t="s">
        <v>173</v>
      </c>
      <c r="D413" s="76">
        <v>1</v>
      </c>
      <c r="E413" s="76">
        <v>2</v>
      </c>
      <c r="F413" s="76">
        <v>5.17</v>
      </c>
      <c r="G413" s="76">
        <v>8</v>
      </c>
      <c r="H413" s="76">
        <v>8</v>
      </c>
      <c r="I413" s="76">
        <v>0</v>
      </c>
      <c r="J413" s="76">
        <v>0</v>
      </c>
      <c r="K413" s="76">
        <v>0</v>
      </c>
      <c r="L413" s="76">
        <v>0</v>
      </c>
      <c r="M413" s="76">
        <v>38.1</v>
      </c>
      <c r="N413" s="76">
        <v>37</v>
      </c>
      <c r="O413" s="76">
        <v>24</v>
      </c>
      <c r="P413" s="76">
        <v>22</v>
      </c>
      <c r="Q413" s="76">
        <v>7</v>
      </c>
      <c r="R413" s="76">
        <v>14</v>
      </c>
      <c r="S413" s="76">
        <v>1</v>
      </c>
      <c r="T413" s="76">
        <v>39</v>
      </c>
      <c r="U413" s="76">
        <v>168</v>
      </c>
      <c r="V413" s="76">
        <v>38.1</v>
      </c>
      <c r="W413" s="76">
        <v>0.248</v>
      </c>
      <c r="X413" s="76">
        <v>1.33</v>
      </c>
      <c r="Y413" s="76"/>
      <c r="Z413" t="s">
        <v>1167</v>
      </c>
      <c r="AA413" s="76" t="s">
        <v>173</v>
      </c>
      <c r="AB413" s="76">
        <v>2</v>
      </c>
      <c r="AC413" s="76">
        <v>1</v>
      </c>
      <c r="AD413" s="76">
        <v>0</v>
      </c>
      <c r="AE413" s="76">
        <v>0</v>
      </c>
      <c r="AF413" s="76">
        <v>0</v>
      </c>
      <c r="AG413" s="76">
        <v>21</v>
      </c>
      <c r="AH413" s="76">
        <v>55</v>
      </c>
      <c r="AI413" s="76">
        <v>1</v>
      </c>
      <c r="AJ413" s="76">
        <v>0</v>
      </c>
      <c r="AK413" s="76">
        <v>2</v>
      </c>
      <c r="AL413" s="76">
        <v>1</v>
      </c>
      <c r="AM413" s="76">
        <v>0</v>
      </c>
      <c r="AN413" s="76">
        <v>674</v>
      </c>
    </row>
    <row r="414" spans="1:51" ht="12.75" customHeight="1" x14ac:dyDescent="0.2">
      <c r="A414" s="76">
        <v>24</v>
      </c>
      <c r="B414" t="s">
        <v>1505</v>
      </c>
      <c r="C414" s="76" t="s">
        <v>173</v>
      </c>
      <c r="D414" s="76">
        <v>0</v>
      </c>
      <c r="E414" s="76">
        <v>1</v>
      </c>
      <c r="F414" s="76">
        <v>6.75</v>
      </c>
      <c r="G414" s="76">
        <v>6</v>
      </c>
      <c r="H414" s="76">
        <v>4</v>
      </c>
      <c r="I414" s="76">
        <v>0</v>
      </c>
      <c r="J414" s="76">
        <v>0</v>
      </c>
      <c r="K414" s="76">
        <v>0</v>
      </c>
      <c r="L414" s="76">
        <v>0</v>
      </c>
      <c r="M414" s="76">
        <v>21.1</v>
      </c>
      <c r="N414" s="76">
        <v>26</v>
      </c>
      <c r="O414" s="76">
        <v>18</v>
      </c>
      <c r="P414" s="76">
        <v>16</v>
      </c>
      <c r="Q414" s="76">
        <v>7</v>
      </c>
      <c r="R414" s="76">
        <v>12</v>
      </c>
      <c r="S414" s="76">
        <v>0</v>
      </c>
      <c r="T414" s="76">
        <v>11</v>
      </c>
      <c r="U414" s="76">
        <v>101</v>
      </c>
      <c r="V414" s="76">
        <v>21.1</v>
      </c>
      <c r="W414" s="76">
        <v>0.29499999999999998</v>
      </c>
      <c r="X414" s="76">
        <v>1.78</v>
      </c>
      <c r="Y414" s="76"/>
      <c r="Z414" t="s">
        <v>1505</v>
      </c>
      <c r="AA414" s="76" t="s">
        <v>173</v>
      </c>
      <c r="AB414" s="76">
        <v>1</v>
      </c>
      <c r="AC414" s="76">
        <v>0</v>
      </c>
      <c r="AD414" s="76">
        <v>1</v>
      </c>
      <c r="AE414" s="76">
        <v>0</v>
      </c>
      <c r="AF414" s="76">
        <v>2</v>
      </c>
      <c r="AG414" s="76">
        <v>27</v>
      </c>
      <c r="AH414" s="76">
        <v>24</v>
      </c>
      <c r="AI414" s="76">
        <v>1</v>
      </c>
      <c r="AJ414" s="76">
        <v>1</v>
      </c>
      <c r="AK414" s="76">
        <v>0</v>
      </c>
      <c r="AL414" s="76">
        <v>0</v>
      </c>
      <c r="AM414" s="76">
        <v>0</v>
      </c>
      <c r="AN414" s="76">
        <v>398</v>
      </c>
    </row>
    <row r="415" spans="1:51" ht="12.75" customHeight="1" x14ac:dyDescent="0.2">
      <c r="A415" s="76">
        <v>21</v>
      </c>
      <c r="B415" t="s">
        <v>1504</v>
      </c>
      <c r="C415" s="76" t="s">
        <v>173</v>
      </c>
      <c r="D415" s="76">
        <v>2</v>
      </c>
      <c r="E415" s="76">
        <v>0</v>
      </c>
      <c r="F415" s="76">
        <v>5.03</v>
      </c>
      <c r="G415" s="76">
        <v>19</v>
      </c>
      <c r="H415" s="76">
        <v>0</v>
      </c>
      <c r="I415" s="76">
        <v>0</v>
      </c>
      <c r="J415" s="76">
        <v>0</v>
      </c>
      <c r="K415" s="76">
        <v>0</v>
      </c>
      <c r="L415" s="76">
        <v>2</v>
      </c>
      <c r="M415" s="76">
        <v>19.2</v>
      </c>
      <c r="N415" s="76">
        <v>15</v>
      </c>
      <c r="O415" s="76">
        <v>12</v>
      </c>
      <c r="P415" s="76">
        <v>11</v>
      </c>
      <c r="Q415" s="76">
        <v>3</v>
      </c>
      <c r="R415" s="76">
        <v>7</v>
      </c>
      <c r="S415" s="76">
        <v>1</v>
      </c>
      <c r="T415" s="76">
        <v>16</v>
      </c>
      <c r="U415" s="76">
        <v>83</v>
      </c>
      <c r="V415" s="76">
        <v>19.2</v>
      </c>
      <c r="W415" s="76">
        <v>0.2</v>
      </c>
      <c r="X415" s="76">
        <v>1.1200000000000001</v>
      </c>
      <c r="Y415" s="76"/>
      <c r="Z415" t="s">
        <v>1504</v>
      </c>
      <c r="AA415" s="76" t="s">
        <v>173</v>
      </c>
      <c r="AB415" s="76">
        <v>1</v>
      </c>
      <c r="AC415" s="76">
        <v>1</v>
      </c>
      <c r="AD415" s="76">
        <v>4</v>
      </c>
      <c r="AE415" s="76">
        <v>2</v>
      </c>
      <c r="AF415" s="76">
        <v>1</v>
      </c>
      <c r="AG415" s="76">
        <v>20</v>
      </c>
      <c r="AH415" s="76">
        <v>24</v>
      </c>
      <c r="AI415" s="76">
        <v>1</v>
      </c>
      <c r="AJ415" s="76">
        <v>0</v>
      </c>
      <c r="AK415" s="76">
        <v>0</v>
      </c>
      <c r="AL415" s="76">
        <v>1</v>
      </c>
      <c r="AM415" s="76">
        <v>0</v>
      </c>
      <c r="AN415" s="76">
        <v>312</v>
      </c>
    </row>
    <row r="416" spans="1:51" ht="12.75" customHeight="1" x14ac:dyDescent="0.2">
      <c r="A416" s="76">
        <v>18</v>
      </c>
      <c r="B416" s="41" t="s">
        <v>478</v>
      </c>
      <c r="C416" s="76" t="s">
        <v>173</v>
      </c>
      <c r="D416" s="76">
        <v>11</v>
      </c>
      <c r="E416" s="76">
        <v>11</v>
      </c>
      <c r="F416" s="76">
        <v>4.57</v>
      </c>
      <c r="G416" s="76">
        <v>32</v>
      </c>
      <c r="H416" s="76">
        <v>32</v>
      </c>
      <c r="I416" s="76">
        <v>0</v>
      </c>
      <c r="J416" s="76">
        <v>0</v>
      </c>
      <c r="K416" s="76">
        <v>0</v>
      </c>
      <c r="L416" s="76">
        <v>0</v>
      </c>
      <c r="M416" s="76">
        <v>177.1</v>
      </c>
      <c r="N416" s="76">
        <v>179</v>
      </c>
      <c r="O416" s="76">
        <v>98</v>
      </c>
      <c r="P416" s="76">
        <v>90</v>
      </c>
      <c r="Q416" s="76">
        <v>19</v>
      </c>
      <c r="R416" s="76">
        <v>59</v>
      </c>
      <c r="S416" s="76">
        <v>2</v>
      </c>
      <c r="T416" s="76">
        <v>171</v>
      </c>
      <c r="U416" s="76">
        <v>765</v>
      </c>
      <c r="V416" s="76">
        <v>177.1</v>
      </c>
      <c r="W416" s="76">
        <v>0.26200000000000001</v>
      </c>
      <c r="X416" s="76">
        <v>1.34</v>
      </c>
      <c r="Y416" s="76"/>
      <c r="Z416" t="s">
        <v>478</v>
      </c>
      <c r="AA416" s="76" t="s">
        <v>173</v>
      </c>
      <c r="AB416" s="76">
        <v>9</v>
      </c>
      <c r="AC416" s="76">
        <v>2</v>
      </c>
      <c r="AD416" s="76">
        <v>0</v>
      </c>
      <c r="AE416" s="76">
        <v>0</v>
      </c>
      <c r="AF416" s="76">
        <v>17</v>
      </c>
      <c r="AG416" s="76">
        <v>194</v>
      </c>
      <c r="AH416" s="76">
        <v>153</v>
      </c>
      <c r="AI416" s="76">
        <v>7</v>
      </c>
      <c r="AJ416" s="76">
        <v>0</v>
      </c>
      <c r="AK416" s="76">
        <v>11</v>
      </c>
      <c r="AL416" s="76">
        <v>4</v>
      </c>
      <c r="AM416" s="76">
        <v>1</v>
      </c>
      <c r="AN416" s="76">
        <v>3116</v>
      </c>
    </row>
    <row r="417" spans="1:51" ht="12.75" customHeight="1" x14ac:dyDescent="0.2">
      <c r="A417" s="76">
        <v>2</v>
      </c>
      <c r="B417" t="s">
        <v>1191</v>
      </c>
      <c r="C417" s="76" t="s">
        <v>173</v>
      </c>
      <c r="D417" s="76">
        <v>0</v>
      </c>
      <c r="E417" s="76">
        <v>0</v>
      </c>
      <c r="F417" s="76">
        <v>1.5</v>
      </c>
      <c r="G417" s="76">
        <v>9</v>
      </c>
      <c r="H417" s="76">
        <v>0</v>
      </c>
      <c r="I417" s="76">
        <v>0</v>
      </c>
      <c r="J417" s="76">
        <v>0</v>
      </c>
      <c r="K417" s="76">
        <v>0</v>
      </c>
      <c r="L417" s="76">
        <v>0</v>
      </c>
      <c r="M417" s="76">
        <v>6</v>
      </c>
      <c r="N417" s="76">
        <v>6</v>
      </c>
      <c r="O417" s="76">
        <v>1</v>
      </c>
      <c r="P417" s="76">
        <v>1</v>
      </c>
      <c r="Q417" s="76">
        <v>0</v>
      </c>
      <c r="R417" s="76">
        <v>3</v>
      </c>
      <c r="S417" s="76">
        <v>1</v>
      </c>
      <c r="T417" s="76">
        <v>6</v>
      </c>
      <c r="U417" s="76">
        <v>28</v>
      </c>
      <c r="V417" s="76">
        <v>6</v>
      </c>
      <c r="W417" s="76">
        <v>0.25</v>
      </c>
      <c r="X417" s="76">
        <v>1.5</v>
      </c>
      <c r="Y417" s="76"/>
      <c r="Z417" t="s">
        <v>1191</v>
      </c>
      <c r="AA417" s="76" t="s">
        <v>173</v>
      </c>
      <c r="AB417" s="76">
        <v>1</v>
      </c>
      <c r="AC417" s="76">
        <v>1</v>
      </c>
      <c r="AD417" s="76">
        <v>1</v>
      </c>
      <c r="AE417" s="76">
        <v>1</v>
      </c>
      <c r="AF417" s="76">
        <v>0</v>
      </c>
      <c r="AG417" s="76">
        <v>6</v>
      </c>
      <c r="AH417" s="76">
        <v>6</v>
      </c>
      <c r="AI417" s="76">
        <v>0</v>
      </c>
      <c r="AJ417" s="76">
        <v>0</v>
      </c>
      <c r="AK417" s="76">
        <v>0</v>
      </c>
      <c r="AL417" s="76">
        <v>0</v>
      </c>
      <c r="AM417" s="76">
        <v>0</v>
      </c>
      <c r="AN417" s="76">
        <v>102</v>
      </c>
      <c r="AO417" s="202" t="s">
        <v>173</v>
      </c>
      <c r="AP417" s="202">
        <v>1</v>
      </c>
      <c r="AQ417" s="202">
        <v>0.86</v>
      </c>
      <c r="AR417" s="202">
        <v>0.32100000000000001</v>
      </c>
      <c r="AS417" s="202">
        <v>0.53100000000000003</v>
      </c>
      <c r="AT417" s="202">
        <v>0.85199999999999998</v>
      </c>
      <c r="AU417" s="202">
        <v>18.239999999999998</v>
      </c>
      <c r="AV417" s="202">
        <v>3.65</v>
      </c>
      <c r="AW417" s="202">
        <v>8.76</v>
      </c>
      <c r="AX417" s="202">
        <v>5</v>
      </c>
      <c r="AY417" s="202">
        <v>20.03</v>
      </c>
    </row>
    <row r="418" spans="1:51" ht="12.75" customHeight="1" x14ac:dyDescent="0.2">
      <c r="A418" s="76">
        <v>1</v>
      </c>
      <c r="B418" t="s">
        <v>1164</v>
      </c>
      <c r="C418" s="76" t="s">
        <v>173</v>
      </c>
      <c r="D418" s="76">
        <v>0</v>
      </c>
      <c r="E418" s="76">
        <v>0</v>
      </c>
      <c r="F418" s="76">
        <v>0</v>
      </c>
      <c r="G418" s="76">
        <v>5</v>
      </c>
      <c r="H418" s="76">
        <v>0</v>
      </c>
      <c r="I418" s="76">
        <v>0</v>
      </c>
      <c r="J418" s="76">
        <v>0</v>
      </c>
      <c r="K418" s="76">
        <v>0</v>
      </c>
      <c r="L418" s="76">
        <v>0</v>
      </c>
      <c r="M418" s="76">
        <v>3</v>
      </c>
      <c r="N418" s="76">
        <v>1</v>
      </c>
      <c r="O418" s="76">
        <v>0</v>
      </c>
      <c r="P418" s="76">
        <v>0</v>
      </c>
      <c r="Q418" s="76">
        <v>0</v>
      </c>
      <c r="R418" s="76">
        <v>0</v>
      </c>
      <c r="S418" s="76">
        <v>0</v>
      </c>
      <c r="T418" s="76">
        <v>4</v>
      </c>
      <c r="U418" s="76">
        <v>10</v>
      </c>
      <c r="V418" s="76">
        <v>3</v>
      </c>
      <c r="W418" s="76">
        <v>0.1</v>
      </c>
      <c r="X418" s="76">
        <v>0.33</v>
      </c>
      <c r="Y418" s="76"/>
      <c r="Z418" t="s">
        <v>1164</v>
      </c>
      <c r="AA418" s="76" t="s">
        <v>173</v>
      </c>
      <c r="AB418" s="76">
        <v>0</v>
      </c>
      <c r="AC418" s="76">
        <v>0</v>
      </c>
      <c r="AD418" s="76">
        <v>1</v>
      </c>
      <c r="AE418" s="76">
        <v>0</v>
      </c>
      <c r="AF418" s="76">
        <v>0</v>
      </c>
      <c r="AG418" s="76">
        <v>3</v>
      </c>
      <c r="AH418" s="76">
        <v>2</v>
      </c>
      <c r="AI418" s="76">
        <v>0</v>
      </c>
      <c r="AJ418" s="76">
        <v>0</v>
      </c>
      <c r="AK418" s="76">
        <v>0</v>
      </c>
      <c r="AL418" s="76">
        <v>0</v>
      </c>
      <c r="AM418" s="76">
        <v>0</v>
      </c>
      <c r="AN418" s="76">
        <v>39</v>
      </c>
      <c r="AO418" s="202" t="s">
        <v>173</v>
      </c>
      <c r="AP418" s="202">
        <v>0</v>
      </c>
      <c r="AQ418" s="202">
        <v>1.35</v>
      </c>
      <c r="AR418" s="202">
        <v>0.34200000000000003</v>
      </c>
      <c r="AS418" s="202">
        <v>0.36199999999999999</v>
      </c>
      <c r="AT418" s="202">
        <v>0.70399999999999996</v>
      </c>
      <c r="AU418" s="202">
        <v>5.82</v>
      </c>
      <c r="AV418" s="202">
        <v>3.18</v>
      </c>
      <c r="AW418" s="202">
        <v>10.59</v>
      </c>
      <c r="AX418" s="202">
        <v>1.83</v>
      </c>
      <c r="AY418" s="202">
        <v>15</v>
      </c>
    </row>
    <row r="419" spans="1:51" ht="12.75" customHeight="1" x14ac:dyDescent="0.2">
      <c r="A419" s="76">
        <v>9</v>
      </c>
      <c r="B419" s="41" t="s">
        <v>587</v>
      </c>
      <c r="C419" s="76" t="s">
        <v>173</v>
      </c>
      <c r="D419" s="76">
        <v>3</v>
      </c>
      <c r="E419" s="76">
        <v>2</v>
      </c>
      <c r="F419" s="76">
        <v>2.64</v>
      </c>
      <c r="G419" s="76">
        <v>67</v>
      </c>
      <c r="H419" s="76">
        <v>0</v>
      </c>
      <c r="I419" s="76">
        <v>0</v>
      </c>
      <c r="J419" s="76">
        <v>0</v>
      </c>
      <c r="K419" s="76">
        <v>7</v>
      </c>
      <c r="L419" s="76">
        <v>9</v>
      </c>
      <c r="M419" s="76">
        <v>58</v>
      </c>
      <c r="N419" s="76">
        <v>41</v>
      </c>
      <c r="O419" s="76">
        <v>19</v>
      </c>
      <c r="P419" s="76">
        <v>17</v>
      </c>
      <c r="Q419" s="76">
        <v>9</v>
      </c>
      <c r="R419" s="76">
        <v>11</v>
      </c>
      <c r="S419" s="76">
        <v>2</v>
      </c>
      <c r="T419" s="76">
        <v>80</v>
      </c>
      <c r="U419" s="76">
        <v>224</v>
      </c>
      <c r="V419" s="76">
        <v>58</v>
      </c>
      <c r="W419" s="76">
        <v>0.19400000000000001</v>
      </c>
      <c r="X419" s="76">
        <v>0.9</v>
      </c>
      <c r="Y419" s="76"/>
      <c r="Z419" t="s">
        <v>587</v>
      </c>
      <c r="AA419" s="76" t="s">
        <v>173</v>
      </c>
      <c r="AB419" s="76">
        <v>0</v>
      </c>
      <c r="AC419" s="76">
        <v>2</v>
      </c>
      <c r="AD419" s="76">
        <v>26</v>
      </c>
      <c r="AE419" s="76">
        <v>13</v>
      </c>
      <c r="AF419" s="76">
        <v>1</v>
      </c>
      <c r="AG419" s="76">
        <v>36</v>
      </c>
      <c r="AH419" s="76">
        <v>56</v>
      </c>
      <c r="AI419" s="76">
        <v>2</v>
      </c>
      <c r="AJ419" s="76">
        <v>0</v>
      </c>
      <c r="AK419" s="76">
        <v>1</v>
      </c>
      <c r="AL419" s="76">
        <v>0</v>
      </c>
      <c r="AM419" s="76">
        <v>0</v>
      </c>
      <c r="AN419" s="76">
        <v>907</v>
      </c>
      <c r="AO419" s="202" t="s">
        <v>173</v>
      </c>
      <c r="AP419" s="202">
        <v>0.53800000000000003</v>
      </c>
      <c r="AQ419" s="202">
        <v>0.73</v>
      </c>
      <c r="AR419" s="202">
        <v>0.24199999999999999</v>
      </c>
      <c r="AS419" s="202">
        <v>0.35799999999999998</v>
      </c>
      <c r="AT419" s="202">
        <v>0.6</v>
      </c>
      <c r="AU419" s="202">
        <v>10.86</v>
      </c>
      <c r="AV419" s="202">
        <v>1.34</v>
      </c>
      <c r="AW419" s="202">
        <v>6.93</v>
      </c>
      <c r="AX419" s="202">
        <v>8.1199999999999992</v>
      </c>
      <c r="AY419" s="202">
        <v>14.69</v>
      </c>
    </row>
    <row r="420" spans="1:51" ht="12.75" customHeight="1" x14ac:dyDescent="0.2">
      <c r="A420" s="76">
        <v>23</v>
      </c>
      <c r="B420" s="41" t="s">
        <v>360</v>
      </c>
      <c r="C420" s="76" t="s">
        <v>173</v>
      </c>
      <c r="D420" s="76">
        <v>1</v>
      </c>
      <c r="E420" s="76">
        <v>1</v>
      </c>
      <c r="F420" s="76">
        <v>6.52</v>
      </c>
      <c r="G420" s="76">
        <v>6</v>
      </c>
      <c r="H420" s="76">
        <v>1</v>
      </c>
      <c r="I420" s="76">
        <v>0</v>
      </c>
      <c r="J420" s="76">
        <v>0</v>
      </c>
      <c r="K420" s="76">
        <v>0</v>
      </c>
      <c r="L420" s="76">
        <v>0</v>
      </c>
      <c r="M420" s="76">
        <v>9.1999999999999993</v>
      </c>
      <c r="N420" s="76">
        <v>11</v>
      </c>
      <c r="O420" s="76">
        <v>7</v>
      </c>
      <c r="P420" s="76">
        <v>7</v>
      </c>
      <c r="Q420" s="76">
        <v>1</v>
      </c>
      <c r="R420" s="76">
        <v>5</v>
      </c>
      <c r="S420" s="76">
        <v>0</v>
      </c>
      <c r="T420" s="76">
        <v>10</v>
      </c>
      <c r="U420" s="76">
        <v>44</v>
      </c>
      <c r="V420" s="76">
        <v>9.1999999999999993</v>
      </c>
      <c r="W420" s="76">
        <v>0.28899999999999998</v>
      </c>
      <c r="X420" s="76">
        <v>1.66</v>
      </c>
      <c r="Y420" s="76"/>
      <c r="Z420" t="s">
        <v>360</v>
      </c>
      <c r="AA420" s="76" t="s">
        <v>173</v>
      </c>
      <c r="AB420" s="76">
        <v>0</v>
      </c>
      <c r="AC420" s="76">
        <v>0</v>
      </c>
      <c r="AD420" s="76">
        <v>1</v>
      </c>
      <c r="AE420" s="76">
        <v>0</v>
      </c>
      <c r="AF420" s="76">
        <v>0</v>
      </c>
      <c r="AG420" s="76">
        <v>6</v>
      </c>
      <c r="AH420" s="76">
        <v>12</v>
      </c>
      <c r="AI420" s="76">
        <v>0</v>
      </c>
      <c r="AJ420" s="76">
        <v>0</v>
      </c>
      <c r="AK420" s="76">
        <v>1</v>
      </c>
      <c r="AL420" s="76">
        <v>1</v>
      </c>
      <c r="AM420" s="76">
        <v>0</v>
      </c>
      <c r="AN420" s="76">
        <v>177</v>
      </c>
    </row>
    <row r="421" spans="1:51" ht="12.75" customHeight="1" x14ac:dyDescent="0.2">
      <c r="A421" s="76">
        <v>19</v>
      </c>
      <c r="B421" t="s">
        <v>1503</v>
      </c>
      <c r="C421" s="76" t="s">
        <v>173</v>
      </c>
      <c r="D421" s="76">
        <v>5</v>
      </c>
      <c r="E421" s="76">
        <v>3</v>
      </c>
      <c r="F421" s="76">
        <v>4.91</v>
      </c>
      <c r="G421" s="76">
        <v>11</v>
      </c>
      <c r="H421" s="76">
        <v>6</v>
      </c>
      <c r="I421" s="76">
        <v>0</v>
      </c>
      <c r="J421" s="76">
        <v>0</v>
      </c>
      <c r="K421" s="76">
        <v>0</v>
      </c>
      <c r="L421" s="76">
        <v>0</v>
      </c>
      <c r="M421" s="76">
        <v>44</v>
      </c>
      <c r="N421" s="76">
        <v>47</v>
      </c>
      <c r="O421" s="76">
        <v>27</v>
      </c>
      <c r="P421" s="76">
        <v>24</v>
      </c>
      <c r="Q421" s="76">
        <v>4</v>
      </c>
      <c r="R421" s="76">
        <v>22</v>
      </c>
      <c r="S421" s="76">
        <v>2</v>
      </c>
      <c r="T421" s="76">
        <v>42</v>
      </c>
      <c r="U421" s="76">
        <v>201</v>
      </c>
      <c r="V421" s="76">
        <v>44</v>
      </c>
      <c r="W421" s="76">
        <v>0.27200000000000002</v>
      </c>
      <c r="X421" s="76">
        <v>1.57</v>
      </c>
      <c r="Y421" s="76"/>
      <c r="Z421" t="s">
        <v>1503</v>
      </c>
      <c r="AA421" s="76" t="s">
        <v>173</v>
      </c>
      <c r="AB421" s="76">
        <v>0</v>
      </c>
      <c r="AC421" s="76">
        <v>2</v>
      </c>
      <c r="AD421" s="76">
        <v>1</v>
      </c>
      <c r="AE421" s="76">
        <v>1</v>
      </c>
      <c r="AF421" s="76">
        <v>1</v>
      </c>
      <c r="AG421" s="76">
        <v>43</v>
      </c>
      <c r="AH421" s="76">
        <v>46</v>
      </c>
      <c r="AI421" s="76">
        <v>5</v>
      </c>
      <c r="AJ421" s="76">
        <v>0</v>
      </c>
      <c r="AK421" s="76">
        <v>1</v>
      </c>
      <c r="AL421" s="76">
        <v>0</v>
      </c>
      <c r="AM421" s="76">
        <v>0</v>
      </c>
      <c r="AN421" s="76">
        <v>806</v>
      </c>
    </row>
    <row r="422" spans="1:51" ht="12.75" customHeight="1" x14ac:dyDescent="0.2">
      <c r="A422" s="76">
        <v>8</v>
      </c>
      <c r="B422" t="s">
        <v>1165</v>
      </c>
      <c r="C422" s="76" t="s">
        <v>173</v>
      </c>
      <c r="D422" s="76">
        <v>0</v>
      </c>
      <c r="E422" s="76">
        <v>0</v>
      </c>
      <c r="F422" s="76">
        <v>2.4500000000000002</v>
      </c>
      <c r="G422" s="76">
        <v>8</v>
      </c>
      <c r="H422" s="76">
        <v>0</v>
      </c>
      <c r="I422" s="76">
        <v>0</v>
      </c>
      <c r="J422" s="76">
        <v>0</v>
      </c>
      <c r="K422" s="76">
        <v>0</v>
      </c>
      <c r="L422" s="76">
        <v>0</v>
      </c>
      <c r="M422" s="76">
        <v>3.2</v>
      </c>
      <c r="N422" s="76">
        <v>0</v>
      </c>
      <c r="O422" s="76">
        <v>1</v>
      </c>
      <c r="P422" s="76">
        <v>1</v>
      </c>
      <c r="Q422" s="76">
        <v>0</v>
      </c>
      <c r="R422" s="76">
        <v>1</v>
      </c>
      <c r="S422" s="76">
        <v>0</v>
      </c>
      <c r="T422" s="76">
        <v>5</v>
      </c>
      <c r="U422" s="76">
        <v>12</v>
      </c>
      <c r="V422" s="76">
        <v>3.2</v>
      </c>
      <c r="W422" s="76">
        <v>0</v>
      </c>
      <c r="X422" s="76">
        <v>0.27</v>
      </c>
      <c r="Y422" s="76"/>
      <c r="Z422" t="s">
        <v>1165</v>
      </c>
      <c r="AA422" s="76" t="s">
        <v>173</v>
      </c>
      <c r="AB422" s="76">
        <v>0</v>
      </c>
      <c r="AC422" s="76">
        <v>0</v>
      </c>
      <c r="AD422" s="76">
        <v>2</v>
      </c>
      <c r="AE422" s="76">
        <v>0</v>
      </c>
      <c r="AF422" s="76">
        <v>0</v>
      </c>
      <c r="AG422" s="76">
        <v>2</v>
      </c>
      <c r="AH422" s="76">
        <v>4</v>
      </c>
      <c r="AI422" s="76">
        <v>0</v>
      </c>
      <c r="AJ422" s="76">
        <v>0</v>
      </c>
      <c r="AK422" s="76">
        <v>0</v>
      </c>
      <c r="AL422" s="76">
        <v>0</v>
      </c>
      <c r="AM422" s="76">
        <v>0</v>
      </c>
      <c r="AN422" s="76">
        <v>59</v>
      </c>
      <c r="AO422" s="202" t="s">
        <v>173</v>
      </c>
      <c r="AP422" s="202">
        <v>0.5</v>
      </c>
      <c r="AQ422" s="202">
        <v>1.29</v>
      </c>
      <c r="AR422" s="202">
        <v>0.28000000000000003</v>
      </c>
      <c r="AS422" s="202">
        <v>0.34799999999999998</v>
      </c>
      <c r="AT422" s="202">
        <v>0.628</v>
      </c>
      <c r="AU422" s="202">
        <v>8.1</v>
      </c>
      <c r="AV422" s="202">
        <v>2.4700000000000002</v>
      </c>
      <c r="AW422" s="202">
        <v>7.51</v>
      </c>
      <c r="AX422" s="202">
        <v>3.29</v>
      </c>
      <c r="AY422" s="202">
        <v>15.04</v>
      </c>
    </row>
    <row r="423" spans="1:51" ht="12.75" customHeight="1" x14ac:dyDescent="0.2">
      <c r="A423" s="76">
        <v>5</v>
      </c>
      <c r="B423" s="41" t="s">
        <v>425</v>
      </c>
      <c r="C423" s="76" t="s">
        <v>173</v>
      </c>
      <c r="D423" s="76">
        <v>1</v>
      </c>
      <c r="E423" s="76">
        <v>1</v>
      </c>
      <c r="F423" s="76">
        <v>1.82</v>
      </c>
      <c r="G423" s="76">
        <v>30</v>
      </c>
      <c r="H423" s="76">
        <v>0</v>
      </c>
      <c r="I423" s="76">
        <v>0</v>
      </c>
      <c r="J423" s="76">
        <v>0</v>
      </c>
      <c r="K423" s="76">
        <v>17</v>
      </c>
      <c r="L423" s="76">
        <v>18</v>
      </c>
      <c r="M423" s="76">
        <v>29.2</v>
      </c>
      <c r="N423" s="76">
        <v>21</v>
      </c>
      <c r="O423" s="76">
        <v>6</v>
      </c>
      <c r="P423" s="76">
        <v>6</v>
      </c>
      <c r="Q423" s="76">
        <v>1</v>
      </c>
      <c r="R423" s="76">
        <v>3</v>
      </c>
      <c r="S423" s="76">
        <v>0</v>
      </c>
      <c r="T423" s="76">
        <v>27</v>
      </c>
      <c r="U423" s="76">
        <v>107</v>
      </c>
      <c r="V423" s="76">
        <v>29.2</v>
      </c>
      <c r="W423" s="76">
        <v>0.20200000000000001</v>
      </c>
      <c r="X423" s="76">
        <v>0.81</v>
      </c>
      <c r="Y423" s="76"/>
      <c r="Z423" t="s">
        <v>425</v>
      </c>
      <c r="AA423" s="76" t="s">
        <v>173</v>
      </c>
      <c r="AB423" s="76">
        <v>0</v>
      </c>
      <c r="AC423" s="76">
        <v>0</v>
      </c>
      <c r="AD423" s="76">
        <v>28</v>
      </c>
      <c r="AE423" s="76">
        <v>0</v>
      </c>
      <c r="AF423" s="76">
        <v>4</v>
      </c>
      <c r="AG423" s="76">
        <v>41</v>
      </c>
      <c r="AH423" s="76">
        <v>15</v>
      </c>
      <c r="AI423" s="76">
        <v>3</v>
      </c>
      <c r="AJ423" s="76">
        <v>0</v>
      </c>
      <c r="AK423" s="76">
        <v>0</v>
      </c>
      <c r="AL423" s="76">
        <v>0</v>
      </c>
      <c r="AM423" s="76">
        <v>0</v>
      </c>
      <c r="AN423" s="76">
        <v>418</v>
      </c>
      <c r="AO423" s="202" t="s">
        <v>173</v>
      </c>
      <c r="AP423" s="202">
        <v>0.66700000000000004</v>
      </c>
      <c r="AQ423" s="202">
        <v>1.1100000000000001</v>
      </c>
      <c r="AR423" s="202">
        <v>0.249</v>
      </c>
      <c r="AS423" s="202">
        <v>0.29499999999999998</v>
      </c>
      <c r="AT423" s="202">
        <v>0.54400000000000004</v>
      </c>
      <c r="AU423" s="202">
        <v>8.01</v>
      </c>
      <c r="AV423" s="202">
        <v>2.0499999999999998</v>
      </c>
      <c r="AW423" s="202">
        <v>6.52</v>
      </c>
      <c r="AX423" s="202">
        <v>3.91</v>
      </c>
      <c r="AY423" s="202">
        <v>15.74</v>
      </c>
    </row>
    <row r="424" spans="1:51" ht="12.75" customHeight="1" x14ac:dyDescent="0.2">
      <c r="A424" s="76">
        <v>15</v>
      </c>
      <c r="B424" s="41" t="s">
        <v>420</v>
      </c>
      <c r="C424" s="76" t="s">
        <v>173</v>
      </c>
      <c r="D424" s="76">
        <v>2</v>
      </c>
      <c r="E424" s="76">
        <v>4</v>
      </c>
      <c r="F424" s="76">
        <v>4.37</v>
      </c>
      <c r="G424" s="76">
        <v>37</v>
      </c>
      <c r="H424" s="76">
        <v>0</v>
      </c>
      <c r="I424" s="76">
        <v>0</v>
      </c>
      <c r="J424" s="76">
        <v>0</v>
      </c>
      <c r="K424" s="76">
        <v>19</v>
      </c>
      <c r="L424" s="76">
        <v>22</v>
      </c>
      <c r="M424" s="76">
        <v>35</v>
      </c>
      <c r="N424" s="76">
        <v>37</v>
      </c>
      <c r="O424" s="76">
        <v>18</v>
      </c>
      <c r="P424" s="76">
        <v>17</v>
      </c>
      <c r="Q424" s="76">
        <v>3</v>
      </c>
      <c r="R424" s="76">
        <v>14</v>
      </c>
      <c r="S424" s="76">
        <v>3</v>
      </c>
      <c r="T424" s="76">
        <v>31</v>
      </c>
      <c r="U424" s="76">
        <v>152</v>
      </c>
      <c r="V424" s="76">
        <v>35</v>
      </c>
      <c r="W424" s="76">
        <v>0.27</v>
      </c>
      <c r="X424" s="76">
        <v>1.46</v>
      </c>
      <c r="Y424" s="76"/>
      <c r="Z424" t="s">
        <v>420</v>
      </c>
      <c r="AA424" s="76" t="s">
        <v>173</v>
      </c>
      <c r="AB424" s="76">
        <v>0</v>
      </c>
      <c r="AC424" s="76">
        <v>3</v>
      </c>
      <c r="AD424" s="76">
        <v>30</v>
      </c>
      <c r="AE424" s="76">
        <v>1</v>
      </c>
      <c r="AF424" s="76">
        <v>5</v>
      </c>
      <c r="AG424" s="76">
        <v>28</v>
      </c>
      <c r="AH424" s="76">
        <v>42</v>
      </c>
      <c r="AI424" s="76">
        <v>1</v>
      </c>
      <c r="AJ424" s="76">
        <v>0</v>
      </c>
      <c r="AK424" s="76">
        <v>2</v>
      </c>
      <c r="AL424" s="76">
        <v>0</v>
      </c>
      <c r="AM424" s="76">
        <v>0</v>
      </c>
      <c r="AN424" s="76">
        <v>570</v>
      </c>
      <c r="AO424" s="202" t="s">
        <v>173</v>
      </c>
      <c r="AP424" s="202">
        <v>0.28599999999999998</v>
      </c>
      <c r="AQ424" s="202">
        <v>3.25</v>
      </c>
      <c r="AR424" s="202">
        <v>0.34399999999999997</v>
      </c>
      <c r="AS424" s="202">
        <v>0.34799999999999998</v>
      </c>
      <c r="AT424" s="202">
        <v>0.69199999999999995</v>
      </c>
      <c r="AU424" s="202">
        <v>8.65</v>
      </c>
      <c r="AV424" s="202">
        <v>4.26</v>
      </c>
      <c r="AW424" s="202">
        <v>8.25</v>
      </c>
      <c r="AX424" s="202">
        <v>2.0299999999999998</v>
      </c>
      <c r="AY424" s="202">
        <v>15.22</v>
      </c>
    </row>
    <row r="425" spans="1:51" ht="12.75" customHeight="1" x14ac:dyDescent="0.2">
      <c r="A425" s="76">
        <v>20</v>
      </c>
      <c r="B425" s="41" t="s">
        <v>609</v>
      </c>
      <c r="C425" s="76" t="s">
        <v>173</v>
      </c>
      <c r="D425" s="76">
        <v>2</v>
      </c>
      <c r="E425" s="76">
        <v>3</v>
      </c>
      <c r="F425" s="76">
        <v>4.95</v>
      </c>
      <c r="G425" s="76">
        <v>64</v>
      </c>
      <c r="H425" s="76">
        <v>0</v>
      </c>
      <c r="I425" s="76">
        <v>0</v>
      </c>
      <c r="J425" s="76">
        <v>0</v>
      </c>
      <c r="K425" s="76">
        <v>0</v>
      </c>
      <c r="L425" s="76">
        <v>1</v>
      </c>
      <c r="M425" s="76">
        <v>40</v>
      </c>
      <c r="N425" s="76">
        <v>38</v>
      </c>
      <c r="O425" s="76">
        <v>22</v>
      </c>
      <c r="P425" s="76">
        <v>22</v>
      </c>
      <c r="Q425" s="76">
        <v>4</v>
      </c>
      <c r="R425" s="76">
        <v>20</v>
      </c>
      <c r="S425" s="76">
        <v>3</v>
      </c>
      <c r="T425" s="76">
        <v>46</v>
      </c>
      <c r="U425" s="76">
        <v>182</v>
      </c>
      <c r="V425" s="76">
        <v>40</v>
      </c>
      <c r="W425" s="76">
        <v>0.248</v>
      </c>
      <c r="X425" s="76">
        <v>1.45</v>
      </c>
      <c r="Y425" s="76"/>
      <c r="Z425" t="s">
        <v>609</v>
      </c>
      <c r="AA425" s="76" t="s">
        <v>173</v>
      </c>
      <c r="AB425" s="76">
        <v>7</v>
      </c>
      <c r="AC425" s="76">
        <v>3</v>
      </c>
      <c r="AD425" s="76">
        <v>7</v>
      </c>
      <c r="AE425" s="76">
        <v>15</v>
      </c>
      <c r="AF425" s="76">
        <v>4</v>
      </c>
      <c r="AG425" s="76">
        <v>35</v>
      </c>
      <c r="AH425" s="76">
        <v>36</v>
      </c>
      <c r="AI425" s="76">
        <v>5</v>
      </c>
      <c r="AJ425" s="76">
        <v>0</v>
      </c>
      <c r="AK425" s="76">
        <v>2</v>
      </c>
      <c r="AL425" s="76">
        <v>0</v>
      </c>
      <c r="AM425" s="76">
        <v>0</v>
      </c>
      <c r="AN425" s="76">
        <v>723</v>
      </c>
    </row>
    <row r="426" spans="1:51" ht="12.75" customHeight="1" x14ac:dyDescent="0.2">
      <c r="A426" s="76">
        <v>16</v>
      </c>
      <c r="B426" s="41" t="s">
        <v>453</v>
      </c>
      <c r="C426" s="76" t="s">
        <v>173</v>
      </c>
      <c r="D426" s="76">
        <v>3</v>
      </c>
      <c r="E426" s="76">
        <v>5</v>
      </c>
      <c r="F426" s="76">
        <v>4.5</v>
      </c>
      <c r="G426" s="76">
        <v>36</v>
      </c>
      <c r="H426" s="76">
        <v>1</v>
      </c>
      <c r="I426" s="76">
        <v>0</v>
      </c>
      <c r="J426" s="76">
        <v>0</v>
      </c>
      <c r="K426" s="76">
        <v>1</v>
      </c>
      <c r="L426" s="76">
        <v>2</v>
      </c>
      <c r="M426" s="76">
        <v>62</v>
      </c>
      <c r="N426" s="76">
        <v>67</v>
      </c>
      <c r="O426" s="76">
        <v>33</v>
      </c>
      <c r="P426" s="76">
        <v>31</v>
      </c>
      <c r="Q426" s="76">
        <v>12</v>
      </c>
      <c r="R426" s="76">
        <v>15</v>
      </c>
      <c r="S426" s="76">
        <v>3</v>
      </c>
      <c r="T426" s="76">
        <v>49</v>
      </c>
      <c r="U426" s="76">
        <v>265</v>
      </c>
      <c r="V426" s="76">
        <v>62</v>
      </c>
      <c r="W426" s="76">
        <v>0.27200000000000002</v>
      </c>
      <c r="X426" s="76">
        <v>1.32</v>
      </c>
      <c r="Y426" s="76"/>
      <c r="Z426" t="s">
        <v>453</v>
      </c>
      <c r="AA426" s="76" t="s">
        <v>173</v>
      </c>
      <c r="AB426" s="76">
        <v>0</v>
      </c>
      <c r="AC426" s="76">
        <v>3</v>
      </c>
      <c r="AD426" s="76">
        <v>16</v>
      </c>
      <c r="AE426" s="76">
        <v>1</v>
      </c>
      <c r="AF426" s="76">
        <v>4</v>
      </c>
      <c r="AG426" s="76">
        <v>61</v>
      </c>
      <c r="AH426" s="76">
        <v>73</v>
      </c>
      <c r="AI426" s="76">
        <v>3</v>
      </c>
      <c r="AJ426" s="76">
        <v>1</v>
      </c>
      <c r="AK426" s="76">
        <v>3</v>
      </c>
      <c r="AL426" s="76">
        <v>0</v>
      </c>
      <c r="AM426" s="76">
        <v>0</v>
      </c>
      <c r="AN426" s="76">
        <v>969</v>
      </c>
      <c r="AO426" s="202" t="s">
        <v>173</v>
      </c>
      <c r="AP426" s="202">
        <v>0.56499999999999995</v>
      </c>
      <c r="AQ426" s="202">
        <v>0.97</v>
      </c>
      <c r="AR426" s="202">
        <v>0.30499999999999999</v>
      </c>
      <c r="AS426" s="202">
        <v>0.39400000000000002</v>
      </c>
      <c r="AT426" s="202">
        <v>0.69899999999999995</v>
      </c>
      <c r="AU426" s="202">
        <v>7.32</v>
      </c>
      <c r="AV426" s="202">
        <v>1.74</v>
      </c>
      <c r="AW426" s="202">
        <v>9.1</v>
      </c>
      <c r="AX426" s="202">
        <v>4.21</v>
      </c>
      <c r="AY426" s="202">
        <v>15.39</v>
      </c>
    </row>
    <row r="427" spans="1:51" ht="12.75" customHeight="1" x14ac:dyDescent="0.2">
      <c r="A427" s="76">
        <v>17</v>
      </c>
      <c r="B427" t="s">
        <v>1161</v>
      </c>
      <c r="C427" s="76" t="s">
        <v>173</v>
      </c>
      <c r="D427" s="76">
        <v>0</v>
      </c>
      <c r="E427" s="76">
        <v>3</v>
      </c>
      <c r="F427" s="76">
        <v>4.53</v>
      </c>
      <c r="G427" s="76">
        <v>47</v>
      </c>
      <c r="H427" s="76">
        <v>0</v>
      </c>
      <c r="I427" s="76">
        <v>0</v>
      </c>
      <c r="J427" s="76">
        <v>0</v>
      </c>
      <c r="K427" s="76">
        <v>1</v>
      </c>
      <c r="L427" s="76">
        <v>2</v>
      </c>
      <c r="M427" s="76">
        <v>49.2</v>
      </c>
      <c r="N427" s="76">
        <v>43</v>
      </c>
      <c r="O427" s="76">
        <v>26</v>
      </c>
      <c r="P427" s="76">
        <v>25</v>
      </c>
      <c r="Q427" s="76">
        <v>4</v>
      </c>
      <c r="R427" s="76">
        <v>15</v>
      </c>
      <c r="S427" s="76">
        <v>2</v>
      </c>
      <c r="T427" s="76">
        <v>53</v>
      </c>
      <c r="U427" s="76">
        <v>203</v>
      </c>
      <c r="V427" s="76">
        <v>49.2</v>
      </c>
      <c r="W427" s="76">
        <v>0.23599999999999999</v>
      </c>
      <c r="X427" s="76">
        <v>1.17</v>
      </c>
      <c r="Y427" s="76"/>
      <c r="Z427" t="s">
        <v>1161</v>
      </c>
      <c r="AA427" s="76" t="s">
        <v>173</v>
      </c>
      <c r="AB427" s="76">
        <v>5</v>
      </c>
      <c r="AC427" s="76">
        <v>2</v>
      </c>
      <c r="AD427" s="76">
        <v>8</v>
      </c>
      <c r="AE427" s="76">
        <v>16</v>
      </c>
      <c r="AF427" s="76">
        <v>8</v>
      </c>
      <c r="AG427" s="76">
        <v>51</v>
      </c>
      <c r="AH427" s="76">
        <v>36</v>
      </c>
      <c r="AI427" s="76">
        <v>1</v>
      </c>
      <c r="AJ427" s="76">
        <v>0</v>
      </c>
      <c r="AK427" s="76">
        <v>0</v>
      </c>
      <c r="AL427" s="76">
        <v>1</v>
      </c>
      <c r="AM427" s="76">
        <v>1</v>
      </c>
      <c r="AN427" s="76">
        <v>796</v>
      </c>
    </row>
    <row r="428" spans="1:51" ht="12.75" customHeight="1" x14ac:dyDescent="0.2">
      <c r="A428" s="76">
        <v>10</v>
      </c>
      <c r="B428" s="41" t="s">
        <v>473</v>
      </c>
      <c r="C428" s="76" t="s">
        <v>173</v>
      </c>
      <c r="D428" s="76">
        <v>16</v>
      </c>
      <c r="E428" s="76">
        <v>10</v>
      </c>
      <c r="F428" s="76">
        <v>2.83</v>
      </c>
      <c r="G428" s="76">
        <v>34</v>
      </c>
      <c r="H428" s="76">
        <v>33</v>
      </c>
      <c r="I428" s="76">
        <v>0</v>
      </c>
      <c r="J428" s="76">
        <v>0</v>
      </c>
      <c r="K428" s="76">
        <v>0</v>
      </c>
      <c r="L428" s="76">
        <v>0</v>
      </c>
      <c r="M428" s="76">
        <v>210</v>
      </c>
      <c r="N428" s="76">
        <v>173</v>
      </c>
      <c r="O428" s="76">
        <v>72</v>
      </c>
      <c r="P428" s="76">
        <v>66</v>
      </c>
      <c r="Q428" s="76">
        <v>17</v>
      </c>
      <c r="R428" s="76">
        <v>73</v>
      </c>
      <c r="S428" s="76">
        <v>4</v>
      </c>
      <c r="T428" s="76">
        <v>172</v>
      </c>
      <c r="U428" s="76">
        <v>855</v>
      </c>
      <c r="V428" s="76">
        <v>210</v>
      </c>
      <c r="W428" s="76">
        <v>0.22800000000000001</v>
      </c>
      <c r="X428" s="76">
        <v>1.17</v>
      </c>
      <c r="Y428" s="76"/>
      <c r="Z428" t="s">
        <v>473</v>
      </c>
      <c r="AA428" s="76" t="s">
        <v>173</v>
      </c>
      <c r="AB428" s="76">
        <v>13</v>
      </c>
      <c r="AC428" s="76">
        <v>4</v>
      </c>
      <c r="AD428" s="76">
        <v>0</v>
      </c>
      <c r="AE428" s="76">
        <v>1</v>
      </c>
      <c r="AF428" s="76">
        <v>28</v>
      </c>
      <c r="AG428" s="76">
        <v>238</v>
      </c>
      <c r="AH428" s="76">
        <v>186</v>
      </c>
      <c r="AI428" s="76">
        <v>6</v>
      </c>
      <c r="AJ428" s="76">
        <v>1</v>
      </c>
      <c r="AK428" s="76">
        <v>16</v>
      </c>
      <c r="AL428" s="76">
        <v>7</v>
      </c>
      <c r="AM428" s="76">
        <v>0</v>
      </c>
      <c r="AN428" s="76">
        <v>3355</v>
      </c>
      <c r="AO428" s="202" t="s">
        <v>173</v>
      </c>
      <c r="AP428" s="202">
        <v>0.5</v>
      </c>
      <c r="AQ428" s="202">
        <v>0.96</v>
      </c>
      <c r="AR428" s="202">
        <v>0.32300000000000001</v>
      </c>
      <c r="AS428" s="202">
        <v>0.39500000000000002</v>
      </c>
      <c r="AT428" s="202">
        <v>0.71799999999999997</v>
      </c>
      <c r="AU428" s="202">
        <v>7.17</v>
      </c>
      <c r="AV428" s="202">
        <v>1.69</v>
      </c>
      <c r="AW428" s="202">
        <v>10.55</v>
      </c>
      <c r="AX428" s="202">
        <v>4.25</v>
      </c>
      <c r="AY428" s="202">
        <v>17.11</v>
      </c>
    </row>
    <row r="429" spans="1:51" ht="12.75" customHeight="1" x14ac:dyDescent="0.2">
      <c r="A429" s="76">
        <v>13</v>
      </c>
      <c r="B429" s="41" t="s">
        <v>1163</v>
      </c>
      <c r="C429" s="76" t="s">
        <v>173</v>
      </c>
      <c r="D429" s="76">
        <v>7</v>
      </c>
      <c r="E429" s="76">
        <v>5</v>
      </c>
      <c r="F429" s="76">
        <v>3.43</v>
      </c>
      <c r="G429" s="76">
        <v>19</v>
      </c>
      <c r="H429" s="76">
        <v>19</v>
      </c>
      <c r="I429" s="76">
        <v>0</v>
      </c>
      <c r="J429" s="76">
        <v>0</v>
      </c>
      <c r="K429" s="76">
        <v>0</v>
      </c>
      <c r="L429" s="76">
        <v>0</v>
      </c>
      <c r="M429" s="76">
        <v>105</v>
      </c>
      <c r="N429" s="76">
        <v>108</v>
      </c>
      <c r="O429" s="76">
        <v>43</v>
      </c>
      <c r="P429" s="76">
        <v>40</v>
      </c>
      <c r="Q429" s="76">
        <v>9</v>
      </c>
      <c r="R429" s="76">
        <v>29</v>
      </c>
      <c r="S429" s="76">
        <v>3</v>
      </c>
      <c r="T429" s="76">
        <v>93</v>
      </c>
      <c r="U429" s="76">
        <v>447</v>
      </c>
      <c r="V429" s="76">
        <v>105</v>
      </c>
      <c r="W429" s="76">
        <v>0.26900000000000002</v>
      </c>
      <c r="X429" s="76">
        <v>1.3</v>
      </c>
      <c r="Y429" s="76"/>
      <c r="Z429" t="s">
        <v>1163</v>
      </c>
      <c r="AA429" s="76" t="s">
        <v>173</v>
      </c>
      <c r="AB429" s="76">
        <v>6</v>
      </c>
      <c r="AC429" s="76">
        <v>3</v>
      </c>
      <c r="AD429" s="76">
        <v>0</v>
      </c>
      <c r="AE429" s="76">
        <v>0</v>
      </c>
      <c r="AF429" s="76">
        <v>10</v>
      </c>
      <c r="AG429" s="76">
        <v>102</v>
      </c>
      <c r="AH429" s="76">
        <v>109</v>
      </c>
      <c r="AI429" s="76">
        <v>2</v>
      </c>
      <c r="AJ429" s="76">
        <v>0</v>
      </c>
      <c r="AK429" s="76">
        <v>2</v>
      </c>
      <c r="AL429" s="76">
        <v>2</v>
      </c>
      <c r="AM429" s="76">
        <v>0</v>
      </c>
      <c r="AN429" s="76">
        <v>1708</v>
      </c>
      <c r="AO429" s="202" t="s">
        <v>173</v>
      </c>
      <c r="AP429" s="202">
        <v>0.61099999999999999</v>
      </c>
      <c r="AQ429" s="202">
        <v>0.96</v>
      </c>
      <c r="AR429" s="202">
        <v>0.27800000000000002</v>
      </c>
      <c r="AS429" s="202">
        <v>0.375</v>
      </c>
      <c r="AT429" s="202">
        <v>0.65300000000000002</v>
      </c>
      <c r="AU429" s="202">
        <v>10.96</v>
      </c>
      <c r="AV429" s="202">
        <v>1.84</v>
      </c>
      <c r="AW429" s="202">
        <v>8.1300000000000008</v>
      </c>
      <c r="AX429" s="202">
        <v>5.96</v>
      </c>
      <c r="AY429" s="202">
        <v>16.04</v>
      </c>
    </row>
    <row r="430" spans="1:51" ht="12.75" customHeight="1" x14ac:dyDescent="0.2">
      <c r="A430" s="76">
        <v>3</v>
      </c>
      <c r="B430" s="41" t="s">
        <v>471</v>
      </c>
      <c r="C430" s="76" t="s">
        <v>173</v>
      </c>
      <c r="D430" s="76">
        <v>0</v>
      </c>
      <c r="E430" s="76">
        <v>0</v>
      </c>
      <c r="F430" s="76">
        <v>1.54</v>
      </c>
      <c r="G430" s="76">
        <v>14</v>
      </c>
      <c r="H430" s="76">
        <v>0</v>
      </c>
      <c r="I430" s="76">
        <v>0</v>
      </c>
      <c r="J430" s="76">
        <v>0</v>
      </c>
      <c r="K430" s="76">
        <v>0</v>
      </c>
      <c r="L430" s="76">
        <v>0</v>
      </c>
      <c r="M430" s="76">
        <v>11.2</v>
      </c>
      <c r="N430" s="76">
        <v>8</v>
      </c>
      <c r="O430" s="76">
        <v>3</v>
      </c>
      <c r="P430" s="76">
        <v>2</v>
      </c>
      <c r="Q430" s="76">
        <v>0</v>
      </c>
      <c r="R430" s="76">
        <v>5</v>
      </c>
      <c r="S430" s="76">
        <v>2</v>
      </c>
      <c r="T430" s="76">
        <v>9</v>
      </c>
      <c r="U430" s="76">
        <v>46</v>
      </c>
      <c r="V430" s="76">
        <v>11.2</v>
      </c>
      <c r="W430" s="76">
        <v>0.216</v>
      </c>
      <c r="X430" s="76">
        <v>1.1100000000000001</v>
      </c>
      <c r="Y430" s="76"/>
      <c r="Z430" t="s">
        <v>471</v>
      </c>
      <c r="AA430" s="76" t="s">
        <v>173</v>
      </c>
      <c r="AB430" s="76">
        <v>2</v>
      </c>
      <c r="AC430" s="76">
        <v>2</v>
      </c>
      <c r="AD430" s="76">
        <v>0</v>
      </c>
      <c r="AE430" s="76">
        <v>5</v>
      </c>
      <c r="AF430" s="76">
        <v>2</v>
      </c>
      <c r="AG430" s="76">
        <v>14</v>
      </c>
      <c r="AH430" s="76">
        <v>8</v>
      </c>
      <c r="AI430" s="76">
        <v>0</v>
      </c>
      <c r="AJ430" s="76">
        <v>0</v>
      </c>
      <c r="AK430" s="76">
        <v>0</v>
      </c>
      <c r="AL430" s="76">
        <v>1</v>
      </c>
      <c r="AM430" s="76">
        <v>0</v>
      </c>
      <c r="AN430" s="76">
        <v>172</v>
      </c>
      <c r="AO430" s="202" t="s">
        <v>173</v>
      </c>
      <c r="AP430" s="202" t="s">
        <v>243</v>
      </c>
      <c r="AQ430" s="202">
        <v>1</v>
      </c>
      <c r="AR430" s="202">
        <v>0.33300000000000002</v>
      </c>
      <c r="AS430" s="202">
        <v>0</v>
      </c>
      <c r="AT430" s="202">
        <v>0.33300000000000002</v>
      </c>
      <c r="AU430" s="202">
        <v>0</v>
      </c>
      <c r="AV430" s="202">
        <v>0</v>
      </c>
      <c r="AW430" s="202">
        <v>0</v>
      </c>
      <c r="AX430" s="202" t="s">
        <v>243</v>
      </c>
      <c r="AY430" s="202">
        <v>7.5</v>
      </c>
    </row>
    <row r="431" spans="1:51" ht="12.75" customHeight="1" x14ac:dyDescent="0.2">
      <c r="A431" s="76">
        <v>11</v>
      </c>
      <c r="B431" s="41" t="s">
        <v>538</v>
      </c>
      <c r="C431" s="76" t="s">
        <v>173</v>
      </c>
      <c r="D431" s="76">
        <v>20</v>
      </c>
      <c r="E431" s="76">
        <v>7</v>
      </c>
      <c r="F431" s="76">
        <v>2.96</v>
      </c>
      <c r="G431" s="76">
        <v>34</v>
      </c>
      <c r="H431" s="76">
        <v>34</v>
      </c>
      <c r="I431" s="76">
        <v>1</v>
      </c>
      <c r="J431" s="76">
        <v>0</v>
      </c>
      <c r="K431" s="76">
        <v>0</v>
      </c>
      <c r="L431" s="76">
        <v>0</v>
      </c>
      <c r="M431" s="76">
        <v>228.1</v>
      </c>
      <c r="N431" s="76">
        <v>165</v>
      </c>
      <c r="O431" s="76">
        <v>77</v>
      </c>
      <c r="P431" s="76">
        <v>75</v>
      </c>
      <c r="Q431" s="76">
        <v>31</v>
      </c>
      <c r="R431" s="76">
        <v>56</v>
      </c>
      <c r="S431" s="76">
        <v>2</v>
      </c>
      <c r="T431" s="76">
        <v>284</v>
      </c>
      <c r="U431" s="76">
        <v>902</v>
      </c>
      <c r="V431" s="76">
        <v>228.1</v>
      </c>
      <c r="W431" s="76">
        <v>0.19900000000000001</v>
      </c>
      <c r="X431" s="76">
        <v>0.97</v>
      </c>
      <c r="Y431" s="76"/>
      <c r="Z431" t="s">
        <v>538</v>
      </c>
      <c r="AA431" s="76" t="s">
        <v>173</v>
      </c>
      <c r="AB431" s="76">
        <v>6</v>
      </c>
      <c r="AC431" s="76">
        <v>2</v>
      </c>
      <c r="AD431" s="76">
        <v>0</v>
      </c>
      <c r="AE431" s="76">
        <v>0</v>
      </c>
      <c r="AF431" s="76">
        <v>6</v>
      </c>
      <c r="AG431" s="76">
        <v>157</v>
      </c>
      <c r="AH431" s="76">
        <v>233</v>
      </c>
      <c r="AI431" s="76">
        <v>2</v>
      </c>
      <c r="AJ431" s="76">
        <v>1</v>
      </c>
      <c r="AK431" s="76">
        <v>8</v>
      </c>
      <c r="AL431" s="76">
        <v>3</v>
      </c>
      <c r="AM431" s="76">
        <v>1</v>
      </c>
      <c r="AN431" s="76">
        <v>3563</v>
      </c>
      <c r="AO431" s="202" t="s">
        <v>173</v>
      </c>
      <c r="AP431" s="202" t="s">
        <v>243</v>
      </c>
      <c r="AQ431" s="202">
        <v>1.25</v>
      </c>
      <c r="AR431" s="202">
        <v>0.29399999999999998</v>
      </c>
      <c r="AS431" s="202">
        <v>0.23100000000000001</v>
      </c>
      <c r="AT431" s="202">
        <v>0.52500000000000002</v>
      </c>
      <c r="AU431" s="202">
        <v>6.75</v>
      </c>
      <c r="AV431" s="202">
        <v>6.75</v>
      </c>
      <c r="AW431" s="202">
        <v>4.5</v>
      </c>
      <c r="AX431" s="202">
        <v>1</v>
      </c>
      <c r="AY431" s="202">
        <v>16.25</v>
      </c>
    </row>
    <row r="432" spans="1:51" ht="12.75" customHeight="1" x14ac:dyDescent="0.2">
      <c r="A432" s="76">
        <v>7</v>
      </c>
      <c r="B432" s="41" t="s">
        <v>1162</v>
      </c>
      <c r="C432" s="76" t="s">
        <v>173</v>
      </c>
      <c r="D432" s="76">
        <v>2</v>
      </c>
      <c r="E432" s="76">
        <v>4</v>
      </c>
      <c r="F432" s="76">
        <v>2.41</v>
      </c>
      <c r="G432" s="76">
        <v>37</v>
      </c>
      <c r="H432" s="76">
        <v>0</v>
      </c>
      <c r="I432" s="76">
        <v>0</v>
      </c>
      <c r="J432" s="76">
        <v>0</v>
      </c>
      <c r="K432" s="76">
        <v>0</v>
      </c>
      <c r="L432" s="76">
        <v>1</v>
      </c>
      <c r="M432" s="76">
        <v>41</v>
      </c>
      <c r="N432" s="76">
        <v>31</v>
      </c>
      <c r="O432" s="76">
        <v>12</v>
      </c>
      <c r="P432" s="76">
        <v>11</v>
      </c>
      <c r="Q432" s="76">
        <v>1</v>
      </c>
      <c r="R432" s="76">
        <v>21</v>
      </c>
      <c r="S432" s="76">
        <v>2</v>
      </c>
      <c r="T432" s="76">
        <v>47</v>
      </c>
      <c r="U432" s="76">
        <v>172</v>
      </c>
      <c r="V432" s="76">
        <v>41</v>
      </c>
      <c r="W432" s="76">
        <v>0.21099999999999999</v>
      </c>
      <c r="X432" s="76">
        <v>1.27</v>
      </c>
      <c r="Y432" s="76"/>
      <c r="Z432" t="s">
        <v>1162</v>
      </c>
      <c r="AA432" s="76" t="s">
        <v>173</v>
      </c>
      <c r="AB432" s="76">
        <v>1</v>
      </c>
      <c r="AC432" s="76">
        <v>2</v>
      </c>
      <c r="AD432" s="76">
        <v>10</v>
      </c>
      <c r="AE432" s="76">
        <v>9</v>
      </c>
      <c r="AF432" s="76">
        <v>3</v>
      </c>
      <c r="AG432" s="76">
        <v>34</v>
      </c>
      <c r="AH432" s="76">
        <v>38</v>
      </c>
      <c r="AI432" s="76">
        <v>2</v>
      </c>
      <c r="AJ432" s="76">
        <v>0</v>
      </c>
      <c r="AK432" s="76">
        <v>0</v>
      </c>
      <c r="AL432" s="76">
        <v>1</v>
      </c>
      <c r="AM432" s="76">
        <v>0</v>
      </c>
      <c r="AN432" s="76">
        <v>663</v>
      </c>
      <c r="AO432" s="202" t="s">
        <v>173</v>
      </c>
      <c r="AP432" s="202" t="s">
        <v>243</v>
      </c>
      <c r="AQ432" s="202">
        <v>1</v>
      </c>
      <c r="AR432" s="202">
        <v>0.25</v>
      </c>
      <c r="AS432" s="202">
        <v>0.25</v>
      </c>
      <c r="AT432" s="202">
        <v>0.5</v>
      </c>
      <c r="AU432" s="202">
        <v>9</v>
      </c>
      <c r="AV432" s="202">
        <v>0</v>
      </c>
      <c r="AW432" s="202">
        <v>9</v>
      </c>
      <c r="AX432" s="202" t="s">
        <v>243</v>
      </c>
      <c r="AY432" s="202">
        <v>9</v>
      </c>
    </row>
    <row r="433" spans="1:51" ht="12.75" customHeight="1" x14ac:dyDescent="0.2">
      <c r="A433" s="76">
        <v>14</v>
      </c>
      <c r="B433" s="41" t="s">
        <v>475</v>
      </c>
      <c r="C433" s="76" t="s">
        <v>173</v>
      </c>
      <c r="D433" s="76">
        <v>15</v>
      </c>
      <c r="E433" s="76">
        <v>4</v>
      </c>
      <c r="F433" s="76">
        <v>3.6</v>
      </c>
      <c r="G433" s="76">
        <v>24</v>
      </c>
      <c r="H433" s="76">
        <v>24</v>
      </c>
      <c r="I433" s="76">
        <v>0</v>
      </c>
      <c r="J433" s="76">
        <v>0</v>
      </c>
      <c r="K433" s="76">
        <v>0</v>
      </c>
      <c r="L433" s="76">
        <v>0</v>
      </c>
      <c r="M433" s="76">
        <v>147.19999999999999</v>
      </c>
      <c r="N433" s="76">
        <v>119</v>
      </c>
      <c r="O433" s="76">
        <v>59</v>
      </c>
      <c r="P433" s="76">
        <v>59</v>
      </c>
      <c r="Q433" s="76">
        <v>15</v>
      </c>
      <c r="R433" s="76">
        <v>44</v>
      </c>
      <c r="S433" s="76">
        <v>1</v>
      </c>
      <c r="T433" s="76">
        <v>183</v>
      </c>
      <c r="U433" s="76">
        <v>598</v>
      </c>
      <c r="V433" s="76">
        <v>147.19999999999999</v>
      </c>
      <c r="W433" s="76">
        <v>0.218</v>
      </c>
      <c r="X433" s="76">
        <v>1.1000000000000001</v>
      </c>
      <c r="Y433" s="76"/>
      <c r="Z433" t="s">
        <v>475</v>
      </c>
      <c r="AA433" s="76" t="s">
        <v>173</v>
      </c>
      <c r="AB433" s="76">
        <v>2</v>
      </c>
      <c r="AC433" s="76">
        <v>1</v>
      </c>
      <c r="AD433" s="76">
        <v>0</v>
      </c>
      <c r="AE433" s="76">
        <v>0</v>
      </c>
      <c r="AF433" s="76">
        <v>7</v>
      </c>
      <c r="AG433" s="76">
        <v>112</v>
      </c>
      <c r="AH433" s="76">
        <v>138</v>
      </c>
      <c r="AI433" s="76">
        <v>2</v>
      </c>
      <c r="AJ433" s="76">
        <v>0</v>
      </c>
      <c r="AK433" s="76">
        <v>3</v>
      </c>
      <c r="AL433" s="76">
        <v>3</v>
      </c>
      <c r="AM433" s="76">
        <v>0</v>
      </c>
      <c r="AN433" s="76">
        <v>2385</v>
      </c>
      <c r="AO433" s="202" t="s">
        <v>173</v>
      </c>
      <c r="AP433" s="202">
        <v>0.66700000000000004</v>
      </c>
      <c r="AQ433" s="202">
        <v>0.98</v>
      </c>
      <c r="AR433" s="202">
        <v>0.26600000000000001</v>
      </c>
      <c r="AS433" s="202">
        <v>0.314</v>
      </c>
      <c r="AT433" s="202">
        <v>0.57999999999999996</v>
      </c>
      <c r="AU433" s="202">
        <v>5.01</v>
      </c>
      <c r="AV433" s="202">
        <v>2.4</v>
      </c>
      <c r="AW433" s="202">
        <v>7.19</v>
      </c>
      <c r="AX433" s="202">
        <v>2.09</v>
      </c>
      <c r="AY433" s="202">
        <v>14.35</v>
      </c>
    </row>
    <row r="434" spans="1:51" ht="12.75" customHeight="1" x14ac:dyDescent="0.2">
      <c r="A434" s="76">
        <v>6</v>
      </c>
      <c r="B434" s="41" t="s">
        <v>787</v>
      </c>
      <c r="C434" s="76" t="s">
        <v>173</v>
      </c>
      <c r="D434" s="76">
        <v>4</v>
      </c>
      <c r="E434" s="76">
        <v>1</v>
      </c>
      <c r="F434" s="76">
        <v>2.2799999999999998</v>
      </c>
      <c r="G434" s="76">
        <v>73</v>
      </c>
      <c r="H434" s="76">
        <v>0</v>
      </c>
      <c r="I434" s="76">
        <v>0</v>
      </c>
      <c r="J434" s="76">
        <v>0</v>
      </c>
      <c r="K434" s="76">
        <v>1</v>
      </c>
      <c r="L434" s="76">
        <v>3</v>
      </c>
      <c r="M434" s="76">
        <v>67</v>
      </c>
      <c r="N434" s="76">
        <v>51</v>
      </c>
      <c r="O434" s="76">
        <v>19</v>
      </c>
      <c r="P434" s="76">
        <v>17</v>
      </c>
      <c r="Q434" s="76">
        <v>5</v>
      </c>
      <c r="R434" s="76">
        <v>31</v>
      </c>
      <c r="S434" s="76">
        <v>6</v>
      </c>
      <c r="T434" s="76">
        <v>63</v>
      </c>
      <c r="U434" s="76">
        <v>263</v>
      </c>
      <c r="V434" s="76">
        <v>67</v>
      </c>
      <c r="W434" s="76">
        <v>0.224</v>
      </c>
      <c r="X434" s="76">
        <v>1.22</v>
      </c>
      <c r="Y434" s="76"/>
      <c r="Z434" t="s">
        <v>787</v>
      </c>
      <c r="AA434" s="76" t="s">
        <v>173</v>
      </c>
      <c r="AB434" s="76">
        <v>0</v>
      </c>
      <c r="AC434" s="76">
        <v>6</v>
      </c>
      <c r="AD434" s="76">
        <v>17</v>
      </c>
      <c r="AE434" s="76">
        <v>22</v>
      </c>
      <c r="AF434" s="76">
        <v>17</v>
      </c>
      <c r="AG434" s="76">
        <v>88</v>
      </c>
      <c r="AH434" s="76">
        <v>30</v>
      </c>
      <c r="AI434" s="76">
        <v>1</v>
      </c>
      <c r="AJ434" s="76">
        <v>0</v>
      </c>
      <c r="AK434" s="76">
        <v>1</v>
      </c>
      <c r="AL434" s="76">
        <v>1</v>
      </c>
      <c r="AM434" s="76">
        <v>1</v>
      </c>
      <c r="AN434" s="76">
        <v>1002</v>
      </c>
      <c r="AO434" s="202" t="s">
        <v>173</v>
      </c>
      <c r="AP434" s="202">
        <v>0.36399999999999999</v>
      </c>
      <c r="AQ434" s="202">
        <v>1.34</v>
      </c>
      <c r="AR434" s="202">
        <v>0.32500000000000001</v>
      </c>
      <c r="AS434" s="202">
        <v>0.45900000000000002</v>
      </c>
      <c r="AT434" s="202">
        <v>0.78400000000000003</v>
      </c>
      <c r="AU434" s="202">
        <v>5.68</v>
      </c>
      <c r="AV434" s="202">
        <v>2.11</v>
      </c>
      <c r="AW434" s="202">
        <v>9.65</v>
      </c>
      <c r="AX434" s="202">
        <v>2.69</v>
      </c>
      <c r="AY434" s="202">
        <v>16.22</v>
      </c>
    </row>
  </sheetData>
  <sortState ref="A411:AY434">
    <sortCondition ref="B411:B434"/>
  </sortState>
  <phoneticPr fontId="0" type="noConversion"/>
  <conditionalFormatting sqref="M3:M31">
    <cfRule type="cellIs" dxfId="750" priority="1" operator="lessThan">
      <formula>0</formula>
    </cfRule>
    <cfRule type="cellIs" dxfId="749" priority="2" operator="lessThan">
      <formula>0</formula>
    </cfRule>
  </conditionalFormatting>
  <conditionalFormatting sqref="M3:M31">
    <cfRule type="cellIs" priority="3" stopIfTrue="1" operator="lessThan">
      <formula>10.237</formula>
    </cfRule>
  </conditionalFormatting>
  <pageMargins left="0.75" right="0.75" top="1" bottom="1" header="0.5" footer="0.5"/>
  <pageSetup orientation="portrait" horizontalDpi="4294967293"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AY434"/>
  <sheetViews>
    <sheetView zoomScaleNormal="100" workbookViewId="0">
      <selection activeCell="AL434" sqref="A1:AL434"/>
    </sheetView>
  </sheetViews>
  <sheetFormatPr defaultRowHeight="12.75" x14ac:dyDescent="0.2"/>
  <cols>
    <col min="1" max="1" width="3.5703125" style="42" bestFit="1" customWidth="1"/>
    <col min="2" max="2" width="16.42578125" style="19" bestFit="1" customWidth="1"/>
    <col min="3" max="3" width="6.140625" style="43" bestFit="1" customWidth="1"/>
    <col min="4" max="5" width="3" style="43" bestFit="1" customWidth="1"/>
    <col min="6" max="6" width="5.5703125" style="17" bestFit="1" customWidth="1"/>
    <col min="7" max="7" width="3" style="43" bestFit="1" customWidth="1"/>
    <col min="8" max="8" width="3.7109375" style="17" bestFit="1" customWidth="1"/>
    <col min="9" max="9" width="3.5703125" style="68" bestFit="1" customWidth="1"/>
    <col min="10" max="10" width="5" style="68" bestFit="1" customWidth="1"/>
    <col min="11" max="11" width="6.5703125" style="17" bestFit="1" customWidth="1"/>
    <col min="12" max="13" width="4" style="17" bestFit="1" customWidth="1"/>
    <col min="14" max="14" width="4" style="43" bestFit="1" customWidth="1"/>
    <col min="15" max="16" width="3.5703125" style="43" bestFit="1" customWidth="1"/>
    <col min="17" max="17" width="4" style="43" bestFit="1" customWidth="1"/>
    <col min="18" max="18" width="5.5703125" style="16" bestFit="1" customWidth="1"/>
    <col min="19" max="19" width="6" style="17" bestFit="1" customWidth="1"/>
    <col min="20" max="20" width="3.5703125" style="16" bestFit="1" customWidth="1"/>
    <col min="21" max="21" width="7" style="17" bestFit="1" customWidth="1"/>
    <col min="22" max="22" width="6.140625" style="17" bestFit="1" customWidth="1"/>
    <col min="23" max="23" width="3.7109375" style="68" bestFit="1" customWidth="1"/>
    <col min="24" max="24" width="5" style="43" bestFit="1" customWidth="1"/>
    <col min="25" max="25" width="3.5703125" style="43" bestFit="1" customWidth="1"/>
    <col min="26" max="26" width="4.140625" style="43" bestFit="1" customWidth="1"/>
    <col min="27" max="27" width="3.5703125" style="43" bestFit="1" customWidth="1"/>
    <col min="28" max="28" width="4.7109375" style="43" bestFit="1" customWidth="1"/>
    <col min="29" max="29" width="5.5703125" style="43" bestFit="1" customWidth="1"/>
    <col min="30" max="31" width="4" style="43" bestFit="1" customWidth="1"/>
    <col min="32" max="32" width="4.140625" style="43" bestFit="1" customWidth="1"/>
    <col min="33" max="36" width="3.5703125" style="43" bestFit="1" customWidth="1"/>
    <col min="37" max="37" width="4.5703125" style="16" bestFit="1" customWidth="1"/>
    <col min="38" max="38" width="5" style="16" bestFit="1" customWidth="1"/>
    <col min="39" max="39" width="3.5703125" style="16" bestFit="1" customWidth="1"/>
    <col min="40" max="40" width="8.140625" style="16" bestFit="1" customWidth="1"/>
    <col min="41" max="41" width="6.140625" style="16" bestFit="1" customWidth="1"/>
    <col min="42" max="42" width="6.5703125" style="16" bestFit="1" customWidth="1"/>
    <col min="43" max="43" width="7.5703125" style="17" bestFit="1" customWidth="1"/>
    <col min="44" max="47" width="5.5703125" style="17" bestFit="1" customWidth="1"/>
    <col min="48" max="49" width="5.5703125" style="43" bestFit="1" customWidth="1"/>
    <col min="50" max="50" width="5.85546875" style="43" bestFit="1" customWidth="1"/>
    <col min="51" max="51" width="5.5703125" style="43" bestFit="1" customWidth="1"/>
    <col min="52" max="52" width="6.42578125" style="43" bestFit="1" customWidth="1"/>
    <col min="53" max="53" width="9.140625" style="43" bestFit="1"/>
    <col min="54" max="54" width="7.7109375" style="43" bestFit="1" customWidth="1"/>
    <col min="55" max="55" width="8.28515625" style="43" bestFit="1" customWidth="1"/>
    <col min="56" max="56" width="9.85546875" style="43" bestFit="1" customWidth="1"/>
    <col min="57" max="57" width="9.28515625" style="43" bestFit="1" customWidth="1"/>
    <col min="58" max="58" width="10.5703125" style="43" bestFit="1" customWidth="1"/>
    <col min="59" max="16384" width="9.140625" style="43"/>
  </cols>
  <sheetData>
    <row r="2" spans="1:51" ht="25.5" x14ac:dyDescent="0.2">
      <c r="A2" s="225" t="s">
        <v>105</v>
      </c>
      <c r="B2" s="225" t="s">
        <v>106</v>
      </c>
      <c r="C2" s="225" t="s">
        <v>157</v>
      </c>
      <c r="D2" s="225" t="s">
        <v>85</v>
      </c>
      <c r="E2" s="225" t="s">
        <v>86</v>
      </c>
      <c r="F2" s="225" t="s">
        <v>107</v>
      </c>
      <c r="G2" s="225" t="s">
        <v>108</v>
      </c>
      <c r="H2" s="225" t="s">
        <v>88</v>
      </c>
      <c r="I2" s="225" t="s">
        <v>90</v>
      </c>
      <c r="J2" s="225" t="s">
        <v>158</v>
      </c>
      <c r="K2" s="225" t="s">
        <v>91</v>
      </c>
      <c r="L2" s="225" t="s">
        <v>92</v>
      </c>
      <c r="M2" s="225" t="s">
        <v>93</v>
      </c>
      <c r="N2" s="225" t="s">
        <v>94</v>
      </c>
      <c r="O2" s="225" t="s">
        <v>95</v>
      </c>
      <c r="P2" s="225" t="s">
        <v>96</v>
      </c>
      <c r="Q2" s="225" t="s">
        <v>97</v>
      </c>
      <c r="R2" s="225" t="s">
        <v>1071</v>
      </c>
      <c r="S2" s="225" t="s">
        <v>1072</v>
      </c>
      <c r="T2" s="225" t="s">
        <v>105</v>
      </c>
      <c r="U2" s="225" t="s">
        <v>106</v>
      </c>
      <c r="V2" s="225" t="s">
        <v>157</v>
      </c>
      <c r="W2" s="225" t="s">
        <v>89</v>
      </c>
      <c r="X2" s="225" t="s">
        <v>1073</v>
      </c>
      <c r="Y2" s="225" t="s">
        <v>1074</v>
      </c>
      <c r="Z2" s="225" t="s">
        <v>98</v>
      </c>
      <c r="AA2" s="225" t="s">
        <v>1075</v>
      </c>
      <c r="AB2" s="225" t="s">
        <v>1076</v>
      </c>
      <c r="AC2" s="225" t="s">
        <v>1077</v>
      </c>
      <c r="AD2" s="225" t="s">
        <v>1066</v>
      </c>
      <c r="AE2" s="225" t="s">
        <v>1067</v>
      </c>
      <c r="AF2" s="225" t="s">
        <v>1078</v>
      </c>
      <c r="AG2" s="225" t="s">
        <v>1079</v>
      </c>
      <c r="AH2" s="225" t="s">
        <v>1057</v>
      </c>
      <c r="AI2" s="225" t="s">
        <v>1058</v>
      </c>
      <c r="AJ2" s="225" t="s">
        <v>1080</v>
      </c>
      <c r="AK2" s="225" t="s">
        <v>109</v>
      </c>
      <c r="AL2" s="225" t="s">
        <v>1069</v>
      </c>
      <c r="AM2" s="102"/>
      <c r="AN2" s="102"/>
      <c r="AO2" s="102"/>
      <c r="AP2" s="102"/>
      <c r="AQ2" s="102"/>
      <c r="AR2" s="102"/>
      <c r="AS2" s="102"/>
      <c r="AT2" s="102"/>
      <c r="AU2" s="102"/>
      <c r="AV2" s="102"/>
      <c r="AW2" s="102"/>
      <c r="AX2" s="102"/>
      <c r="AY2" s="102"/>
    </row>
    <row r="3" spans="1:51" ht="25.5" x14ac:dyDescent="0.2">
      <c r="A3" s="76">
        <v>1</v>
      </c>
      <c r="B3" s="77" t="s">
        <v>1133</v>
      </c>
      <c r="C3" s="76" t="s">
        <v>159</v>
      </c>
      <c r="D3" s="76">
        <v>1</v>
      </c>
      <c r="E3" s="76">
        <v>0</v>
      </c>
      <c r="F3" s="76">
        <v>1.8</v>
      </c>
      <c r="G3" s="76">
        <v>3</v>
      </c>
      <c r="H3" s="76">
        <v>0</v>
      </c>
      <c r="I3" s="76">
        <v>0</v>
      </c>
      <c r="J3" s="76">
        <v>0</v>
      </c>
      <c r="K3" s="76">
        <v>10</v>
      </c>
      <c r="L3" s="76">
        <v>9</v>
      </c>
      <c r="M3" s="76">
        <v>3</v>
      </c>
      <c r="N3" s="76">
        <v>2</v>
      </c>
      <c r="O3" s="76">
        <v>0</v>
      </c>
      <c r="P3" s="76">
        <v>2</v>
      </c>
      <c r="Q3" s="76">
        <v>7</v>
      </c>
      <c r="R3" s="76">
        <v>0.23699999999999999</v>
      </c>
      <c r="S3" s="76">
        <v>1.1000000000000001</v>
      </c>
      <c r="T3" s="76">
        <v>1</v>
      </c>
      <c r="U3" s="77" t="s">
        <v>1133</v>
      </c>
      <c r="V3" s="76" t="s">
        <v>159</v>
      </c>
      <c r="W3" s="76">
        <v>0</v>
      </c>
      <c r="X3" s="76">
        <v>0</v>
      </c>
      <c r="Y3" s="76">
        <v>0</v>
      </c>
      <c r="Z3" s="76">
        <v>0</v>
      </c>
      <c r="AA3" s="76">
        <v>0</v>
      </c>
      <c r="AB3" s="76">
        <v>0</v>
      </c>
      <c r="AC3" s="76">
        <v>1</v>
      </c>
      <c r="AD3" s="76">
        <v>13</v>
      </c>
      <c r="AE3" s="76">
        <v>9</v>
      </c>
      <c r="AF3" s="76">
        <v>0</v>
      </c>
      <c r="AG3" s="76">
        <v>0</v>
      </c>
      <c r="AH3" s="76">
        <v>0</v>
      </c>
      <c r="AI3" s="76">
        <v>0</v>
      </c>
      <c r="AJ3" s="76">
        <v>0</v>
      </c>
      <c r="AK3" s="76">
        <v>40</v>
      </c>
      <c r="AL3" s="76">
        <v>145</v>
      </c>
      <c r="AM3" s="202"/>
      <c r="AN3" s="77"/>
      <c r="AO3" s="202"/>
      <c r="AP3" s="202"/>
      <c r="AQ3" s="202"/>
      <c r="AR3" s="202"/>
      <c r="AS3" s="202"/>
      <c r="AT3" s="202"/>
      <c r="AU3" s="202"/>
      <c r="AV3" s="202"/>
      <c r="AW3" s="202"/>
      <c r="AX3" s="202"/>
      <c r="AY3" s="202"/>
    </row>
    <row r="4" spans="1:51" ht="25.5" x14ac:dyDescent="0.2">
      <c r="A4" s="76">
        <v>2</v>
      </c>
      <c r="B4" s="77" t="s">
        <v>1406</v>
      </c>
      <c r="C4" s="76" t="s">
        <v>159</v>
      </c>
      <c r="D4" s="76">
        <v>1</v>
      </c>
      <c r="E4" s="76">
        <v>1</v>
      </c>
      <c r="F4" s="76">
        <v>2</v>
      </c>
      <c r="G4" s="76">
        <v>7</v>
      </c>
      <c r="H4" s="76">
        <v>2</v>
      </c>
      <c r="I4" s="76">
        <v>1</v>
      </c>
      <c r="J4" s="76">
        <v>1</v>
      </c>
      <c r="K4" s="76">
        <v>18</v>
      </c>
      <c r="L4" s="76">
        <v>9</v>
      </c>
      <c r="M4" s="76">
        <v>4</v>
      </c>
      <c r="N4" s="76">
        <v>4</v>
      </c>
      <c r="O4" s="76">
        <v>1</v>
      </c>
      <c r="P4" s="76">
        <v>4</v>
      </c>
      <c r="Q4" s="76">
        <v>10</v>
      </c>
      <c r="R4" s="76">
        <v>0.14499999999999999</v>
      </c>
      <c r="S4" s="76">
        <v>0.72</v>
      </c>
      <c r="T4" s="76">
        <v>2</v>
      </c>
      <c r="U4" s="77" t="s">
        <v>1406</v>
      </c>
      <c r="V4" s="76" t="s">
        <v>159</v>
      </c>
      <c r="W4" s="76">
        <v>0</v>
      </c>
      <c r="X4" s="76">
        <v>0</v>
      </c>
      <c r="Y4" s="76">
        <v>2</v>
      </c>
      <c r="Z4" s="76">
        <v>0</v>
      </c>
      <c r="AA4" s="76">
        <v>4</v>
      </c>
      <c r="AB4" s="76">
        <v>0</v>
      </c>
      <c r="AC4" s="76">
        <v>0</v>
      </c>
      <c r="AD4" s="76">
        <v>20</v>
      </c>
      <c r="AE4" s="76">
        <v>24</v>
      </c>
      <c r="AF4" s="76">
        <v>0</v>
      </c>
      <c r="AG4" s="76">
        <v>0</v>
      </c>
      <c r="AH4" s="76">
        <v>0</v>
      </c>
      <c r="AI4" s="76">
        <v>0</v>
      </c>
      <c r="AJ4" s="76">
        <v>0</v>
      </c>
      <c r="AK4" s="76">
        <v>69</v>
      </c>
      <c r="AL4" s="76">
        <v>234</v>
      </c>
      <c r="AM4" s="202"/>
      <c r="AN4" s="77"/>
      <c r="AO4" s="202"/>
      <c r="AP4" s="202"/>
      <c r="AQ4" s="202"/>
      <c r="AR4" s="202"/>
      <c r="AS4" s="202"/>
      <c r="AT4" s="202"/>
      <c r="AU4" s="202"/>
      <c r="AV4" s="202"/>
      <c r="AW4" s="202"/>
      <c r="AX4" s="202"/>
      <c r="AY4" s="202"/>
    </row>
    <row r="5" spans="1:51" ht="38.25" x14ac:dyDescent="0.2">
      <c r="A5" s="76">
        <v>3</v>
      </c>
      <c r="B5" s="77" t="s">
        <v>1407</v>
      </c>
      <c r="C5" s="76" t="s">
        <v>159</v>
      </c>
      <c r="D5" s="76">
        <v>0</v>
      </c>
      <c r="E5" s="76">
        <v>0</v>
      </c>
      <c r="F5" s="76">
        <v>2.08</v>
      </c>
      <c r="G5" s="76">
        <v>3</v>
      </c>
      <c r="H5" s="76">
        <v>0</v>
      </c>
      <c r="I5" s="76">
        <v>0</v>
      </c>
      <c r="J5" s="76">
        <v>0</v>
      </c>
      <c r="K5" s="76">
        <v>4.0999999999999996</v>
      </c>
      <c r="L5" s="76">
        <v>2</v>
      </c>
      <c r="M5" s="76">
        <v>1</v>
      </c>
      <c r="N5" s="76">
        <v>1</v>
      </c>
      <c r="O5" s="76">
        <v>1</v>
      </c>
      <c r="P5" s="76">
        <v>1</v>
      </c>
      <c r="Q5" s="76">
        <v>3</v>
      </c>
      <c r="R5" s="76">
        <v>0.14299999999999999</v>
      </c>
      <c r="S5" s="76">
        <v>0.69</v>
      </c>
      <c r="T5" s="76">
        <v>3</v>
      </c>
      <c r="U5" s="77" t="s">
        <v>1407</v>
      </c>
      <c r="V5" s="76" t="s">
        <v>159</v>
      </c>
      <c r="W5" s="76">
        <v>0</v>
      </c>
      <c r="X5" s="76">
        <v>0</v>
      </c>
      <c r="Y5" s="76">
        <v>0</v>
      </c>
      <c r="Z5" s="76">
        <v>1</v>
      </c>
      <c r="AA5" s="76">
        <v>2</v>
      </c>
      <c r="AB5" s="76">
        <v>0</v>
      </c>
      <c r="AC5" s="76">
        <v>1</v>
      </c>
      <c r="AD5" s="76">
        <v>7</v>
      </c>
      <c r="AE5" s="76">
        <v>2</v>
      </c>
      <c r="AF5" s="76">
        <v>0</v>
      </c>
      <c r="AG5" s="76">
        <v>0</v>
      </c>
      <c r="AH5" s="76">
        <v>1</v>
      </c>
      <c r="AI5" s="76">
        <v>0</v>
      </c>
      <c r="AJ5" s="76">
        <v>0</v>
      </c>
      <c r="AK5" s="76">
        <v>15</v>
      </c>
      <c r="AL5" s="76">
        <v>64</v>
      </c>
      <c r="AM5" s="202"/>
      <c r="AN5" s="77"/>
      <c r="AO5" s="202"/>
      <c r="AP5" s="202"/>
      <c r="AQ5" s="202"/>
      <c r="AR5" s="202"/>
      <c r="AS5" s="202"/>
      <c r="AT5" s="202"/>
      <c r="AU5" s="202"/>
      <c r="AV5" s="202"/>
      <c r="AW5" s="202"/>
      <c r="AX5" s="202"/>
      <c r="AY5" s="202"/>
    </row>
    <row r="6" spans="1:51" ht="25.5" x14ac:dyDescent="0.2">
      <c r="A6" s="76">
        <v>4</v>
      </c>
      <c r="B6" s="77" t="s">
        <v>320</v>
      </c>
      <c r="C6" s="76" t="s">
        <v>159</v>
      </c>
      <c r="D6" s="76">
        <v>2</v>
      </c>
      <c r="E6" s="76">
        <v>3</v>
      </c>
      <c r="F6" s="76">
        <v>2.82</v>
      </c>
      <c r="G6" s="76">
        <v>36</v>
      </c>
      <c r="H6" s="76">
        <v>0</v>
      </c>
      <c r="I6" s="76">
        <v>18</v>
      </c>
      <c r="J6" s="76">
        <v>20</v>
      </c>
      <c r="K6" s="76">
        <v>38.1</v>
      </c>
      <c r="L6" s="76">
        <v>41</v>
      </c>
      <c r="M6" s="76">
        <v>13</v>
      </c>
      <c r="N6" s="76">
        <v>12</v>
      </c>
      <c r="O6" s="76">
        <v>1</v>
      </c>
      <c r="P6" s="76">
        <v>15</v>
      </c>
      <c r="Q6" s="76">
        <v>27</v>
      </c>
      <c r="R6" s="76">
        <v>0.28100000000000003</v>
      </c>
      <c r="S6" s="76">
        <v>1.46</v>
      </c>
      <c r="T6" s="76">
        <v>4</v>
      </c>
      <c r="U6" s="77" t="s">
        <v>320</v>
      </c>
      <c r="V6" s="76" t="s">
        <v>159</v>
      </c>
      <c r="W6" s="76">
        <v>0</v>
      </c>
      <c r="X6" s="76">
        <v>0</v>
      </c>
      <c r="Y6" s="76">
        <v>2</v>
      </c>
      <c r="Z6" s="76">
        <v>5</v>
      </c>
      <c r="AA6" s="76">
        <v>30</v>
      </c>
      <c r="AB6" s="76">
        <v>0</v>
      </c>
      <c r="AC6" s="76">
        <v>10</v>
      </c>
      <c r="AD6" s="76">
        <v>57</v>
      </c>
      <c r="AE6" s="76">
        <v>23</v>
      </c>
      <c r="AF6" s="76">
        <v>0</v>
      </c>
      <c r="AG6" s="76">
        <v>0</v>
      </c>
      <c r="AH6" s="76">
        <v>1</v>
      </c>
      <c r="AI6" s="76">
        <v>0</v>
      </c>
      <c r="AJ6" s="76">
        <v>0</v>
      </c>
      <c r="AK6" s="76">
        <v>165</v>
      </c>
      <c r="AL6" s="76">
        <v>591</v>
      </c>
      <c r="AM6" s="202"/>
      <c r="AN6" s="77"/>
      <c r="AO6" s="202"/>
      <c r="AP6" s="202"/>
      <c r="AQ6" s="202"/>
      <c r="AR6" s="202"/>
      <c r="AS6" s="202"/>
      <c r="AT6" s="202"/>
      <c r="AU6" s="202"/>
      <c r="AV6" s="202"/>
      <c r="AW6" s="202"/>
      <c r="AX6" s="202"/>
      <c r="AY6" s="202"/>
    </row>
    <row r="7" spans="1:51" ht="25.5" x14ac:dyDescent="0.2">
      <c r="A7" s="76">
        <v>5</v>
      </c>
      <c r="B7" s="77" t="s">
        <v>1408</v>
      </c>
      <c r="C7" s="76" t="s">
        <v>159</v>
      </c>
      <c r="D7" s="76">
        <v>0</v>
      </c>
      <c r="E7" s="76">
        <v>0</v>
      </c>
      <c r="F7" s="76">
        <v>3.18</v>
      </c>
      <c r="G7" s="76">
        <v>1</v>
      </c>
      <c r="H7" s="76">
        <v>0</v>
      </c>
      <c r="I7" s="76">
        <v>0</v>
      </c>
      <c r="J7" s="76">
        <v>0</v>
      </c>
      <c r="K7" s="76">
        <v>5.2</v>
      </c>
      <c r="L7" s="76">
        <v>4</v>
      </c>
      <c r="M7" s="76">
        <v>3</v>
      </c>
      <c r="N7" s="76">
        <v>2</v>
      </c>
      <c r="O7" s="76">
        <v>2</v>
      </c>
      <c r="P7" s="76">
        <v>2</v>
      </c>
      <c r="Q7" s="76">
        <v>4</v>
      </c>
      <c r="R7" s="76">
        <v>0.182</v>
      </c>
      <c r="S7" s="76">
        <v>1.06</v>
      </c>
      <c r="T7" s="76">
        <v>5</v>
      </c>
      <c r="U7" s="77" t="s">
        <v>1408</v>
      </c>
      <c r="V7" s="76" t="s">
        <v>159</v>
      </c>
      <c r="W7" s="76">
        <v>0</v>
      </c>
      <c r="X7" s="76">
        <v>0</v>
      </c>
      <c r="Y7" s="76">
        <v>0</v>
      </c>
      <c r="Z7" s="76">
        <v>0</v>
      </c>
      <c r="AA7" s="76">
        <v>0</v>
      </c>
      <c r="AB7" s="76">
        <v>0</v>
      </c>
      <c r="AC7" s="76">
        <v>0</v>
      </c>
      <c r="AD7" s="76">
        <v>5</v>
      </c>
      <c r="AE7" s="76">
        <v>9</v>
      </c>
      <c r="AF7" s="76">
        <v>0</v>
      </c>
      <c r="AG7" s="76">
        <v>0</v>
      </c>
      <c r="AH7" s="76">
        <v>0</v>
      </c>
      <c r="AI7" s="76">
        <v>0</v>
      </c>
      <c r="AJ7" s="76">
        <v>0</v>
      </c>
      <c r="AK7" s="76">
        <v>24</v>
      </c>
      <c r="AL7" s="76">
        <v>82</v>
      </c>
      <c r="AM7" s="202"/>
      <c r="AN7" s="77"/>
      <c r="AO7" s="202"/>
      <c r="AP7" s="202"/>
      <c r="AQ7" s="202"/>
      <c r="AR7" s="202"/>
      <c r="AS7" s="202"/>
      <c r="AT7" s="202"/>
      <c r="AU7" s="202"/>
      <c r="AV7" s="202"/>
      <c r="AW7" s="202"/>
      <c r="AX7" s="202"/>
      <c r="AY7" s="202"/>
    </row>
    <row r="8" spans="1:51" ht="25.5" x14ac:dyDescent="0.2">
      <c r="A8" s="76">
        <v>6</v>
      </c>
      <c r="B8" s="77" t="s">
        <v>1409</v>
      </c>
      <c r="C8" s="76" t="s">
        <v>159</v>
      </c>
      <c r="D8" s="76">
        <v>1</v>
      </c>
      <c r="E8" s="76">
        <v>2</v>
      </c>
      <c r="F8" s="76">
        <v>3.49</v>
      </c>
      <c r="G8" s="76">
        <v>68</v>
      </c>
      <c r="H8" s="76">
        <v>0</v>
      </c>
      <c r="I8" s="76">
        <v>4</v>
      </c>
      <c r="J8" s="76">
        <v>9</v>
      </c>
      <c r="K8" s="76">
        <v>59.1</v>
      </c>
      <c r="L8" s="76">
        <v>47</v>
      </c>
      <c r="M8" s="76">
        <v>25</v>
      </c>
      <c r="N8" s="76">
        <v>23</v>
      </c>
      <c r="O8" s="76">
        <v>6</v>
      </c>
      <c r="P8" s="76">
        <v>28</v>
      </c>
      <c r="Q8" s="76">
        <v>56</v>
      </c>
      <c r="R8" s="76">
        <v>0.218</v>
      </c>
      <c r="S8" s="76">
        <v>1.26</v>
      </c>
      <c r="T8" s="76">
        <v>6</v>
      </c>
      <c r="U8" s="77" t="s">
        <v>1409</v>
      </c>
      <c r="V8" s="76" t="s">
        <v>159</v>
      </c>
      <c r="W8" s="76">
        <v>0</v>
      </c>
      <c r="X8" s="76">
        <v>0</v>
      </c>
      <c r="Y8" s="76">
        <v>3</v>
      </c>
      <c r="Z8" s="76">
        <v>4</v>
      </c>
      <c r="AA8" s="76">
        <v>12</v>
      </c>
      <c r="AB8" s="76">
        <v>8</v>
      </c>
      <c r="AC8" s="76">
        <v>4</v>
      </c>
      <c r="AD8" s="76">
        <v>56</v>
      </c>
      <c r="AE8" s="76">
        <v>60</v>
      </c>
      <c r="AF8" s="76">
        <v>4</v>
      </c>
      <c r="AG8" s="76">
        <v>0</v>
      </c>
      <c r="AH8" s="76">
        <v>2</v>
      </c>
      <c r="AI8" s="76">
        <v>2</v>
      </c>
      <c r="AJ8" s="76">
        <v>0</v>
      </c>
      <c r="AK8" s="76">
        <v>250</v>
      </c>
      <c r="AL8" s="76">
        <v>954</v>
      </c>
      <c r="AM8" s="202"/>
      <c r="AN8" s="77"/>
      <c r="AO8" s="202"/>
      <c r="AP8" s="202"/>
      <c r="AQ8" s="202"/>
      <c r="AR8" s="202"/>
      <c r="AS8" s="202"/>
      <c r="AT8" s="202"/>
      <c r="AU8" s="202"/>
      <c r="AV8" s="202"/>
      <c r="AW8" s="202"/>
      <c r="AX8" s="202"/>
      <c r="AY8" s="202"/>
    </row>
    <row r="9" spans="1:51" ht="38.25" x14ac:dyDescent="0.2">
      <c r="A9" s="76">
        <v>7</v>
      </c>
      <c r="B9" s="77" t="s">
        <v>509</v>
      </c>
      <c r="C9" s="76" t="s">
        <v>159</v>
      </c>
      <c r="D9" s="76">
        <v>4</v>
      </c>
      <c r="E9" s="76">
        <v>5</v>
      </c>
      <c r="F9" s="76">
        <v>4.26</v>
      </c>
      <c r="G9" s="76">
        <v>13</v>
      </c>
      <c r="H9" s="76">
        <v>10</v>
      </c>
      <c r="I9" s="76">
        <v>0</v>
      </c>
      <c r="J9" s="76">
        <v>0</v>
      </c>
      <c r="K9" s="76">
        <v>50.2</v>
      </c>
      <c r="L9" s="76">
        <v>43</v>
      </c>
      <c r="M9" s="76">
        <v>26</v>
      </c>
      <c r="N9" s="76">
        <v>24</v>
      </c>
      <c r="O9" s="76">
        <v>8</v>
      </c>
      <c r="P9" s="76">
        <v>20</v>
      </c>
      <c r="Q9" s="76">
        <v>54</v>
      </c>
      <c r="R9" s="76">
        <v>0.219</v>
      </c>
      <c r="S9" s="76">
        <v>1.24</v>
      </c>
      <c r="T9" s="76">
        <v>7</v>
      </c>
      <c r="U9" s="77" t="s">
        <v>509</v>
      </c>
      <c r="V9" s="76" t="s">
        <v>159</v>
      </c>
      <c r="W9" s="76">
        <v>0</v>
      </c>
      <c r="X9" s="76">
        <v>0</v>
      </c>
      <c r="Y9" s="76">
        <v>4</v>
      </c>
      <c r="Z9" s="76">
        <v>1</v>
      </c>
      <c r="AA9" s="76">
        <v>1</v>
      </c>
      <c r="AB9" s="76">
        <v>0</v>
      </c>
      <c r="AC9" s="76">
        <v>0</v>
      </c>
      <c r="AD9" s="76">
        <v>64</v>
      </c>
      <c r="AE9" s="76">
        <v>37</v>
      </c>
      <c r="AF9" s="76">
        <v>2</v>
      </c>
      <c r="AG9" s="76">
        <v>1</v>
      </c>
      <c r="AH9" s="76">
        <v>1</v>
      </c>
      <c r="AI9" s="76">
        <v>1</v>
      </c>
      <c r="AJ9" s="76">
        <v>0</v>
      </c>
      <c r="AK9" s="76">
        <v>222</v>
      </c>
      <c r="AL9" s="76">
        <v>857</v>
      </c>
      <c r="AM9" s="202"/>
      <c r="AN9" s="77"/>
      <c r="AO9" s="202"/>
      <c r="AP9" s="202"/>
      <c r="AQ9" s="202"/>
      <c r="AR9" s="202"/>
      <c r="AS9" s="202"/>
      <c r="AT9" s="202"/>
      <c r="AU9" s="202"/>
      <c r="AV9" s="202"/>
      <c r="AW9" s="202"/>
      <c r="AX9" s="202"/>
      <c r="AY9" s="202"/>
    </row>
    <row r="10" spans="1:51" ht="25.5" x14ac:dyDescent="0.2">
      <c r="A10" s="76">
        <v>8</v>
      </c>
      <c r="B10" s="77" t="s">
        <v>474</v>
      </c>
      <c r="C10" s="76" t="s">
        <v>159</v>
      </c>
      <c r="D10" s="76">
        <v>2</v>
      </c>
      <c r="E10" s="76">
        <v>3</v>
      </c>
      <c r="F10" s="76">
        <v>4.3</v>
      </c>
      <c r="G10" s="76">
        <v>40</v>
      </c>
      <c r="H10" s="76">
        <v>0</v>
      </c>
      <c r="I10" s="76">
        <v>1</v>
      </c>
      <c r="J10" s="76">
        <v>3</v>
      </c>
      <c r="K10" s="76">
        <v>37.200000000000003</v>
      </c>
      <c r="L10" s="76">
        <v>34</v>
      </c>
      <c r="M10" s="76">
        <v>18</v>
      </c>
      <c r="N10" s="76">
        <v>18</v>
      </c>
      <c r="O10" s="76">
        <v>7</v>
      </c>
      <c r="P10" s="76">
        <v>15</v>
      </c>
      <c r="Q10" s="76">
        <v>46</v>
      </c>
      <c r="R10" s="76">
        <v>0.245</v>
      </c>
      <c r="S10" s="76">
        <v>1.3</v>
      </c>
      <c r="T10" s="76">
        <v>8</v>
      </c>
      <c r="U10" s="77" t="s">
        <v>474</v>
      </c>
      <c r="V10" s="76" t="s">
        <v>159</v>
      </c>
      <c r="W10" s="76">
        <v>0</v>
      </c>
      <c r="X10" s="76">
        <v>0</v>
      </c>
      <c r="Y10" s="76">
        <v>0</v>
      </c>
      <c r="Z10" s="76">
        <v>0</v>
      </c>
      <c r="AA10" s="76">
        <v>10</v>
      </c>
      <c r="AB10" s="76">
        <v>13</v>
      </c>
      <c r="AC10" s="76">
        <v>1</v>
      </c>
      <c r="AD10" s="76">
        <v>24</v>
      </c>
      <c r="AE10" s="76">
        <v>36</v>
      </c>
      <c r="AF10" s="76">
        <v>1</v>
      </c>
      <c r="AG10" s="76">
        <v>3</v>
      </c>
      <c r="AH10" s="76">
        <v>1</v>
      </c>
      <c r="AI10" s="76">
        <v>4</v>
      </c>
      <c r="AJ10" s="76">
        <v>0</v>
      </c>
      <c r="AK10" s="76">
        <v>155</v>
      </c>
      <c r="AL10" s="76">
        <v>624</v>
      </c>
      <c r="AM10" s="202"/>
      <c r="AN10" s="77"/>
      <c r="AO10" s="202"/>
      <c r="AP10" s="202"/>
      <c r="AQ10" s="202"/>
      <c r="AR10" s="202"/>
      <c r="AS10" s="202"/>
      <c r="AT10" s="202"/>
      <c r="AU10" s="202"/>
      <c r="AV10" s="202"/>
      <c r="AW10" s="202"/>
      <c r="AX10" s="202"/>
      <c r="AY10" s="202"/>
    </row>
    <row r="11" spans="1:51" ht="25.5" x14ac:dyDescent="0.2">
      <c r="A11" s="76">
        <v>9</v>
      </c>
      <c r="B11" s="77" t="s">
        <v>379</v>
      </c>
      <c r="C11" s="76" t="s">
        <v>159</v>
      </c>
      <c r="D11" s="76">
        <v>13</v>
      </c>
      <c r="E11" s="76">
        <v>7</v>
      </c>
      <c r="F11" s="76">
        <v>4.37</v>
      </c>
      <c r="G11" s="76">
        <v>26</v>
      </c>
      <c r="H11" s="76">
        <v>26</v>
      </c>
      <c r="I11" s="76">
        <v>0</v>
      </c>
      <c r="J11" s="76">
        <v>0</v>
      </c>
      <c r="K11" s="76">
        <v>158.19999999999999</v>
      </c>
      <c r="L11" s="76">
        <v>161</v>
      </c>
      <c r="M11" s="76">
        <v>80</v>
      </c>
      <c r="N11" s="76">
        <v>77</v>
      </c>
      <c r="O11" s="76">
        <v>23</v>
      </c>
      <c r="P11" s="76">
        <v>41</v>
      </c>
      <c r="Q11" s="76">
        <v>134</v>
      </c>
      <c r="R11" s="76">
        <v>0.26200000000000001</v>
      </c>
      <c r="S11" s="76">
        <v>1.27</v>
      </c>
      <c r="T11" s="76">
        <v>9</v>
      </c>
      <c r="U11" s="77" t="s">
        <v>379</v>
      </c>
      <c r="V11" s="76" t="s">
        <v>159</v>
      </c>
      <c r="W11" s="76">
        <v>1</v>
      </c>
      <c r="X11" s="76">
        <v>1</v>
      </c>
      <c r="Y11" s="76">
        <v>0</v>
      </c>
      <c r="Z11" s="76">
        <v>3</v>
      </c>
      <c r="AA11" s="76">
        <v>0</v>
      </c>
      <c r="AB11" s="76">
        <v>0</v>
      </c>
      <c r="AC11" s="76">
        <v>9</v>
      </c>
      <c r="AD11" s="76">
        <v>183</v>
      </c>
      <c r="AE11" s="76">
        <v>148</v>
      </c>
      <c r="AF11" s="76">
        <v>1</v>
      </c>
      <c r="AG11" s="76">
        <v>0</v>
      </c>
      <c r="AH11" s="76">
        <v>3</v>
      </c>
      <c r="AI11" s="76">
        <v>4</v>
      </c>
      <c r="AJ11" s="76">
        <v>0</v>
      </c>
      <c r="AK11" s="76">
        <v>667</v>
      </c>
      <c r="AL11" s="76">
        <v>2503</v>
      </c>
      <c r="AM11" s="202"/>
      <c r="AN11" s="77"/>
      <c r="AO11" s="202"/>
      <c r="AP11" s="202"/>
      <c r="AQ11" s="202"/>
      <c r="AR11" s="202"/>
      <c r="AS11" s="202"/>
      <c r="AT11" s="202"/>
      <c r="AU11" s="202"/>
      <c r="AV11" s="202"/>
      <c r="AW11" s="202"/>
      <c r="AX11" s="202"/>
      <c r="AY11" s="202"/>
    </row>
    <row r="12" spans="1:51" ht="25.5" x14ac:dyDescent="0.2">
      <c r="A12" s="76">
        <v>10</v>
      </c>
      <c r="B12" s="77" t="s">
        <v>326</v>
      </c>
      <c r="C12" s="76" t="s">
        <v>159</v>
      </c>
      <c r="D12" s="76">
        <v>5</v>
      </c>
      <c r="E12" s="76">
        <v>2</v>
      </c>
      <c r="F12" s="76">
        <v>4.4400000000000004</v>
      </c>
      <c r="G12" s="76">
        <v>79</v>
      </c>
      <c r="H12" s="76">
        <v>0</v>
      </c>
      <c r="I12" s="76">
        <v>0</v>
      </c>
      <c r="J12" s="76">
        <v>3</v>
      </c>
      <c r="K12" s="76">
        <v>75</v>
      </c>
      <c r="L12" s="76">
        <v>77</v>
      </c>
      <c r="M12" s="76">
        <v>39</v>
      </c>
      <c r="N12" s="76">
        <v>37</v>
      </c>
      <c r="O12" s="76">
        <v>8</v>
      </c>
      <c r="P12" s="76">
        <v>36</v>
      </c>
      <c r="Q12" s="76">
        <v>68</v>
      </c>
      <c r="R12" s="76">
        <v>0.26500000000000001</v>
      </c>
      <c r="S12" s="76">
        <v>1.51</v>
      </c>
      <c r="T12" s="76">
        <v>10</v>
      </c>
      <c r="U12" s="77" t="s">
        <v>326</v>
      </c>
      <c r="V12" s="76" t="s">
        <v>159</v>
      </c>
      <c r="W12" s="76">
        <v>0</v>
      </c>
      <c r="X12" s="76">
        <v>0</v>
      </c>
      <c r="Y12" s="76">
        <v>2</v>
      </c>
      <c r="Z12" s="76">
        <v>3</v>
      </c>
      <c r="AA12" s="76">
        <v>14</v>
      </c>
      <c r="AB12" s="76">
        <v>7</v>
      </c>
      <c r="AC12" s="76">
        <v>4</v>
      </c>
      <c r="AD12" s="76">
        <v>74</v>
      </c>
      <c r="AE12" s="76">
        <v>80</v>
      </c>
      <c r="AF12" s="76">
        <v>7</v>
      </c>
      <c r="AG12" s="76">
        <v>0</v>
      </c>
      <c r="AH12" s="76">
        <v>2</v>
      </c>
      <c r="AI12" s="76">
        <v>1</v>
      </c>
      <c r="AJ12" s="76">
        <v>0</v>
      </c>
      <c r="AK12" s="76">
        <v>337</v>
      </c>
      <c r="AL12" s="76">
        <v>1355</v>
      </c>
      <c r="AM12" s="202"/>
      <c r="AN12" s="77"/>
      <c r="AO12" s="202"/>
      <c r="AP12" s="202"/>
      <c r="AQ12" s="202"/>
      <c r="AR12" s="202"/>
      <c r="AS12" s="202"/>
      <c r="AT12" s="202"/>
      <c r="AU12" s="202"/>
      <c r="AV12" s="202"/>
      <c r="AW12" s="202"/>
      <c r="AX12" s="202"/>
      <c r="AY12" s="202"/>
    </row>
    <row r="13" spans="1:51" ht="25.5" x14ac:dyDescent="0.2">
      <c r="A13" s="76">
        <v>11</v>
      </c>
      <c r="B13" s="77" t="s">
        <v>624</v>
      </c>
      <c r="C13" s="76" t="s">
        <v>159</v>
      </c>
      <c r="D13" s="76">
        <v>0</v>
      </c>
      <c r="E13" s="76">
        <v>0</v>
      </c>
      <c r="F13" s="76">
        <v>4.5</v>
      </c>
      <c r="G13" s="76">
        <v>1</v>
      </c>
      <c r="H13" s="76">
        <v>0</v>
      </c>
      <c r="I13" s="76">
        <v>0</v>
      </c>
      <c r="J13" s="76">
        <v>0</v>
      </c>
      <c r="K13" s="76">
        <v>2</v>
      </c>
      <c r="L13" s="76">
        <v>1</v>
      </c>
      <c r="M13" s="76">
        <v>1</v>
      </c>
      <c r="N13" s="76">
        <v>1</v>
      </c>
      <c r="O13" s="76">
        <v>0</v>
      </c>
      <c r="P13" s="76">
        <v>4</v>
      </c>
      <c r="Q13" s="76">
        <v>2</v>
      </c>
      <c r="R13" s="76">
        <v>0.14299999999999999</v>
      </c>
      <c r="S13" s="76">
        <v>2.5</v>
      </c>
      <c r="T13" s="76">
        <v>11</v>
      </c>
      <c r="U13" s="77" t="s">
        <v>624</v>
      </c>
      <c r="V13" s="76" t="s">
        <v>159</v>
      </c>
      <c r="W13" s="76">
        <v>0</v>
      </c>
      <c r="X13" s="76">
        <v>0</v>
      </c>
      <c r="Y13" s="76">
        <v>0</v>
      </c>
      <c r="Z13" s="76">
        <v>0</v>
      </c>
      <c r="AA13" s="76">
        <v>0</v>
      </c>
      <c r="AB13" s="76">
        <v>0</v>
      </c>
      <c r="AC13" s="76">
        <v>0</v>
      </c>
      <c r="AD13" s="76">
        <v>3</v>
      </c>
      <c r="AE13" s="76">
        <v>1</v>
      </c>
      <c r="AF13" s="76">
        <v>0</v>
      </c>
      <c r="AG13" s="76">
        <v>0</v>
      </c>
      <c r="AH13" s="76">
        <v>0</v>
      </c>
      <c r="AI13" s="76">
        <v>0</v>
      </c>
      <c r="AJ13" s="76">
        <v>0</v>
      </c>
      <c r="AK13" s="76">
        <v>11</v>
      </c>
      <c r="AL13" s="76">
        <v>52</v>
      </c>
      <c r="AM13" s="202"/>
      <c r="AN13" s="77"/>
      <c r="AO13" s="202"/>
      <c r="AP13" s="202"/>
      <c r="AQ13" s="202"/>
      <c r="AR13" s="202"/>
      <c r="AS13" s="202"/>
      <c r="AT13" s="202"/>
      <c r="AU13" s="202"/>
      <c r="AV13" s="202"/>
      <c r="AW13" s="202"/>
      <c r="AX13" s="202"/>
      <c r="AY13" s="202"/>
    </row>
    <row r="14" spans="1:51" ht="38.25" x14ac:dyDescent="0.2">
      <c r="A14" s="76">
        <v>12</v>
      </c>
      <c r="B14" s="77" t="s">
        <v>322</v>
      </c>
      <c r="C14" s="76" t="s">
        <v>159</v>
      </c>
      <c r="D14" s="76">
        <v>1</v>
      </c>
      <c r="E14" s="76">
        <v>0</v>
      </c>
      <c r="F14" s="76">
        <v>4.84</v>
      </c>
      <c r="G14" s="76">
        <v>15</v>
      </c>
      <c r="H14" s="76">
        <v>0</v>
      </c>
      <c r="I14" s="76">
        <v>0</v>
      </c>
      <c r="J14" s="76">
        <v>0</v>
      </c>
      <c r="K14" s="76">
        <v>22.1</v>
      </c>
      <c r="L14" s="76">
        <v>21</v>
      </c>
      <c r="M14" s="76">
        <v>12</v>
      </c>
      <c r="N14" s="76">
        <v>12</v>
      </c>
      <c r="O14" s="76">
        <v>4</v>
      </c>
      <c r="P14" s="76">
        <v>11</v>
      </c>
      <c r="Q14" s="76">
        <v>17</v>
      </c>
      <c r="R14" s="76">
        <v>0.253</v>
      </c>
      <c r="S14" s="76">
        <v>1.43</v>
      </c>
      <c r="T14" s="76">
        <v>12</v>
      </c>
      <c r="U14" s="77" t="s">
        <v>322</v>
      </c>
      <c r="V14" s="76" t="s">
        <v>159</v>
      </c>
      <c r="W14" s="76">
        <v>0</v>
      </c>
      <c r="X14" s="76">
        <v>0</v>
      </c>
      <c r="Y14" s="76">
        <v>2</v>
      </c>
      <c r="Z14" s="76">
        <v>1</v>
      </c>
      <c r="AA14" s="76">
        <v>10</v>
      </c>
      <c r="AB14" s="76">
        <v>0</v>
      </c>
      <c r="AC14" s="76">
        <v>4</v>
      </c>
      <c r="AD14" s="76">
        <v>29</v>
      </c>
      <c r="AE14" s="76">
        <v>17</v>
      </c>
      <c r="AF14" s="76">
        <v>0</v>
      </c>
      <c r="AG14" s="76">
        <v>0</v>
      </c>
      <c r="AH14" s="76">
        <v>1</v>
      </c>
      <c r="AI14" s="76">
        <v>1</v>
      </c>
      <c r="AJ14" s="76">
        <v>0</v>
      </c>
      <c r="AK14" s="76">
        <v>97</v>
      </c>
      <c r="AL14" s="76">
        <v>381</v>
      </c>
      <c r="AM14" s="202"/>
      <c r="AN14" s="77"/>
      <c r="AO14" s="202"/>
      <c r="AP14" s="202"/>
      <c r="AQ14" s="202"/>
      <c r="AR14" s="202"/>
      <c r="AS14" s="202"/>
      <c r="AT14" s="202"/>
      <c r="AU14" s="202"/>
      <c r="AV14" s="202"/>
      <c r="AW14" s="202"/>
      <c r="AX14" s="202"/>
      <c r="AY14" s="202"/>
    </row>
    <row r="15" spans="1:51" ht="25.5" x14ac:dyDescent="0.2">
      <c r="A15" s="76">
        <v>13</v>
      </c>
      <c r="B15" s="77" t="s">
        <v>801</v>
      </c>
      <c r="C15" s="76" t="s">
        <v>159</v>
      </c>
      <c r="D15" s="76">
        <v>8</v>
      </c>
      <c r="E15" s="76">
        <v>15</v>
      </c>
      <c r="F15" s="76">
        <v>4.9000000000000004</v>
      </c>
      <c r="G15" s="76">
        <v>32</v>
      </c>
      <c r="H15" s="76">
        <v>32</v>
      </c>
      <c r="I15" s="76">
        <v>0</v>
      </c>
      <c r="J15" s="76">
        <v>0</v>
      </c>
      <c r="K15" s="76">
        <v>174.1</v>
      </c>
      <c r="L15" s="76">
        <v>185</v>
      </c>
      <c r="M15" s="76">
        <v>105</v>
      </c>
      <c r="N15" s="76">
        <v>95</v>
      </c>
      <c r="O15" s="76">
        <v>24</v>
      </c>
      <c r="P15" s="76">
        <v>71</v>
      </c>
      <c r="Q15" s="76">
        <v>218</v>
      </c>
      <c r="R15" s="76">
        <v>0.26700000000000002</v>
      </c>
      <c r="S15" s="76">
        <v>1.47</v>
      </c>
      <c r="T15" s="76">
        <v>13</v>
      </c>
      <c r="U15" s="77" t="s">
        <v>801</v>
      </c>
      <c r="V15" s="76" t="s">
        <v>159</v>
      </c>
      <c r="W15" s="76">
        <v>0</v>
      </c>
      <c r="X15" s="76">
        <v>0</v>
      </c>
      <c r="Y15" s="76">
        <v>6</v>
      </c>
      <c r="Z15" s="76">
        <v>4</v>
      </c>
      <c r="AA15" s="76">
        <v>0</v>
      </c>
      <c r="AB15" s="76">
        <v>0</v>
      </c>
      <c r="AC15" s="76">
        <v>13</v>
      </c>
      <c r="AD15" s="76">
        <v>162</v>
      </c>
      <c r="AE15" s="76">
        <v>134</v>
      </c>
      <c r="AF15" s="76">
        <v>8</v>
      </c>
      <c r="AG15" s="76">
        <v>0</v>
      </c>
      <c r="AH15" s="76">
        <v>10</v>
      </c>
      <c r="AI15" s="76">
        <v>3</v>
      </c>
      <c r="AJ15" s="76">
        <v>0</v>
      </c>
      <c r="AK15" s="76">
        <v>776</v>
      </c>
      <c r="AL15" s="76">
        <v>3176</v>
      </c>
      <c r="AM15" s="202"/>
      <c r="AN15" s="77"/>
      <c r="AO15" s="202"/>
      <c r="AP15" s="202"/>
      <c r="AQ15" s="202"/>
      <c r="AR15" s="202"/>
      <c r="AS15" s="202"/>
      <c r="AT15" s="202"/>
      <c r="AU15" s="202"/>
      <c r="AV15" s="202"/>
      <c r="AW15" s="202"/>
      <c r="AX15" s="202"/>
      <c r="AY15" s="202"/>
    </row>
    <row r="16" spans="1:51" ht="25.5" x14ac:dyDescent="0.2">
      <c r="A16" s="76">
        <v>14</v>
      </c>
      <c r="B16" s="77" t="s">
        <v>1410</v>
      </c>
      <c r="C16" s="76" t="s">
        <v>159</v>
      </c>
      <c r="D16" s="76">
        <v>0</v>
      </c>
      <c r="E16" s="76">
        <v>0</v>
      </c>
      <c r="F16" s="76">
        <v>4.91</v>
      </c>
      <c r="G16" s="76">
        <v>24</v>
      </c>
      <c r="H16" s="76">
        <v>0</v>
      </c>
      <c r="I16" s="76">
        <v>0</v>
      </c>
      <c r="J16" s="76">
        <v>0</v>
      </c>
      <c r="K16" s="76">
        <v>14.2</v>
      </c>
      <c r="L16" s="76">
        <v>18</v>
      </c>
      <c r="M16" s="76">
        <v>8</v>
      </c>
      <c r="N16" s="76">
        <v>8</v>
      </c>
      <c r="O16" s="76">
        <v>1</v>
      </c>
      <c r="P16" s="76">
        <v>6</v>
      </c>
      <c r="Q16" s="76">
        <v>15</v>
      </c>
      <c r="R16" s="76">
        <v>0.30499999999999999</v>
      </c>
      <c r="S16" s="76">
        <v>1.64</v>
      </c>
      <c r="T16" s="76">
        <v>14</v>
      </c>
      <c r="U16" s="77" t="s">
        <v>1410</v>
      </c>
      <c r="V16" s="76" t="s">
        <v>159</v>
      </c>
      <c r="W16" s="76">
        <v>0</v>
      </c>
      <c r="X16" s="76">
        <v>0</v>
      </c>
      <c r="Y16" s="76">
        <v>0</v>
      </c>
      <c r="Z16" s="76">
        <v>0</v>
      </c>
      <c r="AA16" s="76">
        <v>0</v>
      </c>
      <c r="AB16" s="76">
        <v>2</v>
      </c>
      <c r="AC16" s="76">
        <v>2</v>
      </c>
      <c r="AD16" s="76">
        <v>14</v>
      </c>
      <c r="AE16" s="76">
        <v>12</v>
      </c>
      <c r="AF16" s="76">
        <v>0</v>
      </c>
      <c r="AG16" s="76">
        <v>0</v>
      </c>
      <c r="AH16" s="76">
        <v>1</v>
      </c>
      <c r="AI16" s="76">
        <v>1</v>
      </c>
      <c r="AJ16" s="76">
        <v>1</v>
      </c>
      <c r="AK16" s="76">
        <v>65</v>
      </c>
      <c r="AL16" s="76">
        <v>253</v>
      </c>
      <c r="AM16" s="202"/>
      <c r="AN16" s="77"/>
      <c r="AO16" s="202"/>
      <c r="AP16" s="202"/>
      <c r="AQ16" s="202"/>
      <c r="AR16" s="202"/>
      <c r="AS16" s="202"/>
      <c r="AT16" s="202"/>
      <c r="AU16" s="202"/>
      <c r="AV16" s="202"/>
      <c r="AW16" s="202"/>
      <c r="AX16" s="202"/>
      <c r="AY16" s="202"/>
    </row>
    <row r="17" spans="1:51" ht="25.5" x14ac:dyDescent="0.2">
      <c r="A17" s="76">
        <v>15</v>
      </c>
      <c r="B17" s="77" t="s">
        <v>1090</v>
      </c>
      <c r="C17" s="76" t="s">
        <v>159</v>
      </c>
      <c r="D17" s="76">
        <v>8</v>
      </c>
      <c r="E17" s="76">
        <v>9</v>
      </c>
      <c r="F17" s="76">
        <v>5.0199999999999996</v>
      </c>
      <c r="G17" s="76">
        <v>26</v>
      </c>
      <c r="H17" s="76">
        <v>26</v>
      </c>
      <c r="I17" s="76">
        <v>0</v>
      </c>
      <c r="J17" s="76">
        <v>0</v>
      </c>
      <c r="K17" s="76">
        <v>141.19999999999999</v>
      </c>
      <c r="L17" s="76">
        <v>154</v>
      </c>
      <c r="M17" s="76">
        <v>84</v>
      </c>
      <c r="N17" s="76">
        <v>79</v>
      </c>
      <c r="O17" s="76">
        <v>16</v>
      </c>
      <c r="P17" s="76">
        <v>67</v>
      </c>
      <c r="Q17" s="76">
        <v>143</v>
      </c>
      <c r="R17" s="76">
        <v>0.27600000000000002</v>
      </c>
      <c r="S17" s="76">
        <v>1.56</v>
      </c>
      <c r="T17" s="76">
        <v>15</v>
      </c>
      <c r="U17" s="77" t="s">
        <v>1090</v>
      </c>
      <c r="V17" s="76" t="s">
        <v>159</v>
      </c>
      <c r="W17" s="76">
        <v>0</v>
      </c>
      <c r="X17" s="76">
        <v>0</v>
      </c>
      <c r="Y17" s="76">
        <v>4</v>
      </c>
      <c r="Z17" s="76">
        <v>8</v>
      </c>
      <c r="AA17" s="76">
        <v>0</v>
      </c>
      <c r="AB17" s="76">
        <v>0</v>
      </c>
      <c r="AC17" s="76">
        <v>7</v>
      </c>
      <c r="AD17" s="76">
        <v>142</v>
      </c>
      <c r="AE17" s="76">
        <v>128</v>
      </c>
      <c r="AF17" s="76">
        <v>7</v>
      </c>
      <c r="AG17" s="76">
        <v>2</v>
      </c>
      <c r="AH17" s="76">
        <v>12</v>
      </c>
      <c r="AI17" s="76">
        <v>5</v>
      </c>
      <c r="AJ17" s="76">
        <v>0</v>
      </c>
      <c r="AK17" s="76">
        <v>638</v>
      </c>
      <c r="AL17" s="76">
        <v>2576</v>
      </c>
      <c r="AM17" s="202"/>
      <c r="AN17" s="77"/>
      <c r="AO17" s="202"/>
      <c r="AP17" s="202"/>
      <c r="AQ17" s="202"/>
      <c r="AR17" s="202"/>
      <c r="AS17" s="202"/>
      <c r="AT17" s="202"/>
      <c r="AU17" s="202"/>
      <c r="AV17" s="202"/>
      <c r="AW17" s="202"/>
      <c r="AX17" s="202"/>
      <c r="AY17" s="202"/>
    </row>
    <row r="18" spans="1:51" ht="25.5" x14ac:dyDescent="0.2">
      <c r="A18" s="76">
        <v>16</v>
      </c>
      <c r="B18" s="77" t="s">
        <v>1085</v>
      </c>
      <c r="C18" s="76" t="s">
        <v>159</v>
      </c>
      <c r="D18" s="76">
        <v>5</v>
      </c>
      <c r="E18" s="76">
        <v>13</v>
      </c>
      <c r="F18" s="76">
        <v>5.15</v>
      </c>
      <c r="G18" s="76">
        <v>36</v>
      </c>
      <c r="H18" s="76">
        <v>24</v>
      </c>
      <c r="I18" s="76">
        <v>1</v>
      </c>
      <c r="J18" s="76">
        <v>1</v>
      </c>
      <c r="K18" s="76">
        <v>155.19999999999999</v>
      </c>
      <c r="L18" s="76">
        <v>177</v>
      </c>
      <c r="M18" s="76">
        <v>109</v>
      </c>
      <c r="N18" s="76">
        <v>89</v>
      </c>
      <c r="O18" s="76">
        <v>24</v>
      </c>
      <c r="P18" s="76">
        <v>66</v>
      </c>
      <c r="Q18" s="76">
        <v>131</v>
      </c>
      <c r="R18" s="76">
        <v>0.28599999999999998</v>
      </c>
      <c r="S18" s="76">
        <v>1.56</v>
      </c>
      <c r="T18" s="76">
        <v>16</v>
      </c>
      <c r="U18" s="77" t="s">
        <v>1085</v>
      </c>
      <c r="V18" s="76" t="s">
        <v>159</v>
      </c>
      <c r="W18" s="76">
        <v>0</v>
      </c>
      <c r="X18" s="76">
        <v>0</v>
      </c>
      <c r="Y18" s="76">
        <v>5</v>
      </c>
      <c r="Z18" s="76">
        <v>2</v>
      </c>
      <c r="AA18" s="76">
        <v>6</v>
      </c>
      <c r="AB18" s="76">
        <v>2</v>
      </c>
      <c r="AC18" s="76">
        <v>15</v>
      </c>
      <c r="AD18" s="76">
        <v>203</v>
      </c>
      <c r="AE18" s="76">
        <v>119</v>
      </c>
      <c r="AF18" s="76">
        <v>9</v>
      </c>
      <c r="AG18" s="76">
        <v>0</v>
      </c>
      <c r="AH18" s="76">
        <v>2</v>
      </c>
      <c r="AI18" s="76">
        <v>4</v>
      </c>
      <c r="AJ18" s="76">
        <v>2</v>
      </c>
      <c r="AK18" s="76">
        <v>701</v>
      </c>
      <c r="AL18" s="76">
        <v>2539</v>
      </c>
      <c r="AM18" s="202"/>
      <c r="AN18" s="77"/>
      <c r="AO18" s="202"/>
      <c r="AP18" s="202"/>
      <c r="AQ18" s="202"/>
      <c r="AR18" s="202"/>
      <c r="AS18" s="202"/>
      <c r="AT18" s="202"/>
      <c r="AU18" s="202"/>
      <c r="AV18" s="202"/>
      <c r="AW18" s="202"/>
      <c r="AX18" s="202"/>
      <c r="AY18" s="202"/>
    </row>
    <row r="19" spans="1:51" ht="25.5" x14ac:dyDescent="0.2">
      <c r="A19" s="76">
        <v>17</v>
      </c>
      <c r="B19" s="77" t="s">
        <v>750</v>
      </c>
      <c r="C19" s="76" t="s">
        <v>159</v>
      </c>
      <c r="D19" s="76">
        <v>3</v>
      </c>
      <c r="E19" s="76">
        <v>2</v>
      </c>
      <c r="F19" s="76">
        <v>5.22</v>
      </c>
      <c r="G19" s="76">
        <v>70</v>
      </c>
      <c r="H19" s="76">
        <v>0</v>
      </c>
      <c r="I19" s="76">
        <v>5</v>
      </c>
      <c r="J19" s="76">
        <v>7</v>
      </c>
      <c r="K19" s="76">
        <v>60.1</v>
      </c>
      <c r="L19" s="76">
        <v>65</v>
      </c>
      <c r="M19" s="76">
        <v>40</v>
      </c>
      <c r="N19" s="76">
        <v>35</v>
      </c>
      <c r="O19" s="76">
        <v>6</v>
      </c>
      <c r="P19" s="76">
        <v>22</v>
      </c>
      <c r="Q19" s="76">
        <v>58</v>
      </c>
      <c r="R19" s="76">
        <v>0.26900000000000002</v>
      </c>
      <c r="S19" s="76">
        <v>1.44</v>
      </c>
      <c r="T19" s="76">
        <v>17</v>
      </c>
      <c r="U19" s="77" t="s">
        <v>750</v>
      </c>
      <c r="V19" s="76" t="s">
        <v>159</v>
      </c>
      <c r="W19" s="76">
        <v>0</v>
      </c>
      <c r="X19" s="76">
        <v>0</v>
      </c>
      <c r="Y19" s="76">
        <v>4</v>
      </c>
      <c r="Z19" s="76">
        <v>3</v>
      </c>
      <c r="AA19" s="76">
        <v>17</v>
      </c>
      <c r="AB19" s="76">
        <v>17</v>
      </c>
      <c r="AC19" s="76">
        <v>3</v>
      </c>
      <c r="AD19" s="76">
        <v>55</v>
      </c>
      <c r="AE19" s="76">
        <v>64</v>
      </c>
      <c r="AF19" s="76">
        <v>5</v>
      </c>
      <c r="AG19" s="76">
        <v>0</v>
      </c>
      <c r="AH19" s="76">
        <v>3</v>
      </c>
      <c r="AI19" s="76">
        <v>2</v>
      </c>
      <c r="AJ19" s="76">
        <v>0</v>
      </c>
      <c r="AK19" s="76">
        <v>268</v>
      </c>
      <c r="AL19" s="76">
        <v>1113</v>
      </c>
      <c r="AM19" s="202"/>
      <c r="AN19" s="77"/>
      <c r="AO19" s="202"/>
      <c r="AP19" s="202"/>
      <c r="AQ19" s="202"/>
      <c r="AR19" s="202"/>
      <c r="AS19" s="202"/>
      <c r="AT19" s="202"/>
      <c r="AU19" s="202"/>
      <c r="AV19" s="202"/>
      <c r="AW19" s="202"/>
      <c r="AX19" s="202"/>
      <c r="AY19" s="202"/>
    </row>
    <row r="20" spans="1:51" ht="25.5" x14ac:dyDescent="0.2">
      <c r="A20" s="76">
        <v>18</v>
      </c>
      <c r="B20" s="77" t="s">
        <v>1411</v>
      </c>
      <c r="C20" s="76" t="s">
        <v>159</v>
      </c>
      <c r="D20" s="76">
        <v>4</v>
      </c>
      <c r="E20" s="76">
        <v>5</v>
      </c>
      <c r="F20" s="76">
        <v>5.27</v>
      </c>
      <c r="G20" s="76">
        <v>13</v>
      </c>
      <c r="H20" s="76">
        <v>11</v>
      </c>
      <c r="I20" s="76">
        <v>0</v>
      </c>
      <c r="J20" s="76">
        <v>0</v>
      </c>
      <c r="K20" s="76">
        <v>70</v>
      </c>
      <c r="L20" s="76">
        <v>80</v>
      </c>
      <c r="M20" s="76">
        <v>43</v>
      </c>
      <c r="N20" s="76">
        <v>41</v>
      </c>
      <c r="O20" s="76">
        <v>14</v>
      </c>
      <c r="P20" s="76">
        <v>28</v>
      </c>
      <c r="Q20" s="76">
        <v>43</v>
      </c>
      <c r="R20" s="76">
        <v>0.29299999999999998</v>
      </c>
      <c r="S20" s="76">
        <v>1.54</v>
      </c>
      <c r="T20" s="76">
        <v>18</v>
      </c>
      <c r="U20" s="77" t="s">
        <v>1411</v>
      </c>
      <c r="V20" s="76" t="s">
        <v>159</v>
      </c>
      <c r="W20" s="76">
        <v>0</v>
      </c>
      <c r="X20" s="76">
        <v>0</v>
      </c>
      <c r="Y20" s="76">
        <v>1</v>
      </c>
      <c r="Z20" s="76">
        <v>1</v>
      </c>
      <c r="AA20" s="76">
        <v>0</v>
      </c>
      <c r="AB20" s="76">
        <v>0</v>
      </c>
      <c r="AC20" s="76">
        <v>13</v>
      </c>
      <c r="AD20" s="76">
        <v>84</v>
      </c>
      <c r="AE20" s="76">
        <v>70</v>
      </c>
      <c r="AF20" s="76">
        <v>1</v>
      </c>
      <c r="AG20" s="76">
        <v>0</v>
      </c>
      <c r="AH20" s="76">
        <v>4</v>
      </c>
      <c r="AI20" s="76">
        <v>0</v>
      </c>
      <c r="AJ20" s="76">
        <v>0</v>
      </c>
      <c r="AK20" s="76">
        <v>306</v>
      </c>
      <c r="AL20" s="76">
        <v>1181</v>
      </c>
      <c r="AM20" s="202"/>
      <c r="AN20" s="77"/>
      <c r="AO20" s="202"/>
      <c r="AP20" s="202"/>
      <c r="AQ20" s="202"/>
      <c r="AR20" s="202"/>
      <c r="AS20" s="202"/>
      <c r="AT20" s="202"/>
      <c r="AU20" s="202"/>
      <c r="AV20" s="202"/>
      <c r="AW20" s="202"/>
      <c r="AX20" s="202"/>
      <c r="AY20" s="202"/>
    </row>
    <row r="21" spans="1:51" ht="25.5" x14ac:dyDescent="0.2">
      <c r="A21" s="76">
        <v>19</v>
      </c>
      <c r="B21" s="77" t="s">
        <v>1088</v>
      </c>
      <c r="C21" s="76" t="s">
        <v>159</v>
      </c>
      <c r="D21" s="76">
        <v>1</v>
      </c>
      <c r="E21" s="76">
        <v>2</v>
      </c>
      <c r="F21" s="76">
        <v>5.66</v>
      </c>
      <c r="G21" s="76">
        <v>43</v>
      </c>
      <c r="H21" s="76">
        <v>0</v>
      </c>
      <c r="I21" s="76">
        <v>1</v>
      </c>
      <c r="J21" s="76">
        <v>4</v>
      </c>
      <c r="K21" s="76">
        <v>41.1</v>
      </c>
      <c r="L21" s="76">
        <v>38</v>
      </c>
      <c r="M21" s="76">
        <v>27</v>
      </c>
      <c r="N21" s="76">
        <v>26</v>
      </c>
      <c r="O21" s="76">
        <v>5</v>
      </c>
      <c r="P21" s="76">
        <v>23</v>
      </c>
      <c r="Q21" s="76">
        <v>43</v>
      </c>
      <c r="R21" s="76">
        <v>0.253</v>
      </c>
      <c r="S21" s="76">
        <v>1.48</v>
      </c>
      <c r="T21" s="76">
        <v>19</v>
      </c>
      <c r="U21" s="77" t="s">
        <v>1088</v>
      </c>
      <c r="V21" s="76" t="s">
        <v>159</v>
      </c>
      <c r="W21" s="76">
        <v>0</v>
      </c>
      <c r="X21" s="76">
        <v>0</v>
      </c>
      <c r="Y21" s="76">
        <v>1</v>
      </c>
      <c r="Z21" s="76">
        <v>5</v>
      </c>
      <c r="AA21" s="76">
        <v>16</v>
      </c>
      <c r="AB21" s="76">
        <v>7</v>
      </c>
      <c r="AC21" s="76">
        <v>5</v>
      </c>
      <c r="AD21" s="76">
        <v>40</v>
      </c>
      <c r="AE21" s="76">
        <v>33</v>
      </c>
      <c r="AF21" s="76">
        <v>5</v>
      </c>
      <c r="AG21" s="76">
        <v>1</v>
      </c>
      <c r="AH21" s="76">
        <v>5</v>
      </c>
      <c r="AI21" s="76">
        <v>0</v>
      </c>
      <c r="AJ21" s="76">
        <v>0</v>
      </c>
      <c r="AK21" s="76">
        <v>178</v>
      </c>
      <c r="AL21" s="76">
        <v>734</v>
      </c>
      <c r="AM21" s="202"/>
      <c r="AN21" s="77"/>
      <c r="AO21" s="202"/>
      <c r="AP21" s="202"/>
      <c r="AQ21" s="202"/>
      <c r="AR21" s="202"/>
      <c r="AS21" s="202"/>
      <c r="AT21" s="202"/>
      <c r="AU21" s="202"/>
      <c r="AV21" s="202"/>
      <c r="AW21" s="202"/>
      <c r="AX21" s="202"/>
      <c r="AY21" s="202"/>
    </row>
    <row r="22" spans="1:51" ht="25.5" x14ac:dyDescent="0.2">
      <c r="A22" s="76">
        <v>20</v>
      </c>
      <c r="B22" s="77" t="s">
        <v>467</v>
      </c>
      <c r="C22" s="76" t="s">
        <v>159</v>
      </c>
      <c r="D22" s="76">
        <v>3</v>
      </c>
      <c r="E22" s="76">
        <v>12</v>
      </c>
      <c r="F22" s="76">
        <v>6.15</v>
      </c>
      <c r="G22" s="76">
        <v>20</v>
      </c>
      <c r="H22" s="76">
        <v>20</v>
      </c>
      <c r="I22" s="76">
        <v>0</v>
      </c>
      <c r="J22" s="76">
        <v>0</v>
      </c>
      <c r="K22" s="76">
        <v>101</v>
      </c>
      <c r="L22" s="76">
        <v>127</v>
      </c>
      <c r="M22" s="76">
        <v>72</v>
      </c>
      <c r="N22" s="76">
        <v>69</v>
      </c>
      <c r="O22" s="76">
        <v>14</v>
      </c>
      <c r="P22" s="76">
        <v>42</v>
      </c>
      <c r="Q22" s="76">
        <v>70</v>
      </c>
      <c r="R22" s="76">
        <v>0.31</v>
      </c>
      <c r="S22" s="76">
        <v>1.67</v>
      </c>
      <c r="T22" s="76">
        <v>20</v>
      </c>
      <c r="U22" s="77" t="s">
        <v>467</v>
      </c>
      <c r="V22" s="76" t="s">
        <v>159</v>
      </c>
      <c r="W22" s="76">
        <v>1</v>
      </c>
      <c r="X22" s="76">
        <v>1</v>
      </c>
      <c r="Y22" s="76">
        <v>2</v>
      </c>
      <c r="Z22" s="76">
        <v>3</v>
      </c>
      <c r="AA22" s="76">
        <v>0</v>
      </c>
      <c r="AB22" s="76">
        <v>0</v>
      </c>
      <c r="AC22" s="76">
        <v>8</v>
      </c>
      <c r="AD22" s="76">
        <v>110</v>
      </c>
      <c r="AE22" s="76">
        <v>109</v>
      </c>
      <c r="AF22" s="76">
        <v>3</v>
      </c>
      <c r="AG22" s="76">
        <v>0</v>
      </c>
      <c r="AH22" s="76">
        <v>8</v>
      </c>
      <c r="AI22" s="76">
        <v>5</v>
      </c>
      <c r="AJ22" s="76">
        <v>1</v>
      </c>
      <c r="AK22" s="76">
        <v>460</v>
      </c>
      <c r="AL22" s="76">
        <v>1740</v>
      </c>
      <c r="AM22" s="202"/>
      <c r="AN22" s="77"/>
      <c r="AO22" s="202"/>
      <c r="AP22" s="202"/>
      <c r="AQ22" s="202"/>
      <c r="AR22" s="202"/>
      <c r="AS22" s="202"/>
      <c r="AT22" s="202"/>
      <c r="AU22" s="202"/>
      <c r="AV22" s="202"/>
      <c r="AW22" s="202"/>
      <c r="AX22" s="202"/>
      <c r="AY22" s="202"/>
    </row>
    <row r="23" spans="1:51" ht="25.5" x14ac:dyDescent="0.2">
      <c r="A23" s="76">
        <v>21</v>
      </c>
      <c r="B23" s="77" t="s">
        <v>818</v>
      </c>
      <c r="C23" s="76" t="s">
        <v>159</v>
      </c>
      <c r="D23" s="76">
        <v>0</v>
      </c>
      <c r="E23" s="76">
        <v>1</v>
      </c>
      <c r="F23" s="76">
        <v>6.33</v>
      </c>
      <c r="G23" s="76">
        <v>25</v>
      </c>
      <c r="H23" s="76">
        <v>0</v>
      </c>
      <c r="I23" s="76">
        <v>0</v>
      </c>
      <c r="J23" s="76">
        <v>1</v>
      </c>
      <c r="K23" s="76">
        <v>27</v>
      </c>
      <c r="L23" s="76">
        <v>45</v>
      </c>
      <c r="M23" s="76">
        <v>21</v>
      </c>
      <c r="N23" s="76">
        <v>19</v>
      </c>
      <c r="O23" s="76">
        <v>7</v>
      </c>
      <c r="P23" s="76">
        <v>12</v>
      </c>
      <c r="Q23" s="76">
        <v>23</v>
      </c>
      <c r="R23" s="76">
        <v>0.39100000000000001</v>
      </c>
      <c r="S23" s="76">
        <v>2.11</v>
      </c>
      <c r="T23" s="76">
        <v>21</v>
      </c>
      <c r="U23" s="77" t="s">
        <v>818</v>
      </c>
      <c r="V23" s="76" t="s">
        <v>159</v>
      </c>
      <c r="W23" s="76">
        <v>0</v>
      </c>
      <c r="X23" s="76">
        <v>0</v>
      </c>
      <c r="Y23" s="76">
        <v>1</v>
      </c>
      <c r="Z23" s="76">
        <v>1</v>
      </c>
      <c r="AA23" s="76">
        <v>8</v>
      </c>
      <c r="AB23" s="76">
        <v>0</v>
      </c>
      <c r="AC23" s="76">
        <v>5</v>
      </c>
      <c r="AD23" s="76">
        <v>28</v>
      </c>
      <c r="AE23" s="76">
        <v>22</v>
      </c>
      <c r="AF23" s="76">
        <v>4</v>
      </c>
      <c r="AG23" s="76">
        <v>0</v>
      </c>
      <c r="AH23" s="76">
        <v>2</v>
      </c>
      <c r="AI23" s="76">
        <v>1</v>
      </c>
      <c r="AJ23" s="76">
        <v>0</v>
      </c>
      <c r="AK23" s="76">
        <v>131</v>
      </c>
      <c r="AL23" s="76">
        <v>477</v>
      </c>
      <c r="AM23" s="202"/>
      <c r="AN23" s="77"/>
      <c r="AO23" s="202"/>
      <c r="AP23" s="202"/>
      <c r="AQ23" s="202"/>
      <c r="AR23" s="202"/>
      <c r="AS23" s="202"/>
      <c r="AT23" s="202"/>
      <c r="AU23" s="202"/>
      <c r="AV23" s="202"/>
      <c r="AW23" s="202"/>
      <c r="AX23" s="202"/>
      <c r="AY23" s="202"/>
    </row>
    <row r="24" spans="1:51" ht="25.5" x14ac:dyDescent="0.2">
      <c r="A24" s="76">
        <v>22</v>
      </c>
      <c r="B24" s="77" t="s">
        <v>1084</v>
      </c>
      <c r="C24" s="76" t="s">
        <v>159</v>
      </c>
      <c r="D24" s="76">
        <v>5</v>
      </c>
      <c r="E24" s="76">
        <v>4</v>
      </c>
      <c r="F24" s="76">
        <v>6.39</v>
      </c>
      <c r="G24" s="76">
        <v>27</v>
      </c>
      <c r="H24" s="76">
        <v>9</v>
      </c>
      <c r="I24" s="76">
        <v>0</v>
      </c>
      <c r="J24" s="76">
        <v>1</v>
      </c>
      <c r="K24" s="76">
        <v>74.2</v>
      </c>
      <c r="L24" s="76">
        <v>86</v>
      </c>
      <c r="M24" s="76">
        <v>54</v>
      </c>
      <c r="N24" s="76">
        <v>53</v>
      </c>
      <c r="O24" s="76">
        <v>13</v>
      </c>
      <c r="P24" s="76">
        <v>25</v>
      </c>
      <c r="Q24" s="76">
        <v>60</v>
      </c>
      <c r="R24" s="76">
        <v>0.28899999999999998</v>
      </c>
      <c r="S24" s="76">
        <v>1.49</v>
      </c>
      <c r="T24" s="76">
        <v>22</v>
      </c>
      <c r="U24" s="77" t="s">
        <v>1084</v>
      </c>
      <c r="V24" s="76" t="s">
        <v>159</v>
      </c>
      <c r="W24" s="76">
        <v>0</v>
      </c>
      <c r="X24" s="76">
        <v>0</v>
      </c>
      <c r="Y24" s="76">
        <v>4</v>
      </c>
      <c r="Z24" s="76">
        <v>4</v>
      </c>
      <c r="AA24" s="76">
        <v>1</v>
      </c>
      <c r="AB24" s="76">
        <v>0</v>
      </c>
      <c r="AC24" s="76">
        <v>4</v>
      </c>
      <c r="AD24" s="76">
        <v>104</v>
      </c>
      <c r="AE24" s="76">
        <v>56</v>
      </c>
      <c r="AF24" s="76">
        <v>5</v>
      </c>
      <c r="AG24" s="76">
        <v>0</v>
      </c>
      <c r="AH24" s="76">
        <v>2</v>
      </c>
      <c r="AI24" s="76">
        <v>0</v>
      </c>
      <c r="AJ24" s="76">
        <v>0</v>
      </c>
      <c r="AK24" s="76">
        <v>335</v>
      </c>
      <c r="AL24" s="76">
        <v>1150</v>
      </c>
      <c r="AM24" s="202"/>
      <c r="AN24" s="77"/>
      <c r="AO24" s="202"/>
      <c r="AP24" s="202"/>
      <c r="AQ24" s="202"/>
      <c r="AR24" s="202"/>
      <c r="AS24" s="202"/>
      <c r="AT24" s="202"/>
      <c r="AU24" s="202"/>
      <c r="AV24" s="202"/>
      <c r="AW24" s="202"/>
      <c r="AX24" s="202"/>
      <c r="AY24" s="202"/>
    </row>
    <row r="25" spans="1:51" ht="25.5" x14ac:dyDescent="0.2">
      <c r="A25" s="76">
        <v>23</v>
      </c>
      <c r="B25" s="77" t="s">
        <v>746</v>
      </c>
      <c r="C25" s="76" t="s">
        <v>159</v>
      </c>
      <c r="D25" s="76">
        <v>0</v>
      </c>
      <c r="E25" s="76">
        <v>1</v>
      </c>
      <c r="F25" s="76">
        <v>6.75</v>
      </c>
      <c r="G25" s="76">
        <v>32</v>
      </c>
      <c r="H25" s="76">
        <v>0</v>
      </c>
      <c r="I25" s="76">
        <v>0</v>
      </c>
      <c r="J25" s="76">
        <v>1</v>
      </c>
      <c r="K25" s="76">
        <v>22.2</v>
      </c>
      <c r="L25" s="76">
        <v>22</v>
      </c>
      <c r="M25" s="76">
        <v>18</v>
      </c>
      <c r="N25" s="76">
        <v>17</v>
      </c>
      <c r="O25" s="76">
        <v>1</v>
      </c>
      <c r="P25" s="76">
        <v>11</v>
      </c>
      <c r="Q25" s="76">
        <v>28</v>
      </c>
      <c r="R25" s="76">
        <v>0.25900000000000001</v>
      </c>
      <c r="S25" s="76">
        <v>1.46</v>
      </c>
      <c r="T25" s="76">
        <v>23</v>
      </c>
      <c r="U25" s="77" t="s">
        <v>746</v>
      </c>
      <c r="V25" s="76" t="s">
        <v>159</v>
      </c>
      <c r="W25" s="76">
        <v>0</v>
      </c>
      <c r="X25" s="76">
        <v>0</v>
      </c>
      <c r="Y25" s="76">
        <v>1</v>
      </c>
      <c r="Z25" s="76">
        <v>1</v>
      </c>
      <c r="AA25" s="76">
        <v>1</v>
      </c>
      <c r="AB25" s="76">
        <v>6</v>
      </c>
      <c r="AC25" s="76">
        <v>5</v>
      </c>
      <c r="AD25" s="76">
        <v>21</v>
      </c>
      <c r="AE25" s="76">
        <v>15</v>
      </c>
      <c r="AF25" s="76">
        <v>2</v>
      </c>
      <c r="AG25" s="76">
        <v>0</v>
      </c>
      <c r="AH25" s="76">
        <v>1</v>
      </c>
      <c r="AI25" s="76">
        <v>0</v>
      </c>
      <c r="AJ25" s="76">
        <v>0</v>
      </c>
      <c r="AK25" s="76">
        <v>98</v>
      </c>
      <c r="AL25" s="76">
        <v>351</v>
      </c>
      <c r="AM25" s="202"/>
      <c r="AN25" s="77"/>
      <c r="AO25" s="202"/>
      <c r="AP25" s="202"/>
      <c r="AQ25" s="202"/>
      <c r="AR25" s="202"/>
      <c r="AS25" s="202"/>
      <c r="AT25" s="202"/>
      <c r="AU25" s="202"/>
      <c r="AV25" s="202"/>
      <c r="AW25" s="202"/>
      <c r="AX25" s="202"/>
      <c r="AY25" s="202"/>
    </row>
    <row r="26" spans="1:51" ht="25.5" x14ac:dyDescent="0.2">
      <c r="A26" s="76">
        <v>23</v>
      </c>
      <c r="B26" s="77" t="s">
        <v>1412</v>
      </c>
      <c r="C26" s="76" t="s">
        <v>159</v>
      </c>
      <c r="D26" s="76">
        <v>0</v>
      </c>
      <c r="E26" s="76">
        <v>1</v>
      </c>
      <c r="F26" s="76">
        <v>6.75</v>
      </c>
      <c r="G26" s="76">
        <v>21</v>
      </c>
      <c r="H26" s="76">
        <v>0</v>
      </c>
      <c r="I26" s="76">
        <v>0</v>
      </c>
      <c r="J26" s="76">
        <v>1</v>
      </c>
      <c r="K26" s="76">
        <v>13.1</v>
      </c>
      <c r="L26" s="76">
        <v>13</v>
      </c>
      <c r="M26" s="76">
        <v>10</v>
      </c>
      <c r="N26" s="76">
        <v>10</v>
      </c>
      <c r="O26" s="76">
        <v>2</v>
      </c>
      <c r="P26" s="76">
        <v>13</v>
      </c>
      <c r="Q26" s="76">
        <v>10</v>
      </c>
      <c r="R26" s="76">
        <v>0.255</v>
      </c>
      <c r="S26" s="76">
        <v>1.95</v>
      </c>
      <c r="T26" s="76">
        <v>23</v>
      </c>
      <c r="U26" s="77" t="s">
        <v>1412</v>
      </c>
      <c r="V26" s="76" t="s">
        <v>159</v>
      </c>
      <c r="W26" s="76">
        <v>0</v>
      </c>
      <c r="X26" s="76">
        <v>0</v>
      </c>
      <c r="Y26" s="76">
        <v>3</v>
      </c>
      <c r="Z26" s="76">
        <v>1</v>
      </c>
      <c r="AA26" s="76">
        <v>2</v>
      </c>
      <c r="AB26" s="76">
        <v>1</v>
      </c>
      <c r="AC26" s="76">
        <v>1</v>
      </c>
      <c r="AD26" s="76">
        <v>12</v>
      </c>
      <c r="AE26" s="76">
        <v>16</v>
      </c>
      <c r="AF26" s="76">
        <v>0</v>
      </c>
      <c r="AG26" s="76">
        <v>0</v>
      </c>
      <c r="AH26" s="76">
        <v>1</v>
      </c>
      <c r="AI26" s="76">
        <v>0</v>
      </c>
      <c r="AJ26" s="76">
        <v>0</v>
      </c>
      <c r="AK26" s="76">
        <v>67</v>
      </c>
      <c r="AL26" s="76">
        <v>271</v>
      </c>
      <c r="AM26" s="202"/>
      <c r="AN26" s="77"/>
      <c r="AO26" s="202"/>
      <c r="AP26" s="202"/>
      <c r="AQ26" s="202"/>
      <c r="AR26" s="202"/>
      <c r="AS26" s="202"/>
      <c r="AT26" s="202"/>
      <c r="AU26" s="202"/>
      <c r="AV26" s="202"/>
      <c r="AW26" s="202"/>
      <c r="AX26" s="202"/>
      <c r="AY26" s="202"/>
    </row>
    <row r="27" spans="1:51" ht="25.5" x14ac:dyDescent="0.2">
      <c r="A27" s="76">
        <v>25</v>
      </c>
      <c r="B27" s="77" t="s">
        <v>1347</v>
      </c>
      <c r="C27" s="76" t="s">
        <v>159</v>
      </c>
      <c r="D27" s="76">
        <v>1</v>
      </c>
      <c r="E27" s="76">
        <v>2</v>
      </c>
      <c r="F27" s="76">
        <v>7.23</v>
      </c>
      <c r="G27" s="76">
        <v>25</v>
      </c>
      <c r="H27" s="76">
        <v>2</v>
      </c>
      <c r="I27" s="76">
        <v>0</v>
      </c>
      <c r="J27" s="76">
        <v>1</v>
      </c>
      <c r="K27" s="76">
        <v>23.2</v>
      </c>
      <c r="L27" s="76">
        <v>33</v>
      </c>
      <c r="M27" s="76">
        <v>21</v>
      </c>
      <c r="N27" s="76">
        <v>19</v>
      </c>
      <c r="O27" s="76">
        <v>4</v>
      </c>
      <c r="P27" s="76">
        <v>12</v>
      </c>
      <c r="Q27" s="76">
        <v>17</v>
      </c>
      <c r="R27" s="76">
        <v>0.33300000000000002</v>
      </c>
      <c r="S27" s="76">
        <v>1.9</v>
      </c>
      <c r="T27" s="76">
        <v>25</v>
      </c>
      <c r="U27" s="77" t="s">
        <v>1347</v>
      </c>
      <c r="V27" s="76" t="s">
        <v>159</v>
      </c>
      <c r="W27" s="76">
        <v>0</v>
      </c>
      <c r="X27" s="76">
        <v>0</v>
      </c>
      <c r="Y27" s="76">
        <v>4</v>
      </c>
      <c r="Z27" s="76">
        <v>3</v>
      </c>
      <c r="AA27" s="76">
        <v>3</v>
      </c>
      <c r="AB27" s="76">
        <v>4</v>
      </c>
      <c r="AC27" s="76">
        <v>3</v>
      </c>
      <c r="AD27" s="76">
        <v>24</v>
      </c>
      <c r="AE27" s="76">
        <v>26</v>
      </c>
      <c r="AF27" s="76">
        <v>0</v>
      </c>
      <c r="AG27" s="76">
        <v>0</v>
      </c>
      <c r="AH27" s="76">
        <v>0</v>
      </c>
      <c r="AI27" s="76">
        <v>0</v>
      </c>
      <c r="AJ27" s="76">
        <v>0</v>
      </c>
      <c r="AK27" s="76">
        <v>116</v>
      </c>
      <c r="AL27" s="76">
        <v>449</v>
      </c>
      <c r="AM27" s="202"/>
      <c r="AN27" s="77"/>
      <c r="AO27" s="202"/>
      <c r="AP27" s="202"/>
      <c r="AQ27" s="202"/>
      <c r="AR27" s="202"/>
      <c r="AS27" s="202"/>
      <c r="AT27" s="202"/>
      <c r="AU27" s="202"/>
      <c r="AV27" s="202"/>
      <c r="AW27" s="202"/>
      <c r="AX27" s="202"/>
      <c r="AY27" s="202"/>
    </row>
    <row r="28" spans="1:51" ht="25.5" x14ac:dyDescent="0.2">
      <c r="A28" s="76">
        <v>26</v>
      </c>
      <c r="B28" s="77" t="s">
        <v>1083</v>
      </c>
      <c r="C28" s="76" t="s">
        <v>159</v>
      </c>
      <c r="D28" s="76">
        <v>0</v>
      </c>
      <c r="E28" s="76">
        <v>2</v>
      </c>
      <c r="F28" s="76">
        <v>7.3</v>
      </c>
      <c r="G28" s="76">
        <v>26</v>
      </c>
      <c r="H28" s="76">
        <v>0</v>
      </c>
      <c r="I28" s="76">
        <v>0</v>
      </c>
      <c r="J28" s="76">
        <v>0</v>
      </c>
      <c r="K28" s="76">
        <v>24.2</v>
      </c>
      <c r="L28" s="76">
        <v>31</v>
      </c>
      <c r="M28" s="76">
        <v>22</v>
      </c>
      <c r="N28" s="76">
        <v>20</v>
      </c>
      <c r="O28" s="76">
        <v>7</v>
      </c>
      <c r="P28" s="76">
        <v>10</v>
      </c>
      <c r="Q28" s="76">
        <v>17</v>
      </c>
      <c r="R28" s="76">
        <v>0.29499999999999998</v>
      </c>
      <c r="S28" s="76">
        <v>1.66</v>
      </c>
      <c r="T28" s="76">
        <v>26</v>
      </c>
      <c r="U28" s="77" t="s">
        <v>1083</v>
      </c>
      <c r="V28" s="76" t="s">
        <v>159</v>
      </c>
      <c r="W28" s="76">
        <v>0</v>
      </c>
      <c r="X28" s="76">
        <v>0</v>
      </c>
      <c r="Y28" s="76">
        <v>3</v>
      </c>
      <c r="Z28" s="76">
        <v>1</v>
      </c>
      <c r="AA28" s="76">
        <v>11</v>
      </c>
      <c r="AB28" s="76">
        <v>0</v>
      </c>
      <c r="AC28" s="76">
        <v>2</v>
      </c>
      <c r="AD28" s="76">
        <v>16</v>
      </c>
      <c r="AE28" s="76">
        <v>42</v>
      </c>
      <c r="AF28" s="76">
        <v>3</v>
      </c>
      <c r="AG28" s="76">
        <v>0</v>
      </c>
      <c r="AH28" s="76">
        <v>0</v>
      </c>
      <c r="AI28" s="76">
        <v>0</v>
      </c>
      <c r="AJ28" s="76">
        <v>0</v>
      </c>
      <c r="AK28" s="76">
        <v>119</v>
      </c>
      <c r="AL28" s="76">
        <v>463</v>
      </c>
      <c r="AM28" s="202"/>
      <c r="AN28" s="77"/>
      <c r="AO28" s="202"/>
      <c r="AP28" s="202"/>
      <c r="AQ28" s="202"/>
      <c r="AR28" s="202"/>
      <c r="AS28" s="202"/>
      <c r="AT28" s="202"/>
      <c r="AU28" s="202"/>
      <c r="AV28" s="202"/>
      <c r="AW28" s="202"/>
      <c r="AX28" s="202"/>
      <c r="AY28" s="202"/>
    </row>
    <row r="29" spans="1:51" ht="25.5" x14ac:dyDescent="0.2">
      <c r="A29" s="76">
        <v>27</v>
      </c>
      <c r="B29" s="77" t="s">
        <v>745</v>
      </c>
      <c r="C29" s="76" t="s">
        <v>159</v>
      </c>
      <c r="D29" s="76">
        <v>0</v>
      </c>
      <c r="E29" s="76">
        <v>1</v>
      </c>
      <c r="F29" s="76">
        <v>8.8000000000000007</v>
      </c>
      <c r="G29" s="76">
        <v>15</v>
      </c>
      <c r="H29" s="76">
        <v>0</v>
      </c>
      <c r="I29" s="76">
        <v>0</v>
      </c>
      <c r="J29" s="76">
        <v>0</v>
      </c>
      <c r="K29" s="76">
        <v>15.1</v>
      </c>
      <c r="L29" s="76">
        <v>28</v>
      </c>
      <c r="M29" s="76">
        <v>18</v>
      </c>
      <c r="N29" s="76">
        <v>15</v>
      </c>
      <c r="O29" s="76">
        <v>2</v>
      </c>
      <c r="P29" s="76">
        <v>8</v>
      </c>
      <c r="Q29" s="76">
        <v>9</v>
      </c>
      <c r="R29" s="76">
        <v>0.4</v>
      </c>
      <c r="S29" s="76">
        <v>2.35</v>
      </c>
      <c r="T29" s="76">
        <v>27</v>
      </c>
      <c r="U29" s="77" t="s">
        <v>745</v>
      </c>
      <c r="V29" s="76" t="s">
        <v>159</v>
      </c>
      <c r="W29" s="76">
        <v>0</v>
      </c>
      <c r="X29" s="76">
        <v>0</v>
      </c>
      <c r="Y29" s="76">
        <v>1</v>
      </c>
      <c r="Z29" s="76">
        <v>2</v>
      </c>
      <c r="AA29" s="76">
        <v>8</v>
      </c>
      <c r="AB29" s="76">
        <v>1</v>
      </c>
      <c r="AC29" s="76">
        <v>5</v>
      </c>
      <c r="AD29" s="76">
        <v>24</v>
      </c>
      <c r="AE29" s="76">
        <v>9</v>
      </c>
      <c r="AF29" s="76">
        <v>1</v>
      </c>
      <c r="AG29" s="76">
        <v>0</v>
      </c>
      <c r="AH29" s="76">
        <v>0</v>
      </c>
      <c r="AI29" s="76">
        <v>0</v>
      </c>
      <c r="AJ29" s="76">
        <v>0</v>
      </c>
      <c r="AK29" s="76">
        <v>79</v>
      </c>
      <c r="AL29" s="76">
        <v>284</v>
      </c>
      <c r="AM29" s="202"/>
      <c r="AN29" s="77"/>
      <c r="AO29" s="202"/>
      <c r="AP29" s="202"/>
      <c r="AQ29" s="202"/>
      <c r="AR29" s="202"/>
      <c r="AS29" s="202"/>
      <c r="AT29" s="202"/>
      <c r="AU29" s="202"/>
      <c r="AV29" s="202"/>
      <c r="AW29" s="202"/>
      <c r="AX29" s="202"/>
      <c r="AY29" s="202"/>
    </row>
    <row r="30" spans="1:51" ht="25.5" x14ac:dyDescent="0.2">
      <c r="A30" s="76">
        <v>28</v>
      </c>
      <c r="B30" s="77" t="s">
        <v>1091</v>
      </c>
      <c r="C30" s="76" t="s">
        <v>159</v>
      </c>
      <c r="D30" s="76">
        <v>0</v>
      </c>
      <c r="E30" s="76">
        <v>0</v>
      </c>
      <c r="F30" s="76">
        <v>9</v>
      </c>
      <c r="G30" s="76">
        <v>2</v>
      </c>
      <c r="H30" s="76">
        <v>0</v>
      </c>
      <c r="I30" s="76">
        <v>0</v>
      </c>
      <c r="J30" s="76">
        <v>0</v>
      </c>
      <c r="K30" s="76">
        <v>3</v>
      </c>
      <c r="L30" s="76">
        <v>5</v>
      </c>
      <c r="M30" s="76">
        <v>3</v>
      </c>
      <c r="N30" s="76">
        <v>3</v>
      </c>
      <c r="O30" s="76">
        <v>0</v>
      </c>
      <c r="P30" s="76">
        <v>2</v>
      </c>
      <c r="Q30" s="76">
        <v>2</v>
      </c>
      <c r="R30" s="76">
        <v>0.35699999999999998</v>
      </c>
      <c r="S30" s="76">
        <v>2.33</v>
      </c>
      <c r="T30" s="76">
        <v>28</v>
      </c>
      <c r="U30" s="77" t="s">
        <v>1091</v>
      </c>
      <c r="V30" s="76" t="s">
        <v>159</v>
      </c>
      <c r="W30" s="76">
        <v>0</v>
      </c>
      <c r="X30" s="76">
        <v>0</v>
      </c>
      <c r="Y30" s="76">
        <v>1</v>
      </c>
      <c r="Z30" s="76">
        <v>0</v>
      </c>
      <c r="AA30" s="76">
        <v>1</v>
      </c>
      <c r="AB30" s="76">
        <v>0</v>
      </c>
      <c r="AC30" s="76">
        <v>0</v>
      </c>
      <c r="AD30" s="76">
        <v>3</v>
      </c>
      <c r="AE30" s="76">
        <v>4</v>
      </c>
      <c r="AF30" s="76">
        <v>0</v>
      </c>
      <c r="AG30" s="76">
        <v>0</v>
      </c>
      <c r="AH30" s="76">
        <v>0</v>
      </c>
      <c r="AI30" s="76">
        <v>0</v>
      </c>
      <c r="AJ30" s="76">
        <v>0</v>
      </c>
      <c r="AK30" s="76">
        <v>17</v>
      </c>
      <c r="AL30" s="76">
        <v>64</v>
      </c>
      <c r="AM30" s="102"/>
      <c r="AN30" s="102"/>
      <c r="AO30" s="102"/>
      <c r="AP30" s="102"/>
      <c r="AQ30" s="102"/>
      <c r="AR30" s="102"/>
      <c r="AS30" s="102"/>
      <c r="AT30" s="102"/>
      <c r="AU30" s="102"/>
      <c r="AV30" s="102"/>
      <c r="AW30" s="102"/>
      <c r="AX30" s="102"/>
      <c r="AY30" s="102"/>
    </row>
    <row r="31" spans="1:51" ht="25.5" x14ac:dyDescent="0.2">
      <c r="A31" s="76">
        <v>29</v>
      </c>
      <c r="B31" s="77" t="s">
        <v>1147</v>
      </c>
      <c r="C31" s="76" t="s">
        <v>159</v>
      </c>
      <c r="D31" s="76">
        <v>1</v>
      </c>
      <c r="E31" s="76">
        <v>0</v>
      </c>
      <c r="F31" s="76">
        <v>15</v>
      </c>
      <c r="G31" s="76">
        <v>8</v>
      </c>
      <c r="H31" s="76">
        <v>0</v>
      </c>
      <c r="I31" s="76">
        <v>0</v>
      </c>
      <c r="J31" s="76">
        <v>0</v>
      </c>
      <c r="K31" s="76">
        <v>6</v>
      </c>
      <c r="L31" s="76">
        <v>7</v>
      </c>
      <c r="M31" s="76">
        <v>10</v>
      </c>
      <c r="N31" s="76">
        <v>10</v>
      </c>
      <c r="O31" s="76">
        <v>1</v>
      </c>
      <c r="P31" s="76">
        <v>6</v>
      </c>
      <c r="Q31" s="76">
        <v>3</v>
      </c>
      <c r="R31" s="76">
        <v>0.318</v>
      </c>
      <c r="S31" s="76">
        <v>2.17</v>
      </c>
      <c r="T31" s="76">
        <v>29</v>
      </c>
      <c r="U31" s="77" t="s">
        <v>1147</v>
      </c>
      <c r="V31" s="76" t="s">
        <v>159</v>
      </c>
      <c r="W31" s="76">
        <v>0</v>
      </c>
      <c r="X31" s="76">
        <v>0</v>
      </c>
      <c r="Y31" s="76">
        <v>1</v>
      </c>
      <c r="Z31" s="76">
        <v>0</v>
      </c>
      <c r="AA31" s="76">
        <v>3</v>
      </c>
      <c r="AB31" s="76">
        <v>1</v>
      </c>
      <c r="AC31" s="76">
        <v>0</v>
      </c>
      <c r="AD31" s="76">
        <v>4</v>
      </c>
      <c r="AE31" s="76">
        <v>10</v>
      </c>
      <c r="AF31" s="76">
        <v>1</v>
      </c>
      <c r="AG31" s="76">
        <v>0</v>
      </c>
      <c r="AH31" s="76">
        <v>0</v>
      </c>
      <c r="AI31" s="76">
        <v>1</v>
      </c>
      <c r="AJ31" s="76">
        <v>0</v>
      </c>
      <c r="AK31" s="76">
        <v>31</v>
      </c>
      <c r="AL31" s="76">
        <v>126</v>
      </c>
      <c r="AM31" s="202"/>
      <c r="AN31" s="77"/>
      <c r="AO31" s="202"/>
      <c r="AP31" s="202"/>
      <c r="AQ31" s="202"/>
      <c r="AR31" s="202"/>
      <c r="AS31" s="202"/>
      <c r="AT31" s="202"/>
      <c r="AU31" s="202"/>
      <c r="AV31" s="202"/>
      <c r="AW31" s="202"/>
      <c r="AX31" s="202"/>
      <c r="AY31" s="202"/>
    </row>
    <row r="32" spans="1:51" ht="25.5" x14ac:dyDescent="0.2">
      <c r="A32" s="225" t="s">
        <v>105</v>
      </c>
      <c r="B32" s="225" t="s">
        <v>106</v>
      </c>
      <c r="C32" s="225" t="s">
        <v>157</v>
      </c>
      <c r="D32" s="225" t="s">
        <v>85</v>
      </c>
      <c r="E32" s="225" t="s">
        <v>86</v>
      </c>
      <c r="F32" s="225" t="s">
        <v>107</v>
      </c>
      <c r="G32" s="225" t="s">
        <v>108</v>
      </c>
      <c r="H32" s="225" t="s">
        <v>88</v>
      </c>
      <c r="I32" s="225" t="s">
        <v>90</v>
      </c>
      <c r="J32" s="225" t="s">
        <v>158</v>
      </c>
      <c r="K32" s="225" t="s">
        <v>91</v>
      </c>
      <c r="L32" s="225" t="s">
        <v>92</v>
      </c>
      <c r="M32" s="225" t="s">
        <v>93</v>
      </c>
      <c r="N32" s="225" t="s">
        <v>94</v>
      </c>
      <c r="O32" s="225" t="s">
        <v>95</v>
      </c>
      <c r="P32" s="225" t="s">
        <v>96</v>
      </c>
      <c r="Q32" s="225" t="s">
        <v>97</v>
      </c>
      <c r="R32" s="225" t="s">
        <v>1071</v>
      </c>
      <c r="S32" s="225" t="s">
        <v>1072</v>
      </c>
      <c r="T32" s="225" t="s">
        <v>105</v>
      </c>
      <c r="U32" s="225" t="s">
        <v>106</v>
      </c>
      <c r="V32" s="225" t="s">
        <v>157</v>
      </c>
      <c r="W32" s="225" t="s">
        <v>89</v>
      </c>
      <c r="X32" s="225" t="s">
        <v>1073</v>
      </c>
      <c r="Y32" s="225" t="s">
        <v>1074</v>
      </c>
      <c r="Z32" s="225" t="s">
        <v>98</v>
      </c>
      <c r="AA32" s="225" t="s">
        <v>1075</v>
      </c>
      <c r="AB32" s="225" t="s">
        <v>1076</v>
      </c>
      <c r="AC32" s="225" t="s">
        <v>1077</v>
      </c>
      <c r="AD32" s="225" t="s">
        <v>1066</v>
      </c>
      <c r="AE32" s="225" t="s">
        <v>1067</v>
      </c>
      <c r="AF32" s="225" t="s">
        <v>1078</v>
      </c>
      <c r="AG32" s="225" t="s">
        <v>1079</v>
      </c>
      <c r="AH32" s="225" t="s">
        <v>1057</v>
      </c>
      <c r="AI32" s="225" t="s">
        <v>1058</v>
      </c>
      <c r="AJ32" s="225" t="s">
        <v>1080</v>
      </c>
      <c r="AK32" s="225" t="s">
        <v>109</v>
      </c>
      <c r="AL32" s="225" t="s">
        <v>1069</v>
      </c>
      <c r="AM32" s="202"/>
      <c r="AN32" s="77"/>
      <c r="AO32" s="202"/>
      <c r="AP32" s="202"/>
      <c r="AQ32" s="202"/>
      <c r="AR32" s="202"/>
      <c r="AS32" s="202"/>
      <c r="AT32" s="202"/>
      <c r="AU32" s="202"/>
      <c r="AV32" s="202"/>
      <c r="AW32" s="202"/>
      <c r="AX32" s="202"/>
      <c r="AY32" s="202"/>
    </row>
    <row r="33" spans="1:51" ht="25.5" x14ac:dyDescent="0.2">
      <c r="A33" s="76">
        <v>1</v>
      </c>
      <c r="B33" s="77" t="s">
        <v>1103</v>
      </c>
      <c r="C33" s="76" t="s">
        <v>160</v>
      </c>
      <c r="D33" s="76">
        <v>0</v>
      </c>
      <c r="E33" s="76">
        <v>0</v>
      </c>
      <c r="F33" s="76">
        <v>0</v>
      </c>
      <c r="G33" s="76">
        <v>3</v>
      </c>
      <c r="H33" s="76">
        <v>0</v>
      </c>
      <c r="I33" s="76">
        <v>0</v>
      </c>
      <c r="J33" s="76">
        <v>0</v>
      </c>
      <c r="K33" s="76">
        <v>2.1</v>
      </c>
      <c r="L33" s="76">
        <v>0</v>
      </c>
      <c r="M33" s="76">
        <v>0</v>
      </c>
      <c r="N33" s="76">
        <v>0</v>
      </c>
      <c r="O33" s="76">
        <v>0</v>
      </c>
      <c r="P33" s="76">
        <v>1</v>
      </c>
      <c r="Q33" s="76">
        <v>4</v>
      </c>
      <c r="R33" s="76">
        <v>0</v>
      </c>
      <c r="S33" s="76">
        <v>0.43</v>
      </c>
      <c r="T33" s="76">
        <v>1</v>
      </c>
      <c r="U33" s="77" t="s">
        <v>1103</v>
      </c>
      <c r="V33" s="76" t="s">
        <v>160</v>
      </c>
      <c r="W33" s="76">
        <v>0</v>
      </c>
      <c r="X33" s="76">
        <v>0</v>
      </c>
      <c r="Y33" s="76">
        <v>0</v>
      </c>
      <c r="Z33" s="76">
        <v>0</v>
      </c>
      <c r="AA33" s="76">
        <v>0</v>
      </c>
      <c r="AB33" s="76">
        <v>0</v>
      </c>
      <c r="AC33" s="76">
        <v>0</v>
      </c>
      <c r="AD33" s="76">
        <v>3</v>
      </c>
      <c r="AE33" s="76">
        <v>0</v>
      </c>
      <c r="AF33" s="76">
        <v>0</v>
      </c>
      <c r="AG33" s="76">
        <v>0</v>
      </c>
      <c r="AH33" s="76">
        <v>0</v>
      </c>
      <c r="AI33" s="76">
        <v>0</v>
      </c>
      <c r="AJ33" s="76">
        <v>0</v>
      </c>
      <c r="AK33" s="76">
        <v>8</v>
      </c>
      <c r="AL33" s="76">
        <v>33</v>
      </c>
      <c r="AM33" s="202"/>
      <c r="AN33" s="77"/>
      <c r="AO33" s="202"/>
      <c r="AP33" s="202"/>
      <c r="AQ33" s="202"/>
      <c r="AR33" s="202"/>
      <c r="AS33" s="202"/>
      <c r="AT33" s="202"/>
      <c r="AU33" s="202"/>
      <c r="AV33" s="202"/>
      <c r="AW33" s="202"/>
      <c r="AX33" s="202"/>
      <c r="AY33" s="202"/>
    </row>
    <row r="34" spans="1:51" ht="25.5" x14ac:dyDescent="0.2">
      <c r="A34" s="76">
        <v>2</v>
      </c>
      <c r="B34" s="77" t="s">
        <v>1413</v>
      </c>
      <c r="C34" s="76" t="s">
        <v>160</v>
      </c>
      <c r="D34" s="76">
        <v>0</v>
      </c>
      <c r="E34" s="76">
        <v>0</v>
      </c>
      <c r="F34" s="76">
        <v>1.35</v>
      </c>
      <c r="G34" s="76">
        <v>7</v>
      </c>
      <c r="H34" s="76">
        <v>0</v>
      </c>
      <c r="I34" s="76">
        <v>0</v>
      </c>
      <c r="J34" s="76">
        <v>0</v>
      </c>
      <c r="K34" s="76">
        <v>6.2</v>
      </c>
      <c r="L34" s="76">
        <v>6</v>
      </c>
      <c r="M34" s="76">
        <v>1</v>
      </c>
      <c r="N34" s="76">
        <v>1</v>
      </c>
      <c r="O34" s="76">
        <v>0</v>
      </c>
      <c r="P34" s="76">
        <v>0</v>
      </c>
      <c r="Q34" s="76">
        <v>3</v>
      </c>
      <c r="R34" s="76">
        <v>0.24</v>
      </c>
      <c r="S34" s="76">
        <v>0.9</v>
      </c>
      <c r="T34" s="76">
        <v>2</v>
      </c>
      <c r="U34" s="77" t="s">
        <v>1413</v>
      </c>
      <c r="V34" s="76" t="s">
        <v>160</v>
      </c>
      <c r="W34" s="76">
        <v>0</v>
      </c>
      <c r="X34" s="76">
        <v>0</v>
      </c>
      <c r="Y34" s="76">
        <v>0</v>
      </c>
      <c r="Z34" s="76">
        <v>0</v>
      </c>
      <c r="AA34" s="76">
        <v>2</v>
      </c>
      <c r="AB34" s="76">
        <v>0</v>
      </c>
      <c r="AC34" s="76">
        <v>1</v>
      </c>
      <c r="AD34" s="76">
        <v>12</v>
      </c>
      <c r="AE34" s="76">
        <v>4</v>
      </c>
      <c r="AF34" s="76">
        <v>0</v>
      </c>
      <c r="AG34" s="76">
        <v>0</v>
      </c>
      <c r="AH34" s="76">
        <v>0</v>
      </c>
      <c r="AI34" s="76">
        <v>0</v>
      </c>
      <c r="AJ34" s="76">
        <v>0</v>
      </c>
      <c r="AK34" s="76">
        <v>25</v>
      </c>
      <c r="AL34" s="76">
        <v>102</v>
      </c>
      <c r="AM34" s="202"/>
      <c r="AN34" s="77"/>
      <c r="AO34" s="202"/>
      <c r="AP34" s="202"/>
      <c r="AQ34" s="202"/>
      <c r="AR34" s="202"/>
      <c r="AS34" s="202"/>
      <c r="AT34" s="202"/>
      <c r="AU34" s="202"/>
      <c r="AV34" s="202"/>
      <c r="AW34" s="202"/>
      <c r="AX34" s="202"/>
      <c r="AY34" s="202"/>
    </row>
    <row r="35" spans="1:51" ht="38.25" x14ac:dyDescent="0.2">
      <c r="A35" s="76">
        <v>3</v>
      </c>
      <c r="B35" s="77" t="s">
        <v>322</v>
      </c>
      <c r="C35" s="76" t="s">
        <v>160</v>
      </c>
      <c r="D35" s="76">
        <v>2</v>
      </c>
      <c r="E35" s="76">
        <v>0</v>
      </c>
      <c r="F35" s="76">
        <v>2.37</v>
      </c>
      <c r="G35" s="76">
        <v>3</v>
      </c>
      <c r="H35" s="76">
        <v>3</v>
      </c>
      <c r="I35" s="76">
        <v>0</v>
      </c>
      <c r="J35" s="76">
        <v>0</v>
      </c>
      <c r="K35" s="76">
        <v>19</v>
      </c>
      <c r="L35" s="76">
        <v>15</v>
      </c>
      <c r="M35" s="76">
        <v>5</v>
      </c>
      <c r="N35" s="76">
        <v>5</v>
      </c>
      <c r="O35" s="76">
        <v>3</v>
      </c>
      <c r="P35" s="76">
        <v>5</v>
      </c>
      <c r="Q35" s="76">
        <v>16</v>
      </c>
      <c r="R35" s="76">
        <v>0.221</v>
      </c>
      <c r="S35" s="76">
        <v>1.05</v>
      </c>
      <c r="T35" s="76">
        <v>3</v>
      </c>
      <c r="U35" s="77" t="s">
        <v>322</v>
      </c>
      <c r="V35" s="76" t="s">
        <v>160</v>
      </c>
      <c r="W35" s="76">
        <v>0</v>
      </c>
      <c r="X35" s="76">
        <v>0</v>
      </c>
      <c r="Y35" s="76">
        <v>1</v>
      </c>
      <c r="Z35" s="76">
        <v>0</v>
      </c>
      <c r="AA35" s="76">
        <v>0</v>
      </c>
      <c r="AB35" s="76">
        <v>0</v>
      </c>
      <c r="AC35" s="76">
        <v>2</v>
      </c>
      <c r="AD35" s="76">
        <v>20</v>
      </c>
      <c r="AE35" s="76">
        <v>19</v>
      </c>
      <c r="AF35" s="76">
        <v>0</v>
      </c>
      <c r="AG35" s="76">
        <v>0</v>
      </c>
      <c r="AH35" s="76">
        <v>1</v>
      </c>
      <c r="AI35" s="76">
        <v>0</v>
      </c>
      <c r="AJ35" s="76">
        <v>0</v>
      </c>
      <c r="AK35" s="76">
        <v>76</v>
      </c>
      <c r="AL35" s="76">
        <v>306</v>
      </c>
      <c r="AM35" s="202"/>
      <c r="AN35" s="77"/>
      <c r="AO35" s="202"/>
      <c r="AP35" s="202"/>
      <c r="AQ35" s="202"/>
      <c r="AR35" s="202"/>
      <c r="AS35" s="202"/>
      <c r="AT35" s="202"/>
      <c r="AU35" s="202"/>
      <c r="AV35" s="202"/>
      <c r="AW35" s="202"/>
      <c r="AX35" s="202"/>
      <c r="AY35" s="202"/>
    </row>
    <row r="36" spans="1:51" ht="25.5" x14ac:dyDescent="0.2">
      <c r="A36" s="76">
        <v>4</v>
      </c>
      <c r="B36" s="77" t="s">
        <v>1414</v>
      </c>
      <c r="C36" s="76" t="s">
        <v>160</v>
      </c>
      <c r="D36" s="76">
        <v>5</v>
      </c>
      <c r="E36" s="76">
        <v>1</v>
      </c>
      <c r="F36" s="76">
        <v>2.82</v>
      </c>
      <c r="G36" s="76">
        <v>41</v>
      </c>
      <c r="H36" s="76">
        <v>0</v>
      </c>
      <c r="I36" s="76">
        <v>6</v>
      </c>
      <c r="J36" s="76">
        <v>7</v>
      </c>
      <c r="K36" s="76">
        <v>38.1</v>
      </c>
      <c r="L36" s="76">
        <v>31</v>
      </c>
      <c r="M36" s="76">
        <v>14</v>
      </c>
      <c r="N36" s="76">
        <v>12</v>
      </c>
      <c r="O36" s="76">
        <v>0</v>
      </c>
      <c r="P36" s="76">
        <v>19</v>
      </c>
      <c r="Q36" s="76">
        <v>32</v>
      </c>
      <c r="R36" s="76">
        <v>0.22500000000000001</v>
      </c>
      <c r="S36" s="76">
        <v>1.3</v>
      </c>
      <c r="T36" s="76">
        <v>4</v>
      </c>
      <c r="U36" s="77" t="s">
        <v>1414</v>
      </c>
      <c r="V36" s="76" t="s">
        <v>160</v>
      </c>
      <c r="W36" s="76">
        <v>0</v>
      </c>
      <c r="X36" s="76">
        <v>0</v>
      </c>
      <c r="Y36" s="76">
        <v>1</v>
      </c>
      <c r="Z36" s="76">
        <v>1</v>
      </c>
      <c r="AA36" s="76">
        <v>10</v>
      </c>
      <c r="AB36" s="76">
        <v>8</v>
      </c>
      <c r="AC36" s="76">
        <v>5</v>
      </c>
      <c r="AD36" s="76">
        <v>38</v>
      </c>
      <c r="AE36" s="76">
        <v>41</v>
      </c>
      <c r="AF36" s="76">
        <v>2</v>
      </c>
      <c r="AG36" s="76">
        <v>0</v>
      </c>
      <c r="AH36" s="76">
        <v>4</v>
      </c>
      <c r="AI36" s="76">
        <v>1</v>
      </c>
      <c r="AJ36" s="76">
        <v>0</v>
      </c>
      <c r="AK36" s="76">
        <v>162</v>
      </c>
      <c r="AL36" s="76">
        <v>644</v>
      </c>
      <c r="AM36" s="202"/>
      <c r="AN36" s="77"/>
      <c r="AO36" s="202"/>
      <c r="AP36" s="202"/>
      <c r="AQ36" s="202"/>
      <c r="AR36" s="202"/>
      <c r="AS36" s="202"/>
      <c r="AT36" s="202"/>
      <c r="AU36" s="202"/>
      <c r="AV36" s="202"/>
      <c r="AW36" s="202"/>
      <c r="AX36" s="202"/>
      <c r="AY36" s="202"/>
    </row>
    <row r="37" spans="1:51" ht="25.5" x14ac:dyDescent="0.2">
      <c r="A37" s="76">
        <v>5</v>
      </c>
      <c r="B37" s="77" t="s">
        <v>772</v>
      </c>
      <c r="C37" s="76" t="s">
        <v>160</v>
      </c>
      <c r="D37" s="76">
        <v>3</v>
      </c>
      <c r="E37" s="76">
        <v>1</v>
      </c>
      <c r="F37" s="76">
        <v>3</v>
      </c>
      <c r="G37" s="76">
        <v>16</v>
      </c>
      <c r="H37" s="76">
        <v>0</v>
      </c>
      <c r="I37" s="76">
        <v>0</v>
      </c>
      <c r="J37" s="76">
        <v>0</v>
      </c>
      <c r="K37" s="76">
        <v>15</v>
      </c>
      <c r="L37" s="76">
        <v>11</v>
      </c>
      <c r="M37" s="76">
        <v>5</v>
      </c>
      <c r="N37" s="76">
        <v>5</v>
      </c>
      <c r="O37" s="76">
        <v>3</v>
      </c>
      <c r="P37" s="76">
        <v>5</v>
      </c>
      <c r="Q37" s="76">
        <v>28</v>
      </c>
      <c r="R37" s="76">
        <v>0.2</v>
      </c>
      <c r="S37" s="76">
        <v>1.07</v>
      </c>
      <c r="T37" s="76">
        <v>5</v>
      </c>
      <c r="U37" s="77" t="s">
        <v>772</v>
      </c>
      <c r="V37" s="76" t="s">
        <v>160</v>
      </c>
      <c r="W37" s="76">
        <v>0</v>
      </c>
      <c r="X37" s="76">
        <v>0</v>
      </c>
      <c r="Y37" s="76">
        <v>1</v>
      </c>
      <c r="Z37" s="76">
        <v>2</v>
      </c>
      <c r="AA37" s="76">
        <v>4</v>
      </c>
      <c r="AB37" s="76">
        <v>1</v>
      </c>
      <c r="AC37" s="76">
        <v>1</v>
      </c>
      <c r="AD37" s="76">
        <v>5</v>
      </c>
      <c r="AE37" s="76">
        <v>11</v>
      </c>
      <c r="AF37" s="76">
        <v>4</v>
      </c>
      <c r="AG37" s="76">
        <v>0</v>
      </c>
      <c r="AH37" s="76">
        <v>1</v>
      </c>
      <c r="AI37" s="76">
        <v>0</v>
      </c>
      <c r="AJ37" s="76">
        <v>0</v>
      </c>
      <c r="AK37" s="76">
        <v>61</v>
      </c>
      <c r="AL37" s="76">
        <v>266</v>
      </c>
      <c r="AM37" s="202"/>
      <c r="AN37" s="77"/>
      <c r="AO37" s="202"/>
      <c r="AP37" s="202"/>
      <c r="AQ37" s="202"/>
      <c r="AR37" s="202"/>
      <c r="AS37" s="202"/>
      <c r="AT37" s="202"/>
      <c r="AU37" s="202"/>
      <c r="AV37" s="202"/>
      <c r="AW37" s="202"/>
      <c r="AX37" s="202"/>
      <c r="AY37" s="202"/>
    </row>
    <row r="38" spans="1:51" ht="25.5" x14ac:dyDescent="0.2">
      <c r="A38" s="76">
        <v>6</v>
      </c>
      <c r="B38" s="77" t="s">
        <v>487</v>
      </c>
      <c r="C38" s="76" t="s">
        <v>160</v>
      </c>
      <c r="D38" s="76">
        <v>2</v>
      </c>
      <c r="E38" s="76">
        <v>6</v>
      </c>
      <c r="F38" s="76">
        <v>3.06</v>
      </c>
      <c r="G38" s="76">
        <v>65</v>
      </c>
      <c r="H38" s="76">
        <v>0</v>
      </c>
      <c r="I38" s="76">
        <v>20</v>
      </c>
      <c r="J38" s="76">
        <v>23</v>
      </c>
      <c r="K38" s="76">
        <v>64.2</v>
      </c>
      <c r="L38" s="76">
        <v>57</v>
      </c>
      <c r="M38" s="76">
        <v>23</v>
      </c>
      <c r="N38" s="76">
        <v>22</v>
      </c>
      <c r="O38" s="76">
        <v>3</v>
      </c>
      <c r="P38" s="76">
        <v>20</v>
      </c>
      <c r="Q38" s="76">
        <v>68</v>
      </c>
      <c r="R38" s="76">
        <v>0.23599999999999999</v>
      </c>
      <c r="S38" s="76">
        <v>1.19</v>
      </c>
      <c r="T38" s="76">
        <v>6</v>
      </c>
      <c r="U38" s="77" t="s">
        <v>487</v>
      </c>
      <c r="V38" s="76" t="s">
        <v>160</v>
      </c>
      <c r="W38" s="76">
        <v>0</v>
      </c>
      <c r="X38" s="76">
        <v>0</v>
      </c>
      <c r="Y38" s="76">
        <v>3</v>
      </c>
      <c r="Z38" s="76">
        <v>0</v>
      </c>
      <c r="AA38" s="76">
        <v>36</v>
      </c>
      <c r="AB38" s="76">
        <v>8</v>
      </c>
      <c r="AC38" s="76">
        <v>9</v>
      </c>
      <c r="AD38" s="76">
        <v>76</v>
      </c>
      <c r="AE38" s="76">
        <v>42</v>
      </c>
      <c r="AF38" s="76">
        <v>6</v>
      </c>
      <c r="AG38" s="76">
        <v>0</v>
      </c>
      <c r="AH38" s="76">
        <v>3</v>
      </c>
      <c r="AI38" s="76">
        <v>0</v>
      </c>
      <c r="AJ38" s="76">
        <v>1</v>
      </c>
      <c r="AK38" s="76">
        <v>266</v>
      </c>
      <c r="AL38" s="76">
        <v>1054</v>
      </c>
      <c r="AM38" s="202"/>
      <c r="AN38" s="77"/>
      <c r="AO38" s="202"/>
      <c r="AP38" s="202"/>
      <c r="AQ38" s="202"/>
      <c r="AR38" s="202"/>
      <c r="AS38" s="202"/>
      <c r="AT38" s="202"/>
      <c r="AU38" s="202"/>
      <c r="AV38" s="202"/>
      <c r="AW38" s="202"/>
      <c r="AX38" s="202"/>
      <c r="AY38" s="202"/>
    </row>
    <row r="39" spans="1:51" ht="25.5" x14ac:dyDescent="0.2">
      <c r="A39" s="76">
        <v>7</v>
      </c>
      <c r="B39" s="77" t="s">
        <v>1415</v>
      </c>
      <c r="C39" s="76" t="s">
        <v>160</v>
      </c>
      <c r="D39" s="76">
        <v>1</v>
      </c>
      <c r="E39" s="76">
        <v>0</v>
      </c>
      <c r="F39" s="76">
        <v>3.18</v>
      </c>
      <c r="G39" s="76">
        <v>50</v>
      </c>
      <c r="H39" s="76">
        <v>0</v>
      </c>
      <c r="I39" s="76">
        <v>0</v>
      </c>
      <c r="J39" s="76">
        <v>0</v>
      </c>
      <c r="K39" s="76">
        <v>34</v>
      </c>
      <c r="L39" s="76">
        <v>20</v>
      </c>
      <c r="M39" s="76">
        <v>14</v>
      </c>
      <c r="N39" s="76">
        <v>12</v>
      </c>
      <c r="O39" s="76">
        <v>2</v>
      </c>
      <c r="P39" s="76">
        <v>23</v>
      </c>
      <c r="Q39" s="76">
        <v>35</v>
      </c>
      <c r="R39" s="76">
        <v>0.17499999999999999</v>
      </c>
      <c r="S39" s="76">
        <v>1.26</v>
      </c>
      <c r="T39" s="76">
        <v>7</v>
      </c>
      <c r="U39" s="77" t="s">
        <v>1415</v>
      </c>
      <c r="V39" s="76" t="s">
        <v>160</v>
      </c>
      <c r="W39" s="76">
        <v>0</v>
      </c>
      <c r="X39" s="76">
        <v>0</v>
      </c>
      <c r="Y39" s="76">
        <v>1</v>
      </c>
      <c r="Z39" s="76">
        <v>5</v>
      </c>
      <c r="AA39" s="76">
        <v>8</v>
      </c>
      <c r="AB39" s="76">
        <v>9</v>
      </c>
      <c r="AC39" s="76">
        <v>5</v>
      </c>
      <c r="AD39" s="76">
        <v>30</v>
      </c>
      <c r="AE39" s="76">
        <v>30</v>
      </c>
      <c r="AF39" s="76">
        <v>6</v>
      </c>
      <c r="AG39" s="76">
        <v>0</v>
      </c>
      <c r="AH39" s="76">
        <v>7</v>
      </c>
      <c r="AI39" s="76">
        <v>2</v>
      </c>
      <c r="AJ39" s="76">
        <v>2</v>
      </c>
      <c r="AK39" s="76">
        <v>139</v>
      </c>
      <c r="AL39" s="76">
        <v>580</v>
      </c>
      <c r="AM39" s="202"/>
      <c r="AN39" s="77"/>
      <c r="AO39" s="202"/>
      <c r="AP39" s="202"/>
      <c r="AQ39" s="202"/>
      <c r="AR39" s="202"/>
      <c r="AS39" s="202"/>
      <c r="AT39" s="202"/>
      <c r="AU39" s="202"/>
      <c r="AV39" s="202"/>
      <c r="AW39" s="202"/>
      <c r="AX39" s="202"/>
      <c r="AY39" s="202"/>
    </row>
    <row r="40" spans="1:51" x14ac:dyDescent="0.2">
      <c r="A40" s="76">
        <v>7</v>
      </c>
      <c r="B40" s="77" t="s">
        <v>479</v>
      </c>
      <c r="C40" s="76" t="s">
        <v>160</v>
      </c>
      <c r="D40" s="76">
        <v>2</v>
      </c>
      <c r="E40" s="76">
        <v>0</v>
      </c>
      <c r="F40" s="76">
        <v>3.18</v>
      </c>
      <c r="G40" s="76">
        <v>63</v>
      </c>
      <c r="H40" s="76">
        <v>0</v>
      </c>
      <c r="I40" s="76">
        <v>0</v>
      </c>
      <c r="J40" s="76">
        <v>2</v>
      </c>
      <c r="K40" s="76">
        <v>51</v>
      </c>
      <c r="L40" s="76">
        <v>54</v>
      </c>
      <c r="M40" s="76">
        <v>19</v>
      </c>
      <c r="N40" s="76">
        <v>18</v>
      </c>
      <c r="O40" s="76">
        <v>4</v>
      </c>
      <c r="P40" s="76">
        <v>13</v>
      </c>
      <c r="Q40" s="76">
        <v>56</v>
      </c>
      <c r="R40" s="76">
        <v>0.27100000000000002</v>
      </c>
      <c r="S40" s="76">
        <v>1.31</v>
      </c>
      <c r="T40" s="76">
        <v>7</v>
      </c>
      <c r="U40" s="77" t="s">
        <v>479</v>
      </c>
      <c r="V40" s="76" t="s">
        <v>160</v>
      </c>
      <c r="W40" s="76">
        <v>0</v>
      </c>
      <c r="X40" s="76">
        <v>0</v>
      </c>
      <c r="Y40" s="76">
        <v>3</v>
      </c>
      <c r="Z40" s="76">
        <v>3</v>
      </c>
      <c r="AA40" s="76">
        <v>7</v>
      </c>
      <c r="AB40" s="76">
        <v>10</v>
      </c>
      <c r="AC40" s="76">
        <v>3</v>
      </c>
      <c r="AD40" s="76">
        <v>61</v>
      </c>
      <c r="AE40" s="76">
        <v>30</v>
      </c>
      <c r="AF40" s="76">
        <v>5</v>
      </c>
      <c r="AG40" s="76">
        <v>0</v>
      </c>
      <c r="AH40" s="76">
        <v>6</v>
      </c>
      <c r="AI40" s="76">
        <v>2</v>
      </c>
      <c r="AJ40" s="76">
        <v>1</v>
      </c>
      <c r="AK40" s="76">
        <v>217</v>
      </c>
      <c r="AL40" s="76">
        <v>890</v>
      </c>
      <c r="AM40" s="202"/>
      <c r="AN40" s="77"/>
      <c r="AO40" s="202"/>
      <c r="AP40" s="202"/>
      <c r="AQ40" s="202"/>
      <c r="AR40" s="202"/>
      <c r="AS40" s="202"/>
      <c r="AT40" s="202"/>
      <c r="AU40" s="202"/>
      <c r="AV40" s="202"/>
      <c r="AW40" s="202"/>
      <c r="AX40" s="202"/>
      <c r="AY40" s="202"/>
    </row>
    <row r="41" spans="1:51" ht="25.5" x14ac:dyDescent="0.2">
      <c r="A41" s="76">
        <v>9</v>
      </c>
      <c r="B41" s="77" t="s">
        <v>337</v>
      </c>
      <c r="C41" s="76" t="s">
        <v>160</v>
      </c>
      <c r="D41" s="76">
        <v>7</v>
      </c>
      <c r="E41" s="76">
        <v>10</v>
      </c>
      <c r="F41" s="76">
        <v>3.21</v>
      </c>
      <c r="G41" s="76">
        <v>30</v>
      </c>
      <c r="H41" s="76">
        <v>30</v>
      </c>
      <c r="I41" s="76">
        <v>0</v>
      </c>
      <c r="J41" s="76">
        <v>0</v>
      </c>
      <c r="K41" s="76">
        <v>188</v>
      </c>
      <c r="L41" s="76">
        <v>157</v>
      </c>
      <c r="M41" s="76">
        <v>70</v>
      </c>
      <c r="N41" s="76">
        <v>67</v>
      </c>
      <c r="O41" s="76">
        <v>22</v>
      </c>
      <c r="P41" s="76">
        <v>41</v>
      </c>
      <c r="Q41" s="76">
        <v>167</v>
      </c>
      <c r="R41" s="76">
        <v>0.223</v>
      </c>
      <c r="S41" s="76">
        <v>1.05</v>
      </c>
      <c r="T41" s="76">
        <v>9</v>
      </c>
      <c r="U41" s="77" t="s">
        <v>337</v>
      </c>
      <c r="V41" s="76" t="s">
        <v>160</v>
      </c>
      <c r="W41" s="76">
        <v>1</v>
      </c>
      <c r="X41" s="76">
        <v>1</v>
      </c>
      <c r="Y41" s="76">
        <v>9</v>
      </c>
      <c r="Z41" s="76">
        <v>2</v>
      </c>
      <c r="AA41" s="76">
        <v>0</v>
      </c>
      <c r="AB41" s="76">
        <v>0</v>
      </c>
      <c r="AC41" s="76">
        <v>11</v>
      </c>
      <c r="AD41" s="76">
        <v>167</v>
      </c>
      <c r="AE41" s="76">
        <v>217</v>
      </c>
      <c r="AF41" s="76">
        <v>7</v>
      </c>
      <c r="AG41" s="76">
        <v>1</v>
      </c>
      <c r="AH41" s="76">
        <v>17</v>
      </c>
      <c r="AI41" s="76">
        <v>3</v>
      </c>
      <c r="AJ41" s="76">
        <v>3</v>
      </c>
      <c r="AK41" s="76">
        <v>758</v>
      </c>
      <c r="AL41" s="76">
        <v>2971</v>
      </c>
      <c r="AM41" s="202"/>
      <c r="AN41" s="77"/>
      <c r="AO41" s="202"/>
      <c r="AP41" s="202"/>
      <c r="AQ41" s="202"/>
      <c r="AR41" s="202"/>
      <c r="AS41" s="202"/>
      <c r="AT41" s="202"/>
      <c r="AU41" s="202"/>
      <c r="AV41" s="202"/>
      <c r="AW41" s="202"/>
      <c r="AX41" s="202"/>
      <c r="AY41" s="202"/>
    </row>
    <row r="42" spans="1:51" ht="25.5" x14ac:dyDescent="0.2">
      <c r="A42" s="76">
        <v>10</v>
      </c>
      <c r="B42" s="77" t="s">
        <v>1394</v>
      </c>
      <c r="C42" s="76" t="s">
        <v>160</v>
      </c>
      <c r="D42" s="76">
        <v>2</v>
      </c>
      <c r="E42" s="76">
        <v>2</v>
      </c>
      <c r="F42" s="76">
        <v>3.38</v>
      </c>
      <c r="G42" s="76">
        <v>5</v>
      </c>
      <c r="H42" s="76">
        <v>5</v>
      </c>
      <c r="I42" s="76">
        <v>0</v>
      </c>
      <c r="J42" s="76">
        <v>0</v>
      </c>
      <c r="K42" s="76">
        <v>29.1</v>
      </c>
      <c r="L42" s="76">
        <v>25</v>
      </c>
      <c r="M42" s="76">
        <v>13</v>
      </c>
      <c r="N42" s="76">
        <v>11</v>
      </c>
      <c r="O42" s="76">
        <v>1</v>
      </c>
      <c r="P42" s="76">
        <v>12</v>
      </c>
      <c r="Q42" s="76">
        <v>21</v>
      </c>
      <c r="R42" s="76">
        <v>0.23400000000000001</v>
      </c>
      <c r="S42" s="76">
        <v>1.26</v>
      </c>
      <c r="T42" s="76">
        <v>10</v>
      </c>
      <c r="U42" s="77" t="s">
        <v>1394</v>
      </c>
      <c r="V42" s="76" t="s">
        <v>160</v>
      </c>
      <c r="W42" s="76">
        <v>0</v>
      </c>
      <c r="X42" s="76">
        <v>0</v>
      </c>
      <c r="Y42" s="76">
        <v>3</v>
      </c>
      <c r="Z42" s="76">
        <v>0</v>
      </c>
      <c r="AA42" s="76">
        <v>0</v>
      </c>
      <c r="AB42" s="76">
        <v>0</v>
      </c>
      <c r="AC42" s="76">
        <v>2</v>
      </c>
      <c r="AD42" s="76">
        <v>29</v>
      </c>
      <c r="AE42" s="76">
        <v>34</v>
      </c>
      <c r="AF42" s="76">
        <v>3</v>
      </c>
      <c r="AG42" s="76">
        <v>0</v>
      </c>
      <c r="AH42" s="76">
        <v>3</v>
      </c>
      <c r="AI42" s="76">
        <v>1</v>
      </c>
      <c r="AJ42" s="76">
        <v>0</v>
      </c>
      <c r="AK42" s="76">
        <v>124</v>
      </c>
      <c r="AL42" s="76">
        <v>482</v>
      </c>
      <c r="AM42" s="202"/>
      <c r="AN42" s="77"/>
      <c r="AO42" s="202"/>
      <c r="AP42" s="202"/>
      <c r="AQ42" s="202"/>
      <c r="AR42" s="202"/>
      <c r="AS42" s="202"/>
      <c r="AT42" s="202"/>
      <c r="AU42" s="202"/>
      <c r="AV42" s="202"/>
      <c r="AW42" s="202"/>
      <c r="AX42" s="202"/>
      <c r="AY42" s="202"/>
    </row>
    <row r="43" spans="1:51" ht="25.5" x14ac:dyDescent="0.2">
      <c r="A43" s="76">
        <v>11</v>
      </c>
      <c r="B43" s="77" t="s">
        <v>424</v>
      </c>
      <c r="C43" s="76" t="s">
        <v>160</v>
      </c>
      <c r="D43" s="76">
        <v>2</v>
      </c>
      <c r="E43" s="76">
        <v>2</v>
      </c>
      <c r="F43" s="76">
        <v>3.58</v>
      </c>
      <c r="G43" s="76">
        <v>33</v>
      </c>
      <c r="H43" s="76">
        <v>0</v>
      </c>
      <c r="I43" s="76">
        <v>0</v>
      </c>
      <c r="J43" s="76">
        <v>0</v>
      </c>
      <c r="K43" s="76">
        <v>32.200000000000003</v>
      </c>
      <c r="L43" s="76">
        <v>26</v>
      </c>
      <c r="M43" s="76">
        <v>16</v>
      </c>
      <c r="N43" s="76">
        <v>13</v>
      </c>
      <c r="O43" s="76">
        <v>2</v>
      </c>
      <c r="P43" s="76">
        <v>18</v>
      </c>
      <c r="Q43" s="76">
        <v>33</v>
      </c>
      <c r="R43" s="76">
        <v>0.22</v>
      </c>
      <c r="S43" s="76">
        <v>1.35</v>
      </c>
      <c r="T43" s="76">
        <v>11</v>
      </c>
      <c r="U43" s="77" t="s">
        <v>424</v>
      </c>
      <c r="V43" s="76" t="s">
        <v>160</v>
      </c>
      <c r="W43" s="76">
        <v>0</v>
      </c>
      <c r="X43" s="76">
        <v>0</v>
      </c>
      <c r="Y43" s="76">
        <v>4</v>
      </c>
      <c r="Z43" s="76">
        <v>4</v>
      </c>
      <c r="AA43" s="76">
        <v>5</v>
      </c>
      <c r="AB43" s="76">
        <v>3</v>
      </c>
      <c r="AC43" s="76">
        <v>0</v>
      </c>
      <c r="AD43" s="76">
        <v>25</v>
      </c>
      <c r="AE43" s="76">
        <v>37</v>
      </c>
      <c r="AF43" s="76">
        <v>3</v>
      </c>
      <c r="AG43" s="76">
        <v>0</v>
      </c>
      <c r="AH43" s="76">
        <v>9</v>
      </c>
      <c r="AI43" s="76">
        <v>1</v>
      </c>
      <c r="AJ43" s="76">
        <v>0</v>
      </c>
      <c r="AK43" s="76">
        <v>143</v>
      </c>
      <c r="AL43" s="76">
        <v>571</v>
      </c>
      <c r="AM43" s="202"/>
      <c r="AN43" s="77"/>
      <c r="AO43" s="202"/>
      <c r="AP43" s="202"/>
      <c r="AQ43" s="202"/>
      <c r="AR43" s="202"/>
      <c r="AS43" s="202"/>
      <c r="AT43" s="202"/>
      <c r="AU43" s="202"/>
      <c r="AV43" s="202"/>
      <c r="AW43" s="202"/>
      <c r="AX43" s="202"/>
      <c r="AY43" s="202"/>
    </row>
    <row r="44" spans="1:51" ht="25.5" x14ac:dyDescent="0.2">
      <c r="A44" s="76">
        <v>12</v>
      </c>
      <c r="B44" s="77" t="s">
        <v>1416</v>
      </c>
      <c r="C44" s="76" t="s">
        <v>160</v>
      </c>
      <c r="D44" s="76">
        <v>3</v>
      </c>
      <c r="E44" s="76">
        <v>0</v>
      </c>
      <c r="F44" s="76">
        <v>3.58</v>
      </c>
      <c r="G44" s="76">
        <v>46</v>
      </c>
      <c r="H44" s="76">
        <v>0</v>
      </c>
      <c r="I44" s="76">
        <v>0</v>
      </c>
      <c r="J44" s="76">
        <v>3</v>
      </c>
      <c r="K44" s="76">
        <v>37.200000000000003</v>
      </c>
      <c r="L44" s="76">
        <v>29</v>
      </c>
      <c r="M44" s="76">
        <v>16</v>
      </c>
      <c r="N44" s="76">
        <v>15</v>
      </c>
      <c r="O44" s="76">
        <v>5</v>
      </c>
      <c r="P44" s="76">
        <v>17</v>
      </c>
      <c r="Q44" s="76">
        <v>28</v>
      </c>
      <c r="R44" s="76">
        <v>0.21299999999999999</v>
      </c>
      <c r="S44" s="76">
        <v>1.22</v>
      </c>
      <c r="T44" s="76">
        <v>12</v>
      </c>
      <c r="U44" s="77" t="s">
        <v>1416</v>
      </c>
      <c r="V44" s="76" t="s">
        <v>160</v>
      </c>
      <c r="W44" s="76">
        <v>0</v>
      </c>
      <c r="X44" s="76">
        <v>0</v>
      </c>
      <c r="Y44" s="76">
        <v>2</v>
      </c>
      <c r="Z44" s="76">
        <v>1</v>
      </c>
      <c r="AA44" s="76">
        <v>6</v>
      </c>
      <c r="AB44" s="76">
        <v>12</v>
      </c>
      <c r="AC44" s="76">
        <v>2</v>
      </c>
      <c r="AD44" s="76">
        <v>41</v>
      </c>
      <c r="AE44" s="76">
        <v>41</v>
      </c>
      <c r="AF44" s="76">
        <v>1</v>
      </c>
      <c r="AG44" s="76">
        <v>0</v>
      </c>
      <c r="AH44" s="76">
        <v>8</v>
      </c>
      <c r="AI44" s="76">
        <v>0</v>
      </c>
      <c r="AJ44" s="76">
        <v>1</v>
      </c>
      <c r="AK44" s="76">
        <v>158</v>
      </c>
      <c r="AL44" s="76">
        <v>650</v>
      </c>
      <c r="AM44" s="202"/>
      <c r="AN44" s="77"/>
      <c r="AO44" s="202"/>
      <c r="AP44" s="202"/>
      <c r="AQ44" s="202"/>
      <c r="AR44" s="202"/>
      <c r="AS44" s="202"/>
      <c r="AT44" s="202"/>
      <c r="AU44" s="202"/>
      <c r="AV44" s="202"/>
      <c r="AW44" s="202"/>
      <c r="AX44" s="202"/>
      <c r="AY44" s="202"/>
    </row>
    <row r="45" spans="1:51" ht="25.5" x14ac:dyDescent="0.2">
      <c r="A45" s="76">
        <v>13</v>
      </c>
      <c r="B45" s="77" t="s">
        <v>325</v>
      </c>
      <c r="C45" s="76" t="s">
        <v>160</v>
      </c>
      <c r="D45" s="76">
        <v>1</v>
      </c>
      <c r="E45" s="76">
        <v>0</v>
      </c>
      <c r="F45" s="76">
        <v>3.6</v>
      </c>
      <c r="G45" s="76">
        <v>21</v>
      </c>
      <c r="H45" s="76">
        <v>0</v>
      </c>
      <c r="I45" s="76">
        <v>0</v>
      </c>
      <c r="J45" s="76">
        <v>1</v>
      </c>
      <c r="K45" s="76">
        <v>20</v>
      </c>
      <c r="L45" s="76">
        <v>14</v>
      </c>
      <c r="M45" s="76">
        <v>8</v>
      </c>
      <c r="N45" s="76">
        <v>8</v>
      </c>
      <c r="O45" s="76">
        <v>0</v>
      </c>
      <c r="P45" s="76">
        <v>7</v>
      </c>
      <c r="Q45" s="76">
        <v>26</v>
      </c>
      <c r="R45" s="76">
        <v>0.2</v>
      </c>
      <c r="S45" s="76">
        <v>1.05</v>
      </c>
      <c r="T45" s="76">
        <v>13</v>
      </c>
      <c r="U45" s="77" t="s">
        <v>325</v>
      </c>
      <c r="V45" s="76" t="s">
        <v>160</v>
      </c>
      <c r="W45" s="76">
        <v>0</v>
      </c>
      <c r="X45" s="76">
        <v>0</v>
      </c>
      <c r="Y45" s="76">
        <v>1</v>
      </c>
      <c r="Z45" s="76">
        <v>1</v>
      </c>
      <c r="AA45" s="76">
        <v>5</v>
      </c>
      <c r="AB45" s="76">
        <v>3</v>
      </c>
      <c r="AC45" s="76">
        <v>2</v>
      </c>
      <c r="AD45" s="76">
        <v>22</v>
      </c>
      <c r="AE45" s="76">
        <v>10</v>
      </c>
      <c r="AF45" s="76">
        <v>0</v>
      </c>
      <c r="AG45" s="76">
        <v>0</v>
      </c>
      <c r="AH45" s="76">
        <v>3</v>
      </c>
      <c r="AI45" s="76">
        <v>0</v>
      </c>
      <c r="AJ45" s="76">
        <v>0</v>
      </c>
      <c r="AK45" s="76">
        <v>80</v>
      </c>
      <c r="AL45" s="76">
        <v>304</v>
      </c>
      <c r="AM45" s="202"/>
      <c r="AN45" s="77"/>
      <c r="AO45" s="202"/>
      <c r="AP45" s="202"/>
      <c r="AQ45" s="202"/>
      <c r="AR45" s="202"/>
      <c r="AS45" s="202"/>
      <c r="AT45" s="202"/>
      <c r="AU45" s="202"/>
      <c r="AV45" s="202"/>
      <c r="AW45" s="202"/>
      <c r="AX45" s="202"/>
      <c r="AY45" s="202"/>
    </row>
    <row r="46" spans="1:51" ht="25.5" x14ac:dyDescent="0.2">
      <c r="A46" s="76">
        <v>14</v>
      </c>
      <c r="B46" s="77" t="s">
        <v>641</v>
      </c>
      <c r="C46" s="76" t="s">
        <v>160</v>
      </c>
      <c r="D46" s="76">
        <v>2</v>
      </c>
      <c r="E46" s="76">
        <v>1</v>
      </c>
      <c r="F46" s="76">
        <v>3.94</v>
      </c>
      <c r="G46" s="76">
        <v>36</v>
      </c>
      <c r="H46" s="76">
        <v>0</v>
      </c>
      <c r="I46" s="76">
        <v>0</v>
      </c>
      <c r="J46" s="76">
        <v>0</v>
      </c>
      <c r="K46" s="76">
        <v>32</v>
      </c>
      <c r="L46" s="76">
        <v>32</v>
      </c>
      <c r="M46" s="76">
        <v>18</v>
      </c>
      <c r="N46" s="76">
        <v>14</v>
      </c>
      <c r="O46" s="76">
        <v>2</v>
      </c>
      <c r="P46" s="76">
        <v>23</v>
      </c>
      <c r="Q46" s="76">
        <v>29</v>
      </c>
      <c r="R46" s="76">
        <v>0.27400000000000002</v>
      </c>
      <c r="S46" s="76">
        <v>1.72</v>
      </c>
      <c r="T46" s="76">
        <v>14</v>
      </c>
      <c r="U46" s="77" t="s">
        <v>641</v>
      </c>
      <c r="V46" s="76" t="s">
        <v>160</v>
      </c>
      <c r="W46" s="76">
        <v>0</v>
      </c>
      <c r="X46" s="76">
        <v>0</v>
      </c>
      <c r="Y46" s="76">
        <v>1</v>
      </c>
      <c r="Z46" s="76">
        <v>5</v>
      </c>
      <c r="AA46" s="76">
        <v>11</v>
      </c>
      <c r="AB46" s="76">
        <v>3</v>
      </c>
      <c r="AC46" s="76">
        <v>4</v>
      </c>
      <c r="AD46" s="76">
        <v>31</v>
      </c>
      <c r="AE46" s="76">
        <v>32</v>
      </c>
      <c r="AF46" s="76">
        <v>3</v>
      </c>
      <c r="AG46" s="76">
        <v>0</v>
      </c>
      <c r="AH46" s="76">
        <v>6</v>
      </c>
      <c r="AI46" s="76">
        <v>1</v>
      </c>
      <c r="AJ46" s="76">
        <v>0</v>
      </c>
      <c r="AK46" s="76">
        <v>148</v>
      </c>
      <c r="AL46" s="76">
        <v>618</v>
      </c>
      <c r="AM46" s="202"/>
      <c r="AN46" s="77"/>
      <c r="AO46" s="202"/>
      <c r="AP46" s="202"/>
      <c r="AQ46" s="202"/>
      <c r="AR46" s="202"/>
      <c r="AS46" s="202"/>
      <c r="AT46" s="202"/>
      <c r="AU46" s="202"/>
      <c r="AV46" s="202"/>
      <c r="AW46" s="202"/>
      <c r="AX46" s="202"/>
      <c r="AY46" s="202"/>
    </row>
    <row r="47" spans="1:51" ht="25.5" x14ac:dyDescent="0.2">
      <c r="A47" s="76">
        <v>15</v>
      </c>
      <c r="B47" s="77" t="s">
        <v>492</v>
      </c>
      <c r="C47" s="76" t="s">
        <v>160</v>
      </c>
      <c r="D47" s="76">
        <v>3</v>
      </c>
      <c r="E47" s="76">
        <v>7</v>
      </c>
      <c r="F47" s="76">
        <v>4.22</v>
      </c>
      <c r="G47" s="76">
        <v>22</v>
      </c>
      <c r="H47" s="76">
        <v>10</v>
      </c>
      <c r="I47" s="76">
        <v>0</v>
      </c>
      <c r="J47" s="76">
        <v>0</v>
      </c>
      <c r="K47" s="76">
        <v>70.099999999999994</v>
      </c>
      <c r="L47" s="76">
        <v>68</v>
      </c>
      <c r="M47" s="76">
        <v>34</v>
      </c>
      <c r="N47" s="76">
        <v>33</v>
      </c>
      <c r="O47" s="76">
        <v>6</v>
      </c>
      <c r="P47" s="76">
        <v>28</v>
      </c>
      <c r="Q47" s="76">
        <v>60</v>
      </c>
      <c r="R47" s="76">
        <v>0.25700000000000001</v>
      </c>
      <c r="S47" s="76">
        <v>1.36</v>
      </c>
      <c r="T47" s="76">
        <v>15</v>
      </c>
      <c r="U47" s="77" t="s">
        <v>492</v>
      </c>
      <c r="V47" s="76" t="s">
        <v>160</v>
      </c>
      <c r="W47" s="76">
        <v>0</v>
      </c>
      <c r="X47" s="76">
        <v>0</v>
      </c>
      <c r="Y47" s="76">
        <v>2</v>
      </c>
      <c r="Z47" s="76">
        <v>1</v>
      </c>
      <c r="AA47" s="76">
        <v>0</v>
      </c>
      <c r="AB47" s="76">
        <v>1</v>
      </c>
      <c r="AC47" s="76">
        <v>5</v>
      </c>
      <c r="AD47" s="76">
        <v>79</v>
      </c>
      <c r="AE47" s="76">
        <v>64</v>
      </c>
      <c r="AF47" s="76">
        <v>3</v>
      </c>
      <c r="AG47" s="76">
        <v>0</v>
      </c>
      <c r="AH47" s="76">
        <v>10</v>
      </c>
      <c r="AI47" s="76">
        <v>1</v>
      </c>
      <c r="AJ47" s="76">
        <v>1</v>
      </c>
      <c r="AK47" s="76">
        <v>301</v>
      </c>
      <c r="AL47" s="76">
        <v>1199</v>
      </c>
      <c r="AM47" s="202"/>
      <c r="AN47" s="77"/>
      <c r="AO47" s="202"/>
      <c r="AP47" s="202"/>
      <c r="AQ47" s="202"/>
      <c r="AR47" s="202"/>
      <c r="AS47" s="202"/>
      <c r="AT47" s="202"/>
      <c r="AU47" s="202"/>
      <c r="AV47" s="202"/>
      <c r="AW47" s="202"/>
      <c r="AX47" s="202"/>
      <c r="AY47" s="202"/>
    </row>
    <row r="48" spans="1:51" ht="25.5" x14ac:dyDescent="0.2">
      <c r="A48" s="76">
        <v>16</v>
      </c>
      <c r="B48" s="77" t="s">
        <v>1098</v>
      </c>
      <c r="C48" s="76" t="s">
        <v>160</v>
      </c>
      <c r="D48" s="76">
        <v>2</v>
      </c>
      <c r="E48" s="76">
        <v>0</v>
      </c>
      <c r="F48" s="76">
        <v>4.24</v>
      </c>
      <c r="G48" s="76">
        <v>15</v>
      </c>
      <c r="H48" s="76">
        <v>0</v>
      </c>
      <c r="I48" s="76">
        <v>0</v>
      </c>
      <c r="J48" s="76">
        <v>0</v>
      </c>
      <c r="K48" s="76">
        <v>17</v>
      </c>
      <c r="L48" s="76">
        <v>14</v>
      </c>
      <c r="M48" s="76">
        <v>9</v>
      </c>
      <c r="N48" s="76">
        <v>8</v>
      </c>
      <c r="O48" s="76">
        <v>2</v>
      </c>
      <c r="P48" s="76">
        <v>9</v>
      </c>
      <c r="Q48" s="76">
        <v>16</v>
      </c>
      <c r="R48" s="76">
        <v>0.23300000000000001</v>
      </c>
      <c r="S48" s="76">
        <v>1.35</v>
      </c>
      <c r="T48" s="76">
        <v>16</v>
      </c>
      <c r="U48" s="77" t="s">
        <v>1098</v>
      </c>
      <c r="V48" s="76" t="s">
        <v>160</v>
      </c>
      <c r="W48" s="76">
        <v>0</v>
      </c>
      <c r="X48" s="76">
        <v>0</v>
      </c>
      <c r="Y48" s="76">
        <v>2</v>
      </c>
      <c r="Z48" s="76">
        <v>1</v>
      </c>
      <c r="AA48" s="76">
        <v>3</v>
      </c>
      <c r="AB48" s="76">
        <v>0</v>
      </c>
      <c r="AC48" s="76">
        <v>0</v>
      </c>
      <c r="AD48" s="76">
        <v>7</v>
      </c>
      <c r="AE48" s="76">
        <v>26</v>
      </c>
      <c r="AF48" s="76">
        <v>1</v>
      </c>
      <c r="AG48" s="76">
        <v>0</v>
      </c>
      <c r="AH48" s="76">
        <v>0</v>
      </c>
      <c r="AI48" s="76">
        <v>2</v>
      </c>
      <c r="AJ48" s="76">
        <v>0</v>
      </c>
      <c r="AK48" s="76">
        <v>74</v>
      </c>
      <c r="AL48" s="76">
        <v>304</v>
      </c>
      <c r="AM48" s="202"/>
      <c r="AN48" s="77"/>
      <c r="AO48" s="202"/>
      <c r="AP48" s="202"/>
      <c r="AQ48" s="202"/>
      <c r="AR48" s="202"/>
      <c r="AS48" s="202"/>
      <c r="AT48" s="202"/>
      <c r="AU48" s="202"/>
      <c r="AV48" s="202"/>
      <c r="AW48" s="202"/>
      <c r="AX48" s="202"/>
      <c r="AY48" s="202"/>
    </row>
    <row r="49" spans="1:51" ht="38.25" x14ac:dyDescent="0.2">
      <c r="A49" s="76">
        <v>17</v>
      </c>
      <c r="B49" s="77" t="s">
        <v>805</v>
      </c>
      <c r="C49" s="76" t="s">
        <v>160</v>
      </c>
      <c r="D49" s="76">
        <v>9</v>
      </c>
      <c r="E49" s="76">
        <v>5</v>
      </c>
      <c r="F49" s="76">
        <v>4.3099999999999996</v>
      </c>
      <c r="G49" s="76">
        <v>22</v>
      </c>
      <c r="H49" s="76">
        <v>22</v>
      </c>
      <c r="I49" s="76">
        <v>0</v>
      </c>
      <c r="J49" s="76">
        <v>0</v>
      </c>
      <c r="K49" s="76">
        <v>123.1</v>
      </c>
      <c r="L49" s="76">
        <v>125</v>
      </c>
      <c r="M49" s="76">
        <v>61</v>
      </c>
      <c r="N49" s="76">
        <v>59</v>
      </c>
      <c r="O49" s="76">
        <v>18</v>
      </c>
      <c r="P49" s="76">
        <v>35</v>
      </c>
      <c r="Q49" s="76">
        <v>111</v>
      </c>
      <c r="R49" s="76">
        <v>0.26300000000000001</v>
      </c>
      <c r="S49" s="76">
        <v>1.3</v>
      </c>
      <c r="T49" s="76">
        <v>17</v>
      </c>
      <c r="U49" s="77" t="s">
        <v>805</v>
      </c>
      <c r="V49" s="76" t="s">
        <v>160</v>
      </c>
      <c r="W49" s="76">
        <v>0</v>
      </c>
      <c r="X49" s="76">
        <v>0</v>
      </c>
      <c r="Y49" s="76">
        <v>6</v>
      </c>
      <c r="Z49" s="76">
        <v>2</v>
      </c>
      <c r="AA49" s="76">
        <v>0</v>
      </c>
      <c r="AB49" s="76">
        <v>0</v>
      </c>
      <c r="AC49" s="76">
        <v>7</v>
      </c>
      <c r="AD49" s="76">
        <v>115</v>
      </c>
      <c r="AE49" s="76">
        <v>133</v>
      </c>
      <c r="AF49" s="76">
        <v>13</v>
      </c>
      <c r="AG49" s="76">
        <v>1</v>
      </c>
      <c r="AH49" s="76">
        <v>2</v>
      </c>
      <c r="AI49" s="76">
        <v>3</v>
      </c>
      <c r="AJ49" s="76">
        <v>2</v>
      </c>
      <c r="AK49" s="76">
        <v>525</v>
      </c>
      <c r="AL49" s="76">
        <v>2120</v>
      </c>
      <c r="AM49" s="202"/>
      <c r="AN49" s="77"/>
      <c r="AO49" s="202"/>
      <c r="AP49" s="202"/>
      <c r="AQ49" s="202"/>
      <c r="AR49" s="202"/>
      <c r="AS49" s="202"/>
      <c r="AT49" s="202"/>
      <c r="AU49" s="202"/>
      <c r="AV49" s="202"/>
      <c r="AW49" s="202"/>
      <c r="AX49" s="202"/>
      <c r="AY49" s="202"/>
    </row>
    <row r="50" spans="1:51" ht="25.5" x14ac:dyDescent="0.2">
      <c r="A50" s="76">
        <v>18</v>
      </c>
      <c r="B50" s="77" t="s">
        <v>754</v>
      </c>
      <c r="C50" s="76" t="s">
        <v>160</v>
      </c>
      <c r="D50" s="76">
        <v>1</v>
      </c>
      <c r="E50" s="76">
        <v>4</v>
      </c>
      <c r="F50" s="76">
        <v>4.42</v>
      </c>
      <c r="G50" s="76">
        <v>43</v>
      </c>
      <c r="H50" s="76">
        <v>0</v>
      </c>
      <c r="I50" s="76">
        <v>10</v>
      </c>
      <c r="J50" s="76">
        <v>14</v>
      </c>
      <c r="K50" s="76">
        <v>38.200000000000003</v>
      </c>
      <c r="L50" s="76">
        <v>37</v>
      </c>
      <c r="M50" s="76">
        <v>25</v>
      </c>
      <c r="N50" s="76">
        <v>19</v>
      </c>
      <c r="O50" s="76">
        <v>3</v>
      </c>
      <c r="P50" s="76">
        <v>26</v>
      </c>
      <c r="Q50" s="76">
        <v>50</v>
      </c>
      <c r="R50" s="76">
        <v>0.24</v>
      </c>
      <c r="S50" s="76">
        <v>1.63</v>
      </c>
      <c r="T50" s="76">
        <v>18</v>
      </c>
      <c r="U50" s="77" t="s">
        <v>754</v>
      </c>
      <c r="V50" s="76" t="s">
        <v>160</v>
      </c>
      <c r="W50" s="76">
        <v>0</v>
      </c>
      <c r="X50" s="76">
        <v>0</v>
      </c>
      <c r="Y50" s="76">
        <v>1</v>
      </c>
      <c r="Z50" s="76">
        <v>3</v>
      </c>
      <c r="AA50" s="76">
        <v>24</v>
      </c>
      <c r="AB50" s="76">
        <v>0</v>
      </c>
      <c r="AC50" s="76">
        <v>2</v>
      </c>
      <c r="AD50" s="76">
        <v>38</v>
      </c>
      <c r="AE50" s="76">
        <v>30</v>
      </c>
      <c r="AF50" s="76">
        <v>3</v>
      </c>
      <c r="AG50" s="76">
        <v>1</v>
      </c>
      <c r="AH50" s="76">
        <v>2</v>
      </c>
      <c r="AI50" s="76">
        <v>0</v>
      </c>
      <c r="AJ50" s="76">
        <v>0</v>
      </c>
      <c r="AK50" s="76">
        <v>182</v>
      </c>
      <c r="AL50" s="76">
        <v>720</v>
      </c>
      <c r="AM50" s="202"/>
      <c r="AN50" s="77"/>
      <c r="AO50" s="202"/>
      <c r="AP50" s="202"/>
      <c r="AQ50" s="202"/>
      <c r="AR50" s="202"/>
      <c r="AS50" s="202"/>
      <c r="AT50" s="202"/>
      <c r="AU50" s="202"/>
      <c r="AV50" s="202"/>
      <c r="AW50" s="202"/>
      <c r="AX50" s="202"/>
      <c r="AY50" s="202"/>
    </row>
    <row r="51" spans="1:51" ht="25.5" x14ac:dyDescent="0.2">
      <c r="A51" s="76">
        <v>19</v>
      </c>
      <c r="B51" s="77" t="s">
        <v>1417</v>
      </c>
      <c r="C51" s="76" t="s">
        <v>160</v>
      </c>
      <c r="D51" s="76">
        <v>1</v>
      </c>
      <c r="E51" s="76">
        <v>4</v>
      </c>
      <c r="F51" s="76">
        <v>4.8600000000000003</v>
      </c>
      <c r="G51" s="76">
        <v>20</v>
      </c>
      <c r="H51" s="76">
        <v>7</v>
      </c>
      <c r="I51" s="76">
        <v>0</v>
      </c>
      <c r="J51" s="76">
        <v>0</v>
      </c>
      <c r="K51" s="76">
        <v>50</v>
      </c>
      <c r="L51" s="76">
        <v>54</v>
      </c>
      <c r="M51" s="76">
        <v>32</v>
      </c>
      <c r="N51" s="76">
        <v>27</v>
      </c>
      <c r="O51" s="76">
        <v>7</v>
      </c>
      <c r="P51" s="76">
        <v>21</v>
      </c>
      <c r="Q51" s="76">
        <v>49</v>
      </c>
      <c r="R51" s="76">
        <v>0.27800000000000002</v>
      </c>
      <c r="S51" s="76">
        <v>1.5</v>
      </c>
      <c r="T51" s="76">
        <v>19</v>
      </c>
      <c r="U51" s="77" t="s">
        <v>1417</v>
      </c>
      <c r="V51" s="76" t="s">
        <v>160</v>
      </c>
      <c r="W51" s="76">
        <v>0</v>
      </c>
      <c r="X51" s="76">
        <v>0</v>
      </c>
      <c r="Y51" s="76">
        <v>2</v>
      </c>
      <c r="Z51" s="76">
        <v>3</v>
      </c>
      <c r="AA51" s="76">
        <v>6</v>
      </c>
      <c r="AB51" s="76">
        <v>0</v>
      </c>
      <c r="AC51" s="76">
        <v>4</v>
      </c>
      <c r="AD51" s="76">
        <v>52</v>
      </c>
      <c r="AE51" s="76">
        <v>44</v>
      </c>
      <c r="AF51" s="76">
        <v>4</v>
      </c>
      <c r="AG51" s="76">
        <v>0</v>
      </c>
      <c r="AH51" s="76">
        <v>4</v>
      </c>
      <c r="AI51" s="76">
        <v>1</v>
      </c>
      <c r="AJ51" s="76">
        <v>0</v>
      </c>
      <c r="AK51" s="76">
        <v>222</v>
      </c>
      <c r="AL51" s="76">
        <v>943</v>
      </c>
      <c r="AM51" s="202"/>
      <c r="AN51" s="77"/>
      <c r="AO51" s="202"/>
      <c r="AP51" s="202"/>
      <c r="AQ51" s="202"/>
      <c r="AR51" s="202"/>
      <c r="AS51" s="202"/>
      <c r="AT51" s="202"/>
      <c r="AU51" s="202"/>
      <c r="AV51" s="202"/>
      <c r="AW51" s="202"/>
      <c r="AX51" s="202"/>
      <c r="AY51" s="202"/>
    </row>
    <row r="52" spans="1:51" ht="25.5" x14ac:dyDescent="0.2">
      <c r="A52" s="76">
        <v>20</v>
      </c>
      <c r="B52" s="77" t="s">
        <v>1418</v>
      </c>
      <c r="C52" s="76" t="s">
        <v>160</v>
      </c>
      <c r="D52" s="76">
        <v>0</v>
      </c>
      <c r="E52" s="76">
        <v>7</v>
      </c>
      <c r="F52" s="76">
        <v>4.88</v>
      </c>
      <c r="G52" s="76">
        <v>22</v>
      </c>
      <c r="H52" s="76">
        <v>9</v>
      </c>
      <c r="I52" s="76">
        <v>0</v>
      </c>
      <c r="J52" s="76">
        <v>0</v>
      </c>
      <c r="K52" s="76">
        <v>62.2</v>
      </c>
      <c r="L52" s="76">
        <v>65</v>
      </c>
      <c r="M52" s="76">
        <v>40</v>
      </c>
      <c r="N52" s="76">
        <v>34</v>
      </c>
      <c r="O52" s="76">
        <v>10</v>
      </c>
      <c r="P52" s="76">
        <v>22</v>
      </c>
      <c r="Q52" s="76">
        <v>37</v>
      </c>
      <c r="R52" s="76">
        <v>0.26300000000000001</v>
      </c>
      <c r="S52" s="76">
        <v>1.39</v>
      </c>
      <c r="T52" s="76">
        <v>20</v>
      </c>
      <c r="U52" s="77" t="s">
        <v>1418</v>
      </c>
      <c r="V52" s="76" t="s">
        <v>160</v>
      </c>
      <c r="W52" s="76">
        <v>0</v>
      </c>
      <c r="X52" s="76">
        <v>0</v>
      </c>
      <c r="Y52" s="76">
        <v>2</v>
      </c>
      <c r="Z52" s="76">
        <v>0</v>
      </c>
      <c r="AA52" s="76">
        <v>2</v>
      </c>
      <c r="AB52" s="76">
        <v>0</v>
      </c>
      <c r="AC52" s="76">
        <v>3</v>
      </c>
      <c r="AD52" s="76">
        <v>77</v>
      </c>
      <c r="AE52" s="76">
        <v>73</v>
      </c>
      <c r="AF52" s="76">
        <v>0</v>
      </c>
      <c r="AG52" s="76">
        <v>0</v>
      </c>
      <c r="AH52" s="76">
        <v>1</v>
      </c>
      <c r="AI52" s="76">
        <v>1</v>
      </c>
      <c r="AJ52" s="76">
        <v>1</v>
      </c>
      <c r="AK52" s="76">
        <v>276</v>
      </c>
      <c r="AL52" s="76">
        <v>1008</v>
      </c>
      <c r="AM52" s="202"/>
      <c r="AN52" s="77"/>
      <c r="AO52" s="202"/>
      <c r="AP52" s="202"/>
      <c r="AQ52" s="202"/>
      <c r="AR52" s="202"/>
      <c r="AS52" s="202"/>
      <c r="AT52" s="202"/>
      <c r="AU52" s="202"/>
      <c r="AV52" s="202"/>
      <c r="AW52" s="202"/>
      <c r="AX52" s="202"/>
      <c r="AY52" s="202"/>
    </row>
    <row r="53" spans="1:51" ht="25.5" x14ac:dyDescent="0.2">
      <c r="A53" s="76">
        <v>21</v>
      </c>
      <c r="B53" s="77" t="s">
        <v>1099</v>
      </c>
      <c r="C53" s="76" t="s">
        <v>160</v>
      </c>
      <c r="D53" s="76">
        <v>7</v>
      </c>
      <c r="E53" s="76">
        <v>13</v>
      </c>
      <c r="F53" s="76">
        <v>5</v>
      </c>
      <c r="G53" s="76">
        <v>27</v>
      </c>
      <c r="H53" s="76">
        <v>26</v>
      </c>
      <c r="I53" s="76">
        <v>1</v>
      </c>
      <c r="J53" s="76">
        <v>1</v>
      </c>
      <c r="K53" s="76">
        <v>156.19999999999999</v>
      </c>
      <c r="L53" s="76">
        <v>159</v>
      </c>
      <c r="M53" s="76">
        <v>90</v>
      </c>
      <c r="N53" s="76">
        <v>87</v>
      </c>
      <c r="O53" s="76">
        <v>26</v>
      </c>
      <c r="P53" s="76">
        <v>49</v>
      </c>
      <c r="Q53" s="76">
        <v>115</v>
      </c>
      <c r="R53" s="76">
        <v>0.25900000000000001</v>
      </c>
      <c r="S53" s="76">
        <v>1.33</v>
      </c>
      <c r="T53" s="76">
        <v>21</v>
      </c>
      <c r="U53" s="77" t="s">
        <v>1099</v>
      </c>
      <c r="V53" s="76" t="s">
        <v>160</v>
      </c>
      <c r="W53" s="76">
        <v>0</v>
      </c>
      <c r="X53" s="76">
        <v>0</v>
      </c>
      <c r="Y53" s="76">
        <v>4</v>
      </c>
      <c r="Z53" s="76">
        <v>3</v>
      </c>
      <c r="AA53" s="76">
        <v>1</v>
      </c>
      <c r="AB53" s="76">
        <v>0</v>
      </c>
      <c r="AC53" s="76">
        <v>12</v>
      </c>
      <c r="AD53" s="76">
        <v>156</v>
      </c>
      <c r="AE53" s="76">
        <v>188</v>
      </c>
      <c r="AF53" s="76">
        <v>5</v>
      </c>
      <c r="AG53" s="76">
        <v>1</v>
      </c>
      <c r="AH53" s="76">
        <v>16</v>
      </c>
      <c r="AI53" s="76">
        <v>1</v>
      </c>
      <c r="AJ53" s="76">
        <v>0</v>
      </c>
      <c r="AK53" s="76">
        <v>671</v>
      </c>
      <c r="AL53" s="76">
        <v>2438</v>
      </c>
      <c r="AM53" s="202"/>
      <c r="AN53" s="77"/>
      <c r="AO53" s="202"/>
      <c r="AP53" s="202"/>
      <c r="AQ53" s="202"/>
      <c r="AR53" s="202"/>
      <c r="AS53" s="202"/>
      <c r="AT53" s="202"/>
      <c r="AU53" s="202"/>
      <c r="AV53" s="202"/>
      <c r="AW53" s="202"/>
      <c r="AX53" s="202"/>
      <c r="AY53" s="202"/>
    </row>
    <row r="54" spans="1:51" ht="25.5" x14ac:dyDescent="0.2">
      <c r="A54" s="76">
        <v>22</v>
      </c>
      <c r="B54" s="77" t="s">
        <v>1419</v>
      </c>
      <c r="C54" s="76" t="s">
        <v>160</v>
      </c>
      <c r="D54" s="76">
        <v>1</v>
      </c>
      <c r="E54" s="76">
        <v>1</v>
      </c>
      <c r="F54" s="76">
        <v>5.14</v>
      </c>
      <c r="G54" s="76">
        <v>6</v>
      </c>
      <c r="H54" s="76">
        <v>0</v>
      </c>
      <c r="I54" s="76">
        <v>0</v>
      </c>
      <c r="J54" s="76">
        <v>0</v>
      </c>
      <c r="K54" s="76">
        <v>7</v>
      </c>
      <c r="L54" s="76">
        <v>7</v>
      </c>
      <c r="M54" s="76">
        <v>4</v>
      </c>
      <c r="N54" s="76">
        <v>4</v>
      </c>
      <c r="O54" s="76">
        <v>0</v>
      </c>
      <c r="P54" s="76">
        <v>6</v>
      </c>
      <c r="Q54" s="76">
        <v>4</v>
      </c>
      <c r="R54" s="76">
        <v>0.26900000000000002</v>
      </c>
      <c r="S54" s="76">
        <v>1.86</v>
      </c>
      <c r="T54" s="76">
        <v>22</v>
      </c>
      <c r="U54" s="77" t="s">
        <v>1419</v>
      </c>
      <c r="V54" s="76" t="s">
        <v>160</v>
      </c>
      <c r="W54" s="76">
        <v>0</v>
      </c>
      <c r="X54" s="76">
        <v>0</v>
      </c>
      <c r="Y54" s="76">
        <v>0</v>
      </c>
      <c r="Z54" s="76">
        <v>2</v>
      </c>
      <c r="AA54" s="76">
        <v>1</v>
      </c>
      <c r="AB54" s="76">
        <v>0</v>
      </c>
      <c r="AC54" s="76">
        <v>1</v>
      </c>
      <c r="AD54" s="76">
        <v>7</v>
      </c>
      <c r="AE54" s="76">
        <v>9</v>
      </c>
      <c r="AF54" s="76">
        <v>1</v>
      </c>
      <c r="AG54" s="76">
        <v>0</v>
      </c>
      <c r="AH54" s="76">
        <v>2</v>
      </c>
      <c r="AI54" s="76">
        <v>0</v>
      </c>
      <c r="AJ54" s="76">
        <v>0</v>
      </c>
      <c r="AK54" s="76">
        <v>33</v>
      </c>
      <c r="AL54" s="76">
        <v>131</v>
      </c>
      <c r="AM54" s="202"/>
      <c r="AN54" s="77"/>
      <c r="AO54" s="202"/>
      <c r="AP54" s="202"/>
      <c r="AQ54" s="202"/>
      <c r="AR54" s="202"/>
      <c r="AS54" s="202"/>
      <c r="AT54" s="202"/>
      <c r="AU54" s="202"/>
      <c r="AV54" s="202"/>
      <c r="AW54" s="202"/>
      <c r="AX54" s="202"/>
      <c r="AY54" s="202"/>
    </row>
    <row r="55" spans="1:51" ht="25.5" x14ac:dyDescent="0.2">
      <c r="A55" s="76">
        <v>23</v>
      </c>
      <c r="B55" s="77" t="s">
        <v>428</v>
      </c>
      <c r="C55" s="76" t="s">
        <v>160</v>
      </c>
      <c r="D55" s="76">
        <v>1</v>
      </c>
      <c r="E55" s="76">
        <v>2</v>
      </c>
      <c r="F55" s="76">
        <v>5.29</v>
      </c>
      <c r="G55" s="76">
        <v>21</v>
      </c>
      <c r="H55" s="76">
        <v>0</v>
      </c>
      <c r="I55" s="76">
        <v>2</v>
      </c>
      <c r="J55" s="76">
        <v>4</v>
      </c>
      <c r="K55" s="76">
        <v>17</v>
      </c>
      <c r="L55" s="76">
        <v>16</v>
      </c>
      <c r="M55" s="76">
        <v>11</v>
      </c>
      <c r="N55" s="76">
        <v>10</v>
      </c>
      <c r="O55" s="76">
        <v>2</v>
      </c>
      <c r="P55" s="76">
        <v>13</v>
      </c>
      <c r="Q55" s="76">
        <v>23</v>
      </c>
      <c r="R55" s="76">
        <v>0.24199999999999999</v>
      </c>
      <c r="S55" s="76">
        <v>1.71</v>
      </c>
      <c r="T55" s="76">
        <v>23</v>
      </c>
      <c r="U55" s="77" t="s">
        <v>428</v>
      </c>
      <c r="V55" s="76" t="s">
        <v>160</v>
      </c>
      <c r="W55" s="76">
        <v>0</v>
      </c>
      <c r="X55" s="76">
        <v>0</v>
      </c>
      <c r="Y55" s="76">
        <v>1</v>
      </c>
      <c r="Z55" s="76">
        <v>1</v>
      </c>
      <c r="AA55" s="76">
        <v>8</v>
      </c>
      <c r="AB55" s="76">
        <v>2</v>
      </c>
      <c r="AC55" s="76">
        <v>1</v>
      </c>
      <c r="AD55" s="76">
        <v>5</v>
      </c>
      <c r="AE55" s="76">
        <v>23</v>
      </c>
      <c r="AF55" s="76">
        <v>1</v>
      </c>
      <c r="AG55" s="76">
        <v>0</v>
      </c>
      <c r="AH55" s="76">
        <v>1</v>
      </c>
      <c r="AI55" s="76">
        <v>0</v>
      </c>
      <c r="AJ55" s="76">
        <v>0</v>
      </c>
      <c r="AK55" s="76">
        <v>81</v>
      </c>
      <c r="AL55" s="76">
        <v>334</v>
      </c>
      <c r="AM55" s="202"/>
      <c r="AN55" s="77"/>
      <c r="AO55" s="202"/>
      <c r="AP55" s="202"/>
      <c r="AQ55" s="202"/>
      <c r="AR55" s="202"/>
      <c r="AS55" s="202"/>
      <c r="AT55" s="202"/>
      <c r="AU55" s="202"/>
      <c r="AV55" s="202"/>
      <c r="AW55" s="202"/>
      <c r="AX55" s="202"/>
      <c r="AY55" s="202"/>
    </row>
    <row r="56" spans="1:51" ht="25.5" x14ac:dyDescent="0.2">
      <c r="A56" s="76">
        <v>24</v>
      </c>
      <c r="B56" s="77" t="s">
        <v>365</v>
      </c>
      <c r="C56" s="76" t="s">
        <v>160</v>
      </c>
      <c r="D56" s="76">
        <v>1</v>
      </c>
      <c r="E56" s="76">
        <v>2</v>
      </c>
      <c r="F56" s="76">
        <v>5.4</v>
      </c>
      <c r="G56" s="76">
        <v>5</v>
      </c>
      <c r="H56" s="76">
        <v>5</v>
      </c>
      <c r="I56" s="76">
        <v>0</v>
      </c>
      <c r="J56" s="76">
        <v>0</v>
      </c>
      <c r="K56" s="76">
        <v>26.2</v>
      </c>
      <c r="L56" s="76">
        <v>29</v>
      </c>
      <c r="M56" s="76">
        <v>17</v>
      </c>
      <c r="N56" s="76">
        <v>16</v>
      </c>
      <c r="O56" s="76">
        <v>4</v>
      </c>
      <c r="P56" s="76">
        <v>8</v>
      </c>
      <c r="Q56" s="76">
        <v>27</v>
      </c>
      <c r="R56" s="76">
        <v>0.27400000000000002</v>
      </c>
      <c r="S56" s="76">
        <v>1.39</v>
      </c>
      <c r="T56" s="76">
        <v>24</v>
      </c>
      <c r="U56" s="77" t="s">
        <v>365</v>
      </c>
      <c r="V56" s="76" t="s">
        <v>160</v>
      </c>
      <c r="W56" s="76">
        <v>0</v>
      </c>
      <c r="X56" s="76">
        <v>0</v>
      </c>
      <c r="Y56" s="76">
        <v>0</v>
      </c>
      <c r="Z56" s="76">
        <v>0</v>
      </c>
      <c r="AA56" s="76">
        <v>0</v>
      </c>
      <c r="AB56" s="76">
        <v>0</v>
      </c>
      <c r="AC56" s="76">
        <v>0</v>
      </c>
      <c r="AD56" s="76">
        <v>27</v>
      </c>
      <c r="AE56" s="76">
        <v>26</v>
      </c>
      <c r="AF56" s="76">
        <v>0</v>
      </c>
      <c r="AG56" s="76">
        <v>0</v>
      </c>
      <c r="AH56" s="76">
        <v>2</v>
      </c>
      <c r="AI56" s="76">
        <v>0</v>
      </c>
      <c r="AJ56" s="76">
        <v>0</v>
      </c>
      <c r="AK56" s="76">
        <v>117</v>
      </c>
      <c r="AL56" s="76">
        <v>430</v>
      </c>
      <c r="AM56" s="202"/>
      <c r="AN56" s="77"/>
      <c r="AO56" s="202"/>
      <c r="AP56" s="202"/>
      <c r="AQ56" s="202"/>
      <c r="AR56" s="202"/>
      <c r="AS56" s="202"/>
      <c r="AT56" s="202"/>
      <c r="AU56" s="202"/>
      <c r="AV56" s="202"/>
      <c r="AW56" s="202"/>
      <c r="AX56" s="202"/>
      <c r="AY56" s="202"/>
    </row>
    <row r="57" spans="1:51" ht="38.25" x14ac:dyDescent="0.2">
      <c r="A57" s="76">
        <v>24</v>
      </c>
      <c r="B57" s="77" t="s">
        <v>1102</v>
      </c>
      <c r="C57" s="76" t="s">
        <v>160</v>
      </c>
      <c r="D57" s="76">
        <v>0</v>
      </c>
      <c r="E57" s="76">
        <v>0</v>
      </c>
      <c r="F57" s="76">
        <v>5.4</v>
      </c>
      <c r="G57" s="76">
        <v>4</v>
      </c>
      <c r="H57" s="76">
        <v>0</v>
      </c>
      <c r="I57" s="76">
        <v>0</v>
      </c>
      <c r="J57" s="76">
        <v>0</v>
      </c>
      <c r="K57" s="76">
        <v>3.1</v>
      </c>
      <c r="L57" s="76">
        <v>5</v>
      </c>
      <c r="M57" s="76">
        <v>2</v>
      </c>
      <c r="N57" s="76">
        <v>2</v>
      </c>
      <c r="O57" s="76">
        <v>1</v>
      </c>
      <c r="P57" s="76">
        <v>1</v>
      </c>
      <c r="Q57" s="76">
        <v>2</v>
      </c>
      <c r="R57" s="76">
        <v>0.33300000000000002</v>
      </c>
      <c r="S57" s="76">
        <v>1.8</v>
      </c>
      <c r="T57" s="76">
        <v>24</v>
      </c>
      <c r="U57" s="77" t="s">
        <v>1102</v>
      </c>
      <c r="V57" s="76" t="s">
        <v>160</v>
      </c>
      <c r="W57" s="76">
        <v>0</v>
      </c>
      <c r="X57" s="76">
        <v>0</v>
      </c>
      <c r="Y57" s="76">
        <v>1</v>
      </c>
      <c r="Z57" s="76">
        <v>0</v>
      </c>
      <c r="AA57" s="76">
        <v>1</v>
      </c>
      <c r="AB57" s="76">
        <v>0</v>
      </c>
      <c r="AC57" s="76">
        <v>0</v>
      </c>
      <c r="AD57" s="76">
        <v>4</v>
      </c>
      <c r="AE57" s="76">
        <v>4</v>
      </c>
      <c r="AF57" s="76">
        <v>0</v>
      </c>
      <c r="AG57" s="76">
        <v>0</v>
      </c>
      <c r="AH57" s="76">
        <v>0</v>
      </c>
      <c r="AI57" s="76">
        <v>0</v>
      </c>
      <c r="AJ57" s="76">
        <v>0</v>
      </c>
      <c r="AK57" s="76">
        <v>17</v>
      </c>
      <c r="AL57" s="76">
        <v>72</v>
      </c>
      <c r="AM57" s="202"/>
      <c r="AN57" s="77"/>
      <c r="AO57" s="202"/>
      <c r="AP57" s="202"/>
      <c r="AQ57" s="202"/>
      <c r="AR57" s="202"/>
      <c r="AS57" s="202"/>
      <c r="AT57" s="202"/>
      <c r="AU57" s="202"/>
      <c r="AV57" s="202"/>
      <c r="AW57" s="202"/>
      <c r="AX57" s="202"/>
      <c r="AY57" s="202"/>
    </row>
    <row r="58" spans="1:51" ht="25.5" x14ac:dyDescent="0.2">
      <c r="A58" s="76">
        <v>26</v>
      </c>
      <c r="B58" s="77" t="s">
        <v>1100</v>
      </c>
      <c r="C58" s="76" t="s">
        <v>160</v>
      </c>
      <c r="D58" s="76">
        <v>1</v>
      </c>
      <c r="E58" s="76">
        <v>1</v>
      </c>
      <c r="F58" s="76">
        <v>5.45</v>
      </c>
      <c r="G58" s="76">
        <v>16</v>
      </c>
      <c r="H58" s="76">
        <v>2</v>
      </c>
      <c r="I58" s="76">
        <v>0</v>
      </c>
      <c r="J58" s="76">
        <v>1</v>
      </c>
      <c r="K58" s="76">
        <v>36.1</v>
      </c>
      <c r="L58" s="76">
        <v>46</v>
      </c>
      <c r="M58" s="76">
        <v>22</v>
      </c>
      <c r="N58" s="76">
        <v>22</v>
      </c>
      <c r="O58" s="76">
        <v>7</v>
      </c>
      <c r="P58" s="76">
        <v>5</v>
      </c>
      <c r="Q58" s="76">
        <v>23</v>
      </c>
      <c r="R58" s="76">
        <v>0.309</v>
      </c>
      <c r="S58" s="76">
        <v>1.4</v>
      </c>
      <c r="T58" s="76">
        <v>26</v>
      </c>
      <c r="U58" s="77" t="s">
        <v>1100</v>
      </c>
      <c r="V58" s="76" t="s">
        <v>160</v>
      </c>
      <c r="W58" s="76">
        <v>0</v>
      </c>
      <c r="X58" s="76">
        <v>0</v>
      </c>
      <c r="Y58" s="76">
        <v>2</v>
      </c>
      <c r="Z58" s="76">
        <v>2</v>
      </c>
      <c r="AA58" s="76">
        <v>6</v>
      </c>
      <c r="AB58" s="76">
        <v>0</v>
      </c>
      <c r="AC58" s="76">
        <v>5</v>
      </c>
      <c r="AD58" s="76">
        <v>54</v>
      </c>
      <c r="AE58" s="76">
        <v>27</v>
      </c>
      <c r="AF58" s="76">
        <v>1</v>
      </c>
      <c r="AG58" s="76">
        <v>0</v>
      </c>
      <c r="AH58" s="76">
        <v>2</v>
      </c>
      <c r="AI58" s="76">
        <v>1</v>
      </c>
      <c r="AJ58" s="76">
        <v>0</v>
      </c>
      <c r="AK58" s="76">
        <v>157</v>
      </c>
      <c r="AL58" s="76">
        <v>539</v>
      </c>
      <c r="AM58" s="202"/>
      <c r="AN58" s="77"/>
      <c r="AO58" s="202"/>
      <c r="AP58" s="202"/>
      <c r="AQ58" s="202"/>
      <c r="AR58" s="202"/>
      <c r="AS58" s="202"/>
      <c r="AT58" s="202"/>
      <c r="AU58" s="202"/>
      <c r="AV58" s="202"/>
      <c r="AW58" s="202"/>
      <c r="AX58" s="202"/>
      <c r="AY58" s="202"/>
    </row>
    <row r="59" spans="1:51" ht="25.5" x14ac:dyDescent="0.2">
      <c r="A59" s="76">
        <v>27</v>
      </c>
      <c r="B59" s="77" t="s">
        <v>1155</v>
      </c>
      <c r="C59" s="76" t="s">
        <v>160</v>
      </c>
      <c r="D59" s="76">
        <v>0</v>
      </c>
      <c r="E59" s="76">
        <v>3</v>
      </c>
      <c r="F59" s="76">
        <v>5.82</v>
      </c>
      <c r="G59" s="76">
        <v>10</v>
      </c>
      <c r="H59" s="76">
        <v>1</v>
      </c>
      <c r="I59" s="76">
        <v>0</v>
      </c>
      <c r="J59" s="76">
        <v>1</v>
      </c>
      <c r="K59" s="76">
        <v>21.2</v>
      </c>
      <c r="L59" s="76">
        <v>30</v>
      </c>
      <c r="M59" s="76">
        <v>14</v>
      </c>
      <c r="N59" s="76">
        <v>14</v>
      </c>
      <c r="O59" s="76">
        <v>1</v>
      </c>
      <c r="P59" s="76">
        <v>7</v>
      </c>
      <c r="Q59" s="76">
        <v>7</v>
      </c>
      <c r="R59" s="76">
        <v>0.32600000000000001</v>
      </c>
      <c r="S59" s="76">
        <v>1.71</v>
      </c>
      <c r="T59" s="76">
        <v>27</v>
      </c>
      <c r="U59" s="77" t="s">
        <v>1155</v>
      </c>
      <c r="V59" s="76" t="s">
        <v>160</v>
      </c>
      <c r="W59" s="76">
        <v>0</v>
      </c>
      <c r="X59" s="76">
        <v>0</v>
      </c>
      <c r="Y59" s="76">
        <v>2</v>
      </c>
      <c r="Z59" s="76">
        <v>3</v>
      </c>
      <c r="AA59" s="76">
        <v>3</v>
      </c>
      <c r="AB59" s="76">
        <v>0</v>
      </c>
      <c r="AC59" s="76">
        <v>0</v>
      </c>
      <c r="AD59" s="76">
        <v>29</v>
      </c>
      <c r="AE59" s="76">
        <v>27</v>
      </c>
      <c r="AF59" s="76">
        <v>1</v>
      </c>
      <c r="AG59" s="76">
        <v>0</v>
      </c>
      <c r="AH59" s="76">
        <v>2</v>
      </c>
      <c r="AI59" s="76">
        <v>0</v>
      </c>
      <c r="AJ59" s="76">
        <v>0</v>
      </c>
      <c r="AK59" s="76">
        <v>102</v>
      </c>
      <c r="AL59" s="76">
        <v>376</v>
      </c>
      <c r="AM59" s="202"/>
      <c r="AN59" s="77"/>
      <c r="AO59" s="202"/>
      <c r="AP59" s="202"/>
      <c r="AQ59" s="202"/>
      <c r="AR59" s="202"/>
      <c r="AS59" s="202"/>
      <c r="AT59" s="202"/>
      <c r="AU59" s="202"/>
      <c r="AV59" s="202"/>
      <c r="AW59" s="202"/>
      <c r="AX59" s="202"/>
      <c r="AY59" s="202"/>
    </row>
    <row r="60" spans="1:51" ht="25.5" x14ac:dyDescent="0.2">
      <c r="A60" s="76">
        <v>28</v>
      </c>
      <c r="B60" s="77" t="s">
        <v>1420</v>
      </c>
      <c r="C60" s="76" t="s">
        <v>160</v>
      </c>
      <c r="D60" s="76">
        <v>2</v>
      </c>
      <c r="E60" s="76">
        <v>4</v>
      </c>
      <c r="F60" s="76">
        <v>5.88</v>
      </c>
      <c r="G60" s="76">
        <v>14</v>
      </c>
      <c r="H60" s="76">
        <v>8</v>
      </c>
      <c r="I60" s="76">
        <v>0</v>
      </c>
      <c r="J60" s="76">
        <v>0</v>
      </c>
      <c r="K60" s="76">
        <v>52</v>
      </c>
      <c r="L60" s="76">
        <v>55</v>
      </c>
      <c r="M60" s="76">
        <v>35</v>
      </c>
      <c r="N60" s="76">
        <v>34</v>
      </c>
      <c r="O60" s="76">
        <v>11</v>
      </c>
      <c r="P60" s="76">
        <v>33</v>
      </c>
      <c r="Q60" s="76">
        <v>26</v>
      </c>
      <c r="R60" s="76">
        <v>0.27900000000000003</v>
      </c>
      <c r="S60" s="76">
        <v>1.69</v>
      </c>
      <c r="T60" s="76">
        <v>28</v>
      </c>
      <c r="U60" s="77" t="s">
        <v>1420</v>
      </c>
      <c r="V60" s="76" t="s">
        <v>160</v>
      </c>
      <c r="W60" s="76">
        <v>0</v>
      </c>
      <c r="X60" s="76">
        <v>0</v>
      </c>
      <c r="Y60" s="76">
        <v>1</v>
      </c>
      <c r="Z60" s="76">
        <v>1</v>
      </c>
      <c r="AA60" s="76">
        <v>2</v>
      </c>
      <c r="AB60" s="76">
        <v>0</v>
      </c>
      <c r="AC60" s="76">
        <v>6</v>
      </c>
      <c r="AD60" s="76">
        <v>71</v>
      </c>
      <c r="AE60" s="76">
        <v>51</v>
      </c>
      <c r="AF60" s="76">
        <v>1</v>
      </c>
      <c r="AG60" s="76">
        <v>0</v>
      </c>
      <c r="AH60" s="76">
        <v>3</v>
      </c>
      <c r="AI60" s="76">
        <v>1</v>
      </c>
      <c r="AJ60" s="76">
        <v>1</v>
      </c>
      <c r="AK60" s="76">
        <v>237</v>
      </c>
      <c r="AL60" s="76">
        <v>894</v>
      </c>
      <c r="AM60" s="202"/>
      <c r="AN60" s="77"/>
      <c r="AO60" s="202"/>
      <c r="AP60" s="202"/>
      <c r="AQ60" s="202"/>
      <c r="AR60" s="202"/>
      <c r="AS60" s="202"/>
      <c r="AT60" s="202"/>
      <c r="AU60" s="202"/>
      <c r="AV60" s="202"/>
      <c r="AW60" s="202"/>
      <c r="AX60" s="202"/>
      <c r="AY60" s="202"/>
    </row>
    <row r="61" spans="1:51" ht="25.5" x14ac:dyDescent="0.2">
      <c r="A61" s="76">
        <v>29</v>
      </c>
      <c r="B61" s="77" t="s">
        <v>1101</v>
      </c>
      <c r="C61" s="76" t="s">
        <v>160</v>
      </c>
      <c r="D61" s="76">
        <v>2</v>
      </c>
      <c r="E61" s="76">
        <v>3</v>
      </c>
      <c r="F61" s="76">
        <v>6.04</v>
      </c>
      <c r="G61" s="76">
        <v>11</v>
      </c>
      <c r="H61" s="76">
        <v>11</v>
      </c>
      <c r="I61" s="76">
        <v>0</v>
      </c>
      <c r="J61" s="76">
        <v>0</v>
      </c>
      <c r="K61" s="76">
        <v>53.2</v>
      </c>
      <c r="L61" s="76">
        <v>57</v>
      </c>
      <c r="M61" s="76">
        <v>37</v>
      </c>
      <c r="N61" s="76">
        <v>36</v>
      </c>
      <c r="O61" s="76">
        <v>7</v>
      </c>
      <c r="P61" s="76">
        <v>15</v>
      </c>
      <c r="Q61" s="76">
        <v>27</v>
      </c>
      <c r="R61" s="76">
        <v>0.27100000000000002</v>
      </c>
      <c r="S61" s="76">
        <v>1.34</v>
      </c>
      <c r="T61" s="76">
        <v>29</v>
      </c>
      <c r="U61" s="77" t="s">
        <v>1101</v>
      </c>
      <c r="V61" s="76" t="s">
        <v>160</v>
      </c>
      <c r="W61" s="76">
        <v>0</v>
      </c>
      <c r="X61" s="76">
        <v>0</v>
      </c>
      <c r="Y61" s="76">
        <v>2</v>
      </c>
      <c r="Z61" s="76">
        <v>3</v>
      </c>
      <c r="AA61" s="76">
        <v>0</v>
      </c>
      <c r="AB61" s="76">
        <v>0</v>
      </c>
      <c r="AC61" s="76">
        <v>5</v>
      </c>
      <c r="AD61" s="76">
        <v>83</v>
      </c>
      <c r="AE61" s="76">
        <v>49</v>
      </c>
      <c r="AF61" s="76">
        <v>4</v>
      </c>
      <c r="AG61" s="76">
        <v>0</v>
      </c>
      <c r="AH61" s="76">
        <v>1</v>
      </c>
      <c r="AI61" s="76">
        <v>0</v>
      </c>
      <c r="AJ61" s="76">
        <v>1</v>
      </c>
      <c r="AK61" s="76">
        <v>233</v>
      </c>
      <c r="AL61" s="76">
        <v>859</v>
      </c>
      <c r="AM61" s="202"/>
      <c r="AN61" s="77"/>
      <c r="AO61" s="202"/>
      <c r="AP61" s="202"/>
      <c r="AQ61" s="202"/>
      <c r="AR61" s="202"/>
      <c r="AS61" s="202"/>
      <c r="AT61" s="202"/>
      <c r="AU61" s="202"/>
      <c r="AV61" s="202"/>
      <c r="AW61" s="202"/>
      <c r="AX61" s="202"/>
      <c r="AY61" s="202"/>
    </row>
    <row r="62" spans="1:51" ht="25.5" x14ac:dyDescent="0.2">
      <c r="A62" s="76">
        <v>30</v>
      </c>
      <c r="B62" s="77" t="s">
        <v>1421</v>
      </c>
      <c r="C62" s="76" t="s">
        <v>160</v>
      </c>
      <c r="D62" s="76">
        <v>0</v>
      </c>
      <c r="E62" s="76">
        <v>0</v>
      </c>
      <c r="F62" s="76">
        <v>6.43</v>
      </c>
      <c r="G62" s="76">
        <v>8</v>
      </c>
      <c r="H62" s="76">
        <v>0</v>
      </c>
      <c r="I62" s="76">
        <v>0</v>
      </c>
      <c r="J62" s="76">
        <v>0</v>
      </c>
      <c r="K62" s="76">
        <v>7</v>
      </c>
      <c r="L62" s="76">
        <v>12</v>
      </c>
      <c r="M62" s="76">
        <v>5</v>
      </c>
      <c r="N62" s="76">
        <v>5</v>
      </c>
      <c r="O62" s="76">
        <v>0</v>
      </c>
      <c r="P62" s="76">
        <v>4</v>
      </c>
      <c r="Q62" s="76">
        <v>4</v>
      </c>
      <c r="R62" s="76">
        <v>0.4</v>
      </c>
      <c r="S62" s="76">
        <v>2.29</v>
      </c>
      <c r="T62" s="76">
        <v>30</v>
      </c>
      <c r="U62" s="77" t="s">
        <v>1421</v>
      </c>
      <c r="V62" s="76" t="s">
        <v>160</v>
      </c>
      <c r="W62" s="76">
        <v>0</v>
      </c>
      <c r="X62" s="76">
        <v>0</v>
      </c>
      <c r="Y62" s="76">
        <v>1</v>
      </c>
      <c r="Z62" s="76">
        <v>0</v>
      </c>
      <c r="AA62" s="76">
        <v>1</v>
      </c>
      <c r="AB62" s="76">
        <v>1</v>
      </c>
      <c r="AC62" s="76">
        <v>0</v>
      </c>
      <c r="AD62" s="76">
        <v>9</v>
      </c>
      <c r="AE62" s="76">
        <v>7</v>
      </c>
      <c r="AF62" s="76">
        <v>0</v>
      </c>
      <c r="AG62" s="76">
        <v>0</v>
      </c>
      <c r="AH62" s="76">
        <v>1</v>
      </c>
      <c r="AI62" s="76">
        <v>0</v>
      </c>
      <c r="AJ62" s="76">
        <v>0</v>
      </c>
      <c r="AK62" s="76">
        <v>37</v>
      </c>
      <c r="AL62" s="76">
        <v>147</v>
      </c>
      <c r="AM62" s="202"/>
      <c r="AN62" s="77"/>
      <c r="AO62" s="202"/>
      <c r="AP62" s="202"/>
      <c r="AQ62" s="202"/>
      <c r="AR62" s="202"/>
      <c r="AS62" s="202"/>
      <c r="AT62" s="202"/>
      <c r="AU62" s="202"/>
      <c r="AV62" s="202"/>
      <c r="AW62" s="202"/>
      <c r="AX62" s="202"/>
      <c r="AY62" s="202"/>
    </row>
    <row r="63" spans="1:51" ht="25.5" x14ac:dyDescent="0.2">
      <c r="A63" s="76">
        <v>31</v>
      </c>
      <c r="B63" s="77" t="s">
        <v>1422</v>
      </c>
      <c r="C63" s="76" t="s">
        <v>160</v>
      </c>
      <c r="D63" s="76">
        <v>1</v>
      </c>
      <c r="E63" s="76">
        <v>2</v>
      </c>
      <c r="F63" s="76">
        <v>6.57</v>
      </c>
      <c r="G63" s="76">
        <v>5</v>
      </c>
      <c r="H63" s="76">
        <v>5</v>
      </c>
      <c r="I63" s="76">
        <v>0</v>
      </c>
      <c r="J63" s="76">
        <v>0</v>
      </c>
      <c r="K63" s="76">
        <v>24.2</v>
      </c>
      <c r="L63" s="76">
        <v>20</v>
      </c>
      <c r="M63" s="76">
        <v>20</v>
      </c>
      <c r="N63" s="76">
        <v>18</v>
      </c>
      <c r="O63" s="76">
        <v>4</v>
      </c>
      <c r="P63" s="76">
        <v>12</v>
      </c>
      <c r="Q63" s="76">
        <v>25</v>
      </c>
      <c r="R63" s="76">
        <v>0.217</v>
      </c>
      <c r="S63" s="76">
        <v>1.3</v>
      </c>
      <c r="T63" s="76">
        <v>31</v>
      </c>
      <c r="U63" s="77" t="s">
        <v>1422</v>
      </c>
      <c r="V63" s="76" t="s">
        <v>160</v>
      </c>
      <c r="W63" s="76">
        <v>0</v>
      </c>
      <c r="X63" s="76">
        <v>0</v>
      </c>
      <c r="Y63" s="76">
        <v>3</v>
      </c>
      <c r="Z63" s="76">
        <v>0</v>
      </c>
      <c r="AA63" s="76">
        <v>0</v>
      </c>
      <c r="AB63" s="76">
        <v>0</v>
      </c>
      <c r="AC63" s="76">
        <v>1</v>
      </c>
      <c r="AD63" s="76">
        <v>25</v>
      </c>
      <c r="AE63" s="76">
        <v>25</v>
      </c>
      <c r="AF63" s="76">
        <v>1</v>
      </c>
      <c r="AG63" s="76">
        <v>0</v>
      </c>
      <c r="AH63" s="76">
        <v>6</v>
      </c>
      <c r="AI63" s="76">
        <v>0</v>
      </c>
      <c r="AJ63" s="76">
        <v>0</v>
      </c>
      <c r="AK63" s="76">
        <v>110</v>
      </c>
      <c r="AL63" s="76">
        <v>451</v>
      </c>
      <c r="AM63" s="202"/>
      <c r="AN63" s="77"/>
      <c r="AO63" s="202"/>
      <c r="AP63" s="202"/>
      <c r="AQ63" s="202"/>
      <c r="AR63" s="202"/>
      <c r="AS63" s="202"/>
      <c r="AT63" s="202"/>
      <c r="AU63" s="202"/>
      <c r="AV63" s="202"/>
      <c r="AW63" s="202"/>
      <c r="AX63" s="202"/>
      <c r="AY63" s="202"/>
    </row>
    <row r="64" spans="1:51" ht="25.5" x14ac:dyDescent="0.2">
      <c r="A64" s="76">
        <v>32</v>
      </c>
      <c r="B64" s="77" t="s">
        <v>335</v>
      </c>
      <c r="C64" s="76" t="s">
        <v>160</v>
      </c>
      <c r="D64" s="76">
        <v>1</v>
      </c>
      <c r="E64" s="76">
        <v>4</v>
      </c>
      <c r="F64" s="76">
        <v>6.91</v>
      </c>
      <c r="G64" s="76">
        <v>39</v>
      </c>
      <c r="H64" s="76">
        <v>0</v>
      </c>
      <c r="I64" s="76">
        <v>0</v>
      </c>
      <c r="J64" s="76">
        <v>1</v>
      </c>
      <c r="K64" s="76">
        <v>28.2</v>
      </c>
      <c r="L64" s="76">
        <v>39</v>
      </c>
      <c r="M64" s="76">
        <v>25</v>
      </c>
      <c r="N64" s="76">
        <v>22</v>
      </c>
      <c r="O64" s="76">
        <v>3</v>
      </c>
      <c r="P64" s="76">
        <v>11</v>
      </c>
      <c r="Q64" s="76">
        <v>22</v>
      </c>
      <c r="R64" s="76">
        <v>0.32</v>
      </c>
      <c r="S64" s="76">
        <v>1.74</v>
      </c>
      <c r="T64" s="76">
        <v>32</v>
      </c>
      <c r="U64" s="77" t="s">
        <v>335</v>
      </c>
      <c r="V64" s="76" t="s">
        <v>160</v>
      </c>
      <c r="W64" s="76">
        <v>0</v>
      </c>
      <c r="X64" s="76">
        <v>0</v>
      </c>
      <c r="Y64" s="76">
        <v>2</v>
      </c>
      <c r="Z64" s="76">
        <v>2</v>
      </c>
      <c r="AA64" s="76">
        <v>8</v>
      </c>
      <c r="AB64" s="76">
        <v>3</v>
      </c>
      <c r="AC64" s="76">
        <v>3</v>
      </c>
      <c r="AD64" s="76">
        <v>35</v>
      </c>
      <c r="AE64" s="76">
        <v>27</v>
      </c>
      <c r="AF64" s="76">
        <v>3</v>
      </c>
      <c r="AG64" s="76">
        <v>0</v>
      </c>
      <c r="AH64" s="76">
        <v>1</v>
      </c>
      <c r="AI64" s="76">
        <v>0</v>
      </c>
      <c r="AJ64" s="76">
        <v>0</v>
      </c>
      <c r="AK64" s="76">
        <v>136</v>
      </c>
      <c r="AL64" s="76">
        <v>473</v>
      </c>
      <c r="AM64" s="202"/>
      <c r="AN64" s="77"/>
      <c r="AO64" s="202"/>
      <c r="AP64" s="202"/>
      <c r="AQ64" s="202"/>
      <c r="AR64" s="202"/>
      <c r="AS64" s="202"/>
      <c r="AT64" s="202"/>
      <c r="AU64" s="202"/>
      <c r="AV64" s="202"/>
      <c r="AW64" s="202"/>
      <c r="AX64" s="202"/>
      <c r="AY64" s="202"/>
    </row>
    <row r="65" spans="1:51" ht="25.5" x14ac:dyDescent="0.2">
      <c r="A65" s="76">
        <v>33</v>
      </c>
      <c r="B65" s="77" t="s">
        <v>1423</v>
      </c>
      <c r="C65" s="76" t="s">
        <v>160</v>
      </c>
      <c r="D65" s="76">
        <v>2</v>
      </c>
      <c r="E65" s="76">
        <v>7</v>
      </c>
      <c r="F65" s="76">
        <v>7.59</v>
      </c>
      <c r="G65" s="76">
        <v>15</v>
      </c>
      <c r="H65" s="76">
        <v>15</v>
      </c>
      <c r="I65" s="76">
        <v>0</v>
      </c>
      <c r="J65" s="76">
        <v>0</v>
      </c>
      <c r="K65" s="76">
        <v>70</v>
      </c>
      <c r="L65" s="76">
        <v>82</v>
      </c>
      <c r="M65" s="76">
        <v>61</v>
      </c>
      <c r="N65" s="76">
        <v>59</v>
      </c>
      <c r="O65" s="76">
        <v>14</v>
      </c>
      <c r="P65" s="76">
        <v>34</v>
      </c>
      <c r="Q65" s="76">
        <v>46</v>
      </c>
      <c r="R65" s="76">
        <v>0.29899999999999999</v>
      </c>
      <c r="S65" s="76">
        <v>1.66</v>
      </c>
      <c r="T65" s="76">
        <v>33</v>
      </c>
      <c r="U65" s="77" t="s">
        <v>1423</v>
      </c>
      <c r="V65" s="76" t="s">
        <v>160</v>
      </c>
      <c r="W65" s="76">
        <v>0</v>
      </c>
      <c r="X65" s="76">
        <v>0</v>
      </c>
      <c r="Y65" s="76">
        <v>6</v>
      </c>
      <c r="Z65" s="76">
        <v>4</v>
      </c>
      <c r="AA65" s="76">
        <v>0</v>
      </c>
      <c r="AB65" s="76">
        <v>0</v>
      </c>
      <c r="AC65" s="76">
        <v>4</v>
      </c>
      <c r="AD65" s="76">
        <v>76</v>
      </c>
      <c r="AE65" s="76">
        <v>80</v>
      </c>
      <c r="AF65" s="76">
        <v>0</v>
      </c>
      <c r="AG65" s="76">
        <v>0</v>
      </c>
      <c r="AH65" s="76">
        <v>6</v>
      </c>
      <c r="AI65" s="76">
        <v>1</v>
      </c>
      <c r="AJ65" s="76">
        <v>0</v>
      </c>
      <c r="AK65" s="76">
        <v>324</v>
      </c>
      <c r="AL65" s="76">
        <v>1214</v>
      </c>
      <c r="AM65" s="202"/>
      <c r="AN65" s="77"/>
      <c r="AO65" s="202"/>
      <c r="AP65" s="202"/>
      <c r="AQ65" s="202"/>
      <c r="AR65" s="202"/>
      <c r="AS65" s="202"/>
      <c r="AT65" s="202"/>
      <c r="AU65" s="202"/>
      <c r="AV65" s="202"/>
      <c r="AW65" s="202"/>
      <c r="AX65" s="202"/>
      <c r="AY65" s="202"/>
    </row>
    <row r="66" spans="1:51" ht="38.25" x14ac:dyDescent="0.2">
      <c r="A66" s="76">
        <v>34</v>
      </c>
      <c r="B66" s="77" t="s">
        <v>634</v>
      </c>
      <c r="C66" s="76" t="s">
        <v>160</v>
      </c>
      <c r="D66" s="76">
        <v>1</v>
      </c>
      <c r="E66" s="76">
        <v>1</v>
      </c>
      <c r="F66" s="76">
        <v>8</v>
      </c>
      <c r="G66" s="76">
        <v>2</v>
      </c>
      <c r="H66" s="76">
        <v>2</v>
      </c>
      <c r="I66" s="76">
        <v>0</v>
      </c>
      <c r="J66" s="76">
        <v>0</v>
      </c>
      <c r="K66" s="76">
        <v>9</v>
      </c>
      <c r="L66" s="76">
        <v>13</v>
      </c>
      <c r="M66" s="76">
        <v>8</v>
      </c>
      <c r="N66" s="76">
        <v>8</v>
      </c>
      <c r="O66" s="76">
        <v>4</v>
      </c>
      <c r="P66" s="76">
        <v>1</v>
      </c>
      <c r="Q66" s="76">
        <v>6</v>
      </c>
      <c r="R66" s="76">
        <v>0.35099999999999998</v>
      </c>
      <c r="S66" s="76">
        <v>1.56</v>
      </c>
      <c r="T66" s="76">
        <v>34</v>
      </c>
      <c r="U66" s="77" t="s">
        <v>634</v>
      </c>
      <c r="V66" s="76" t="s">
        <v>160</v>
      </c>
      <c r="W66" s="76">
        <v>0</v>
      </c>
      <c r="X66" s="76">
        <v>0</v>
      </c>
      <c r="Y66" s="76">
        <v>0</v>
      </c>
      <c r="Z66" s="76">
        <v>0</v>
      </c>
      <c r="AA66" s="76">
        <v>0</v>
      </c>
      <c r="AB66" s="76">
        <v>0</v>
      </c>
      <c r="AC66" s="76">
        <v>0</v>
      </c>
      <c r="AD66" s="76">
        <v>10</v>
      </c>
      <c r="AE66" s="76">
        <v>9</v>
      </c>
      <c r="AF66" s="76">
        <v>0</v>
      </c>
      <c r="AG66" s="76">
        <v>0</v>
      </c>
      <c r="AH66" s="76">
        <v>2</v>
      </c>
      <c r="AI66" s="76">
        <v>2</v>
      </c>
      <c r="AJ66" s="76">
        <v>0</v>
      </c>
      <c r="AK66" s="76">
        <v>39</v>
      </c>
      <c r="AL66" s="76">
        <v>169</v>
      </c>
      <c r="AM66" s="202"/>
      <c r="AN66" s="77"/>
      <c r="AO66" s="202"/>
      <c r="AP66" s="202"/>
      <c r="AQ66" s="202"/>
      <c r="AR66" s="202"/>
      <c r="AS66" s="202"/>
      <c r="AT66" s="202"/>
      <c r="AU66" s="202"/>
      <c r="AV66" s="202"/>
      <c r="AW66" s="202"/>
      <c r="AX66" s="202"/>
      <c r="AY66" s="202"/>
    </row>
    <row r="67" spans="1:51" ht="25.5" x14ac:dyDescent="0.2">
      <c r="A67" s="76">
        <v>35</v>
      </c>
      <c r="B67" s="77" t="s">
        <v>1424</v>
      </c>
      <c r="C67" s="76" t="s">
        <v>160</v>
      </c>
      <c r="D67" s="76">
        <v>0</v>
      </c>
      <c r="E67" s="76">
        <v>0</v>
      </c>
      <c r="F67" s="76">
        <v>33.75</v>
      </c>
      <c r="G67" s="76">
        <v>2</v>
      </c>
      <c r="H67" s="76">
        <v>0</v>
      </c>
      <c r="I67" s="76">
        <v>0</v>
      </c>
      <c r="J67" s="76">
        <v>0</v>
      </c>
      <c r="K67" s="76">
        <v>1.1000000000000001</v>
      </c>
      <c r="L67" s="76">
        <v>4</v>
      </c>
      <c r="M67" s="76">
        <v>5</v>
      </c>
      <c r="N67" s="76">
        <v>5</v>
      </c>
      <c r="O67" s="76">
        <v>0</v>
      </c>
      <c r="P67" s="76">
        <v>3</v>
      </c>
      <c r="Q67" s="76">
        <v>1</v>
      </c>
      <c r="R67" s="76">
        <v>0.5</v>
      </c>
      <c r="S67" s="76">
        <v>5.25</v>
      </c>
      <c r="T67" s="76">
        <v>35</v>
      </c>
      <c r="U67" s="77" t="s">
        <v>1424</v>
      </c>
      <c r="V67" s="76" t="s">
        <v>160</v>
      </c>
      <c r="W67" s="76">
        <v>0</v>
      </c>
      <c r="X67" s="76">
        <v>0</v>
      </c>
      <c r="Y67" s="76">
        <v>0</v>
      </c>
      <c r="Z67" s="76">
        <v>0</v>
      </c>
      <c r="AA67" s="76">
        <v>0</v>
      </c>
      <c r="AB67" s="76">
        <v>0</v>
      </c>
      <c r="AC67" s="76">
        <v>0</v>
      </c>
      <c r="AD67" s="76">
        <v>3</v>
      </c>
      <c r="AE67" s="76">
        <v>0</v>
      </c>
      <c r="AF67" s="76">
        <v>1</v>
      </c>
      <c r="AG67" s="76">
        <v>0</v>
      </c>
      <c r="AH67" s="76">
        <v>0</v>
      </c>
      <c r="AI67" s="76">
        <v>0</v>
      </c>
      <c r="AJ67" s="76">
        <v>0</v>
      </c>
      <c r="AK67" s="76">
        <v>11</v>
      </c>
      <c r="AL67" s="76">
        <v>49</v>
      </c>
      <c r="AM67" s="202"/>
      <c r="AN67" s="77"/>
      <c r="AO67" s="202"/>
      <c r="AP67" s="202"/>
      <c r="AQ67" s="202"/>
      <c r="AR67" s="202"/>
      <c r="AS67" s="202"/>
      <c r="AT67" s="202"/>
      <c r="AU67" s="202"/>
      <c r="AV67" s="202"/>
      <c r="AW67" s="202"/>
      <c r="AX67" s="202"/>
      <c r="AY67" s="202"/>
    </row>
    <row r="68" spans="1:51" ht="25.5" x14ac:dyDescent="0.2">
      <c r="A68" s="225" t="s">
        <v>105</v>
      </c>
      <c r="B68" s="225" t="s">
        <v>106</v>
      </c>
      <c r="C68" s="225" t="s">
        <v>157</v>
      </c>
      <c r="D68" s="225" t="s">
        <v>85</v>
      </c>
      <c r="E68" s="225" t="s">
        <v>86</v>
      </c>
      <c r="F68" s="225" t="s">
        <v>107</v>
      </c>
      <c r="G68" s="225" t="s">
        <v>108</v>
      </c>
      <c r="H68" s="225" t="s">
        <v>88</v>
      </c>
      <c r="I68" s="225" t="s">
        <v>90</v>
      </c>
      <c r="J68" s="225" t="s">
        <v>158</v>
      </c>
      <c r="K68" s="225" t="s">
        <v>91</v>
      </c>
      <c r="L68" s="225" t="s">
        <v>92</v>
      </c>
      <c r="M68" s="225" t="s">
        <v>93</v>
      </c>
      <c r="N68" s="225" t="s">
        <v>94</v>
      </c>
      <c r="O68" s="225" t="s">
        <v>95</v>
      </c>
      <c r="P68" s="225" t="s">
        <v>96</v>
      </c>
      <c r="Q68" s="225" t="s">
        <v>97</v>
      </c>
      <c r="R68" s="225" t="s">
        <v>1071</v>
      </c>
      <c r="S68" s="225" t="s">
        <v>1072</v>
      </c>
      <c r="T68" s="225" t="s">
        <v>105</v>
      </c>
      <c r="U68" s="225" t="s">
        <v>106</v>
      </c>
      <c r="V68" s="225" t="s">
        <v>157</v>
      </c>
      <c r="W68" s="225" t="s">
        <v>89</v>
      </c>
      <c r="X68" s="225" t="s">
        <v>1073</v>
      </c>
      <c r="Y68" s="225" t="s">
        <v>1074</v>
      </c>
      <c r="Z68" s="225" t="s">
        <v>98</v>
      </c>
      <c r="AA68" s="225" t="s">
        <v>1075</v>
      </c>
      <c r="AB68" s="225" t="s">
        <v>1076</v>
      </c>
      <c r="AC68" s="225" t="s">
        <v>1077</v>
      </c>
      <c r="AD68" s="225" t="s">
        <v>1066</v>
      </c>
      <c r="AE68" s="225" t="s">
        <v>1067</v>
      </c>
      <c r="AF68" s="225" t="s">
        <v>1078</v>
      </c>
      <c r="AG68" s="225" t="s">
        <v>1079</v>
      </c>
      <c r="AH68" s="225" t="s">
        <v>1057</v>
      </c>
      <c r="AI68" s="225" t="s">
        <v>1058</v>
      </c>
      <c r="AJ68" s="225" t="s">
        <v>1080</v>
      </c>
      <c r="AK68" s="225" t="s">
        <v>109</v>
      </c>
      <c r="AL68" s="225" t="s">
        <v>1069</v>
      </c>
      <c r="AM68" s="102"/>
      <c r="AN68" s="102"/>
      <c r="AO68" s="102"/>
      <c r="AP68" s="102"/>
      <c r="AQ68" s="102"/>
      <c r="AR68" s="102"/>
      <c r="AS68" s="102"/>
      <c r="AT68" s="102"/>
      <c r="AU68" s="102"/>
      <c r="AV68" s="102"/>
      <c r="AW68" s="102"/>
      <c r="AX68" s="102"/>
      <c r="AY68" s="102"/>
    </row>
    <row r="69" spans="1:51" ht="25.5" x14ac:dyDescent="0.2">
      <c r="A69" s="76">
        <v>1</v>
      </c>
      <c r="B69" s="77" t="s">
        <v>638</v>
      </c>
      <c r="C69" s="76" t="s">
        <v>161</v>
      </c>
      <c r="D69" s="76">
        <v>1</v>
      </c>
      <c r="E69" s="76">
        <v>0</v>
      </c>
      <c r="F69" s="76">
        <v>0</v>
      </c>
      <c r="G69" s="76">
        <v>3</v>
      </c>
      <c r="H69" s="76">
        <v>0</v>
      </c>
      <c r="I69" s="76">
        <v>0</v>
      </c>
      <c r="J69" s="76">
        <v>0</v>
      </c>
      <c r="K69" s="76">
        <v>2</v>
      </c>
      <c r="L69" s="76">
        <v>2</v>
      </c>
      <c r="M69" s="76">
        <v>0</v>
      </c>
      <c r="N69" s="76">
        <v>0</v>
      </c>
      <c r="O69" s="76">
        <v>0</v>
      </c>
      <c r="P69" s="76">
        <v>2</v>
      </c>
      <c r="Q69" s="76">
        <v>4</v>
      </c>
      <c r="R69" s="76">
        <v>0.25</v>
      </c>
      <c r="S69" s="76">
        <v>2</v>
      </c>
      <c r="T69" s="76">
        <v>1</v>
      </c>
      <c r="U69" s="77" t="s">
        <v>638</v>
      </c>
      <c r="V69" s="76" t="s">
        <v>161</v>
      </c>
      <c r="W69" s="76">
        <v>0</v>
      </c>
      <c r="X69" s="76">
        <v>0</v>
      </c>
      <c r="Y69" s="76">
        <v>0</v>
      </c>
      <c r="Z69" s="76">
        <v>0</v>
      </c>
      <c r="AA69" s="76">
        <v>0</v>
      </c>
      <c r="AB69" s="76">
        <v>0</v>
      </c>
      <c r="AC69" s="76">
        <v>0</v>
      </c>
      <c r="AD69" s="76">
        <v>0</v>
      </c>
      <c r="AE69" s="76">
        <v>2</v>
      </c>
      <c r="AF69" s="76">
        <v>0</v>
      </c>
      <c r="AG69" s="76">
        <v>0</v>
      </c>
      <c r="AH69" s="76">
        <v>1</v>
      </c>
      <c r="AI69" s="76">
        <v>0</v>
      </c>
      <c r="AJ69" s="76">
        <v>0</v>
      </c>
      <c r="AK69" s="76">
        <v>10</v>
      </c>
      <c r="AL69" s="76">
        <v>55</v>
      </c>
      <c r="AM69" s="202"/>
      <c r="AN69" s="77"/>
      <c r="AO69" s="202"/>
      <c r="AP69" s="202"/>
      <c r="AQ69" s="202"/>
      <c r="AR69" s="202"/>
      <c r="AS69" s="202"/>
      <c r="AT69" s="202"/>
      <c r="AU69" s="202"/>
      <c r="AV69" s="202"/>
      <c r="AW69" s="202"/>
      <c r="AX69" s="202"/>
      <c r="AY69" s="202"/>
    </row>
    <row r="70" spans="1:51" ht="25.5" x14ac:dyDescent="0.2">
      <c r="A70" s="76">
        <v>2</v>
      </c>
      <c r="B70" s="77" t="s">
        <v>355</v>
      </c>
      <c r="C70" s="76" t="s">
        <v>161</v>
      </c>
      <c r="D70" s="76">
        <v>1</v>
      </c>
      <c r="E70" s="76">
        <v>1</v>
      </c>
      <c r="F70" s="76">
        <v>1.01</v>
      </c>
      <c r="G70" s="76">
        <v>28</v>
      </c>
      <c r="H70" s="76">
        <v>0</v>
      </c>
      <c r="I70" s="76">
        <v>16</v>
      </c>
      <c r="J70" s="76">
        <v>18</v>
      </c>
      <c r="K70" s="76">
        <v>26.2</v>
      </c>
      <c r="L70" s="76">
        <v>12</v>
      </c>
      <c r="M70" s="76">
        <v>4</v>
      </c>
      <c r="N70" s="76">
        <v>3</v>
      </c>
      <c r="O70" s="76">
        <v>0</v>
      </c>
      <c r="P70" s="76">
        <v>10</v>
      </c>
      <c r="Q70" s="76">
        <v>46</v>
      </c>
      <c r="R70" s="76">
        <v>0.13200000000000001</v>
      </c>
      <c r="S70" s="76">
        <v>0.82</v>
      </c>
      <c r="T70" s="76">
        <v>2</v>
      </c>
      <c r="U70" s="77" t="s">
        <v>355</v>
      </c>
      <c r="V70" s="76" t="s">
        <v>161</v>
      </c>
      <c r="W70" s="76">
        <v>0</v>
      </c>
      <c r="X70" s="76">
        <v>0</v>
      </c>
      <c r="Y70" s="76">
        <v>0</v>
      </c>
      <c r="Z70" s="76">
        <v>0</v>
      </c>
      <c r="AA70" s="76">
        <v>23</v>
      </c>
      <c r="AB70" s="76">
        <v>0</v>
      </c>
      <c r="AC70" s="76">
        <v>0</v>
      </c>
      <c r="AD70" s="76">
        <v>22</v>
      </c>
      <c r="AE70" s="76">
        <v>12</v>
      </c>
      <c r="AF70" s="76">
        <v>6</v>
      </c>
      <c r="AG70" s="76">
        <v>0</v>
      </c>
      <c r="AH70" s="76">
        <v>3</v>
      </c>
      <c r="AI70" s="76">
        <v>0</v>
      </c>
      <c r="AJ70" s="76">
        <v>0</v>
      </c>
      <c r="AK70" s="76">
        <v>102</v>
      </c>
      <c r="AL70" s="76">
        <v>448</v>
      </c>
      <c r="AM70" s="202"/>
      <c r="AN70" s="77"/>
      <c r="AO70" s="202"/>
      <c r="AP70" s="202"/>
      <c r="AQ70" s="202"/>
      <c r="AR70" s="202"/>
      <c r="AS70" s="202"/>
      <c r="AT70" s="202"/>
      <c r="AU70" s="202"/>
      <c r="AV70" s="202"/>
      <c r="AW70" s="202"/>
      <c r="AX70" s="202"/>
      <c r="AY70" s="202"/>
    </row>
    <row r="71" spans="1:51" ht="25.5" x14ac:dyDescent="0.2">
      <c r="A71" s="76">
        <v>3</v>
      </c>
      <c r="B71" s="77" t="s">
        <v>1425</v>
      </c>
      <c r="C71" s="76" t="s">
        <v>161</v>
      </c>
      <c r="D71" s="76">
        <v>1</v>
      </c>
      <c r="E71" s="76">
        <v>0</v>
      </c>
      <c r="F71" s="76">
        <v>1.1299999999999999</v>
      </c>
      <c r="G71" s="76">
        <v>8</v>
      </c>
      <c r="H71" s="76">
        <v>1</v>
      </c>
      <c r="I71" s="76">
        <v>0</v>
      </c>
      <c r="J71" s="76">
        <v>0</v>
      </c>
      <c r="K71" s="76">
        <v>16</v>
      </c>
      <c r="L71" s="76">
        <v>12</v>
      </c>
      <c r="M71" s="76">
        <v>3</v>
      </c>
      <c r="N71" s="76">
        <v>2</v>
      </c>
      <c r="O71" s="76">
        <v>0</v>
      </c>
      <c r="P71" s="76">
        <v>5</v>
      </c>
      <c r="Q71" s="76">
        <v>17</v>
      </c>
      <c r="R71" s="76">
        <v>0.20699999999999999</v>
      </c>
      <c r="S71" s="76">
        <v>1.06</v>
      </c>
      <c r="T71" s="76">
        <v>3</v>
      </c>
      <c r="U71" s="77" t="s">
        <v>1425</v>
      </c>
      <c r="V71" s="76" t="s">
        <v>161</v>
      </c>
      <c r="W71" s="76">
        <v>0</v>
      </c>
      <c r="X71" s="76">
        <v>0</v>
      </c>
      <c r="Y71" s="76">
        <v>1</v>
      </c>
      <c r="Z71" s="76">
        <v>0</v>
      </c>
      <c r="AA71" s="76">
        <v>1</v>
      </c>
      <c r="AB71" s="76">
        <v>0</v>
      </c>
      <c r="AC71" s="76">
        <v>1</v>
      </c>
      <c r="AD71" s="76">
        <v>17</v>
      </c>
      <c r="AE71" s="76">
        <v>14</v>
      </c>
      <c r="AF71" s="76">
        <v>0</v>
      </c>
      <c r="AG71" s="76">
        <v>0</v>
      </c>
      <c r="AH71" s="76">
        <v>0</v>
      </c>
      <c r="AI71" s="76">
        <v>0</v>
      </c>
      <c r="AJ71" s="76">
        <v>0</v>
      </c>
      <c r="AK71" s="76">
        <v>66</v>
      </c>
      <c r="AL71" s="76">
        <v>249</v>
      </c>
      <c r="AM71" s="202"/>
      <c r="AN71" s="77"/>
      <c r="AO71" s="202"/>
      <c r="AP71" s="202"/>
      <c r="AQ71" s="202"/>
      <c r="AR71" s="202"/>
      <c r="AS71" s="202"/>
      <c r="AT71" s="202"/>
      <c r="AU71" s="202"/>
      <c r="AV71" s="202"/>
      <c r="AW71" s="202"/>
      <c r="AX71" s="202"/>
      <c r="AY71" s="202"/>
    </row>
    <row r="72" spans="1:51" ht="25.5" x14ac:dyDescent="0.2">
      <c r="A72" s="76">
        <v>4</v>
      </c>
      <c r="B72" s="77" t="s">
        <v>804</v>
      </c>
      <c r="C72" s="76" t="s">
        <v>161</v>
      </c>
      <c r="D72" s="76">
        <v>1</v>
      </c>
      <c r="E72" s="76">
        <v>0</v>
      </c>
      <c r="F72" s="76">
        <v>1.5</v>
      </c>
      <c r="G72" s="76">
        <v>2</v>
      </c>
      <c r="H72" s="76">
        <v>1</v>
      </c>
      <c r="I72" s="76">
        <v>0</v>
      </c>
      <c r="J72" s="76">
        <v>0</v>
      </c>
      <c r="K72" s="76">
        <v>6</v>
      </c>
      <c r="L72" s="76">
        <v>3</v>
      </c>
      <c r="M72" s="76">
        <v>1</v>
      </c>
      <c r="N72" s="76">
        <v>1</v>
      </c>
      <c r="O72" s="76">
        <v>1</v>
      </c>
      <c r="P72" s="76">
        <v>1</v>
      </c>
      <c r="Q72" s="76">
        <v>4</v>
      </c>
      <c r="R72" s="76">
        <v>0.15</v>
      </c>
      <c r="S72" s="76">
        <v>0.67</v>
      </c>
      <c r="T72" s="76">
        <v>4</v>
      </c>
      <c r="U72" s="77" t="s">
        <v>804</v>
      </c>
      <c r="V72" s="76" t="s">
        <v>161</v>
      </c>
      <c r="W72" s="76">
        <v>0</v>
      </c>
      <c r="X72" s="76">
        <v>0</v>
      </c>
      <c r="Y72" s="76">
        <v>0</v>
      </c>
      <c r="Z72" s="76">
        <v>0</v>
      </c>
      <c r="AA72" s="76">
        <v>1</v>
      </c>
      <c r="AB72" s="76">
        <v>0</v>
      </c>
      <c r="AC72" s="76">
        <v>1</v>
      </c>
      <c r="AD72" s="76">
        <v>6</v>
      </c>
      <c r="AE72" s="76">
        <v>7</v>
      </c>
      <c r="AF72" s="76">
        <v>0</v>
      </c>
      <c r="AG72" s="76">
        <v>0</v>
      </c>
      <c r="AH72" s="76">
        <v>0</v>
      </c>
      <c r="AI72" s="76">
        <v>0</v>
      </c>
      <c r="AJ72" s="76">
        <v>0</v>
      </c>
      <c r="AK72" s="76">
        <v>21</v>
      </c>
      <c r="AL72" s="76">
        <v>82</v>
      </c>
      <c r="AM72" s="202"/>
      <c r="AN72" s="77"/>
      <c r="AO72" s="202"/>
      <c r="AP72" s="202"/>
      <c r="AQ72" s="202"/>
      <c r="AR72" s="202"/>
      <c r="AS72" s="202"/>
      <c r="AT72" s="202"/>
      <c r="AU72" s="202"/>
      <c r="AV72" s="202"/>
      <c r="AW72" s="202"/>
      <c r="AX72" s="202"/>
      <c r="AY72" s="202"/>
    </row>
    <row r="73" spans="1:51" ht="25.5" x14ac:dyDescent="0.2">
      <c r="A73" s="76">
        <v>5</v>
      </c>
      <c r="B73" s="77" t="s">
        <v>753</v>
      </c>
      <c r="C73" s="76" t="s">
        <v>161</v>
      </c>
      <c r="D73" s="76">
        <v>16</v>
      </c>
      <c r="E73" s="76">
        <v>8</v>
      </c>
      <c r="F73" s="76">
        <v>2.13</v>
      </c>
      <c r="G73" s="76">
        <v>31</v>
      </c>
      <c r="H73" s="76">
        <v>30</v>
      </c>
      <c r="I73" s="76">
        <v>0</v>
      </c>
      <c r="J73" s="76">
        <v>0</v>
      </c>
      <c r="K73" s="76">
        <v>190</v>
      </c>
      <c r="L73" s="76">
        <v>142</v>
      </c>
      <c r="M73" s="76">
        <v>53</v>
      </c>
      <c r="N73" s="76">
        <v>45</v>
      </c>
      <c r="O73" s="76">
        <v>15</v>
      </c>
      <c r="P73" s="76">
        <v>44</v>
      </c>
      <c r="Q73" s="76">
        <v>170</v>
      </c>
      <c r="R73" s="76">
        <v>0.20699999999999999</v>
      </c>
      <c r="S73" s="76">
        <v>0.98</v>
      </c>
      <c r="T73" s="76">
        <v>5</v>
      </c>
      <c r="U73" s="77" t="s">
        <v>753</v>
      </c>
      <c r="V73" s="76" t="s">
        <v>161</v>
      </c>
      <c r="W73" s="76">
        <v>2</v>
      </c>
      <c r="X73" s="76">
        <v>1</v>
      </c>
      <c r="Y73" s="76">
        <v>8</v>
      </c>
      <c r="Z73" s="76">
        <v>3</v>
      </c>
      <c r="AA73" s="76">
        <v>0</v>
      </c>
      <c r="AB73" s="76">
        <v>0</v>
      </c>
      <c r="AC73" s="76">
        <v>12</v>
      </c>
      <c r="AD73" s="76">
        <v>215</v>
      </c>
      <c r="AE73" s="76">
        <v>166</v>
      </c>
      <c r="AF73" s="76">
        <v>5</v>
      </c>
      <c r="AG73" s="76">
        <v>0</v>
      </c>
      <c r="AH73" s="76">
        <v>13</v>
      </c>
      <c r="AI73" s="76">
        <v>4</v>
      </c>
      <c r="AJ73" s="76">
        <v>3</v>
      </c>
      <c r="AK73" s="76">
        <v>745</v>
      </c>
      <c r="AL73" s="76">
        <v>2888</v>
      </c>
      <c r="AM73" s="202"/>
      <c r="AN73" s="77"/>
      <c r="AO73" s="202"/>
      <c r="AP73" s="202"/>
      <c r="AQ73" s="202"/>
      <c r="AR73" s="202"/>
      <c r="AS73" s="202"/>
      <c r="AT73" s="202"/>
      <c r="AU73" s="202"/>
      <c r="AV73" s="202"/>
      <c r="AW73" s="202"/>
      <c r="AX73" s="202"/>
      <c r="AY73" s="202"/>
    </row>
    <row r="74" spans="1:51" ht="25.5" x14ac:dyDescent="0.2">
      <c r="A74" s="76">
        <v>6</v>
      </c>
      <c r="B74" s="77" t="s">
        <v>503</v>
      </c>
      <c r="C74" s="76" t="s">
        <v>161</v>
      </c>
      <c r="D74" s="76">
        <v>19</v>
      </c>
      <c r="E74" s="76">
        <v>5</v>
      </c>
      <c r="F74" s="76">
        <v>2.44</v>
      </c>
      <c r="G74" s="76">
        <v>32</v>
      </c>
      <c r="H74" s="76">
        <v>32</v>
      </c>
      <c r="I74" s="76">
        <v>0</v>
      </c>
      <c r="J74" s="76">
        <v>0</v>
      </c>
      <c r="K74" s="76">
        <v>202.2</v>
      </c>
      <c r="L74" s="76">
        <v>154</v>
      </c>
      <c r="M74" s="76">
        <v>57</v>
      </c>
      <c r="N74" s="76">
        <v>55</v>
      </c>
      <c r="O74" s="76">
        <v>21</v>
      </c>
      <c r="P74" s="76">
        <v>52</v>
      </c>
      <c r="Q74" s="76">
        <v>197</v>
      </c>
      <c r="R74" s="76">
        <v>0.21099999999999999</v>
      </c>
      <c r="S74" s="76">
        <v>1.02</v>
      </c>
      <c r="T74" s="76">
        <v>6</v>
      </c>
      <c r="U74" s="77" t="s">
        <v>503</v>
      </c>
      <c r="V74" s="76" t="s">
        <v>161</v>
      </c>
      <c r="W74" s="76">
        <v>2</v>
      </c>
      <c r="X74" s="76">
        <v>0</v>
      </c>
      <c r="Y74" s="76">
        <v>6</v>
      </c>
      <c r="Z74" s="76">
        <v>0</v>
      </c>
      <c r="AA74" s="76">
        <v>0</v>
      </c>
      <c r="AB74" s="76">
        <v>0</v>
      </c>
      <c r="AC74" s="76">
        <v>15</v>
      </c>
      <c r="AD74" s="76">
        <v>200</v>
      </c>
      <c r="AE74" s="76">
        <v>187</v>
      </c>
      <c r="AF74" s="76">
        <v>4</v>
      </c>
      <c r="AG74" s="76">
        <v>0</v>
      </c>
      <c r="AH74" s="76">
        <v>28</v>
      </c>
      <c r="AI74" s="76">
        <v>13</v>
      </c>
      <c r="AJ74" s="76">
        <v>0</v>
      </c>
      <c r="AK74" s="76">
        <v>796</v>
      </c>
      <c r="AL74" s="76">
        <v>3161</v>
      </c>
      <c r="AM74" s="202"/>
      <c r="AN74" s="77"/>
      <c r="AO74" s="202"/>
      <c r="AP74" s="202"/>
      <c r="AQ74" s="202"/>
      <c r="AR74" s="202"/>
      <c r="AS74" s="202"/>
      <c r="AT74" s="202"/>
      <c r="AU74" s="202"/>
      <c r="AV74" s="202"/>
      <c r="AW74" s="202"/>
      <c r="AX74" s="202"/>
      <c r="AY74" s="202"/>
    </row>
    <row r="75" spans="1:51" ht="25.5" x14ac:dyDescent="0.2">
      <c r="A75" s="76">
        <v>7</v>
      </c>
      <c r="B75" s="77" t="s">
        <v>521</v>
      </c>
      <c r="C75" s="76" t="s">
        <v>161</v>
      </c>
      <c r="D75" s="76">
        <v>1</v>
      </c>
      <c r="E75" s="76">
        <v>1</v>
      </c>
      <c r="F75" s="76">
        <v>2.5099999999999998</v>
      </c>
      <c r="G75" s="76">
        <v>16</v>
      </c>
      <c r="H75" s="76">
        <v>0</v>
      </c>
      <c r="I75" s="76">
        <v>0</v>
      </c>
      <c r="J75" s="76">
        <v>0</v>
      </c>
      <c r="K75" s="76">
        <v>14.1</v>
      </c>
      <c r="L75" s="76">
        <v>11</v>
      </c>
      <c r="M75" s="76">
        <v>4</v>
      </c>
      <c r="N75" s="76">
        <v>4</v>
      </c>
      <c r="O75" s="76">
        <v>4</v>
      </c>
      <c r="P75" s="76">
        <v>5</v>
      </c>
      <c r="Q75" s="76">
        <v>15</v>
      </c>
      <c r="R75" s="76">
        <v>0.216</v>
      </c>
      <c r="S75" s="76">
        <v>1.1200000000000001</v>
      </c>
      <c r="T75" s="76">
        <v>7</v>
      </c>
      <c r="U75" s="77" t="s">
        <v>521</v>
      </c>
      <c r="V75" s="76" t="s">
        <v>161</v>
      </c>
      <c r="W75" s="76">
        <v>0</v>
      </c>
      <c r="X75" s="76">
        <v>0</v>
      </c>
      <c r="Y75" s="76">
        <v>1</v>
      </c>
      <c r="Z75" s="76">
        <v>0</v>
      </c>
      <c r="AA75" s="76">
        <v>3</v>
      </c>
      <c r="AB75" s="76">
        <v>1</v>
      </c>
      <c r="AC75" s="76">
        <v>0</v>
      </c>
      <c r="AD75" s="76">
        <v>11</v>
      </c>
      <c r="AE75" s="76">
        <v>14</v>
      </c>
      <c r="AF75" s="76">
        <v>0</v>
      </c>
      <c r="AG75" s="76">
        <v>0</v>
      </c>
      <c r="AH75" s="76">
        <v>0</v>
      </c>
      <c r="AI75" s="76">
        <v>1</v>
      </c>
      <c r="AJ75" s="76">
        <v>1</v>
      </c>
      <c r="AK75" s="76">
        <v>57</v>
      </c>
      <c r="AL75" s="76">
        <v>213</v>
      </c>
      <c r="AM75" s="202"/>
      <c r="AN75" s="77"/>
      <c r="AO75" s="202"/>
      <c r="AP75" s="202"/>
      <c r="AQ75" s="202"/>
      <c r="AR75" s="202"/>
      <c r="AS75" s="202"/>
      <c r="AT75" s="202"/>
      <c r="AU75" s="202"/>
      <c r="AV75" s="202"/>
      <c r="AW75" s="202"/>
      <c r="AX75" s="202"/>
      <c r="AY75" s="202"/>
    </row>
    <row r="76" spans="1:51" ht="25.5" x14ac:dyDescent="0.2">
      <c r="A76" s="76">
        <v>8</v>
      </c>
      <c r="B76" s="77" t="s">
        <v>324</v>
      </c>
      <c r="C76" s="76" t="s">
        <v>161</v>
      </c>
      <c r="D76" s="76">
        <v>4</v>
      </c>
      <c r="E76" s="76">
        <v>4</v>
      </c>
      <c r="F76" s="76">
        <v>2.74</v>
      </c>
      <c r="G76" s="76">
        <v>50</v>
      </c>
      <c r="H76" s="76">
        <v>1</v>
      </c>
      <c r="I76" s="76">
        <v>0</v>
      </c>
      <c r="J76" s="76">
        <v>1</v>
      </c>
      <c r="K76" s="76">
        <v>65.2</v>
      </c>
      <c r="L76" s="76">
        <v>49</v>
      </c>
      <c r="M76" s="76">
        <v>22</v>
      </c>
      <c r="N76" s="76">
        <v>20</v>
      </c>
      <c r="O76" s="76">
        <v>7</v>
      </c>
      <c r="P76" s="76">
        <v>35</v>
      </c>
      <c r="Q76" s="76">
        <v>66</v>
      </c>
      <c r="R76" s="76">
        <v>0.20100000000000001</v>
      </c>
      <c r="S76" s="76">
        <v>1.28</v>
      </c>
      <c r="T76" s="76">
        <v>8</v>
      </c>
      <c r="U76" s="77" t="s">
        <v>324</v>
      </c>
      <c r="V76" s="76" t="s">
        <v>161</v>
      </c>
      <c r="W76" s="76">
        <v>0</v>
      </c>
      <c r="X76" s="76">
        <v>0</v>
      </c>
      <c r="Y76" s="76">
        <v>5</v>
      </c>
      <c r="Z76" s="76">
        <v>3</v>
      </c>
      <c r="AA76" s="76">
        <v>16</v>
      </c>
      <c r="AB76" s="76">
        <v>4</v>
      </c>
      <c r="AC76" s="76">
        <v>5</v>
      </c>
      <c r="AD76" s="76">
        <v>82</v>
      </c>
      <c r="AE76" s="76">
        <v>47</v>
      </c>
      <c r="AF76" s="76">
        <v>3</v>
      </c>
      <c r="AG76" s="76">
        <v>0</v>
      </c>
      <c r="AH76" s="76">
        <v>11</v>
      </c>
      <c r="AI76" s="76">
        <v>1</v>
      </c>
      <c r="AJ76" s="76">
        <v>1</v>
      </c>
      <c r="AK76" s="76">
        <v>284</v>
      </c>
      <c r="AL76" s="76">
        <v>1162</v>
      </c>
      <c r="AM76" s="202"/>
      <c r="AN76" s="77"/>
      <c r="AO76" s="202"/>
      <c r="AP76" s="202"/>
      <c r="AQ76" s="202"/>
      <c r="AR76" s="202"/>
      <c r="AS76" s="202"/>
      <c r="AT76" s="202"/>
      <c r="AU76" s="202"/>
      <c r="AV76" s="202"/>
      <c r="AW76" s="202"/>
      <c r="AX76" s="202"/>
      <c r="AY76" s="202"/>
    </row>
    <row r="77" spans="1:51" ht="38.25" x14ac:dyDescent="0.2">
      <c r="A77" s="76">
        <v>9</v>
      </c>
      <c r="B77" s="77" t="s">
        <v>1206</v>
      </c>
      <c r="C77" s="76" t="s">
        <v>161</v>
      </c>
      <c r="D77" s="76">
        <v>1</v>
      </c>
      <c r="E77" s="76">
        <v>1</v>
      </c>
      <c r="F77" s="76">
        <v>2.82</v>
      </c>
      <c r="G77" s="76">
        <v>17</v>
      </c>
      <c r="H77" s="76">
        <v>5</v>
      </c>
      <c r="I77" s="76">
        <v>0</v>
      </c>
      <c r="J77" s="76">
        <v>0</v>
      </c>
      <c r="K77" s="76">
        <v>38.1</v>
      </c>
      <c r="L77" s="76">
        <v>30</v>
      </c>
      <c r="M77" s="76">
        <v>15</v>
      </c>
      <c r="N77" s="76">
        <v>12</v>
      </c>
      <c r="O77" s="76">
        <v>5</v>
      </c>
      <c r="P77" s="76">
        <v>20</v>
      </c>
      <c r="Q77" s="76">
        <v>38</v>
      </c>
      <c r="R77" s="76">
        <v>0.217</v>
      </c>
      <c r="S77" s="76">
        <v>1.3</v>
      </c>
      <c r="T77" s="76">
        <v>9</v>
      </c>
      <c r="U77" s="77" t="s">
        <v>1206</v>
      </c>
      <c r="V77" s="76" t="s">
        <v>161</v>
      </c>
      <c r="W77" s="76">
        <v>0</v>
      </c>
      <c r="X77" s="76">
        <v>0</v>
      </c>
      <c r="Y77" s="76">
        <v>4</v>
      </c>
      <c r="Z77" s="76">
        <v>0</v>
      </c>
      <c r="AA77" s="76">
        <v>5</v>
      </c>
      <c r="AB77" s="76">
        <v>2</v>
      </c>
      <c r="AC77" s="76">
        <v>5</v>
      </c>
      <c r="AD77" s="76">
        <v>53</v>
      </c>
      <c r="AE77" s="76">
        <v>19</v>
      </c>
      <c r="AF77" s="76">
        <v>5</v>
      </c>
      <c r="AG77" s="76">
        <v>0</v>
      </c>
      <c r="AH77" s="76">
        <v>1</v>
      </c>
      <c r="AI77" s="76">
        <v>0</v>
      </c>
      <c r="AJ77" s="76">
        <v>0</v>
      </c>
      <c r="AK77" s="76">
        <v>164</v>
      </c>
      <c r="AL77" s="76">
        <v>625</v>
      </c>
      <c r="AM77" s="202"/>
      <c r="AN77" s="77"/>
      <c r="AO77" s="202"/>
      <c r="AP77" s="202"/>
      <c r="AQ77" s="202"/>
      <c r="AR77" s="202"/>
      <c r="AS77" s="202"/>
      <c r="AT77" s="202"/>
      <c r="AU77" s="202"/>
      <c r="AV77" s="202"/>
      <c r="AW77" s="202"/>
      <c r="AX77" s="202"/>
      <c r="AY77" s="202"/>
    </row>
    <row r="78" spans="1:51" ht="25.5" x14ac:dyDescent="0.2">
      <c r="A78" s="76">
        <v>10</v>
      </c>
      <c r="B78" s="77" t="s">
        <v>342</v>
      </c>
      <c r="C78" s="76" t="s">
        <v>161</v>
      </c>
      <c r="D78" s="76">
        <v>2</v>
      </c>
      <c r="E78" s="76">
        <v>2</v>
      </c>
      <c r="F78" s="76">
        <v>2.85</v>
      </c>
      <c r="G78" s="76">
        <v>54</v>
      </c>
      <c r="H78" s="76">
        <v>0</v>
      </c>
      <c r="I78" s="76">
        <v>0</v>
      </c>
      <c r="J78" s="76">
        <v>4</v>
      </c>
      <c r="K78" s="76">
        <v>47.1</v>
      </c>
      <c r="L78" s="76">
        <v>27</v>
      </c>
      <c r="M78" s="76">
        <v>16</v>
      </c>
      <c r="N78" s="76">
        <v>15</v>
      </c>
      <c r="O78" s="76">
        <v>4</v>
      </c>
      <c r="P78" s="76">
        <v>15</v>
      </c>
      <c r="Q78" s="76">
        <v>60</v>
      </c>
      <c r="R78" s="76">
        <v>0.16300000000000001</v>
      </c>
      <c r="S78" s="76">
        <v>0.89</v>
      </c>
      <c r="T78" s="76">
        <v>10</v>
      </c>
      <c r="U78" s="77" t="s">
        <v>342</v>
      </c>
      <c r="V78" s="76" t="s">
        <v>161</v>
      </c>
      <c r="W78" s="76">
        <v>0</v>
      </c>
      <c r="X78" s="76">
        <v>0</v>
      </c>
      <c r="Y78" s="76">
        <v>4</v>
      </c>
      <c r="Z78" s="76">
        <v>1</v>
      </c>
      <c r="AA78" s="76">
        <v>8</v>
      </c>
      <c r="AB78" s="76">
        <v>21</v>
      </c>
      <c r="AC78" s="76">
        <v>3</v>
      </c>
      <c r="AD78" s="76">
        <v>54</v>
      </c>
      <c r="AE78" s="76">
        <v>27</v>
      </c>
      <c r="AF78" s="76">
        <v>7</v>
      </c>
      <c r="AG78" s="76">
        <v>0</v>
      </c>
      <c r="AH78" s="76">
        <v>0</v>
      </c>
      <c r="AI78" s="76">
        <v>0</v>
      </c>
      <c r="AJ78" s="76">
        <v>0</v>
      </c>
      <c r="AK78" s="76">
        <v>187</v>
      </c>
      <c r="AL78" s="76">
        <v>729</v>
      </c>
      <c r="AM78" s="202"/>
      <c r="AN78" s="77"/>
      <c r="AO78" s="202"/>
      <c r="AP78" s="202"/>
      <c r="AQ78" s="202"/>
      <c r="AR78" s="202"/>
      <c r="AS78" s="202"/>
      <c r="AT78" s="202"/>
      <c r="AU78" s="202"/>
      <c r="AV78" s="202"/>
      <c r="AW78" s="202"/>
      <c r="AX78" s="202"/>
      <c r="AY78" s="202"/>
    </row>
    <row r="79" spans="1:51" ht="25.5" x14ac:dyDescent="0.2">
      <c r="A79" s="76">
        <v>11</v>
      </c>
      <c r="B79" s="77" t="s">
        <v>343</v>
      </c>
      <c r="C79" s="76" t="s">
        <v>161</v>
      </c>
      <c r="D79" s="76">
        <v>4</v>
      </c>
      <c r="E79" s="76">
        <v>0</v>
      </c>
      <c r="F79" s="76">
        <v>2.95</v>
      </c>
      <c r="G79" s="76">
        <v>77</v>
      </c>
      <c r="H79" s="76">
        <v>0</v>
      </c>
      <c r="I79" s="76">
        <v>0</v>
      </c>
      <c r="J79" s="76">
        <v>1</v>
      </c>
      <c r="K79" s="76">
        <v>61</v>
      </c>
      <c r="L79" s="76">
        <v>45</v>
      </c>
      <c r="M79" s="76">
        <v>24</v>
      </c>
      <c r="N79" s="76">
        <v>20</v>
      </c>
      <c r="O79" s="76">
        <v>8</v>
      </c>
      <c r="P79" s="76">
        <v>24</v>
      </c>
      <c r="Q79" s="76">
        <v>47</v>
      </c>
      <c r="R79" s="76">
        <v>0.19900000000000001</v>
      </c>
      <c r="S79" s="76">
        <v>1.1299999999999999</v>
      </c>
      <c r="T79" s="76">
        <v>11</v>
      </c>
      <c r="U79" s="77" t="s">
        <v>343</v>
      </c>
      <c r="V79" s="76" t="s">
        <v>161</v>
      </c>
      <c r="W79" s="76">
        <v>0</v>
      </c>
      <c r="X79" s="76">
        <v>0</v>
      </c>
      <c r="Y79" s="76">
        <v>1</v>
      </c>
      <c r="Z79" s="76">
        <v>2</v>
      </c>
      <c r="AA79" s="76">
        <v>16</v>
      </c>
      <c r="AB79" s="76">
        <v>12</v>
      </c>
      <c r="AC79" s="76">
        <v>3</v>
      </c>
      <c r="AD79" s="76">
        <v>59</v>
      </c>
      <c r="AE79" s="76">
        <v>76</v>
      </c>
      <c r="AF79" s="76">
        <v>0</v>
      </c>
      <c r="AG79" s="76">
        <v>0</v>
      </c>
      <c r="AH79" s="76">
        <v>2</v>
      </c>
      <c r="AI79" s="76">
        <v>1</v>
      </c>
      <c r="AJ79" s="76">
        <v>1</v>
      </c>
      <c r="AK79" s="76">
        <v>252</v>
      </c>
      <c r="AL79" s="76">
        <v>1016</v>
      </c>
      <c r="AM79" s="202"/>
      <c r="AN79" s="77"/>
      <c r="AO79" s="202"/>
      <c r="AP79" s="202"/>
      <c r="AQ79" s="202"/>
      <c r="AR79" s="202"/>
      <c r="AS79" s="202"/>
      <c r="AT79" s="202"/>
      <c r="AU79" s="202"/>
      <c r="AV79" s="202"/>
      <c r="AW79" s="202"/>
      <c r="AX79" s="202"/>
      <c r="AY79" s="202"/>
    </row>
    <row r="80" spans="1:51" ht="25.5" x14ac:dyDescent="0.2">
      <c r="A80" s="76">
        <v>12</v>
      </c>
      <c r="B80" s="77" t="s">
        <v>347</v>
      </c>
      <c r="C80" s="76" t="s">
        <v>161</v>
      </c>
      <c r="D80" s="76">
        <v>18</v>
      </c>
      <c r="E80" s="76">
        <v>8</v>
      </c>
      <c r="F80" s="76">
        <v>3.1</v>
      </c>
      <c r="G80" s="76">
        <v>31</v>
      </c>
      <c r="H80" s="76">
        <v>31</v>
      </c>
      <c r="I80" s="76">
        <v>0</v>
      </c>
      <c r="J80" s="76">
        <v>0</v>
      </c>
      <c r="K80" s="76">
        <v>197.1</v>
      </c>
      <c r="L80" s="76">
        <v>138</v>
      </c>
      <c r="M80" s="76">
        <v>72</v>
      </c>
      <c r="N80" s="76">
        <v>68</v>
      </c>
      <c r="O80" s="76">
        <v>16</v>
      </c>
      <c r="P80" s="76">
        <v>76</v>
      </c>
      <c r="Q80" s="76">
        <v>190</v>
      </c>
      <c r="R80" s="76">
        <v>0.19400000000000001</v>
      </c>
      <c r="S80" s="76">
        <v>1.08</v>
      </c>
      <c r="T80" s="76">
        <v>12</v>
      </c>
      <c r="U80" s="77" t="s">
        <v>347</v>
      </c>
      <c r="V80" s="76" t="s">
        <v>161</v>
      </c>
      <c r="W80" s="76">
        <v>1</v>
      </c>
      <c r="X80" s="76">
        <v>1</v>
      </c>
      <c r="Y80" s="76">
        <v>6</v>
      </c>
      <c r="Z80" s="76">
        <v>1</v>
      </c>
      <c r="AA80" s="76">
        <v>0</v>
      </c>
      <c r="AB80" s="76">
        <v>0</v>
      </c>
      <c r="AC80" s="76">
        <v>17</v>
      </c>
      <c r="AD80" s="76">
        <v>245</v>
      </c>
      <c r="AE80" s="76">
        <v>140</v>
      </c>
      <c r="AF80" s="76">
        <v>16</v>
      </c>
      <c r="AG80" s="76">
        <v>0</v>
      </c>
      <c r="AH80" s="76">
        <v>23</v>
      </c>
      <c r="AI80" s="76">
        <v>3</v>
      </c>
      <c r="AJ80" s="76">
        <v>0</v>
      </c>
      <c r="AK80" s="76">
        <v>795</v>
      </c>
      <c r="AL80" s="76">
        <v>3124</v>
      </c>
      <c r="AM80" s="202"/>
      <c r="AN80" s="77"/>
      <c r="AO80" s="202"/>
      <c r="AP80" s="202"/>
      <c r="AQ80" s="202"/>
      <c r="AR80" s="202"/>
      <c r="AS80" s="202"/>
      <c r="AT80" s="202"/>
      <c r="AU80" s="202"/>
      <c r="AV80" s="202"/>
      <c r="AW80" s="202"/>
      <c r="AX80" s="202"/>
      <c r="AY80" s="202"/>
    </row>
    <row r="81" spans="1:51" ht="25.5" x14ac:dyDescent="0.2">
      <c r="A81" s="76">
        <v>13</v>
      </c>
      <c r="B81" s="77" t="s">
        <v>501</v>
      </c>
      <c r="C81" s="76" t="s">
        <v>161</v>
      </c>
      <c r="D81" s="76">
        <v>11</v>
      </c>
      <c r="E81" s="76">
        <v>8</v>
      </c>
      <c r="F81" s="76">
        <v>3.35</v>
      </c>
      <c r="G81" s="76">
        <v>29</v>
      </c>
      <c r="H81" s="76">
        <v>29</v>
      </c>
      <c r="I81" s="76">
        <v>0</v>
      </c>
      <c r="J81" s="76">
        <v>0</v>
      </c>
      <c r="K81" s="76">
        <v>188.1</v>
      </c>
      <c r="L81" s="76">
        <v>146</v>
      </c>
      <c r="M81" s="76">
        <v>74</v>
      </c>
      <c r="N81" s="76">
        <v>70</v>
      </c>
      <c r="O81" s="76">
        <v>23</v>
      </c>
      <c r="P81" s="76">
        <v>53</v>
      </c>
      <c r="Q81" s="76">
        <v>180</v>
      </c>
      <c r="R81" s="76">
        <v>0.218</v>
      </c>
      <c r="S81" s="76">
        <v>1.06</v>
      </c>
      <c r="T81" s="76">
        <v>13</v>
      </c>
      <c r="U81" s="77" t="s">
        <v>501</v>
      </c>
      <c r="V81" s="76" t="s">
        <v>161</v>
      </c>
      <c r="W81" s="76">
        <v>0</v>
      </c>
      <c r="X81" s="76">
        <v>0</v>
      </c>
      <c r="Y81" s="76">
        <v>9</v>
      </c>
      <c r="Z81" s="76">
        <v>1</v>
      </c>
      <c r="AA81" s="76">
        <v>0</v>
      </c>
      <c r="AB81" s="76">
        <v>0</v>
      </c>
      <c r="AC81" s="76">
        <v>13</v>
      </c>
      <c r="AD81" s="76">
        <v>167</v>
      </c>
      <c r="AE81" s="76">
        <v>193</v>
      </c>
      <c r="AF81" s="76">
        <v>4</v>
      </c>
      <c r="AG81" s="76">
        <v>0</v>
      </c>
      <c r="AH81" s="76">
        <v>15</v>
      </c>
      <c r="AI81" s="76">
        <v>5</v>
      </c>
      <c r="AJ81" s="76">
        <v>0</v>
      </c>
      <c r="AK81" s="76">
        <v>748</v>
      </c>
      <c r="AL81" s="76">
        <v>2853</v>
      </c>
      <c r="AM81" s="202"/>
      <c r="AN81" s="77"/>
      <c r="AO81" s="202"/>
      <c r="AP81" s="202"/>
      <c r="AQ81" s="202"/>
      <c r="AR81" s="202"/>
      <c r="AS81" s="202"/>
      <c r="AT81" s="202"/>
      <c r="AU81" s="202"/>
      <c r="AV81" s="202"/>
      <c r="AW81" s="202"/>
      <c r="AX81" s="202"/>
      <c r="AY81" s="202"/>
    </row>
    <row r="82" spans="1:51" ht="25.5" x14ac:dyDescent="0.2">
      <c r="A82" s="76">
        <v>14</v>
      </c>
      <c r="B82" s="77" t="s">
        <v>351</v>
      </c>
      <c r="C82" s="76" t="s">
        <v>161</v>
      </c>
      <c r="D82" s="76">
        <v>2</v>
      </c>
      <c r="E82" s="76">
        <v>3</v>
      </c>
      <c r="F82" s="76">
        <v>3.53</v>
      </c>
      <c r="G82" s="76">
        <v>54</v>
      </c>
      <c r="H82" s="76">
        <v>0</v>
      </c>
      <c r="I82" s="76">
        <v>18</v>
      </c>
      <c r="J82" s="76">
        <v>23</v>
      </c>
      <c r="K82" s="76">
        <v>51</v>
      </c>
      <c r="L82" s="76">
        <v>42</v>
      </c>
      <c r="M82" s="76">
        <v>20</v>
      </c>
      <c r="N82" s="76">
        <v>20</v>
      </c>
      <c r="O82" s="76">
        <v>8</v>
      </c>
      <c r="P82" s="76">
        <v>8</v>
      </c>
      <c r="Q82" s="76">
        <v>58</v>
      </c>
      <c r="R82" s="76">
        <v>0.22500000000000001</v>
      </c>
      <c r="S82" s="76">
        <v>0.98</v>
      </c>
      <c r="T82" s="76">
        <v>14</v>
      </c>
      <c r="U82" s="77" t="s">
        <v>351</v>
      </c>
      <c r="V82" s="76" t="s">
        <v>161</v>
      </c>
      <c r="W82" s="76">
        <v>0</v>
      </c>
      <c r="X82" s="76">
        <v>0</v>
      </c>
      <c r="Y82" s="76">
        <v>2</v>
      </c>
      <c r="Z82" s="76">
        <v>0</v>
      </c>
      <c r="AA82" s="76">
        <v>35</v>
      </c>
      <c r="AB82" s="76">
        <v>7</v>
      </c>
      <c r="AC82" s="76">
        <v>4</v>
      </c>
      <c r="AD82" s="76">
        <v>47</v>
      </c>
      <c r="AE82" s="76">
        <v>43</v>
      </c>
      <c r="AF82" s="76">
        <v>3</v>
      </c>
      <c r="AG82" s="76">
        <v>0</v>
      </c>
      <c r="AH82" s="76">
        <v>5</v>
      </c>
      <c r="AI82" s="76">
        <v>0</v>
      </c>
      <c r="AJ82" s="76">
        <v>1</v>
      </c>
      <c r="AK82" s="76">
        <v>200</v>
      </c>
      <c r="AL82" s="76">
        <v>785</v>
      </c>
      <c r="AM82" s="202"/>
      <c r="AN82" s="77"/>
      <c r="AO82" s="202"/>
      <c r="AP82" s="202"/>
      <c r="AQ82" s="202"/>
      <c r="AR82" s="202"/>
      <c r="AS82" s="202"/>
      <c r="AT82" s="202"/>
      <c r="AU82" s="202"/>
      <c r="AV82" s="202"/>
      <c r="AW82" s="202"/>
      <c r="AX82" s="202"/>
      <c r="AY82" s="202"/>
    </row>
    <row r="83" spans="1:51" ht="25.5" x14ac:dyDescent="0.2">
      <c r="A83" s="76">
        <v>15</v>
      </c>
      <c r="B83" s="77" t="s">
        <v>1105</v>
      </c>
      <c r="C83" s="76" t="s">
        <v>161</v>
      </c>
      <c r="D83" s="76">
        <v>0</v>
      </c>
      <c r="E83" s="76">
        <v>1</v>
      </c>
      <c r="F83" s="76">
        <v>3.75</v>
      </c>
      <c r="G83" s="76">
        <v>36</v>
      </c>
      <c r="H83" s="76">
        <v>0</v>
      </c>
      <c r="I83" s="76">
        <v>2</v>
      </c>
      <c r="J83" s="76">
        <v>3</v>
      </c>
      <c r="K83" s="76">
        <v>36</v>
      </c>
      <c r="L83" s="76">
        <v>15</v>
      </c>
      <c r="M83" s="76">
        <v>15</v>
      </c>
      <c r="N83" s="76">
        <v>15</v>
      </c>
      <c r="O83" s="76">
        <v>4</v>
      </c>
      <c r="P83" s="76">
        <v>14</v>
      </c>
      <c r="Q83" s="76">
        <v>52</v>
      </c>
      <c r="R83" s="76">
        <v>0.123</v>
      </c>
      <c r="S83" s="76">
        <v>0.81</v>
      </c>
      <c r="T83" s="76">
        <v>15</v>
      </c>
      <c r="U83" s="77" t="s">
        <v>1105</v>
      </c>
      <c r="V83" s="76" t="s">
        <v>161</v>
      </c>
      <c r="W83" s="76">
        <v>0</v>
      </c>
      <c r="X83" s="76">
        <v>0</v>
      </c>
      <c r="Y83" s="76">
        <v>0</v>
      </c>
      <c r="Z83" s="76">
        <v>1</v>
      </c>
      <c r="AA83" s="76">
        <v>10</v>
      </c>
      <c r="AB83" s="76">
        <v>6</v>
      </c>
      <c r="AC83" s="76">
        <v>2</v>
      </c>
      <c r="AD83" s="76">
        <v>31</v>
      </c>
      <c r="AE83" s="76">
        <v>26</v>
      </c>
      <c r="AF83" s="76">
        <v>5</v>
      </c>
      <c r="AG83" s="76">
        <v>0</v>
      </c>
      <c r="AH83" s="76">
        <v>1</v>
      </c>
      <c r="AI83" s="76">
        <v>1</v>
      </c>
      <c r="AJ83" s="76">
        <v>0</v>
      </c>
      <c r="AK83" s="76">
        <v>138</v>
      </c>
      <c r="AL83" s="76">
        <v>623</v>
      </c>
      <c r="AM83" s="202"/>
      <c r="AN83" s="77"/>
      <c r="AO83" s="202"/>
      <c r="AP83" s="202"/>
      <c r="AQ83" s="202"/>
      <c r="AR83" s="202"/>
      <c r="AS83" s="202"/>
      <c r="AT83" s="202"/>
      <c r="AU83" s="202"/>
      <c r="AV83" s="202"/>
      <c r="AW83" s="202"/>
      <c r="AX83" s="202"/>
      <c r="AY83" s="202"/>
    </row>
    <row r="84" spans="1:51" ht="25.5" x14ac:dyDescent="0.2">
      <c r="A84" s="76">
        <v>16</v>
      </c>
      <c r="B84" s="77" t="s">
        <v>494</v>
      </c>
      <c r="C84" s="76" t="s">
        <v>161</v>
      </c>
      <c r="D84" s="76">
        <v>15</v>
      </c>
      <c r="E84" s="76">
        <v>10</v>
      </c>
      <c r="F84" s="76">
        <v>3.83</v>
      </c>
      <c r="G84" s="76">
        <v>30</v>
      </c>
      <c r="H84" s="76">
        <v>30</v>
      </c>
      <c r="I84" s="76">
        <v>0</v>
      </c>
      <c r="J84" s="76">
        <v>0</v>
      </c>
      <c r="K84" s="76">
        <v>166.2</v>
      </c>
      <c r="L84" s="76">
        <v>148</v>
      </c>
      <c r="M84" s="76">
        <v>77</v>
      </c>
      <c r="N84" s="76">
        <v>71</v>
      </c>
      <c r="O84" s="76">
        <v>25</v>
      </c>
      <c r="P84" s="76">
        <v>53</v>
      </c>
      <c r="Q84" s="76">
        <v>144</v>
      </c>
      <c r="R84" s="76">
        <v>0.23899999999999999</v>
      </c>
      <c r="S84" s="76">
        <v>1.21</v>
      </c>
      <c r="T84" s="76">
        <v>16</v>
      </c>
      <c r="U84" s="77" t="s">
        <v>494</v>
      </c>
      <c r="V84" s="76" t="s">
        <v>161</v>
      </c>
      <c r="W84" s="76">
        <v>0</v>
      </c>
      <c r="X84" s="76">
        <v>0</v>
      </c>
      <c r="Y84" s="76">
        <v>9</v>
      </c>
      <c r="Z84" s="76">
        <v>0</v>
      </c>
      <c r="AA84" s="76">
        <v>0</v>
      </c>
      <c r="AB84" s="76">
        <v>0</v>
      </c>
      <c r="AC84" s="76">
        <v>14</v>
      </c>
      <c r="AD84" s="76">
        <v>170</v>
      </c>
      <c r="AE84" s="76">
        <v>168</v>
      </c>
      <c r="AF84" s="76">
        <v>9</v>
      </c>
      <c r="AG84" s="76">
        <v>0</v>
      </c>
      <c r="AH84" s="76">
        <v>15</v>
      </c>
      <c r="AI84" s="76">
        <v>2</v>
      </c>
      <c r="AJ84" s="76">
        <v>2</v>
      </c>
      <c r="AK84" s="76">
        <v>692</v>
      </c>
      <c r="AL84" s="76">
        <v>2623</v>
      </c>
      <c r="AM84" s="202"/>
      <c r="AN84" s="77"/>
      <c r="AO84" s="202"/>
      <c r="AP84" s="202"/>
      <c r="AQ84" s="202"/>
      <c r="AR84" s="202"/>
      <c r="AS84" s="202"/>
      <c r="AT84" s="202"/>
      <c r="AU84" s="202"/>
      <c r="AV84" s="202"/>
      <c r="AW84" s="202"/>
      <c r="AX84" s="202"/>
      <c r="AY84" s="202"/>
    </row>
    <row r="85" spans="1:51" ht="38.25" x14ac:dyDescent="0.2">
      <c r="A85" s="76">
        <v>17</v>
      </c>
      <c r="B85" s="77" t="s">
        <v>1426</v>
      </c>
      <c r="C85" s="76" t="s">
        <v>161</v>
      </c>
      <c r="D85" s="76">
        <v>0</v>
      </c>
      <c r="E85" s="76">
        <v>0</v>
      </c>
      <c r="F85" s="76">
        <v>3.86</v>
      </c>
      <c r="G85" s="76">
        <v>3</v>
      </c>
      <c r="H85" s="76">
        <v>0</v>
      </c>
      <c r="I85" s="76">
        <v>0</v>
      </c>
      <c r="J85" s="76">
        <v>0</v>
      </c>
      <c r="K85" s="76">
        <v>2.1</v>
      </c>
      <c r="L85" s="76">
        <v>2</v>
      </c>
      <c r="M85" s="76">
        <v>1</v>
      </c>
      <c r="N85" s="76">
        <v>1</v>
      </c>
      <c r="O85" s="76">
        <v>0</v>
      </c>
      <c r="P85" s="76">
        <v>1</v>
      </c>
      <c r="Q85" s="76">
        <v>2</v>
      </c>
      <c r="R85" s="76">
        <v>0.25</v>
      </c>
      <c r="S85" s="76">
        <v>1.29</v>
      </c>
      <c r="T85" s="76">
        <v>17</v>
      </c>
      <c r="U85" s="77" t="s">
        <v>1426</v>
      </c>
      <c r="V85" s="76" t="s">
        <v>161</v>
      </c>
      <c r="W85" s="76">
        <v>0</v>
      </c>
      <c r="X85" s="76">
        <v>0</v>
      </c>
      <c r="Y85" s="76">
        <v>0</v>
      </c>
      <c r="Z85" s="76">
        <v>0</v>
      </c>
      <c r="AA85" s="76">
        <v>1</v>
      </c>
      <c r="AB85" s="76">
        <v>0</v>
      </c>
      <c r="AC85" s="76">
        <v>0</v>
      </c>
      <c r="AD85" s="76">
        <v>1</v>
      </c>
      <c r="AE85" s="76">
        <v>4</v>
      </c>
      <c r="AF85" s="76">
        <v>0</v>
      </c>
      <c r="AG85" s="76">
        <v>0</v>
      </c>
      <c r="AH85" s="76">
        <v>0</v>
      </c>
      <c r="AI85" s="76">
        <v>0</v>
      </c>
      <c r="AJ85" s="76">
        <v>0</v>
      </c>
      <c r="AK85" s="76">
        <v>10</v>
      </c>
      <c r="AL85" s="76">
        <v>45</v>
      </c>
      <c r="AM85" s="202"/>
      <c r="AN85" s="77"/>
      <c r="AO85" s="202"/>
      <c r="AP85" s="202"/>
      <c r="AQ85" s="202"/>
      <c r="AR85" s="202"/>
      <c r="AS85" s="202"/>
      <c r="AT85" s="202"/>
      <c r="AU85" s="202"/>
      <c r="AV85" s="202"/>
      <c r="AW85" s="202"/>
      <c r="AX85" s="202"/>
      <c r="AY85" s="202"/>
    </row>
    <row r="86" spans="1:51" ht="25.5" x14ac:dyDescent="0.2">
      <c r="A86" s="76">
        <v>18</v>
      </c>
      <c r="B86" s="77" t="s">
        <v>1427</v>
      </c>
      <c r="C86" s="76" t="s">
        <v>161</v>
      </c>
      <c r="D86" s="76">
        <v>0</v>
      </c>
      <c r="E86" s="76">
        <v>0</v>
      </c>
      <c r="F86" s="76">
        <v>4</v>
      </c>
      <c r="G86" s="76">
        <v>11</v>
      </c>
      <c r="H86" s="76">
        <v>0</v>
      </c>
      <c r="I86" s="76">
        <v>1</v>
      </c>
      <c r="J86" s="76">
        <v>1</v>
      </c>
      <c r="K86" s="76">
        <v>9</v>
      </c>
      <c r="L86" s="76">
        <v>5</v>
      </c>
      <c r="M86" s="76">
        <v>4</v>
      </c>
      <c r="N86" s="76">
        <v>4</v>
      </c>
      <c r="O86" s="76">
        <v>1</v>
      </c>
      <c r="P86" s="76">
        <v>3</v>
      </c>
      <c r="Q86" s="76">
        <v>13</v>
      </c>
      <c r="R86" s="76">
        <v>0.156</v>
      </c>
      <c r="S86" s="76">
        <v>0.89</v>
      </c>
      <c r="T86" s="76">
        <v>18</v>
      </c>
      <c r="U86" s="77" t="s">
        <v>1427</v>
      </c>
      <c r="V86" s="76" t="s">
        <v>161</v>
      </c>
      <c r="W86" s="76">
        <v>0</v>
      </c>
      <c r="X86" s="76">
        <v>0</v>
      </c>
      <c r="Y86" s="76">
        <v>0</v>
      </c>
      <c r="Z86" s="76">
        <v>1</v>
      </c>
      <c r="AA86" s="76">
        <v>2</v>
      </c>
      <c r="AB86" s="76">
        <v>2</v>
      </c>
      <c r="AC86" s="76">
        <v>0</v>
      </c>
      <c r="AD86" s="76">
        <v>5</v>
      </c>
      <c r="AE86" s="76">
        <v>9</v>
      </c>
      <c r="AF86" s="76">
        <v>1</v>
      </c>
      <c r="AG86" s="76">
        <v>0</v>
      </c>
      <c r="AH86" s="76">
        <v>0</v>
      </c>
      <c r="AI86" s="76">
        <v>0</v>
      </c>
      <c r="AJ86" s="76">
        <v>0</v>
      </c>
      <c r="AK86" s="76">
        <v>35</v>
      </c>
      <c r="AL86" s="76">
        <v>133</v>
      </c>
      <c r="AM86" s="202"/>
      <c r="AN86" s="77"/>
      <c r="AO86" s="202"/>
      <c r="AP86" s="202"/>
      <c r="AQ86" s="202"/>
      <c r="AR86" s="202"/>
      <c r="AS86" s="202"/>
      <c r="AT86" s="202"/>
      <c r="AU86" s="202"/>
      <c r="AV86" s="202"/>
      <c r="AW86" s="202"/>
      <c r="AX86" s="202"/>
      <c r="AY86" s="202"/>
    </row>
    <row r="87" spans="1:51" ht="25.5" x14ac:dyDescent="0.2">
      <c r="A87" s="76">
        <v>19</v>
      </c>
      <c r="B87" s="77" t="s">
        <v>341</v>
      </c>
      <c r="C87" s="76" t="s">
        <v>161</v>
      </c>
      <c r="D87" s="76">
        <v>2</v>
      </c>
      <c r="E87" s="76">
        <v>1</v>
      </c>
      <c r="F87" s="76">
        <v>4.0999999999999996</v>
      </c>
      <c r="G87" s="76">
        <v>68</v>
      </c>
      <c r="H87" s="76">
        <v>0</v>
      </c>
      <c r="I87" s="76">
        <v>0</v>
      </c>
      <c r="J87" s="76">
        <v>0</v>
      </c>
      <c r="K87" s="76">
        <v>52.2</v>
      </c>
      <c r="L87" s="76">
        <v>47</v>
      </c>
      <c r="M87" s="76">
        <v>24</v>
      </c>
      <c r="N87" s="76">
        <v>24</v>
      </c>
      <c r="O87" s="76">
        <v>5</v>
      </c>
      <c r="P87" s="76">
        <v>23</v>
      </c>
      <c r="Q87" s="76">
        <v>65</v>
      </c>
      <c r="R87" s="76">
        <v>0.23400000000000001</v>
      </c>
      <c r="S87" s="76">
        <v>1.33</v>
      </c>
      <c r="T87" s="76">
        <v>19</v>
      </c>
      <c r="U87" s="77" t="s">
        <v>341</v>
      </c>
      <c r="V87" s="76" t="s">
        <v>161</v>
      </c>
      <c r="W87" s="76">
        <v>0</v>
      </c>
      <c r="X87" s="76">
        <v>0</v>
      </c>
      <c r="Y87" s="76">
        <v>1</v>
      </c>
      <c r="Z87" s="76">
        <v>2</v>
      </c>
      <c r="AA87" s="76">
        <v>11</v>
      </c>
      <c r="AB87" s="76">
        <v>10</v>
      </c>
      <c r="AC87" s="76">
        <v>0</v>
      </c>
      <c r="AD87" s="76">
        <v>42</v>
      </c>
      <c r="AE87" s="76">
        <v>47</v>
      </c>
      <c r="AF87" s="76">
        <v>7</v>
      </c>
      <c r="AG87" s="76">
        <v>0</v>
      </c>
      <c r="AH87" s="76">
        <v>4</v>
      </c>
      <c r="AI87" s="76">
        <v>5</v>
      </c>
      <c r="AJ87" s="76">
        <v>1</v>
      </c>
      <c r="AK87" s="76">
        <v>225</v>
      </c>
      <c r="AL87" s="76">
        <v>906</v>
      </c>
      <c r="AM87" s="202"/>
      <c r="AN87" s="77"/>
      <c r="AO87" s="202"/>
      <c r="AP87" s="202"/>
      <c r="AQ87" s="202"/>
      <c r="AR87" s="202"/>
      <c r="AS87" s="202"/>
      <c r="AT87" s="202"/>
      <c r="AU87" s="202"/>
      <c r="AV87" s="202"/>
      <c r="AW87" s="202"/>
      <c r="AX87" s="202"/>
      <c r="AY87" s="202"/>
    </row>
    <row r="88" spans="1:51" ht="25.5" x14ac:dyDescent="0.2">
      <c r="A88" s="76">
        <v>20</v>
      </c>
      <c r="B88" s="77" t="s">
        <v>752</v>
      </c>
      <c r="C88" s="76" t="s">
        <v>161</v>
      </c>
      <c r="D88" s="76">
        <v>0</v>
      </c>
      <c r="E88" s="76">
        <v>0</v>
      </c>
      <c r="F88" s="76">
        <v>4.7</v>
      </c>
      <c r="G88" s="76">
        <v>8</v>
      </c>
      <c r="H88" s="76">
        <v>0</v>
      </c>
      <c r="I88" s="76">
        <v>0</v>
      </c>
      <c r="J88" s="76">
        <v>0</v>
      </c>
      <c r="K88" s="76">
        <v>7.2</v>
      </c>
      <c r="L88" s="76">
        <v>5</v>
      </c>
      <c r="M88" s="76">
        <v>4</v>
      </c>
      <c r="N88" s="76">
        <v>4</v>
      </c>
      <c r="O88" s="76">
        <v>1</v>
      </c>
      <c r="P88" s="76">
        <v>8</v>
      </c>
      <c r="Q88" s="76">
        <v>10</v>
      </c>
      <c r="R88" s="76">
        <v>0.2</v>
      </c>
      <c r="S88" s="76">
        <v>1.7</v>
      </c>
      <c r="T88" s="76">
        <v>20</v>
      </c>
      <c r="U88" s="77" t="s">
        <v>752</v>
      </c>
      <c r="V88" s="76" t="s">
        <v>161</v>
      </c>
      <c r="W88" s="76">
        <v>0</v>
      </c>
      <c r="X88" s="76">
        <v>0</v>
      </c>
      <c r="Y88" s="76">
        <v>0</v>
      </c>
      <c r="Z88" s="76">
        <v>2</v>
      </c>
      <c r="AA88" s="76">
        <v>4</v>
      </c>
      <c r="AB88" s="76">
        <v>1</v>
      </c>
      <c r="AC88" s="76">
        <v>1</v>
      </c>
      <c r="AD88" s="76">
        <v>3</v>
      </c>
      <c r="AE88" s="76">
        <v>9</v>
      </c>
      <c r="AF88" s="76">
        <v>3</v>
      </c>
      <c r="AG88" s="76">
        <v>0</v>
      </c>
      <c r="AH88" s="76">
        <v>2</v>
      </c>
      <c r="AI88" s="76">
        <v>0</v>
      </c>
      <c r="AJ88" s="76">
        <v>0</v>
      </c>
      <c r="AK88" s="76">
        <v>35</v>
      </c>
      <c r="AL88" s="76">
        <v>144</v>
      </c>
      <c r="AM88" s="202"/>
      <c r="AN88" s="77"/>
      <c r="AO88" s="202"/>
      <c r="AP88" s="202"/>
      <c r="AQ88" s="202"/>
      <c r="AR88" s="202"/>
      <c r="AS88" s="202"/>
      <c r="AT88" s="202"/>
      <c r="AU88" s="202"/>
      <c r="AV88" s="202"/>
      <c r="AW88" s="202"/>
      <c r="AX88" s="202"/>
      <c r="AY88" s="202"/>
    </row>
    <row r="89" spans="1:51" ht="25.5" x14ac:dyDescent="0.2">
      <c r="A89" s="76">
        <v>21</v>
      </c>
      <c r="B89" s="77" t="s">
        <v>823</v>
      </c>
      <c r="C89" s="76" t="s">
        <v>161</v>
      </c>
      <c r="D89" s="76">
        <v>1</v>
      </c>
      <c r="E89" s="76">
        <v>1</v>
      </c>
      <c r="F89" s="76">
        <v>5.48</v>
      </c>
      <c r="G89" s="76">
        <v>16</v>
      </c>
      <c r="H89" s="76">
        <v>0</v>
      </c>
      <c r="I89" s="76">
        <v>0</v>
      </c>
      <c r="J89" s="76">
        <v>0</v>
      </c>
      <c r="K89" s="76">
        <v>21.1</v>
      </c>
      <c r="L89" s="76">
        <v>20</v>
      </c>
      <c r="M89" s="76">
        <v>16</v>
      </c>
      <c r="N89" s="76">
        <v>13</v>
      </c>
      <c r="O89" s="76">
        <v>3</v>
      </c>
      <c r="P89" s="76">
        <v>14</v>
      </c>
      <c r="Q89" s="76">
        <v>22</v>
      </c>
      <c r="R89" s="76">
        <v>0.23300000000000001</v>
      </c>
      <c r="S89" s="76">
        <v>1.59</v>
      </c>
      <c r="T89" s="76">
        <v>21</v>
      </c>
      <c r="U89" s="77" t="s">
        <v>823</v>
      </c>
      <c r="V89" s="76" t="s">
        <v>161</v>
      </c>
      <c r="W89" s="76">
        <v>0</v>
      </c>
      <c r="X89" s="76">
        <v>0</v>
      </c>
      <c r="Y89" s="76">
        <v>1</v>
      </c>
      <c r="Z89" s="76">
        <v>0</v>
      </c>
      <c r="AA89" s="76">
        <v>7</v>
      </c>
      <c r="AB89" s="76">
        <v>1</v>
      </c>
      <c r="AC89" s="76">
        <v>0</v>
      </c>
      <c r="AD89" s="76">
        <v>19</v>
      </c>
      <c r="AE89" s="76">
        <v>25</v>
      </c>
      <c r="AF89" s="76">
        <v>0</v>
      </c>
      <c r="AG89" s="76">
        <v>0</v>
      </c>
      <c r="AH89" s="76">
        <v>2</v>
      </c>
      <c r="AI89" s="76">
        <v>1</v>
      </c>
      <c r="AJ89" s="76">
        <v>0</v>
      </c>
      <c r="AK89" s="76">
        <v>101</v>
      </c>
      <c r="AL89" s="76">
        <v>391</v>
      </c>
      <c r="AM89" s="202"/>
      <c r="AN89" s="77"/>
      <c r="AO89" s="202"/>
      <c r="AP89" s="202"/>
      <c r="AQ89" s="202"/>
      <c r="AR89" s="202"/>
      <c r="AS89" s="202"/>
      <c r="AT89" s="202"/>
      <c r="AU89" s="202"/>
      <c r="AV89" s="202"/>
      <c r="AW89" s="202"/>
      <c r="AX89" s="202"/>
      <c r="AY89" s="202"/>
    </row>
    <row r="90" spans="1:51" ht="25.5" x14ac:dyDescent="0.2">
      <c r="A90" s="76">
        <v>22</v>
      </c>
      <c r="B90" s="77" t="s">
        <v>586</v>
      </c>
      <c r="C90" s="76" t="s">
        <v>161</v>
      </c>
      <c r="D90" s="76">
        <v>3</v>
      </c>
      <c r="E90" s="76">
        <v>2</v>
      </c>
      <c r="F90" s="76">
        <v>5.91</v>
      </c>
      <c r="G90" s="76">
        <v>29</v>
      </c>
      <c r="H90" s="76">
        <v>1</v>
      </c>
      <c r="I90" s="76">
        <v>0</v>
      </c>
      <c r="J90" s="76">
        <v>1</v>
      </c>
      <c r="K90" s="76">
        <v>35</v>
      </c>
      <c r="L90" s="76">
        <v>31</v>
      </c>
      <c r="M90" s="76">
        <v>24</v>
      </c>
      <c r="N90" s="76">
        <v>23</v>
      </c>
      <c r="O90" s="76">
        <v>7</v>
      </c>
      <c r="P90" s="76">
        <v>19</v>
      </c>
      <c r="Q90" s="76">
        <v>27</v>
      </c>
      <c r="R90" s="76">
        <v>0.23799999999999999</v>
      </c>
      <c r="S90" s="76">
        <v>1.43</v>
      </c>
      <c r="T90" s="76">
        <v>22</v>
      </c>
      <c r="U90" s="77" t="s">
        <v>586</v>
      </c>
      <c r="V90" s="76" t="s">
        <v>161</v>
      </c>
      <c r="W90" s="76">
        <v>0</v>
      </c>
      <c r="X90" s="76">
        <v>0</v>
      </c>
      <c r="Y90" s="76">
        <v>0</v>
      </c>
      <c r="Z90" s="76">
        <v>4</v>
      </c>
      <c r="AA90" s="76">
        <v>4</v>
      </c>
      <c r="AB90" s="76">
        <v>6</v>
      </c>
      <c r="AC90" s="76">
        <v>1</v>
      </c>
      <c r="AD90" s="76">
        <v>39</v>
      </c>
      <c r="AE90" s="76">
        <v>36</v>
      </c>
      <c r="AF90" s="76">
        <v>0</v>
      </c>
      <c r="AG90" s="76">
        <v>0</v>
      </c>
      <c r="AH90" s="76">
        <v>4</v>
      </c>
      <c r="AI90" s="76">
        <v>1</v>
      </c>
      <c r="AJ90" s="76">
        <v>0</v>
      </c>
      <c r="AK90" s="76">
        <v>152</v>
      </c>
      <c r="AL90" s="76">
        <v>665</v>
      </c>
      <c r="AM90" s="202"/>
      <c r="AN90" s="77"/>
      <c r="AO90" s="202"/>
      <c r="AP90" s="202"/>
      <c r="AQ90" s="202"/>
      <c r="AR90" s="202"/>
      <c r="AS90" s="202"/>
      <c r="AT90" s="202"/>
      <c r="AU90" s="202"/>
      <c r="AV90" s="202"/>
      <c r="AW90" s="202"/>
      <c r="AX90" s="202"/>
      <c r="AY90" s="202"/>
    </row>
    <row r="91" spans="1:51" ht="25.5" x14ac:dyDescent="0.2">
      <c r="A91" s="76">
        <v>23</v>
      </c>
      <c r="B91" s="77" t="s">
        <v>1104</v>
      </c>
      <c r="C91" s="76" t="s">
        <v>161</v>
      </c>
      <c r="D91" s="76">
        <v>0</v>
      </c>
      <c r="E91" s="76">
        <v>1</v>
      </c>
      <c r="F91" s="76">
        <v>6.43</v>
      </c>
      <c r="G91" s="76">
        <v>25</v>
      </c>
      <c r="H91" s="76">
        <v>0</v>
      </c>
      <c r="I91" s="76">
        <v>1</v>
      </c>
      <c r="J91" s="76">
        <v>1</v>
      </c>
      <c r="K91" s="76">
        <v>14</v>
      </c>
      <c r="L91" s="76">
        <v>23</v>
      </c>
      <c r="M91" s="76">
        <v>14</v>
      </c>
      <c r="N91" s="76">
        <v>10</v>
      </c>
      <c r="O91" s="76">
        <v>0</v>
      </c>
      <c r="P91" s="76">
        <v>7</v>
      </c>
      <c r="Q91" s="76">
        <v>7</v>
      </c>
      <c r="R91" s="76">
        <v>0.377</v>
      </c>
      <c r="S91" s="76">
        <v>2.14</v>
      </c>
      <c r="T91" s="76">
        <v>23</v>
      </c>
      <c r="U91" s="77" t="s">
        <v>1104</v>
      </c>
      <c r="V91" s="76" t="s">
        <v>161</v>
      </c>
      <c r="W91" s="76">
        <v>0</v>
      </c>
      <c r="X91" s="76">
        <v>0</v>
      </c>
      <c r="Y91" s="76">
        <v>2</v>
      </c>
      <c r="Z91" s="76">
        <v>3</v>
      </c>
      <c r="AA91" s="76">
        <v>9</v>
      </c>
      <c r="AB91" s="76">
        <v>1</v>
      </c>
      <c r="AC91" s="76">
        <v>1</v>
      </c>
      <c r="AD91" s="76">
        <v>28</v>
      </c>
      <c r="AE91" s="76">
        <v>5</v>
      </c>
      <c r="AF91" s="76">
        <v>1</v>
      </c>
      <c r="AG91" s="76">
        <v>0</v>
      </c>
      <c r="AH91" s="76">
        <v>3</v>
      </c>
      <c r="AI91" s="76">
        <v>0</v>
      </c>
      <c r="AJ91" s="76">
        <v>0</v>
      </c>
      <c r="AK91" s="76">
        <v>72</v>
      </c>
      <c r="AL91" s="76">
        <v>243</v>
      </c>
      <c r="AM91" s="202"/>
      <c r="AN91" s="77"/>
      <c r="AO91" s="202"/>
      <c r="AP91" s="202"/>
      <c r="AQ91" s="202"/>
      <c r="AR91" s="202"/>
      <c r="AS91" s="202"/>
      <c r="AT91" s="202"/>
      <c r="AU91" s="202"/>
      <c r="AV91" s="202"/>
      <c r="AW91" s="202"/>
      <c r="AX91" s="202"/>
      <c r="AY91" s="202"/>
    </row>
    <row r="92" spans="1:51" ht="25.5" x14ac:dyDescent="0.2">
      <c r="A92" s="76">
        <v>24</v>
      </c>
      <c r="B92" s="77" t="s">
        <v>1428</v>
      </c>
      <c r="C92" s="76" t="s">
        <v>161</v>
      </c>
      <c r="D92" s="76">
        <v>0</v>
      </c>
      <c r="E92" s="76">
        <v>0</v>
      </c>
      <c r="F92" s="76">
        <v>6.75</v>
      </c>
      <c r="G92" s="76">
        <v>1</v>
      </c>
      <c r="H92" s="76">
        <v>0</v>
      </c>
      <c r="I92" s="76">
        <v>0</v>
      </c>
      <c r="J92" s="76">
        <v>0</v>
      </c>
      <c r="K92" s="76">
        <v>1.1000000000000001</v>
      </c>
      <c r="L92" s="76">
        <v>4</v>
      </c>
      <c r="M92" s="76">
        <v>1</v>
      </c>
      <c r="N92" s="76">
        <v>1</v>
      </c>
      <c r="O92" s="76">
        <v>0</v>
      </c>
      <c r="P92" s="76">
        <v>0</v>
      </c>
      <c r="Q92" s="76">
        <v>0</v>
      </c>
      <c r="R92" s="76">
        <v>0.5</v>
      </c>
      <c r="S92" s="76">
        <v>3</v>
      </c>
      <c r="T92" s="76">
        <v>24</v>
      </c>
      <c r="U92" s="77" t="s">
        <v>1428</v>
      </c>
      <c r="V92" s="76" t="s">
        <v>161</v>
      </c>
      <c r="W92" s="76">
        <v>0</v>
      </c>
      <c r="X92" s="76">
        <v>0</v>
      </c>
      <c r="Y92" s="76">
        <v>1</v>
      </c>
      <c r="Z92" s="76">
        <v>0</v>
      </c>
      <c r="AA92" s="76">
        <v>1</v>
      </c>
      <c r="AB92" s="76">
        <v>0</v>
      </c>
      <c r="AC92" s="76">
        <v>0</v>
      </c>
      <c r="AD92" s="76">
        <v>2</v>
      </c>
      <c r="AE92" s="76">
        <v>2</v>
      </c>
      <c r="AF92" s="76">
        <v>0</v>
      </c>
      <c r="AG92" s="76">
        <v>0</v>
      </c>
      <c r="AH92" s="76">
        <v>0</v>
      </c>
      <c r="AI92" s="76">
        <v>0</v>
      </c>
      <c r="AJ92" s="76">
        <v>0</v>
      </c>
      <c r="AK92" s="76">
        <v>9</v>
      </c>
      <c r="AL92" s="76">
        <v>31</v>
      </c>
      <c r="AM92" s="202"/>
      <c r="AN92" s="77"/>
      <c r="AO92" s="202"/>
      <c r="AP92" s="202"/>
      <c r="AQ92" s="202"/>
      <c r="AR92" s="202"/>
      <c r="AS92" s="202"/>
      <c r="AT92" s="202"/>
      <c r="AU92" s="202"/>
      <c r="AV92" s="202"/>
      <c r="AW92" s="202"/>
      <c r="AX92" s="202"/>
      <c r="AY92" s="202"/>
    </row>
    <row r="93" spans="1:51" ht="25.5" x14ac:dyDescent="0.2">
      <c r="A93" s="76">
        <v>25</v>
      </c>
      <c r="B93" s="77" t="s">
        <v>630</v>
      </c>
      <c r="C93" s="76" t="s">
        <v>161</v>
      </c>
      <c r="D93" s="76">
        <v>0</v>
      </c>
      <c r="E93" s="76">
        <v>1</v>
      </c>
      <c r="F93" s="76">
        <v>9</v>
      </c>
      <c r="G93" s="76">
        <v>5</v>
      </c>
      <c r="H93" s="76">
        <v>0</v>
      </c>
      <c r="I93" s="76">
        <v>0</v>
      </c>
      <c r="J93" s="76">
        <v>0</v>
      </c>
      <c r="K93" s="76">
        <v>4</v>
      </c>
      <c r="L93" s="76">
        <v>6</v>
      </c>
      <c r="M93" s="76">
        <v>5</v>
      </c>
      <c r="N93" s="76">
        <v>4</v>
      </c>
      <c r="O93" s="76">
        <v>2</v>
      </c>
      <c r="P93" s="76">
        <v>1</v>
      </c>
      <c r="Q93" s="76">
        <v>5</v>
      </c>
      <c r="R93" s="76">
        <v>0.35299999999999998</v>
      </c>
      <c r="S93" s="76">
        <v>1.75</v>
      </c>
      <c r="T93" s="76">
        <v>25</v>
      </c>
      <c r="U93" s="77" t="s">
        <v>630</v>
      </c>
      <c r="V93" s="76" t="s">
        <v>161</v>
      </c>
      <c r="W93" s="76">
        <v>0</v>
      </c>
      <c r="X93" s="76">
        <v>0</v>
      </c>
      <c r="Y93" s="76">
        <v>1</v>
      </c>
      <c r="Z93" s="76">
        <v>0</v>
      </c>
      <c r="AA93" s="76">
        <v>0</v>
      </c>
      <c r="AB93" s="76">
        <v>0</v>
      </c>
      <c r="AC93" s="76">
        <v>0</v>
      </c>
      <c r="AD93" s="76">
        <v>2</v>
      </c>
      <c r="AE93" s="76">
        <v>4</v>
      </c>
      <c r="AF93" s="76">
        <v>0</v>
      </c>
      <c r="AG93" s="76">
        <v>0</v>
      </c>
      <c r="AH93" s="76">
        <v>0</v>
      </c>
      <c r="AI93" s="76">
        <v>0</v>
      </c>
      <c r="AJ93" s="76">
        <v>0</v>
      </c>
      <c r="AK93" s="76">
        <v>19</v>
      </c>
      <c r="AL93" s="76">
        <v>89</v>
      </c>
      <c r="AM93" s="202"/>
      <c r="AN93" s="77"/>
      <c r="AO93" s="202"/>
      <c r="AP93" s="202"/>
      <c r="AQ93" s="202"/>
      <c r="AR93" s="202"/>
      <c r="AS93" s="202"/>
      <c r="AT93" s="202"/>
      <c r="AU93" s="202"/>
      <c r="AV93" s="202"/>
      <c r="AW93" s="202"/>
      <c r="AX93" s="202"/>
      <c r="AY93" s="202"/>
    </row>
    <row r="94" spans="1:51" ht="25.5" x14ac:dyDescent="0.2">
      <c r="A94" s="76">
        <v>26</v>
      </c>
      <c r="B94" s="77" t="s">
        <v>488</v>
      </c>
      <c r="C94" s="76" t="s">
        <v>161</v>
      </c>
      <c r="D94" s="76">
        <v>0</v>
      </c>
      <c r="E94" s="76">
        <v>0</v>
      </c>
      <c r="F94" s="76">
        <v>18</v>
      </c>
      <c r="G94" s="76">
        <v>1</v>
      </c>
      <c r="H94" s="76">
        <v>1</v>
      </c>
      <c r="I94" s="76">
        <v>0</v>
      </c>
      <c r="J94" s="76">
        <v>0</v>
      </c>
      <c r="K94" s="76">
        <v>3</v>
      </c>
      <c r="L94" s="76">
        <v>6</v>
      </c>
      <c r="M94" s="76">
        <v>6</v>
      </c>
      <c r="N94" s="76">
        <v>6</v>
      </c>
      <c r="O94" s="76">
        <v>3</v>
      </c>
      <c r="P94" s="76">
        <v>2</v>
      </c>
      <c r="Q94" s="76">
        <v>2</v>
      </c>
      <c r="R94" s="76">
        <v>0.42899999999999999</v>
      </c>
      <c r="S94" s="76">
        <v>2.67</v>
      </c>
      <c r="T94" s="76">
        <v>26</v>
      </c>
      <c r="U94" s="77" t="s">
        <v>488</v>
      </c>
      <c r="V94" s="76" t="s">
        <v>161</v>
      </c>
      <c r="W94" s="76">
        <v>0</v>
      </c>
      <c r="X94" s="76">
        <v>0</v>
      </c>
      <c r="Y94" s="76">
        <v>1</v>
      </c>
      <c r="Z94" s="76">
        <v>0</v>
      </c>
      <c r="AA94" s="76">
        <v>0</v>
      </c>
      <c r="AB94" s="76">
        <v>0</v>
      </c>
      <c r="AC94" s="76">
        <v>0</v>
      </c>
      <c r="AD94" s="76">
        <v>5</v>
      </c>
      <c r="AE94" s="76">
        <v>2</v>
      </c>
      <c r="AF94" s="76">
        <v>1</v>
      </c>
      <c r="AG94" s="76">
        <v>0</v>
      </c>
      <c r="AH94" s="76">
        <v>0</v>
      </c>
      <c r="AI94" s="76">
        <v>0</v>
      </c>
      <c r="AJ94" s="76">
        <v>0</v>
      </c>
      <c r="AK94" s="76">
        <v>18</v>
      </c>
      <c r="AL94" s="76">
        <v>57</v>
      </c>
      <c r="AM94" s="202"/>
      <c r="AN94" s="77"/>
      <c r="AO94" s="202"/>
      <c r="AP94" s="202"/>
      <c r="AQ94" s="202"/>
      <c r="AR94" s="202"/>
      <c r="AS94" s="202"/>
      <c r="AT94" s="202"/>
      <c r="AU94" s="202"/>
      <c r="AV94" s="202"/>
      <c r="AW94" s="202"/>
      <c r="AX94" s="202"/>
      <c r="AY94" s="202"/>
    </row>
    <row r="95" spans="1:51" ht="25.5" x14ac:dyDescent="0.2">
      <c r="A95" s="225" t="s">
        <v>105</v>
      </c>
      <c r="B95" s="225" t="s">
        <v>106</v>
      </c>
      <c r="C95" s="225" t="s">
        <v>157</v>
      </c>
      <c r="D95" s="225" t="s">
        <v>85</v>
      </c>
      <c r="E95" s="225" t="s">
        <v>86</v>
      </c>
      <c r="F95" s="225" t="s">
        <v>107</v>
      </c>
      <c r="G95" s="225" t="s">
        <v>108</v>
      </c>
      <c r="H95" s="225" t="s">
        <v>88</v>
      </c>
      <c r="I95" s="225" t="s">
        <v>90</v>
      </c>
      <c r="J95" s="225" t="s">
        <v>158</v>
      </c>
      <c r="K95" s="225" t="s">
        <v>91</v>
      </c>
      <c r="L95" s="225" t="s">
        <v>92</v>
      </c>
      <c r="M95" s="225" t="s">
        <v>93</v>
      </c>
      <c r="N95" s="225" t="s">
        <v>94</v>
      </c>
      <c r="O95" s="225" t="s">
        <v>95</v>
      </c>
      <c r="P95" s="225" t="s">
        <v>96</v>
      </c>
      <c r="Q95" s="225" t="s">
        <v>97</v>
      </c>
      <c r="R95" s="225" t="s">
        <v>1071</v>
      </c>
      <c r="S95" s="225" t="s">
        <v>1072</v>
      </c>
      <c r="T95" s="225" t="s">
        <v>105</v>
      </c>
      <c r="U95" s="225" t="s">
        <v>106</v>
      </c>
      <c r="V95" s="225" t="s">
        <v>157</v>
      </c>
      <c r="W95" s="225" t="s">
        <v>89</v>
      </c>
      <c r="X95" s="225" t="s">
        <v>1073</v>
      </c>
      <c r="Y95" s="225" t="s">
        <v>1074</v>
      </c>
      <c r="Z95" s="225" t="s">
        <v>98</v>
      </c>
      <c r="AA95" s="225" t="s">
        <v>1075</v>
      </c>
      <c r="AB95" s="225" t="s">
        <v>1076</v>
      </c>
      <c r="AC95" s="225" t="s">
        <v>1077</v>
      </c>
      <c r="AD95" s="225" t="s">
        <v>1066</v>
      </c>
      <c r="AE95" s="225" t="s">
        <v>1067</v>
      </c>
      <c r="AF95" s="225" t="s">
        <v>1078</v>
      </c>
      <c r="AG95" s="225" t="s">
        <v>1079</v>
      </c>
      <c r="AH95" s="225" t="s">
        <v>1057</v>
      </c>
      <c r="AI95" s="225" t="s">
        <v>1058</v>
      </c>
      <c r="AJ95" s="225" t="s">
        <v>1080</v>
      </c>
      <c r="AK95" s="225" t="s">
        <v>109</v>
      </c>
      <c r="AL95" s="225" t="s">
        <v>1069</v>
      </c>
      <c r="AM95" s="202"/>
      <c r="AN95" s="77"/>
      <c r="AO95" s="202"/>
      <c r="AP95" s="202"/>
      <c r="AQ95" s="202"/>
      <c r="AR95" s="202"/>
      <c r="AS95" s="202"/>
      <c r="AT95" s="202"/>
      <c r="AU95" s="202"/>
      <c r="AV95" s="202"/>
      <c r="AW95" s="202"/>
      <c r="AX95" s="202"/>
      <c r="AY95" s="202"/>
    </row>
    <row r="96" spans="1:51" x14ac:dyDescent="0.2">
      <c r="A96" s="76">
        <v>1</v>
      </c>
      <c r="B96" s="77" t="s">
        <v>1429</v>
      </c>
      <c r="C96" s="76" t="s">
        <v>162</v>
      </c>
      <c r="D96" s="76">
        <v>0</v>
      </c>
      <c r="E96" s="76">
        <v>0</v>
      </c>
      <c r="F96" s="76">
        <v>0</v>
      </c>
      <c r="G96" s="76">
        <v>1</v>
      </c>
      <c r="H96" s="76">
        <v>0</v>
      </c>
      <c r="I96" s="76">
        <v>0</v>
      </c>
      <c r="J96" s="76">
        <v>0</v>
      </c>
      <c r="K96" s="76">
        <v>1</v>
      </c>
      <c r="L96" s="76">
        <v>0</v>
      </c>
      <c r="M96" s="76">
        <v>0</v>
      </c>
      <c r="N96" s="76">
        <v>0</v>
      </c>
      <c r="O96" s="76">
        <v>0</v>
      </c>
      <c r="P96" s="76">
        <v>0</v>
      </c>
      <c r="Q96" s="76">
        <v>0</v>
      </c>
      <c r="R96" s="76">
        <v>0</v>
      </c>
      <c r="S96" s="76">
        <v>0</v>
      </c>
      <c r="T96" s="76">
        <v>1</v>
      </c>
      <c r="U96" s="77" t="s">
        <v>1429</v>
      </c>
      <c r="V96" s="76" t="s">
        <v>162</v>
      </c>
      <c r="W96" s="76">
        <v>0</v>
      </c>
      <c r="X96" s="76">
        <v>0</v>
      </c>
      <c r="Y96" s="76">
        <v>0</v>
      </c>
      <c r="Z96" s="76">
        <v>0</v>
      </c>
      <c r="AA96" s="76">
        <v>1</v>
      </c>
      <c r="AB96" s="76">
        <v>0</v>
      </c>
      <c r="AC96" s="76">
        <v>0</v>
      </c>
      <c r="AD96" s="76">
        <v>1</v>
      </c>
      <c r="AE96" s="76">
        <v>2</v>
      </c>
      <c r="AF96" s="76">
        <v>0</v>
      </c>
      <c r="AG96" s="76">
        <v>0</v>
      </c>
      <c r="AH96" s="76">
        <v>0</v>
      </c>
      <c r="AI96" s="76">
        <v>0</v>
      </c>
      <c r="AJ96" s="76">
        <v>0</v>
      </c>
      <c r="AK96" s="76">
        <v>3</v>
      </c>
      <c r="AL96" s="76">
        <v>5</v>
      </c>
      <c r="AM96" s="202"/>
      <c r="AN96" s="77"/>
      <c r="AO96" s="202"/>
      <c r="AP96" s="202"/>
      <c r="AQ96" s="202"/>
      <c r="AR96" s="202"/>
      <c r="AS96" s="202"/>
      <c r="AT96" s="202"/>
      <c r="AU96" s="202"/>
      <c r="AV96" s="202"/>
      <c r="AW96" s="202"/>
      <c r="AX96" s="202"/>
      <c r="AY96" s="202"/>
    </row>
    <row r="97" spans="1:51" ht="25.5" x14ac:dyDescent="0.2">
      <c r="A97" s="76">
        <v>2</v>
      </c>
      <c r="B97" s="77" t="s">
        <v>1106</v>
      </c>
      <c r="C97" s="76" t="s">
        <v>162</v>
      </c>
      <c r="D97" s="76">
        <v>3</v>
      </c>
      <c r="E97" s="76">
        <v>2</v>
      </c>
      <c r="F97" s="76">
        <v>2.5299999999999998</v>
      </c>
      <c r="G97" s="76">
        <v>37</v>
      </c>
      <c r="H97" s="76">
        <v>5</v>
      </c>
      <c r="I97" s="76">
        <v>6</v>
      </c>
      <c r="J97" s="76">
        <v>8</v>
      </c>
      <c r="K97" s="76">
        <v>78.099999999999994</v>
      </c>
      <c r="L97" s="76">
        <v>63</v>
      </c>
      <c r="M97" s="76">
        <v>22</v>
      </c>
      <c r="N97" s="76">
        <v>22</v>
      </c>
      <c r="O97" s="76">
        <v>7</v>
      </c>
      <c r="P97" s="76">
        <v>26</v>
      </c>
      <c r="Q97" s="76">
        <v>83</v>
      </c>
      <c r="R97" s="76">
        <v>0.216</v>
      </c>
      <c r="S97" s="76">
        <v>1.1399999999999999</v>
      </c>
      <c r="T97" s="76">
        <v>2</v>
      </c>
      <c r="U97" s="77" t="s">
        <v>1106</v>
      </c>
      <c r="V97" s="76" t="s">
        <v>162</v>
      </c>
      <c r="W97" s="76">
        <v>0</v>
      </c>
      <c r="X97" s="76">
        <v>0</v>
      </c>
      <c r="Y97" s="76">
        <v>5</v>
      </c>
      <c r="Z97" s="76">
        <v>1</v>
      </c>
      <c r="AA97" s="76">
        <v>15</v>
      </c>
      <c r="AB97" s="76">
        <v>7</v>
      </c>
      <c r="AC97" s="76">
        <v>3</v>
      </c>
      <c r="AD97" s="76">
        <v>69</v>
      </c>
      <c r="AE97" s="76">
        <v>79</v>
      </c>
      <c r="AF97" s="76">
        <v>3</v>
      </c>
      <c r="AG97" s="76">
        <v>1</v>
      </c>
      <c r="AH97" s="76">
        <v>0</v>
      </c>
      <c r="AI97" s="76">
        <v>1</v>
      </c>
      <c r="AJ97" s="76">
        <v>0</v>
      </c>
      <c r="AK97" s="76">
        <v>325</v>
      </c>
      <c r="AL97" s="76">
        <v>1245</v>
      </c>
      <c r="AM97" s="202"/>
      <c r="AN97" s="77"/>
      <c r="AO97" s="202"/>
      <c r="AP97" s="202"/>
      <c r="AQ97" s="202"/>
      <c r="AR97" s="202"/>
      <c r="AS97" s="202"/>
      <c r="AT97" s="202"/>
      <c r="AU97" s="202"/>
      <c r="AV97" s="202"/>
      <c r="AW97" s="202"/>
      <c r="AX97" s="202"/>
      <c r="AY97" s="202"/>
    </row>
    <row r="98" spans="1:51" ht="25.5" x14ac:dyDescent="0.2">
      <c r="A98" s="76">
        <v>3</v>
      </c>
      <c r="B98" s="77" t="s">
        <v>1108</v>
      </c>
      <c r="C98" s="76" t="s">
        <v>162</v>
      </c>
      <c r="D98" s="76">
        <v>2</v>
      </c>
      <c r="E98" s="76">
        <v>1</v>
      </c>
      <c r="F98" s="76">
        <v>2.88</v>
      </c>
      <c r="G98" s="76">
        <v>35</v>
      </c>
      <c r="H98" s="76">
        <v>0</v>
      </c>
      <c r="I98" s="76">
        <v>0</v>
      </c>
      <c r="J98" s="76">
        <v>2</v>
      </c>
      <c r="K98" s="76">
        <v>50</v>
      </c>
      <c r="L98" s="76">
        <v>41</v>
      </c>
      <c r="M98" s="76">
        <v>16</v>
      </c>
      <c r="N98" s="76">
        <v>16</v>
      </c>
      <c r="O98" s="76">
        <v>5</v>
      </c>
      <c r="P98" s="76">
        <v>13</v>
      </c>
      <c r="Q98" s="76">
        <v>48</v>
      </c>
      <c r="R98" s="76">
        <v>0.224</v>
      </c>
      <c r="S98" s="76">
        <v>1.08</v>
      </c>
      <c r="T98" s="76">
        <v>3</v>
      </c>
      <c r="U98" s="77" t="s">
        <v>1108</v>
      </c>
      <c r="V98" s="76" t="s">
        <v>162</v>
      </c>
      <c r="W98" s="76">
        <v>0</v>
      </c>
      <c r="X98" s="76">
        <v>0</v>
      </c>
      <c r="Y98" s="76">
        <v>6</v>
      </c>
      <c r="Z98" s="76">
        <v>0</v>
      </c>
      <c r="AA98" s="76">
        <v>4</v>
      </c>
      <c r="AB98" s="76">
        <v>10</v>
      </c>
      <c r="AC98" s="76">
        <v>10</v>
      </c>
      <c r="AD98" s="76">
        <v>72</v>
      </c>
      <c r="AE98" s="76">
        <v>22</v>
      </c>
      <c r="AF98" s="76">
        <v>2</v>
      </c>
      <c r="AG98" s="76">
        <v>2</v>
      </c>
      <c r="AH98" s="76">
        <v>1</v>
      </c>
      <c r="AI98" s="76">
        <v>0</v>
      </c>
      <c r="AJ98" s="76">
        <v>0</v>
      </c>
      <c r="AK98" s="76">
        <v>202</v>
      </c>
      <c r="AL98" s="76">
        <v>755</v>
      </c>
      <c r="AM98" s="102"/>
      <c r="AN98" s="102"/>
      <c r="AO98" s="102"/>
      <c r="AP98" s="102"/>
      <c r="AQ98" s="102"/>
      <c r="AR98" s="102"/>
      <c r="AS98" s="102"/>
      <c r="AT98" s="102"/>
      <c r="AU98" s="102"/>
      <c r="AV98" s="102"/>
      <c r="AW98" s="102"/>
      <c r="AX98" s="102"/>
      <c r="AY98" s="102"/>
    </row>
    <row r="99" spans="1:51" ht="25.5" x14ac:dyDescent="0.2">
      <c r="A99" s="76">
        <v>4</v>
      </c>
      <c r="B99" s="77" t="s">
        <v>755</v>
      </c>
      <c r="C99" s="76" t="s">
        <v>162</v>
      </c>
      <c r="D99" s="76">
        <v>1</v>
      </c>
      <c r="E99" s="76">
        <v>1</v>
      </c>
      <c r="F99" s="76">
        <v>3.14</v>
      </c>
      <c r="G99" s="76">
        <v>45</v>
      </c>
      <c r="H99" s="76">
        <v>0</v>
      </c>
      <c r="I99" s="76">
        <v>0</v>
      </c>
      <c r="J99" s="76">
        <v>1</v>
      </c>
      <c r="K99" s="76">
        <v>43</v>
      </c>
      <c r="L99" s="76">
        <v>36</v>
      </c>
      <c r="M99" s="76">
        <v>20</v>
      </c>
      <c r="N99" s="76">
        <v>15</v>
      </c>
      <c r="O99" s="76">
        <v>8</v>
      </c>
      <c r="P99" s="76">
        <v>19</v>
      </c>
      <c r="Q99" s="76">
        <v>37</v>
      </c>
      <c r="R99" s="76">
        <v>0.224</v>
      </c>
      <c r="S99" s="76">
        <v>1.28</v>
      </c>
      <c r="T99" s="76">
        <v>4</v>
      </c>
      <c r="U99" s="77" t="s">
        <v>755</v>
      </c>
      <c r="V99" s="76" t="s">
        <v>162</v>
      </c>
      <c r="W99" s="76">
        <v>0</v>
      </c>
      <c r="X99" s="76">
        <v>0</v>
      </c>
      <c r="Y99" s="76">
        <v>1</v>
      </c>
      <c r="Z99" s="76">
        <v>1</v>
      </c>
      <c r="AA99" s="76">
        <v>11</v>
      </c>
      <c r="AB99" s="76">
        <v>4</v>
      </c>
      <c r="AC99" s="76">
        <v>4</v>
      </c>
      <c r="AD99" s="76">
        <v>49</v>
      </c>
      <c r="AE99" s="76">
        <v>40</v>
      </c>
      <c r="AF99" s="76">
        <v>5</v>
      </c>
      <c r="AG99" s="76">
        <v>0</v>
      </c>
      <c r="AH99" s="76">
        <v>5</v>
      </c>
      <c r="AI99" s="76">
        <v>1</v>
      </c>
      <c r="AJ99" s="76">
        <v>1</v>
      </c>
      <c r="AK99" s="76">
        <v>182</v>
      </c>
      <c r="AL99" s="76">
        <v>767</v>
      </c>
      <c r="AM99" s="202"/>
      <c r="AN99" s="77"/>
      <c r="AO99" s="202"/>
      <c r="AP99" s="202"/>
      <c r="AQ99" s="202"/>
      <c r="AR99" s="202"/>
      <c r="AS99" s="202"/>
      <c r="AT99" s="202"/>
      <c r="AU99" s="202"/>
      <c r="AV99" s="202"/>
      <c r="AW99" s="202"/>
      <c r="AX99" s="202"/>
      <c r="AY99" s="202"/>
    </row>
    <row r="100" spans="1:51" ht="38.25" x14ac:dyDescent="0.2">
      <c r="A100" s="76">
        <v>5</v>
      </c>
      <c r="B100" s="77" t="s">
        <v>767</v>
      </c>
      <c r="C100" s="76" t="s">
        <v>162</v>
      </c>
      <c r="D100" s="76">
        <v>9</v>
      </c>
      <c r="E100" s="76">
        <v>5</v>
      </c>
      <c r="F100" s="76">
        <v>3.28</v>
      </c>
      <c r="G100" s="76">
        <v>20</v>
      </c>
      <c r="H100" s="76">
        <v>20</v>
      </c>
      <c r="I100" s="76">
        <v>0</v>
      </c>
      <c r="J100" s="76">
        <v>0</v>
      </c>
      <c r="K100" s="76">
        <v>123.1</v>
      </c>
      <c r="L100" s="76">
        <v>120</v>
      </c>
      <c r="M100" s="76">
        <v>51</v>
      </c>
      <c r="N100" s="76">
        <v>45</v>
      </c>
      <c r="O100" s="76">
        <v>16</v>
      </c>
      <c r="P100" s="76">
        <v>30</v>
      </c>
      <c r="Q100" s="76">
        <v>105</v>
      </c>
      <c r="R100" s="76">
        <v>0.25900000000000001</v>
      </c>
      <c r="S100" s="76">
        <v>1.22</v>
      </c>
      <c r="T100" s="76">
        <v>5</v>
      </c>
      <c r="U100" s="77" t="s">
        <v>767</v>
      </c>
      <c r="V100" s="76" t="s">
        <v>162</v>
      </c>
      <c r="W100" s="76">
        <v>1</v>
      </c>
      <c r="X100" s="76">
        <v>1</v>
      </c>
      <c r="Y100" s="76">
        <v>4</v>
      </c>
      <c r="Z100" s="76">
        <v>2</v>
      </c>
      <c r="AA100" s="76">
        <v>0</v>
      </c>
      <c r="AB100" s="76">
        <v>0</v>
      </c>
      <c r="AC100" s="76">
        <v>12</v>
      </c>
      <c r="AD100" s="76">
        <v>122</v>
      </c>
      <c r="AE100" s="76">
        <v>126</v>
      </c>
      <c r="AF100" s="76">
        <v>6</v>
      </c>
      <c r="AG100" s="76">
        <v>1</v>
      </c>
      <c r="AH100" s="76">
        <v>9</v>
      </c>
      <c r="AI100" s="76">
        <v>6</v>
      </c>
      <c r="AJ100" s="76">
        <v>3</v>
      </c>
      <c r="AK100" s="76">
        <v>507</v>
      </c>
      <c r="AL100" s="76">
        <v>1968</v>
      </c>
      <c r="AM100" s="202"/>
      <c r="AN100" s="77"/>
      <c r="AO100" s="202"/>
      <c r="AP100" s="202"/>
      <c r="AQ100" s="202"/>
      <c r="AR100" s="202"/>
      <c r="AS100" s="202"/>
      <c r="AT100" s="202"/>
      <c r="AU100" s="202"/>
      <c r="AV100" s="202"/>
      <c r="AW100" s="202"/>
      <c r="AX100" s="202"/>
      <c r="AY100" s="202"/>
    </row>
    <row r="101" spans="1:51" ht="25.5" x14ac:dyDescent="0.2">
      <c r="A101" s="76">
        <v>6</v>
      </c>
      <c r="B101" s="77" t="s">
        <v>601</v>
      </c>
      <c r="C101" s="76" t="s">
        <v>162</v>
      </c>
      <c r="D101" s="76">
        <v>14</v>
      </c>
      <c r="E101" s="76">
        <v>8</v>
      </c>
      <c r="F101" s="76">
        <v>3.76</v>
      </c>
      <c r="G101" s="76">
        <v>34</v>
      </c>
      <c r="H101" s="76">
        <v>31</v>
      </c>
      <c r="I101" s="76">
        <v>0</v>
      </c>
      <c r="J101" s="76">
        <v>0</v>
      </c>
      <c r="K101" s="76">
        <v>191.1</v>
      </c>
      <c r="L101" s="76">
        <v>154</v>
      </c>
      <c r="M101" s="76">
        <v>80</v>
      </c>
      <c r="N101" s="76">
        <v>80</v>
      </c>
      <c r="O101" s="76">
        <v>31</v>
      </c>
      <c r="P101" s="76">
        <v>73</v>
      </c>
      <c r="Q101" s="76">
        <v>162</v>
      </c>
      <c r="R101" s="76">
        <v>0.22</v>
      </c>
      <c r="S101" s="76">
        <v>1.19</v>
      </c>
      <c r="T101" s="76">
        <v>6</v>
      </c>
      <c r="U101" s="77" t="s">
        <v>601</v>
      </c>
      <c r="V101" s="76" t="s">
        <v>162</v>
      </c>
      <c r="W101" s="76">
        <v>0</v>
      </c>
      <c r="X101" s="76">
        <v>0</v>
      </c>
      <c r="Y101" s="76">
        <v>11</v>
      </c>
      <c r="Z101" s="76">
        <v>4</v>
      </c>
      <c r="AA101" s="76">
        <v>0</v>
      </c>
      <c r="AB101" s="76">
        <v>0</v>
      </c>
      <c r="AC101" s="76">
        <v>10</v>
      </c>
      <c r="AD101" s="76">
        <v>146</v>
      </c>
      <c r="AE101" s="76">
        <v>246</v>
      </c>
      <c r="AF101" s="76">
        <v>3</v>
      </c>
      <c r="AG101" s="76">
        <v>1</v>
      </c>
      <c r="AH101" s="76">
        <v>12</v>
      </c>
      <c r="AI101" s="76">
        <v>7</v>
      </c>
      <c r="AJ101" s="76">
        <v>1</v>
      </c>
      <c r="AK101" s="76">
        <v>792</v>
      </c>
      <c r="AL101" s="76">
        <v>3061</v>
      </c>
      <c r="AM101" s="202"/>
      <c r="AN101" s="77"/>
      <c r="AO101" s="202"/>
      <c r="AP101" s="202"/>
      <c r="AQ101" s="202"/>
      <c r="AR101" s="202"/>
      <c r="AS101" s="202"/>
      <c r="AT101" s="202"/>
      <c r="AU101" s="202"/>
      <c r="AV101" s="202"/>
      <c r="AW101" s="202"/>
      <c r="AX101" s="202"/>
      <c r="AY101" s="202"/>
    </row>
    <row r="102" spans="1:51" ht="25.5" x14ac:dyDescent="0.2">
      <c r="A102" s="76">
        <v>7</v>
      </c>
      <c r="B102" s="77" t="s">
        <v>806</v>
      </c>
      <c r="C102" s="76" t="s">
        <v>162</v>
      </c>
      <c r="D102" s="76">
        <v>10</v>
      </c>
      <c r="E102" s="76">
        <v>11</v>
      </c>
      <c r="F102" s="76">
        <v>3.98</v>
      </c>
      <c r="G102" s="76">
        <v>31</v>
      </c>
      <c r="H102" s="76">
        <v>31</v>
      </c>
      <c r="I102" s="76">
        <v>0</v>
      </c>
      <c r="J102" s="76">
        <v>0</v>
      </c>
      <c r="K102" s="76">
        <v>172</v>
      </c>
      <c r="L102" s="76">
        <v>150</v>
      </c>
      <c r="M102" s="76">
        <v>86</v>
      </c>
      <c r="N102" s="76">
        <v>76</v>
      </c>
      <c r="O102" s="76">
        <v>29</v>
      </c>
      <c r="P102" s="76">
        <v>84</v>
      </c>
      <c r="Q102" s="76">
        <v>145</v>
      </c>
      <c r="R102" s="76">
        <v>0.23599999999999999</v>
      </c>
      <c r="S102" s="76">
        <v>1.36</v>
      </c>
      <c r="T102" s="76">
        <v>7</v>
      </c>
      <c r="U102" s="77" t="s">
        <v>806</v>
      </c>
      <c r="V102" s="76" t="s">
        <v>162</v>
      </c>
      <c r="W102" s="76">
        <v>1</v>
      </c>
      <c r="X102" s="76">
        <v>0</v>
      </c>
      <c r="Y102" s="76">
        <v>4</v>
      </c>
      <c r="Z102" s="76">
        <v>2</v>
      </c>
      <c r="AA102" s="76">
        <v>0</v>
      </c>
      <c r="AB102" s="76">
        <v>0</v>
      </c>
      <c r="AC102" s="76">
        <v>17</v>
      </c>
      <c r="AD102" s="76">
        <v>161</v>
      </c>
      <c r="AE102" s="76">
        <v>190</v>
      </c>
      <c r="AF102" s="76">
        <v>6</v>
      </c>
      <c r="AG102" s="76">
        <v>2</v>
      </c>
      <c r="AH102" s="76">
        <v>15</v>
      </c>
      <c r="AI102" s="76">
        <v>6</v>
      </c>
      <c r="AJ102" s="76">
        <v>3</v>
      </c>
      <c r="AK102" s="76">
        <v>734</v>
      </c>
      <c r="AL102" s="76">
        <v>2884</v>
      </c>
      <c r="AM102" s="202"/>
      <c r="AN102" s="77"/>
      <c r="AO102" s="202"/>
      <c r="AP102" s="202"/>
      <c r="AQ102" s="202"/>
      <c r="AR102" s="202"/>
      <c r="AS102" s="202"/>
      <c r="AT102" s="202"/>
      <c r="AU102" s="202"/>
      <c r="AV102" s="202"/>
      <c r="AW102" s="202"/>
      <c r="AX102" s="202"/>
      <c r="AY102" s="202"/>
    </row>
    <row r="103" spans="1:51" ht="25.5" x14ac:dyDescent="0.2">
      <c r="A103" s="76">
        <v>8</v>
      </c>
      <c r="B103" s="77" t="s">
        <v>1430</v>
      </c>
      <c r="C103" s="76" t="s">
        <v>162</v>
      </c>
      <c r="D103" s="76">
        <v>6</v>
      </c>
      <c r="E103" s="76">
        <v>5</v>
      </c>
      <c r="F103" s="76">
        <v>3.99</v>
      </c>
      <c r="G103" s="76">
        <v>70</v>
      </c>
      <c r="H103" s="76">
        <v>0</v>
      </c>
      <c r="I103" s="76">
        <v>1</v>
      </c>
      <c r="J103" s="76">
        <v>6</v>
      </c>
      <c r="K103" s="76">
        <v>76.2</v>
      </c>
      <c r="L103" s="76">
        <v>72</v>
      </c>
      <c r="M103" s="76">
        <v>38</v>
      </c>
      <c r="N103" s="76">
        <v>34</v>
      </c>
      <c r="O103" s="76">
        <v>9</v>
      </c>
      <c r="P103" s="76">
        <v>38</v>
      </c>
      <c r="Q103" s="76">
        <v>81</v>
      </c>
      <c r="R103" s="76">
        <v>0.251</v>
      </c>
      <c r="S103" s="76">
        <v>1.43</v>
      </c>
      <c r="T103" s="76">
        <v>8</v>
      </c>
      <c r="U103" s="77" t="s">
        <v>1430</v>
      </c>
      <c r="V103" s="76" t="s">
        <v>162</v>
      </c>
      <c r="W103" s="76">
        <v>0</v>
      </c>
      <c r="X103" s="76">
        <v>0</v>
      </c>
      <c r="Y103" s="76">
        <v>2</v>
      </c>
      <c r="Z103" s="76">
        <v>3</v>
      </c>
      <c r="AA103" s="76">
        <v>21</v>
      </c>
      <c r="AB103" s="76">
        <v>15</v>
      </c>
      <c r="AC103" s="76">
        <v>8</v>
      </c>
      <c r="AD103" s="76">
        <v>85</v>
      </c>
      <c r="AE103" s="76">
        <v>52</v>
      </c>
      <c r="AF103" s="76">
        <v>8</v>
      </c>
      <c r="AG103" s="76">
        <v>0</v>
      </c>
      <c r="AH103" s="76">
        <v>8</v>
      </c>
      <c r="AI103" s="76">
        <v>1</v>
      </c>
      <c r="AJ103" s="76">
        <v>0</v>
      </c>
      <c r="AK103" s="76">
        <v>330</v>
      </c>
      <c r="AL103" s="76">
        <v>1313</v>
      </c>
      <c r="AM103" s="202"/>
      <c r="AN103" s="77"/>
      <c r="AO103" s="202"/>
      <c r="AP103" s="202"/>
      <c r="AQ103" s="202"/>
      <c r="AR103" s="202"/>
      <c r="AS103" s="202"/>
      <c r="AT103" s="202"/>
      <c r="AU103" s="202"/>
      <c r="AV103" s="202"/>
      <c r="AW103" s="202"/>
      <c r="AX103" s="202"/>
      <c r="AY103" s="202"/>
    </row>
    <row r="104" spans="1:51" ht="25.5" x14ac:dyDescent="0.2">
      <c r="A104" s="76">
        <v>9</v>
      </c>
      <c r="B104" s="77" t="s">
        <v>1431</v>
      </c>
      <c r="C104" s="76" t="s">
        <v>162</v>
      </c>
      <c r="D104" s="76">
        <v>4</v>
      </c>
      <c r="E104" s="76">
        <v>4</v>
      </c>
      <c r="F104" s="76">
        <v>4</v>
      </c>
      <c r="G104" s="76">
        <v>13</v>
      </c>
      <c r="H104" s="76">
        <v>13</v>
      </c>
      <c r="I104" s="76">
        <v>0</v>
      </c>
      <c r="J104" s="76">
        <v>0</v>
      </c>
      <c r="K104" s="76">
        <v>69.2</v>
      </c>
      <c r="L104" s="76">
        <v>64</v>
      </c>
      <c r="M104" s="76">
        <v>32</v>
      </c>
      <c r="N104" s="76">
        <v>31</v>
      </c>
      <c r="O104" s="76">
        <v>13</v>
      </c>
      <c r="P104" s="76">
        <v>20</v>
      </c>
      <c r="Q104" s="76">
        <v>47</v>
      </c>
      <c r="R104" s="76">
        <v>0.251</v>
      </c>
      <c r="S104" s="76">
        <v>1.21</v>
      </c>
      <c r="T104" s="76">
        <v>9</v>
      </c>
      <c r="U104" s="77" t="s">
        <v>1431</v>
      </c>
      <c r="V104" s="76" t="s">
        <v>162</v>
      </c>
      <c r="W104" s="76">
        <v>0</v>
      </c>
      <c r="X104" s="76">
        <v>0</v>
      </c>
      <c r="Y104" s="76">
        <v>5</v>
      </c>
      <c r="Z104" s="76">
        <v>1</v>
      </c>
      <c r="AA104" s="76">
        <v>0</v>
      </c>
      <c r="AB104" s="76">
        <v>0</v>
      </c>
      <c r="AC104" s="76">
        <v>8</v>
      </c>
      <c r="AD104" s="76">
        <v>63</v>
      </c>
      <c r="AE104" s="76">
        <v>88</v>
      </c>
      <c r="AF104" s="76">
        <v>0</v>
      </c>
      <c r="AG104" s="76">
        <v>0</v>
      </c>
      <c r="AH104" s="76">
        <v>4</v>
      </c>
      <c r="AI104" s="76">
        <v>1</v>
      </c>
      <c r="AJ104" s="76">
        <v>2</v>
      </c>
      <c r="AK104" s="76">
        <v>287</v>
      </c>
      <c r="AL104" s="76">
        <v>1107</v>
      </c>
      <c r="AM104" s="202"/>
      <c r="AN104" s="77"/>
      <c r="AO104" s="202"/>
      <c r="AP104" s="202"/>
      <c r="AQ104" s="202"/>
      <c r="AR104" s="202"/>
      <c r="AS104" s="202"/>
      <c r="AT104" s="202"/>
      <c r="AU104" s="202"/>
      <c r="AV104" s="202"/>
      <c r="AW104" s="202"/>
      <c r="AX104" s="202"/>
      <c r="AY104" s="202"/>
    </row>
    <row r="105" spans="1:51" ht="25.5" x14ac:dyDescent="0.2">
      <c r="A105" s="76">
        <v>10</v>
      </c>
      <c r="B105" s="77" t="s">
        <v>359</v>
      </c>
      <c r="C105" s="76" t="s">
        <v>162</v>
      </c>
      <c r="D105" s="76">
        <v>2</v>
      </c>
      <c r="E105" s="76">
        <v>5</v>
      </c>
      <c r="F105" s="76">
        <v>4.1399999999999997</v>
      </c>
      <c r="G105" s="76">
        <v>65</v>
      </c>
      <c r="H105" s="76">
        <v>0</v>
      </c>
      <c r="I105" s="76">
        <v>17</v>
      </c>
      <c r="J105" s="76">
        <v>23</v>
      </c>
      <c r="K105" s="76">
        <v>63</v>
      </c>
      <c r="L105" s="76">
        <v>54</v>
      </c>
      <c r="M105" s="76">
        <v>30</v>
      </c>
      <c r="N105" s="76">
        <v>29</v>
      </c>
      <c r="O105" s="76">
        <v>5</v>
      </c>
      <c r="P105" s="76">
        <v>37</v>
      </c>
      <c r="Q105" s="76">
        <v>49</v>
      </c>
      <c r="R105" s="76">
        <v>0.23599999999999999</v>
      </c>
      <c r="S105" s="76">
        <v>1.44</v>
      </c>
      <c r="T105" s="76">
        <v>10</v>
      </c>
      <c r="U105" s="77" t="s">
        <v>359</v>
      </c>
      <c r="V105" s="76" t="s">
        <v>162</v>
      </c>
      <c r="W105" s="76">
        <v>0</v>
      </c>
      <c r="X105" s="76">
        <v>0</v>
      </c>
      <c r="Y105" s="76">
        <v>3</v>
      </c>
      <c r="Z105" s="76">
        <v>1</v>
      </c>
      <c r="AA105" s="76">
        <v>34</v>
      </c>
      <c r="AB105" s="76">
        <v>8</v>
      </c>
      <c r="AC105" s="76">
        <v>5</v>
      </c>
      <c r="AD105" s="76">
        <v>68</v>
      </c>
      <c r="AE105" s="76">
        <v>60</v>
      </c>
      <c r="AF105" s="76">
        <v>3</v>
      </c>
      <c r="AG105" s="76">
        <v>1</v>
      </c>
      <c r="AH105" s="76">
        <v>0</v>
      </c>
      <c r="AI105" s="76">
        <v>5</v>
      </c>
      <c r="AJ105" s="76">
        <v>4</v>
      </c>
      <c r="AK105" s="76">
        <v>271</v>
      </c>
      <c r="AL105" s="76">
        <v>1095</v>
      </c>
      <c r="AM105" s="202"/>
      <c r="AN105" s="77"/>
      <c r="AO105" s="202"/>
      <c r="AP105" s="202"/>
      <c r="AQ105" s="202"/>
      <c r="AR105" s="202"/>
      <c r="AS105" s="202"/>
      <c r="AT105" s="202"/>
      <c r="AU105" s="202"/>
      <c r="AV105" s="202"/>
      <c r="AW105" s="202"/>
      <c r="AX105" s="202"/>
      <c r="AY105" s="202"/>
    </row>
    <row r="106" spans="1:51" ht="25.5" x14ac:dyDescent="0.2">
      <c r="A106" s="76">
        <v>11</v>
      </c>
      <c r="B106" s="77" t="s">
        <v>1110</v>
      </c>
      <c r="C106" s="76" t="s">
        <v>162</v>
      </c>
      <c r="D106" s="76">
        <v>0</v>
      </c>
      <c r="E106" s="76">
        <v>1</v>
      </c>
      <c r="F106" s="76">
        <v>4.3499999999999996</v>
      </c>
      <c r="G106" s="76">
        <v>18</v>
      </c>
      <c r="H106" s="76">
        <v>2</v>
      </c>
      <c r="I106" s="76">
        <v>0</v>
      </c>
      <c r="J106" s="76">
        <v>0</v>
      </c>
      <c r="K106" s="76">
        <v>39.1</v>
      </c>
      <c r="L106" s="76">
        <v>40</v>
      </c>
      <c r="M106" s="76">
        <v>24</v>
      </c>
      <c r="N106" s="76">
        <v>19</v>
      </c>
      <c r="O106" s="76">
        <v>9</v>
      </c>
      <c r="P106" s="76">
        <v>27</v>
      </c>
      <c r="Q106" s="76">
        <v>42</v>
      </c>
      <c r="R106" s="76">
        <v>0.255</v>
      </c>
      <c r="S106" s="76">
        <v>1.7</v>
      </c>
      <c r="T106" s="76">
        <v>11</v>
      </c>
      <c r="U106" s="77" t="s">
        <v>1110</v>
      </c>
      <c r="V106" s="76" t="s">
        <v>162</v>
      </c>
      <c r="W106" s="76">
        <v>0</v>
      </c>
      <c r="X106" s="76">
        <v>0</v>
      </c>
      <c r="Y106" s="76">
        <v>2</v>
      </c>
      <c r="Z106" s="76">
        <v>2</v>
      </c>
      <c r="AA106" s="76">
        <v>2</v>
      </c>
      <c r="AB106" s="76">
        <v>0</v>
      </c>
      <c r="AC106" s="76">
        <v>1</v>
      </c>
      <c r="AD106" s="76">
        <v>33</v>
      </c>
      <c r="AE106" s="76">
        <v>44</v>
      </c>
      <c r="AF106" s="76">
        <v>3</v>
      </c>
      <c r="AG106" s="76">
        <v>0</v>
      </c>
      <c r="AH106" s="76">
        <v>4</v>
      </c>
      <c r="AI106" s="76">
        <v>1</v>
      </c>
      <c r="AJ106" s="76">
        <v>0</v>
      </c>
      <c r="AK106" s="76">
        <v>188</v>
      </c>
      <c r="AL106" s="76">
        <v>796</v>
      </c>
      <c r="AM106" s="202"/>
      <c r="AN106" s="77"/>
      <c r="AO106" s="202"/>
      <c r="AP106" s="202"/>
      <c r="AQ106" s="202"/>
      <c r="AR106" s="202"/>
      <c r="AS106" s="202"/>
      <c r="AT106" s="202"/>
      <c r="AU106" s="202"/>
      <c r="AV106" s="202"/>
      <c r="AW106" s="202"/>
      <c r="AX106" s="202"/>
      <c r="AY106" s="202"/>
    </row>
    <row r="107" spans="1:51" ht="25.5" x14ac:dyDescent="0.2">
      <c r="A107" s="76">
        <v>12</v>
      </c>
      <c r="B107" s="77" t="s">
        <v>1215</v>
      </c>
      <c r="C107" s="76" t="s">
        <v>162</v>
      </c>
      <c r="D107" s="76">
        <v>5</v>
      </c>
      <c r="E107" s="76">
        <v>7</v>
      </c>
      <c r="F107" s="76">
        <v>4.66</v>
      </c>
      <c r="G107" s="76">
        <v>64</v>
      </c>
      <c r="H107" s="76">
        <v>0</v>
      </c>
      <c r="I107" s="76">
        <v>2</v>
      </c>
      <c r="J107" s="76">
        <v>5</v>
      </c>
      <c r="K107" s="76">
        <v>65.2</v>
      </c>
      <c r="L107" s="76">
        <v>59</v>
      </c>
      <c r="M107" s="76">
        <v>35</v>
      </c>
      <c r="N107" s="76">
        <v>34</v>
      </c>
      <c r="O107" s="76">
        <v>14</v>
      </c>
      <c r="P107" s="76">
        <v>32</v>
      </c>
      <c r="Q107" s="76">
        <v>68</v>
      </c>
      <c r="R107" s="76">
        <v>0.23699999999999999</v>
      </c>
      <c r="S107" s="76">
        <v>1.39</v>
      </c>
      <c r="T107" s="76">
        <v>12</v>
      </c>
      <c r="U107" s="77" t="s">
        <v>1215</v>
      </c>
      <c r="V107" s="76" t="s">
        <v>162</v>
      </c>
      <c r="W107" s="76">
        <v>0</v>
      </c>
      <c r="X107" s="76">
        <v>0</v>
      </c>
      <c r="Y107" s="76">
        <v>6</v>
      </c>
      <c r="Z107" s="76">
        <v>1</v>
      </c>
      <c r="AA107" s="76">
        <v>34</v>
      </c>
      <c r="AB107" s="76">
        <v>3</v>
      </c>
      <c r="AC107" s="76">
        <v>4</v>
      </c>
      <c r="AD107" s="76">
        <v>44</v>
      </c>
      <c r="AE107" s="76">
        <v>81</v>
      </c>
      <c r="AF107" s="76">
        <v>4</v>
      </c>
      <c r="AG107" s="76">
        <v>0</v>
      </c>
      <c r="AH107" s="76">
        <v>5</v>
      </c>
      <c r="AI107" s="76">
        <v>2</v>
      </c>
      <c r="AJ107" s="76">
        <v>0</v>
      </c>
      <c r="AK107" s="76">
        <v>290</v>
      </c>
      <c r="AL107" s="76">
        <v>1138</v>
      </c>
      <c r="AM107" s="202"/>
      <c r="AN107" s="77"/>
      <c r="AO107" s="202"/>
      <c r="AP107" s="202"/>
      <c r="AQ107" s="202"/>
      <c r="AR107" s="202"/>
      <c r="AS107" s="202"/>
      <c r="AT107" s="202"/>
      <c r="AU107" s="202"/>
      <c r="AV107" s="202"/>
      <c r="AW107" s="202"/>
      <c r="AX107" s="202"/>
      <c r="AY107" s="202"/>
    </row>
    <row r="108" spans="1:51" ht="25.5" x14ac:dyDescent="0.2">
      <c r="A108" s="76">
        <v>13</v>
      </c>
      <c r="B108" s="77" t="s">
        <v>521</v>
      </c>
      <c r="C108" s="76" t="s">
        <v>162</v>
      </c>
      <c r="D108" s="76">
        <v>3</v>
      </c>
      <c r="E108" s="76">
        <v>3</v>
      </c>
      <c r="F108" s="76">
        <v>4.68</v>
      </c>
      <c r="G108" s="76">
        <v>32</v>
      </c>
      <c r="H108" s="76">
        <v>2</v>
      </c>
      <c r="I108" s="76">
        <v>0</v>
      </c>
      <c r="J108" s="76">
        <v>0</v>
      </c>
      <c r="K108" s="76">
        <v>59.2</v>
      </c>
      <c r="L108" s="76">
        <v>57</v>
      </c>
      <c r="M108" s="76">
        <v>32</v>
      </c>
      <c r="N108" s="76">
        <v>31</v>
      </c>
      <c r="O108" s="76">
        <v>11</v>
      </c>
      <c r="P108" s="76">
        <v>26</v>
      </c>
      <c r="Q108" s="76">
        <v>48</v>
      </c>
      <c r="R108" s="76">
        <v>0.247</v>
      </c>
      <c r="S108" s="76">
        <v>1.39</v>
      </c>
      <c r="T108" s="76">
        <v>13</v>
      </c>
      <c r="U108" s="77" t="s">
        <v>521</v>
      </c>
      <c r="V108" s="76" t="s">
        <v>162</v>
      </c>
      <c r="W108" s="76">
        <v>0</v>
      </c>
      <c r="X108" s="76">
        <v>0</v>
      </c>
      <c r="Y108" s="76">
        <v>1</v>
      </c>
      <c r="Z108" s="76">
        <v>1</v>
      </c>
      <c r="AA108" s="76">
        <v>8</v>
      </c>
      <c r="AB108" s="76">
        <v>1</v>
      </c>
      <c r="AC108" s="76">
        <v>1</v>
      </c>
      <c r="AD108" s="76">
        <v>53</v>
      </c>
      <c r="AE108" s="76">
        <v>75</v>
      </c>
      <c r="AF108" s="76">
        <v>1</v>
      </c>
      <c r="AG108" s="76">
        <v>0</v>
      </c>
      <c r="AH108" s="76">
        <v>8</v>
      </c>
      <c r="AI108" s="76">
        <v>2</v>
      </c>
      <c r="AJ108" s="76">
        <v>0</v>
      </c>
      <c r="AK108" s="76">
        <v>260</v>
      </c>
      <c r="AL108" s="76">
        <v>1042</v>
      </c>
      <c r="AM108" s="202"/>
      <c r="AN108" s="77"/>
      <c r="AO108" s="202"/>
      <c r="AP108" s="202"/>
      <c r="AQ108" s="202"/>
      <c r="AR108" s="202"/>
      <c r="AS108" s="202"/>
      <c r="AT108" s="202"/>
      <c r="AU108" s="202"/>
      <c r="AV108" s="202"/>
      <c r="AW108" s="202"/>
      <c r="AX108" s="202"/>
      <c r="AY108" s="202"/>
    </row>
    <row r="109" spans="1:51" ht="38.25" x14ac:dyDescent="0.2">
      <c r="A109" s="76">
        <v>14</v>
      </c>
      <c r="B109" s="77" t="s">
        <v>1432</v>
      </c>
      <c r="C109" s="76" t="s">
        <v>162</v>
      </c>
      <c r="D109" s="76">
        <v>2</v>
      </c>
      <c r="E109" s="76">
        <v>3</v>
      </c>
      <c r="F109" s="76">
        <v>6.08</v>
      </c>
      <c r="G109" s="76">
        <v>8</v>
      </c>
      <c r="H109" s="76">
        <v>8</v>
      </c>
      <c r="I109" s="76">
        <v>0</v>
      </c>
      <c r="J109" s="76">
        <v>0</v>
      </c>
      <c r="K109" s="76">
        <v>37</v>
      </c>
      <c r="L109" s="76">
        <v>41</v>
      </c>
      <c r="M109" s="76">
        <v>26</v>
      </c>
      <c r="N109" s="76">
        <v>25</v>
      </c>
      <c r="O109" s="76">
        <v>9</v>
      </c>
      <c r="P109" s="76">
        <v>19</v>
      </c>
      <c r="Q109" s="76">
        <v>31</v>
      </c>
      <c r="R109" s="76">
        <v>0.27900000000000003</v>
      </c>
      <c r="S109" s="76">
        <v>1.62</v>
      </c>
      <c r="T109" s="76">
        <v>14</v>
      </c>
      <c r="U109" s="77" t="s">
        <v>1432</v>
      </c>
      <c r="V109" s="76" t="s">
        <v>162</v>
      </c>
      <c r="W109" s="76">
        <v>0</v>
      </c>
      <c r="X109" s="76">
        <v>0</v>
      </c>
      <c r="Y109" s="76">
        <v>4</v>
      </c>
      <c r="Z109" s="76">
        <v>1</v>
      </c>
      <c r="AA109" s="76">
        <v>0</v>
      </c>
      <c r="AB109" s="76">
        <v>0</v>
      </c>
      <c r="AC109" s="76">
        <v>3</v>
      </c>
      <c r="AD109" s="76">
        <v>31</v>
      </c>
      <c r="AE109" s="76">
        <v>44</v>
      </c>
      <c r="AF109" s="76">
        <v>2</v>
      </c>
      <c r="AG109" s="76">
        <v>1</v>
      </c>
      <c r="AH109" s="76">
        <v>0</v>
      </c>
      <c r="AI109" s="76">
        <v>0</v>
      </c>
      <c r="AJ109" s="76">
        <v>0</v>
      </c>
      <c r="AK109" s="76">
        <v>170</v>
      </c>
      <c r="AL109" s="76">
        <v>721</v>
      </c>
      <c r="AM109" s="202"/>
      <c r="AN109" s="77"/>
      <c r="AO109" s="202"/>
      <c r="AP109" s="202"/>
      <c r="AQ109" s="202"/>
      <c r="AR109" s="202"/>
      <c r="AS109" s="202"/>
      <c r="AT109" s="202"/>
      <c r="AU109" s="202"/>
      <c r="AV109" s="202"/>
      <c r="AW109" s="202"/>
      <c r="AX109" s="202"/>
      <c r="AY109" s="202"/>
    </row>
    <row r="110" spans="1:51" ht="25.5" x14ac:dyDescent="0.2">
      <c r="A110" s="76">
        <v>15</v>
      </c>
      <c r="B110" s="77" t="s">
        <v>1433</v>
      </c>
      <c r="C110" s="76" t="s">
        <v>162</v>
      </c>
      <c r="D110" s="76">
        <v>0</v>
      </c>
      <c r="E110" s="76">
        <v>0</v>
      </c>
      <c r="F110" s="76">
        <v>6.23</v>
      </c>
      <c r="G110" s="76">
        <v>5</v>
      </c>
      <c r="H110" s="76">
        <v>0</v>
      </c>
      <c r="I110" s="76">
        <v>0</v>
      </c>
      <c r="J110" s="76">
        <v>0</v>
      </c>
      <c r="K110" s="76">
        <v>4.0999999999999996</v>
      </c>
      <c r="L110" s="76">
        <v>5</v>
      </c>
      <c r="M110" s="76">
        <v>3</v>
      </c>
      <c r="N110" s="76">
        <v>3</v>
      </c>
      <c r="O110" s="76">
        <v>1</v>
      </c>
      <c r="P110" s="76">
        <v>5</v>
      </c>
      <c r="Q110" s="76">
        <v>1</v>
      </c>
      <c r="R110" s="76">
        <v>0.35699999999999998</v>
      </c>
      <c r="S110" s="76">
        <v>2.31</v>
      </c>
      <c r="T110" s="76">
        <v>15</v>
      </c>
      <c r="U110" s="77" t="s">
        <v>1433</v>
      </c>
      <c r="V110" s="76" t="s">
        <v>162</v>
      </c>
      <c r="W110" s="76">
        <v>0</v>
      </c>
      <c r="X110" s="76">
        <v>0</v>
      </c>
      <c r="Y110" s="76">
        <v>0</v>
      </c>
      <c r="Z110" s="76">
        <v>0</v>
      </c>
      <c r="AA110" s="76">
        <v>2</v>
      </c>
      <c r="AB110" s="76">
        <v>0</v>
      </c>
      <c r="AC110" s="76">
        <v>2</v>
      </c>
      <c r="AD110" s="76">
        <v>4</v>
      </c>
      <c r="AE110" s="76">
        <v>5</v>
      </c>
      <c r="AF110" s="76">
        <v>0</v>
      </c>
      <c r="AG110" s="76">
        <v>0</v>
      </c>
      <c r="AH110" s="76">
        <v>0</v>
      </c>
      <c r="AI110" s="76">
        <v>1</v>
      </c>
      <c r="AJ110" s="76">
        <v>0</v>
      </c>
      <c r="AK110" s="76">
        <v>20</v>
      </c>
      <c r="AL110" s="76">
        <v>82</v>
      </c>
      <c r="AM110" s="202"/>
      <c r="AN110" s="77"/>
      <c r="AO110" s="202"/>
      <c r="AP110" s="202"/>
      <c r="AQ110" s="202"/>
      <c r="AR110" s="202"/>
      <c r="AS110" s="202"/>
      <c r="AT110" s="202"/>
      <c r="AU110" s="202"/>
      <c r="AV110" s="202"/>
      <c r="AW110" s="202"/>
      <c r="AX110" s="202"/>
      <c r="AY110" s="202"/>
    </row>
    <row r="111" spans="1:51" ht="25.5" x14ac:dyDescent="0.2">
      <c r="A111" s="76">
        <v>16</v>
      </c>
      <c r="B111" s="77" t="s">
        <v>1140</v>
      </c>
      <c r="C111" s="76" t="s">
        <v>162</v>
      </c>
      <c r="D111" s="76">
        <v>0</v>
      </c>
      <c r="E111" s="76">
        <v>0</v>
      </c>
      <c r="F111" s="76">
        <v>6.3</v>
      </c>
      <c r="G111" s="76">
        <v>7</v>
      </c>
      <c r="H111" s="76">
        <v>0</v>
      </c>
      <c r="I111" s="76">
        <v>0</v>
      </c>
      <c r="J111" s="76">
        <v>0</v>
      </c>
      <c r="K111" s="76">
        <v>10</v>
      </c>
      <c r="L111" s="76">
        <v>9</v>
      </c>
      <c r="M111" s="76">
        <v>7</v>
      </c>
      <c r="N111" s="76">
        <v>7</v>
      </c>
      <c r="O111" s="76">
        <v>2</v>
      </c>
      <c r="P111" s="76">
        <v>8</v>
      </c>
      <c r="Q111" s="76">
        <v>9</v>
      </c>
      <c r="R111" s="76">
        <v>0.23699999999999999</v>
      </c>
      <c r="S111" s="76">
        <v>1.7</v>
      </c>
      <c r="T111" s="76">
        <v>16</v>
      </c>
      <c r="U111" s="77" t="s">
        <v>1140</v>
      </c>
      <c r="V111" s="76" t="s">
        <v>162</v>
      </c>
      <c r="W111" s="76">
        <v>0</v>
      </c>
      <c r="X111" s="76">
        <v>0</v>
      </c>
      <c r="Y111" s="76">
        <v>0</v>
      </c>
      <c r="Z111" s="76">
        <v>0</v>
      </c>
      <c r="AA111" s="76">
        <v>3</v>
      </c>
      <c r="AB111" s="76">
        <v>0</v>
      </c>
      <c r="AC111" s="76">
        <v>0</v>
      </c>
      <c r="AD111" s="76">
        <v>9</v>
      </c>
      <c r="AE111" s="76">
        <v>12</v>
      </c>
      <c r="AF111" s="76">
        <v>0</v>
      </c>
      <c r="AG111" s="76">
        <v>0</v>
      </c>
      <c r="AH111" s="76">
        <v>0</v>
      </c>
      <c r="AI111" s="76">
        <v>0</v>
      </c>
      <c r="AJ111" s="76">
        <v>0</v>
      </c>
      <c r="AK111" s="76">
        <v>47</v>
      </c>
      <c r="AL111" s="76">
        <v>192</v>
      </c>
      <c r="AM111" s="202"/>
      <c r="AN111" s="77"/>
      <c r="AO111" s="202"/>
      <c r="AP111" s="202"/>
      <c r="AQ111" s="202"/>
      <c r="AR111" s="202"/>
      <c r="AS111" s="202"/>
      <c r="AT111" s="202"/>
      <c r="AU111" s="202"/>
      <c r="AV111" s="202"/>
      <c r="AW111" s="202"/>
      <c r="AX111" s="202"/>
      <c r="AY111" s="202"/>
    </row>
    <row r="112" spans="1:51" ht="25.5" x14ac:dyDescent="0.2">
      <c r="A112" s="76">
        <v>17</v>
      </c>
      <c r="B112" s="77" t="s">
        <v>424</v>
      </c>
      <c r="C112" s="76" t="s">
        <v>162</v>
      </c>
      <c r="D112" s="76">
        <v>1</v>
      </c>
      <c r="E112" s="76">
        <v>3</v>
      </c>
      <c r="F112" s="76">
        <v>6.4</v>
      </c>
      <c r="G112" s="76">
        <v>27</v>
      </c>
      <c r="H112" s="76">
        <v>0</v>
      </c>
      <c r="I112" s="76">
        <v>1</v>
      </c>
      <c r="J112" s="76">
        <v>4</v>
      </c>
      <c r="K112" s="76">
        <v>32.1</v>
      </c>
      <c r="L112" s="76">
        <v>35</v>
      </c>
      <c r="M112" s="76">
        <v>24</v>
      </c>
      <c r="N112" s="76">
        <v>23</v>
      </c>
      <c r="O112" s="76">
        <v>7</v>
      </c>
      <c r="P112" s="76">
        <v>9</v>
      </c>
      <c r="Q112" s="76">
        <v>28</v>
      </c>
      <c r="R112" s="76">
        <v>0.27800000000000002</v>
      </c>
      <c r="S112" s="76">
        <v>1.36</v>
      </c>
      <c r="T112" s="76">
        <v>17</v>
      </c>
      <c r="U112" s="77" t="s">
        <v>424</v>
      </c>
      <c r="V112" s="76" t="s">
        <v>162</v>
      </c>
      <c r="W112" s="76">
        <v>0</v>
      </c>
      <c r="X112" s="76">
        <v>0</v>
      </c>
      <c r="Y112" s="76">
        <v>0</v>
      </c>
      <c r="Z112" s="76">
        <v>2</v>
      </c>
      <c r="AA112" s="76">
        <v>7</v>
      </c>
      <c r="AB112" s="76">
        <v>1</v>
      </c>
      <c r="AC112" s="76">
        <v>0</v>
      </c>
      <c r="AD112" s="76">
        <v>44</v>
      </c>
      <c r="AE112" s="76">
        <v>23</v>
      </c>
      <c r="AF112" s="76">
        <v>3</v>
      </c>
      <c r="AG112" s="76">
        <v>0</v>
      </c>
      <c r="AH112" s="76">
        <v>1</v>
      </c>
      <c r="AI112" s="76">
        <v>2</v>
      </c>
      <c r="AJ112" s="76">
        <v>1</v>
      </c>
      <c r="AK112" s="76">
        <v>139</v>
      </c>
      <c r="AL112" s="76">
        <v>499</v>
      </c>
      <c r="AM112" s="202"/>
      <c r="AN112" s="77"/>
      <c r="AO112" s="202"/>
      <c r="AP112" s="202"/>
      <c r="AQ112" s="202"/>
      <c r="AR112" s="202"/>
      <c r="AS112" s="202"/>
      <c r="AT112" s="202"/>
      <c r="AU112" s="202"/>
      <c r="AV112" s="202"/>
      <c r="AW112" s="202"/>
      <c r="AX112" s="202"/>
      <c r="AY112" s="202"/>
    </row>
    <row r="113" spans="1:51" ht="25.5" x14ac:dyDescent="0.2">
      <c r="A113" s="76">
        <v>18</v>
      </c>
      <c r="B113" s="77" t="s">
        <v>1109</v>
      </c>
      <c r="C113" s="76" t="s">
        <v>162</v>
      </c>
      <c r="D113" s="76">
        <v>1</v>
      </c>
      <c r="E113" s="76">
        <v>7</v>
      </c>
      <c r="F113" s="76">
        <v>6.43</v>
      </c>
      <c r="G113" s="76">
        <v>14</v>
      </c>
      <c r="H113" s="76">
        <v>14</v>
      </c>
      <c r="I113" s="76">
        <v>0</v>
      </c>
      <c r="J113" s="76">
        <v>0</v>
      </c>
      <c r="K113" s="76">
        <v>70</v>
      </c>
      <c r="L113" s="76">
        <v>84</v>
      </c>
      <c r="M113" s="76">
        <v>54</v>
      </c>
      <c r="N113" s="76">
        <v>50</v>
      </c>
      <c r="O113" s="76">
        <v>14</v>
      </c>
      <c r="P113" s="76">
        <v>31</v>
      </c>
      <c r="Q113" s="76">
        <v>58</v>
      </c>
      <c r="R113" s="76">
        <v>0.30299999999999999</v>
      </c>
      <c r="S113" s="76">
        <v>1.64</v>
      </c>
      <c r="T113" s="76">
        <v>18</v>
      </c>
      <c r="U113" s="77" t="s">
        <v>1109</v>
      </c>
      <c r="V113" s="76" t="s">
        <v>162</v>
      </c>
      <c r="W113" s="76">
        <v>0</v>
      </c>
      <c r="X113" s="76">
        <v>0</v>
      </c>
      <c r="Y113" s="76">
        <v>1</v>
      </c>
      <c r="Z113" s="76">
        <v>0</v>
      </c>
      <c r="AA113" s="76">
        <v>0</v>
      </c>
      <c r="AB113" s="76">
        <v>0</v>
      </c>
      <c r="AC113" s="76">
        <v>6</v>
      </c>
      <c r="AD113" s="76">
        <v>79</v>
      </c>
      <c r="AE113" s="76">
        <v>65</v>
      </c>
      <c r="AF113" s="76">
        <v>1</v>
      </c>
      <c r="AG113" s="76">
        <v>1</v>
      </c>
      <c r="AH113" s="76">
        <v>10</v>
      </c>
      <c r="AI113" s="76">
        <v>3</v>
      </c>
      <c r="AJ113" s="76">
        <v>2</v>
      </c>
      <c r="AK113" s="76">
        <v>318</v>
      </c>
      <c r="AL113" s="76">
        <v>1264</v>
      </c>
      <c r="AM113" s="202"/>
      <c r="AN113" s="77"/>
      <c r="AO113" s="202"/>
      <c r="AP113" s="202"/>
      <c r="AQ113" s="202"/>
      <c r="AR113" s="202"/>
      <c r="AS113" s="202"/>
      <c r="AT113" s="202"/>
      <c r="AU113" s="202"/>
      <c r="AV113" s="202"/>
      <c r="AW113" s="202"/>
      <c r="AX113" s="202"/>
      <c r="AY113" s="202"/>
    </row>
    <row r="114" spans="1:51" ht="25.5" x14ac:dyDescent="0.2">
      <c r="A114" s="76">
        <v>19</v>
      </c>
      <c r="B114" s="77" t="s">
        <v>362</v>
      </c>
      <c r="C114" s="76" t="s">
        <v>162</v>
      </c>
      <c r="D114" s="76">
        <v>2</v>
      </c>
      <c r="E114" s="76">
        <v>3</v>
      </c>
      <c r="F114" s="76">
        <v>6.65</v>
      </c>
      <c r="G114" s="76">
        <v>6</v>
      </c>
      <c r="H114" s="76">
        <v>6</v>
      </c>
      <c r="I114" s="76">
        <v>0</v>
      </c>
      <c r="J114" s="76">
        <v>0</v>
      </c>
      <c r="K114" s="76">
        <v>23</v>
      </c>
      <c r="L114" s="76">
        <v>35</v>
      </c>
      <c r="M114" s="76">
        <v>19</v>
      </c>
      <c r="N114" s="76">
        <v>17</v>
      </c>
      <c r="O114" s="76">
        <v>2</v>
      </c>
      <c r="P114" s="76">
        <v>7</v>
      </c>
      <c r="Q114" s="76">
        <v>27</v>
      </c>
      <c r="R114" s="76">
        <v>0.35</v>
      </c>
      <c r="S114" s="76">
        <v>1.83</v>
      </c>
      <c r="T114" s="76">
        <v>19</v>
      </c>
      <c r="U114" s="77" t="s">
        <v>362</v>
      </c>
      <c r="V114" s="76" t="s">
        <v>162</v>
      </c>
      <c r="W114" s="76">
        <v>0</v>
      </c>
      <c r="X114" s="76">
        <v>0</v>
      </c>
      <c r="Y114" s="76">
        <v>2</v>
      </c>
      <c r="Z114" s="76">
        <v>0</v>
      </c>
      <c r="AA114" s="76">
        <v>0</v>
      </c>
      <c r="AB114" s="76">
        <v>0</v>
      </c>
      <c r="AC114" s="76">
        <v>1</v>
      </c>
      <c r="AD114" s="76">
        <v>19</v>
      </c>
      <c r="AE114" s="76">
        <v>21</v>
      </c>
      <c r="AF114" s="76">
        <v>1</v>
      </c>
      <c r="AG114" s="76">
        <v>0</v>
      </c>
      <c r="AH114" s="76">
        <v>5</v>
      </c>
      <c r="AI114" s="76">
        <v>1</v>
      </c>
      <c r="AJ114" s="76">
        <v>0</v>
      </c>
      <c r="AK114" s="76">
        <v>111</v>
      </c>
      <c r="AL114" s="76">
        <v>458</v>
      </c>
      <c r="AM114" s="202"/>
      <c r="AN114" s="77"/>
      <c r="AO114" s="202"/>
      <c r="AP114" s="202"/>
      <c r="AQ114" s="202"/>
      <c r="AR114" s="202"/>
      <c r="AS114" s="202"/>
      <c r="AT114" s="202"/>
      <c r="AU114" s="202"/>
      <c r="AV114" s="202"/>
      <c r="AW114" s="202"/>
      <c r="AX114" s="202"/>
      <c r="AY114" s="202"/>
    </row>
    <row r="115" spans="1:51" ht="25.5" x14ac:dyDescent="0.2">
      <c r="A115" s="76">
        <v>20</v>
      </c>
      <c r="B115" s="77" t="s">
        <v>619</v>
      </c>
      <c r="C115" s="76" t="s">
        <v>162</v>
      </c>
      <c r="D115" s="76">
        <v>0</v>
      </c>
      <c r="E115" s="76">
        <v>0</v>
      </c>
      <c r="F115" s="76">
        <v>6.75</v>
      </c>
      <c r="G115" s="76">
        <v>7</v>
      </c>
      <c r="H115" s="76">
        <v>0</v>
      </c>
      <c r="I115" s="76">
        <v>0</v>
      </c>
      <c r="J115" s="76">
        <v>0</v>
      </c>
      <c r="K115" s="76">
        <v>8</v>
      </c>
      <c r="L115" s="76">
        <v>5</v>
      </c>
      <c r="M115" s="76">
        <v>6</v>
      </c>
      <c r="N115" s="76">
        <v>6</v>
      </c>
      <c r="O115" s="76">
        <v>1</v>
      </c>
      <c r="P115" s="76">
        <v>10</v>
      </c>
      <c r="Q115" s="76">
        <v>10</v>
      </c>
      <c r="R115" s="76">
        <v>0.17199999999999999</v>
      </c>
      <c r="S115" s="76">
        <v>1.88</v>
      </c>
      <c r="T115" s="76">
        <v>20</v>
      </c>
      <c r="U115" s="77" t="s">
        <v>619</v>
      </c>
      <c r="V115" s="76" t="s">
        <v>162</v>
      </c>
      <c r="W115" s="76">
        <v>0</v>
      </c>
      <c r="X115" s="76">
        <v>0</v>
      </c>
      <c r="Y115" s="76">
        <v>1</v>
      </c>
      <c r="Z115" s="76">
        <v>0</v>
      </c>
      <c r="AA115" s="76">
        <v>0</v>
      </c>
      <c r="AB115" s="76">
        <v>2</v>
      </c>
      <c r="AC115" s="76">
        <v>0</v>
      </c>
      <c r="AD115" s="76">
        <v>6</v>
      </c>
      <c r="AE115" s="76">
        <v>8</v>
      </c>
      <c r="AF115" s="76">
        <v>1</v>
      </c>
      <c r="AG115" s="76">
        <v>0</v>
      </c>
      <c r="AH115" s="76">
        <v>0</v>
      </c>
      <c r="AI115" s="76">
        <v>0</v>
      </c>
      <c r="AJ115" s="76">
        <v>0</v>
      </c>
      <c r="AK115" s="76">
        <v>40</v>
      </c>
      <c r="AL115" s="76">
        <v>173</v>
      </c>
      <c r="AM115" s="202"/>
      <c r="AN115" s="77"/>
      <c r="AO115" s="202"/>
      <c r="AP115" s="202"/>
      <c r="AQ115" s="202"/>
      <c r="AR115" s="202"/>
      <c r="AS115" s="202"/>
      <c r="AT115" s="202"/>
      <c r="AU115" s="202"/>
      <c r="AV115" s="202"/>
      <c r="AW115" s="202"/>
      <c r="AX115" s="202"/>
      <c r="AY115" s="202"/>
    </row>
    <row r="116" spans="1:51" ht="25.5" x14ac:dyDescent="0.2">
      <c r="A116" s="76">
        <v>21</v>
      </c>
      <c r="B116" s="77" t="s">
        <v>1124</v>
      </c>
      <c r="C116" s="76" t="s">
        <v>162</v>
      </c>
      <c r="D116" s="76">
        <v>0</v>
      </c>
      <c r="E116" s="76">
        <v>7</v>
      </c>
      <c r="F116" s="76">
        <v>7.36</v>
      </c>
      <c r="G116" s="76">
        <v>10</v>
      </c>
      <c r="H116" s="76">
        <v>10</v>
      </c>
      <c r="I116" s="76">
        <v>0</v>
      </c>
      <c r="J116" s="76">
        <v>0</v>
      </c>
      <c r="K116" s="76">
        <v>47.2</v>
      </c>
      <c r="L116" s="76">
        <v>67</v>
      </c>
      <c r="M116" s="76">
        <v>47</v>
      </c>
      <c r="N116" s="76">
        <v>39</v>
      </c>
      <c r="O116" s="76">
        <v>12</v>
      </c>
      <c r="P116" s="76">
        <v>19</v>
      </c>
      <c r="Q116" s="76">
        <v>43</v>
      </c>
      <c r="R116" s="76">
        <v>0.32800000000000001</v>
      </c>
      <c r="S116" s="76">
        <v>1.8</v>
      </c>
      <c r="T116" s="76">
        <v>21</v>
      </c>
      <c r="U116" s="77" t="s">
        <v>1124</v>
      </c>
      <c r="V116" s="76" t="s">
        <v>162</v>
      </c>
      <c r="W116" s="76">
        <v>0</v>
      </c>
      <c r="X116" s="76">
        <v>0</v>
      </c>
      <c r="Y116" s="76">
        <v>4</v>
      </c>
      <c r="Z116" s="76">
        <v>2</v>
      </c>
      <c r="AA116" s="76">
        <v>0</v>
      </c>
      <c r="AB116" s="76">
        <v>0</v>
      </c>
      <c r="AC116" s="76">
        <v>5</v>
      </c>
      <c r="AD116" s="76">
        <v>62</v>
      </c>
      <c r="AE116" s="76">
        <v>34</v>
      </c>
      <c r="AF116" s="76">
        <v>2</v>
      </c>
      <c r="AG116" s="76">
        <v>2</v>
      </c>
      <c r="AH116" s="76">
        <v>8</v>
      </c>
      <c r="AI116" s="76">
        <v>0</v>
      </c>
      <c r="AJ116" s="76">
        <v>0</v>
      </c>
      <c r="AK116" s="76">
        <v>230</v>
      </c>
      <c r="AL116" s="76">
        <v>884</v>
      </c>
      <c r="AM116" s="202"/>
      <c r="AN116" s="77"/>
      <c r="AO116" s="202"/>
      <c r="AP116" s="202"/>
      <c r="AQ116" s="202"/>
      <c r="AR116" s="202"/>
      <c r="AS116" s="202"/>
      <c r="AT116" s="202"/>
      <c r="AU116" s="202"/>
      <c r="AV116" s="202"/>
      <c r="AW116" s="202"/>
      <c r="AX116" s="202"/>
      <c r="AY116" s="202"/>
    </row>
    <row r="117" spans="1:51" ht="25.5" x14ac:dyDescent="0.2">
      <c r="A117" s="76">
        <v>22</v>
      </c>
      <c r="B117" s="77" t="s">
        <v>1200</v>
      </c>
      <c r="C117" s="76" t="s">
        <v>162</v>
      </c>
      <c r="D117" s="76">
        <v>0</v>
      </c>
      <c r="E117" s="76">
        <v>3</v>
      </c>
      <c r="F117" s="76">
        <v>7.4</v>
      </c>
      <c r="G117" s="76">
        <v>23</v>
      </c>
      <c r="H117" s="76">
        <v>0</v>
      </c>
      <c r="I117" s="76">
        <v>0</v>
      </c>
      <c r="J117" s="76">
        <v>1</v>
      </c>
      <c r="K117" s="76">
        <v>24.1</v>
      </c>
      <c r="L117" s="76">
        <v>32</v>
      </c>
      <c r="M117" s="76">
        <v>21</v>
      </c>
      <c r="N117" s="76">
        <v>20</v>
      </c>
      <c r="O117" s="76">
        <v>3</v>
      </c>
      <c r="P117" s="76">
        <v>12</v>
      </c>
      <c r="Q117" s="76">
        <v>21</v>
      </c>
      <c r="R117" s="76">
        <v>0.32300000000000001</v>
      </c>
      <c r="S117" s="76">
        <v>1.81</v>
      </c>
      <c r="T117" s="76">
        <v>22</v>
      </c>
      <c r="U117" s="77" t="s">
        <v>1200</v>
      </c>
      <c r="V117" s="76" t="s">
        <v>162</v>
      </c>
      <c r="W117" s="76">
        <v>0</v>
      </c>
      <c r="X117" s="76">
        <v>0</v>
      </c>
      <c r="Y117" s="76">
        <v>3</v>
      </c>
      <c r="Z117" s="76">
        <v>2</v>
      </c>
      <c r="AA117" s="76">
        <v>3</v>
      </c>
      <c r="AB117" s="76">
        <v>3</v>
      </c>
      <c r="AC117" s="76">
        <v>2</v>
      </c>
      <c r="AD117" s="76">
        <v>24</v>
      </c>
      <c r="AE117" s="76">
        <v>25</v>
      </c>
      <c r="AF117" s="76">
        <v>1</v>
      </c>
      <c r="AG117" s="76">
        <v>0</v>
      </c>
      <c r="AH117" s="76">
        <v>3</v>
      </c>
      <c r="AI117" s="76">
        <v>0</v>
      </c>
      <c r="AJ117" s="76">
        <v>0</v>
      </c>
      <c r="AK117" s="76">
        <v>117</v>
      </c>
      <c r="AL117" s="76">
        <v>431</v>
      </c>
      <c r="AM117" s="202"/>
      <c r="AN117" s="77"/>
      <c r="AO117" s="202"/>
      <c r="AP117" s="202"/>
      <c r="AQ117" s="202"/>
      <c r="AR117" s="202"/>
      <c r="AS117" s="202"/>
      <c r="AT117" s="202"/>
      <c r="AU117" s="202"/>
      <c r="AV117" s="202"/>
      <c r="AW117" s="202"/>
      <c r="AX117" s="202"/>
      <c r="AY117" s="202"/>
    </row>
    <row r="118" spans="1:51" ht="25.5" x14ac:dyDescent="0.2">
      <c r="A118" s="76">
        <v>23</v>
      </c>
      <c r="B118" s="77" t="s">
        <v>1346</v>
      </c>
      <c r="C118" s="76" t="s">
        <v>162</v>
      </c>
      <c r="D118" s="76">
        <v>0</v>
      </c>
      <c r="E118" s="76">
        <v>2</v>
      </c>
      <c r="F118" s="76">
        <v>7.62</v>
      </c>
      <c r="G118" s="76">
        <v>4</v>
      </c>
      <c r="H118" s="76">
        <v>2</v>
      </c>
      <c r="I118" s="76">
        <v>0</v>
      </c>
      <c r="J118" s="76">
        <v>0</v>
      </c>
      <c r="K118" s="76">
        <v>13</v>
      </c>
      <c r="L118" s="76">
        <v>25</v>
      </c>
      <c r="M118" s="76">
        <v>16</v>
      </c>
      <c r="N118" s="76">
        <v>11</v>
      </c>
      <c r="O118" s="76">
        <v>2</v>
      </c>
      <c r="P118" s="76">
        <v>2</v>
      </c>
      <c r="Q118" s="76">
        <v>6</v>
      </c>
      <c r="R118" s="76">
        <v>0.41699999999999998</v>
      </c>
      <c r="S118" s="76">
        <v>2.08</v>
      </c>
      <c r="T118" s="76">
        <v>23</v>
      </c>
      <c r="U118" s="77" t="s">
        <v>1346</v>
      </c>
      <c r="V118" s="76" t="s">
        <v>162</v>
      </c>
      <c r="W118" s="76">
        <v>0</v>
      </c>
      <c r="X118" s="76">
        <v>0</v>
      </c>
      <c r="Y118" s="76">
        <v>0</v>
      </c>
      <c r="Z118" s="76">
        <v>0</v>
      </c>
      <c r="AA118" s="76">
        <v>0</v>
      </c>
      <c r="AB118" s="76">
        <v>0</v>
      </c>
      <c r="AC118" s="76">
        <v>2</v>
      </c>
      <c r="AD118" s="76">
        <v>15</v>
      </c>
      <c r="AE118" s="76">
        <v>16</v>
      </c>
      <c r="AF118" s="76">
        <v>1</v>
      </c>
      <c r="AG118" s="76">
        <v>0</v>
      </c>
      <c r="AH118" s="76">
        <v>1</v>
      </c>
      <c r="AI118" s="76">
        <v>1</v>
      </c>
      <c r="AJ118" s="76">
        <v>0</v>
      </c>
      <c r="AK118" s="76">
        <v>64</v>
      </c>
      <c r="AL118" s="76">
        <v>230</v>
      </c>
      <c r="AM118" s="202"/>
      <c r="AN118" s="77"/>
      <c r="AO118" s="202"/>
      <c r="AP118" s="202"/>
      <c r="AQ118" s="202"/>
      <c r="AR118" s="202"/>
      <c r="AS118" s="202"/>
      <c r="AT118" s="202"/>
      <c r="AU118" s="202"/>
      <c r="AV118" s="202"/>
      <c r="AW118" s="202"/>
      <c r="AX118" s="202"/>
      <c r="AY118" s="202"/>
    </row>
    <row r="119" spans="1:51" ht="25.5" x14ac:dyDescent="0.2">
      <c r="A119" s="76">
        <v>24</v>
      </c>
      <c r="B119" s="77" t="s">
        <v>1107</v>
      </c>
      <c r="C119" s="76" t="s">
        <v>162</v>
      </c>
      <c r="D119" s="76">
        <v>0</v>
      </c>
      <c r="E119" s="76">
        <v>3</v>
      </c>
      <c r="F119" s="76">
        <v>8.02</v>
      </c>
      <c r="G119" s="76">
        <v>5</v>
      </c>
      <c r="H119" s="76">
        <v>5</v>
      </c>
      <c r="I119" s="76">
        <v>0</v>
      </c>
      <c r="J119" s="76">
        <v>0</v>
      </c>
      <c r="K119" s="76">
        <v>21.1</v>
      </c>
      <c r="L119" s="76">
        <v>26</v>
      </c>
      <c r="M119" s="76">
        <v>22</v>
      </c>
      <c r="N119" s="76">
        <v>19</v>
      </c>
      <c r="O119" s="76">
        <v>10</v>
      </c>
      <c r="P119" s="76">
        <v>10</v>
      </c>
      <c r="Q119" s="76">
        <v>10</v>
      </c>
      <c r="R119" s="76">
        <v>0.29199999999999998</v>
      </c>
      <c r="S119" s="76">
        <v>1.69</v>
      </c>
      <c r="T119" s="76">
        <v>24</v>
      </c>
      <c r="U119" s="77" t="s">
        <v>1107</v>
      </c>
      <c r="V119" s="76" t="s">
        <v>162</v>
      </c>
      <c r="W119" s="76">
        <v>0</v>
      </c>
      <c r="X119" s="76">
        <v>0</v>
      </c>
      <c r="Y119" s="76">
        <v>1</v>
      </c>
      <c r="Z119" s="76">
        <v>1</v>
      </c>
      <c r="AA119" s="76">
        <v>0</v>
      </c>
      <c r="AB119" s="76">
        <v>0</v>
      </c>
      <c r="AC119" s="76">
        <v>1</v>
      </c>
      <c r="AD119" s="76">
        <v>30</v>
      </c>
      <c r="AE119" s="76">
        <v>27</v>
      </c>
      <c r="AF119" s="76">
        <v>0</v>
      </c>
      <c r="AG119" s="76">
        <v>0</v>
      </c>
      <c r="AH119" s="76">
        <v>3</v>
      </c>
      <c r="AI119" s="76">
        <v>1</v>
      </c>
      <c r="AJ119" s="76">
        <v>0</v>
      </c>
      <c r="AK119" s="76">
        <v>105</v>
      </c>
      <c r="AL119" s="76">
        <v>416</v>
      </c>
      <c r="AM119" s="202"/>
      <c r="AN119" s="77"/>
      <c r="AO119" s="202"/>
      <c r="AP119" s="202"/>
      <c r="AQ119" s="202"/>
      <c r="AR119" s="202"/>
      <c r="AS119" s="202"/>
      <c r="AT119" s="202"/>
      <c r="AU119" s="202"/>
      <c r="AV119" s="202"/>
      <c r="AW119" s="202"/>
      <c r="AX119" s="202"/>
      <c r="AY119" s="202"/>
    </row>
    <row r="120" spans="1:51" ht="25.5" x14ac:dyDescent="0.2">
      <c r="A120" s="76">
        <v>25</v>
      </c>
      <c r="B120" s="77" t="s">
        <v>1434</v>
      </c>
      <c r="C120" s="76" t="s">
        <v>162</v>
      </c>
      <c r="D120" s="76">
        <v>0</v>
      </c>
      <c r="E120" s="76">
        <v>0</v>
      </c>
      <c r="F120" s="76">
        <v>8.3800000000000008</v>
      </c>
      <c r="G120" s="76">
        <v>6</v>
      </c>
      <c r="H120" s="76">
        <v>0</v>
      </c>
      <c r="I120" s="76">
        <v>0</v>
      </c>
      <c r="J120" s="76">
        <v>1</v>
      </c>
      <c r="K120" s="76">
        <v>9.1999999999999993</v>
      </c>
      <c r="L120" s="76">
        <v>15</v>
      </c>
      <c r="M120" s="76">
        <v>10</v>
      </c>
      <c r="N120" s="76">
        <v>9</v>
      </c>
      <c r="O120" s="76">
        <v>3</v>
      </c>
      <c r="P120" s="76">
        <v>6</v>
      </c>
      <c r="Q120" s="76">
        <v>8</v>
      </c>
      <c r="R120" s="76">
        <v>0.35699999999999998</v>
      </c>
      <c r="S120" s="76">
        <v>2.17</v>
      </c>
      <c r="T120" s="76">
        <v>25</v>
      </c>
      <c r="U120" s="77" t="s">
        <v>1434</v>
      </c>
      <c r="V120" s="76" t="s">
        <v>162</v>
      </c>
      <c r="W120" s="76">
        <v>0</v>
      </c>
      <c r="X120" s="76">
        <v>0</v>
      </c>
      <c r="Y120" s="76">
        <v>0</v>
      </c>
      <c r="Z120" s="76">
        <v>1</v>
      </c>
      <c r="AA120" s="76">
        <v>1</v>
      </c>
      <c r="AB120" s="76">
        <v>0</v>
      </c>
      <c r="AC120" s="76">
        <v>2</v>
      </c>
      <c r="AD120" s="76">
        <v>11</v>
      </c>
      <c r="AE120" s="76">
        <v>8</v>
      </c>
      <c r="AF120" s="76">
        <v>0</v>
      </c>
      <c r="AG120" s="76">
        <v>0</v>
      </c>
      <c r="AH120" s="76">
        <v>0</v>
      </c>
      <c r="AI120" s="76">
        <v>0</v>
      </c>
      <c r="AJ120" s="76">
        <v>0</v>
      </c>
      <c r="AK120" s="76">
        <v>48</v>
      </c>
      <c r="AL120" s="76">
        <v>194</v>
      </c>
      <c r="AM120" s="202"/>
      <c r="AN120" s="77"/>
      <c r="AO120" s="202"/>
      <c r="AP120" s="202"/>
      <c r="AQ120" s="202"/>
      <c r="AR120" s="202"/>
      <c r="AS120" s="202"/>
      <c r="AT120" s="202"/>
      <c r="AU120" s="202"/>
      <c r="AV120" s="202"/>
      <c r="AW120" s="202"/>
      <c r="AX120" s="202"/>
      <c r="AY120" s="202"/>
    </row>
    <row r="121" spans="1:51" ht="25.5" x14ac:dyDescent="0.2">
      <c r="A121" s="76">
        <v>26</v>
      </c>
      <c r="B121" s="77" t="s">
        <v>407</v>
      </c>
      <c r="C121" s="76" t="s">
        <v>162</v>
      </c>
      <c r="D121" s="76">
        <v>0</v>
      </c>
      <c r="E121" s="76">
        <v>0</v>
      </c>
      <c r="F121" s="76">
        <v>8.59</v>
      </c>
      <c r="G121" s="76">
        <v>10</v>
      </c>
      <c r="H121" s="76">
        <v>0</v>
      </c>
      <c r="I121" s="76">
        <v>0</v>
      </c>
      <c r="J121" s="76">
        <v>0</v>
      </c>
      <c r="K121" s="76">
        <v>7.1</v>
      </c>
      <c r="L121" s="76">
        <v>11</v>
      </c>
      <c r="M121" s="76">
        <v>7</v>
      </c>
      <c r="N121" s="76">
        <v>7</v>
      </c>
      <c r="O121" s="76">
        <v>1</v>
      </c>
      <c r="P121" s="76">
        <v>7</v>
      </c>
      <c r="Q121" s="76">
        <v>5</v>
      </c>
      <c r="R121" s="76">
        <v>0.35499999999999998</v>
      </c>
      <c r="S121" s="76">
        <v>2.4500000000000002</v>
      </c>
      <c r="T121" s="76">
        <v>26</v>
      </c>
      <c r="U121" s="77" t="s">
        <v>407</v>
      </c>
      <c r="V121" s="76" t="s">
        <v>162</v>
      </c>
      <c r="W121" s="76">
        <v>0</v>
      </c>
      <c r="X121" s="76">
        <v>0</v>
      </c>
      <c r="Y121" s="76">
        <v>1</v>
      </c>
      <c r="Z121" s="76">
        <v>0</v>
      </c>
      <c r="AA121" s="76">
        <v>3</v>
      </c>
      <c r="AB121" s="76">
        <v>2</v>
      </c>
      <c r="AC121" s="76">
        <v>0</v>
      </c>
      <c r="AD121" s="76">
        <v>9</v>
      </c>
      <c r="AE121" s="76">
        <v>6</v>
      </c>
      <c r="AF121" s="76">
        <v>0</v>
      </c>
      <c r="AG121" s="76">
        <v>0</v>
      </c>
      <c r="AH121" s="76">
        <v>0</v>
      </c>
      <c r="AI121" s="76">
        <v>0</v>
      </c>
      <c r="AJ121" s="76">
        <v>0</v>
      </c>
      <c r="AK121" s="76">
        <v>39</v>
      </c>
      <c r="AL121" s="76">
        <v>133</v>
      </c>
      <c r="AM121" s="202"/>
      <c r="AN121" s="77"/>
      <c r="AO121" s="202"/>
      <c r="AP121" s="202"/>
      <c r="AQ121" s="202"/>
      <c r="AR121" s="202"/>
      <c r="AS121" s="202"/>
      <c r="AT121" s="202"/>
      <c r="AU121" s="202"/>
      <c r="AV121" s="202"/>
      <c r="AW121" s="202"/>
      <c r="AX121" s="202"/>
      <c r="AY121" s="202"/>
    </row>
    <row r="122" spans="1:51" ht="25.5" x14ac:dyDescent="0.2">
      <c r="A122" s="76">
        <v>27</v>
      </c>
      <c r="B122" s="77" t="s">
        <v>358</v>
      </c>
      <c r="C122" s="76" t="s">
        <v>162</v>
      </c>
      <c r="D122" s="76">
        <v>2</v>
      </c>
      <c r="E122" s="76">
        <v>7</v>
      </c>
      <c r="F122" s="76">
        <v>9.36</v>
      </c>
      <c r="G122" s="76">
        <v>15</v>
      </c>
      <c r="H122" s="76">
        <v>11</v>
      </c>
      <c r="I122" s="76">
        <v>0</v>
      </c>
      <c r="J122" s="76">
        <v>0</v>
      </c>
      <c r="K122" s="76">
        <v>58.2</v>
      </c>
      <c r="L122" s="76">
        <v>89</v>
      </c>
      <c r="M122" s="76">
        <v>64</v>
      </c>
      <c r="N122" s="76">
        <v>61</v>
      </c>
      <c r="O122" s="76">
        <v>15</v>
      </c>
      <c r="P122" s="76">
        <v>31</v>
      </c>
      <c r="Q122" s="76">
        <v>39</v>
      </c>
      <c r="R122" s="76">
        <v>0.34899999999999998</v>
      </c>
      <c r="S122" s="76">
        <v>2.0499999999999998</v>
      </c>
      <c r="T122" s="76">
        <v>27</v>
      </c>
      <c r="U122" s="77" t="s">
        <v>358</v>
      </c>
      <c r="V122" s="76" t="s">
        <v>162</v>
      </c>
      <c r="W122" s="76">
        <v>0</v>
      </c>
      <c r="X122" s="76">
        <v>0</v>
      </c>
      <c r="Y122" s="76">
        <v>8</v>
      </c>
      <c r="Z122" s="76">
        <v>2</v>
      </c>
      <c r="AA122" s="76">
        <v>1</v>
      </c>
      <c r="AB122" s="76">
        <v>0</v>
      </c>
      <c r="AC122" s="76">
        <v>6</v>
      </c>
      <c r="AD122" s="76">
        <v>79</v>
      </c>
      <c r="AE122" s="76">
        <v>52</v>
      </c>
      <c r="AF122" s="76">
        <v>3</v>
      </c>
      <c r="AG122" s="76">
        <v>0</v>
      </c>
      <c r="AH122" s="76">
        <v>4</v>
      </c>
      <c r="AI122" s="76">
        <v>2</v>
      </c>
      <c r="AJ122" s="76">
        <v>0</v>
      </c>
      <c r="AK122" s="76">
        <v>298</v>
      </c>
      <c r="AL122" s="76">
        <v>1120</v>
      </c>
      <c r="AM122" s="202"/>
      <c r="AN122" s="77"/>
      <c r="AO122" s="202"/>
      <c r="AP122" s="202"/>
      <c r="AQ122" s="202"/>
      <c r="AR122" s="202"/>
      <c r="AS122" s="202"/>
      <c r="AT122" s="202"/>
      <c r="AU122" s="202"/>
      <c r="AV122" s="202"/>
      <c r="AW122" s="202"/>
      <c r="AX122" s="202"/>
      <c r="AY122" s="202"/>
    </row>
    <row r="123" spans="1:51" ht="25.5" x14ac:dyDescent="0.2">
      <c r="A123" s="76">
        <v>28</v>
      </c>
      <c r="B123" s="77" t="s">
        <v>1435</v>
      </c>
      <c r="C123" s="76" t="s">
        <v>162</v>
      </c>
      <c r="D123" s="76">
        <v>0</v>
      </c>
      <c r="E123" s="76">
        <v>0</v>
      </c>
      <c r="F123" s="76">
        <v>9.4499999999999993</v>
      </c>
      <c r="G123" s="76">
        <v>6</v>
      </c>
      <c r="H123" s="76">
        <v>0</v>
      </c>
      <c r="I123" s="76">
        <v>0</v>
      </c>
      <c r="J123" s="76">
        <v>0</v>
      </c>
      <c r="K123" s="76">
        <v>6.2</v>
      </c>
      <c r="L123" s="76">
        <v>10</v>
      </c>
      <c r="M123" s="76">
        <v>9</v>
      </c>
      <c r="N123" s="76">
        <v>7</v>
      </c>
      <c r="O123" s="76">
        <v>2</v>
      </c>
      <c r="P123" s="76">
        <v>7</v>
      </c>
      <c r="Q123" s="76">
        <v>3</v>
      </c>
      <c r="R123" s="76">
        <v>0.37</v>
      </c>
      <c r="S123" s="76">
        <v>2.5499999999999998</v>
      </c>
      <c r="T123" s="76">
        <v>28</v>
      </c>
      <c r="U123" s="77" t="s">
        <v>1435</v>
      </c>
      <c r="V123" s="76" t="s">
        <v>162</v>
      </c>
      <c r="W123" s="76">
        <v>0</v>
      </c>
      <c r="X123" s="76">
        <v>0</v>
      </c>
      <c r="Y123" s="76">
        <v>0</v>
      </c>
      <c r="Z123" s="76">
        <v>0</v>
      </c>
      <c r="AA123" s="76">
        <v>0</v>
      </c>
      <c r="AB123" s="76">
        <v>0</v>
      </c>
      <c r="AC123" s="76">
        <v>3</v>
      </c>
      <c r="AD123" s="76">
        <v>10</v>
      </c>
      <c r="AE123" s="76">
        <v>6</v>
      </c>
      <c r="AF123" s="76">
        <v>0</v>
      </c>
      <c r="AG123" s="76">
        <v>0</v>
      </c>
      <c r="AH123" s="76">
        <v>0</v>
      </c>
      <c r="AI123" s="76">
        <v>0</v>
      </c>
      <c r="AJ123" s="76">
        <v>0</v>
      </c>
      <c r="AK123" s="76">
        <v>36</v>
      </c>
      <c r="AL123" s="76">
        <v>145</v>
      </c>
      <c r="AM123" s="202"/>
      <c r="AN123" s="77"/>
      <c r="AO123" s="202"/>
      <c r="AP123" s="202"/>
      <c r="AQ123" s="202"/>
      <c r="AR123" s="202"/>
      <c r="AS123" s="202"/>
      <c r="AT123" s="202"/>
      <c r="AU123" s="202"/>
      <c r="AV123" s="202"/>
      <c r="AW123" s="202"/>
      <c r="AX123" s="202"/>
      <c r="AY123" s="202"/>
    </row>
    <row r="124" spans="1:51" ht="25.5" x14ac:dyDescent="0.2">
      <c r="A124" s="76">
        <v>29</v>
      </c>
      <c r="B124" s="77" t="s">
        <v>1436</v>
      </c>
      <c r="C124" s="76" t="s">
        <v>162</v>
      </c>
      <c r="D124" s="76">
        <v>0</v>
      </c>
      <c r="E124" s="76">
        <v>1</v>
      </c>
      <c r="F124" s="76">
        <v>11</v>
      </c>
      <c r="G124" s="76">
        <v>3</v>
      </c>
      <c r="H124" s="76">
        <v>2</v>
      </c>
      <c r="I124" s="76">
        <v>0</v>
      </c>
      <c r="J124" s="76">
        <v>0</v>
      </c>
      <c r="K124" s="76">
        <v>9</v>
      </c>
      <c r="L124" s="76">
        <v>16</v>
      </c>
      <c r="M124" s="76">
        <v>12</v>
      </c>
      <c r="N124" s="76">
        <v>11</v>
      </c>
      <c r="O124" s="76">
        <v>5</v>
      </c>
      <c r="P124" s="76">
        <v>9</v>
      </c>
      <c r="Q124" s="76">
        <v>8</v>
      </c>
      <c r="R124" s="76">
        <v>0.38100000000000001</v>
      </c>
      <c r="S124" s="76">
        <v>2.78</v>
      </c>
      <c r="T124" s="76">
        <v>29</v>
      </c>
      <c r="U124" s="77" t="s">
        <v>1436</v>
      </c>
      <c r="V124" s="76" t="s">
        <v>162</v>
      </c>
      <c r="W124" s="76">
        <v>0</v>
      </c>
      <c r="X124" s="76">
        <v>0</v>
      </c>
      <c r="Y124" s="76">
        <v>1</v>
      </c>
      <c r="Z124" s="76">
        <v>0</v>
      </c>
      <c r="AA124" s="76">
        <v>0</v>
      </c>
      <c r="AB124" s="76">
        <v>0</v>
      </c>
      <c r="AC124" s="76">
        <v>1</v>
      </c>
      <c r="AD124" s="76">
        <v>12</v>
      </c>
      <c r="AE124" s="76">
        <v>8</v>
      </c>
      <c r="AF124" s="76">
        <v>1</v>
      </c>
      <c r="AG124" s="76">
        <v>0</v>
      </c>
      <c r="AH124" s="76">
        <v>1</v>
      </c>
      <c r="AI124" s="76">
        <v>0</v>
      </c>
      <c r="AJ124" s="76">
        <v>0</v>
      </c>
      <c r="AK124" s="76">
        <v>54</v>
      </c>
      <c r="AL124" s="76">
        <v>203</v>
      </c>
      <c r="AM124" s="202"/>
      <c r="AN124" s="77"/>
      <c r="AO124" s="202"/>
      <c r="AP124" s="202"/>
      <c r="AQ124" s="202"/>
      <c r="AR124" s="202"/>
      <c r="AS124" s="202"/>
      <c r="AT124" s="202"/>
      <c r="AU124" s="202"/>
      <c r="AV124" s="202"/>
      <c r="AW124" s="202"/>
      <c r="AX124" s="202"/>
      <c r="AY124" s="202"/>
    </row>
    <row r="125" spans="1:51" ht="51" x14ac:dyDescent="0.2">
      <c r="A125" s="76">
        <v>30</v>
      </c>
      <c r="B125" s="77" t="s">
        <v>1166</v>
      </c>
      <c r="C125" s="76" t="s">
        <v>162</v>
      </c>
      <c r="D125" s="76">
        <v>0</v>
      </c>
      <c r="E125" s="76">
        <v>0</v>
      </c>
      <c r="F125" s="76">
        <v>11.12</v>
      </c>
      <c r="G125" s="76">
        <v>5</v>
      </c>
      <c r="H125" s="76">
        <v>0</v>
      </c>
      <c r="I125" s="76">
        <v>0</v>
      </c>
      <c r="J125" s="76">
        <v>0</v>
      </c>
      <c r="K125" s="76">
        <v>5.2</v>
      </c>
      <c r="L125" s="76">
        <v>7</v>
      </c>
      <c r="M125" s="76">
        <v>7</v>
      </c>
      <c r="N125" s="76">
        <v>7</v>
      </c>
      <c r="O125" s="76">
        <v>1</v>
      </c>
      <c r="P125" s="76">
        <v>4</v>
      </c>
      <c r="Q125" s="76">
        <v>2</v>
      </c>
      <c r="R125" s="76">
        <v>0.318</v>
      </c>
      <c r="S125" s="76">
        <v>1.94</v>
      </c>
      <c r="T125" s="76">
        <v>30</v>
      </c>
      <c r="U125" s="77" t="s">
        <v>1166</v>
      </c>
      <c r="V125" s="76" t="s">
        <v>162</v>
      </c>
      <c r="W125" s="76">
        <v>0</v>
      </c>
      <c r="X125" s="76">
        <v>0</v>
      </c>
      <c r="Y125" s="76">
        <v>1</v>
      </c>
      <c r="Z125" s="76">
        <v>0</v>
      </c>
      <c r="AA125" s="76">
        <v>1</v>
      </c>
      <c r="AB125" s="76">
        <v>0</v>
      </c>
      <c r="AC125" s="76">
        <v>0</v>
      </c>
      <c r="AD125" s="76">
        <v>5</v>
      </c>
      <c r="AE125" s="76">
        <v>9</v>
      </c>
      <c r="AF125" s="76">
        <v>1</v>
      </c>
      <c r="AG125" s="76">
        <v>0</v>
      </c>
      <c r="AH125" s="76">
        <v>1</v>
      </c>
      <c r="AI125" s="76">
        <v>1</v>
      </c>
      <c r="AJ125" s="76">
        <v>0</v>
      </c>
      <c r="AK125" s="76">
        <v>28</v>
      </c>
      <c r="AL125" s="76">
        <v>110</v>
      </c>
      <c r="AM125" s="202"/>
      <c r="AN125" s="77"/>
      <c r="AO125" s="202"/>
      <c r="AP125" s="202"/>
      <c r="AQ125" s="202"/>
      <c r="AR125" s="202"/>
      <c r="AS125" s="202"/>
      <c r="AT125" s="202"/>
      <c r="AU125" s="202"/>
      <c r="AV125" s="202"/>
      <c r="AW125" s="202"/>
      <c r="AX125" s="202"/>
      <c r="AY125" s="202"/>
    </row>
    <row r="126" spans="1:51" ht="25.5" x14ac:dyDescent="0.2">
      <c r="A126" s="76">
        <v>31</v>
      </c>
      <c r="B126" s="77" t="s">
        <v>357</v>
      </c>
      <c r="C126" s="76" t="s">
        <v>162</v>
      </c>
      <c r="D126" s="76">
        <v>1</v>
      </c>
      <c r="E126" s="76">
        <v>2</v>
      </c>
      <c r="F126" s="76">
        <v>13.5</v>
      </c>
      <c r="G126" s="76">
        <v>18</v>
      </c>
      <c r="H126" s="76">
        <v>0</v>
      </c>
      <c r="I126" s="76">
        <v>1</v>
      </c>
      <c r="J126" s="76">
        <v>2</v>
      </c>
      <c r="K126" s="76">
        <v>18.2</v>
      </c>
      <c r="L126" s="76">
        <v>29</v>
      </c>
      <c r="M126" s="76">
        <v>29</v>
      </c>
      <c r="N126" s="76">
        <v>28</v>
      </c>
      <c r="O126" s="76">
        <v>9</v>
      </c>
      <c r="P126" s="76">
        <v>12</v>
      </c>
      <c r="Q126" s="76">
        <v>15</v>
      </c>
      <c r="R126" s="76">
        <v>0.34499999999999997</v>
      </c>
      <c r="S126" s="76">
        <v>2.2000000000000002</v>
      </c>
      <c r="T126" s="76">
        <v>31</v>
      </c>
      <c r="U126" s="77" t="s">
        <v>357</v>
      </c>
      <c r="V126" s="76" t="s">
        <v>162</v>
      </c>
      <c r="W126" s="76">
        <v>0</v>
      </c>
      <c r="X126" s="76">
        <v>0</v>
      </c>
      <c r="Y126" s="76">
        <v>1</v>
      </c>
      <c r="Z126" s="76">
        <v>1</v>
      </c>
      <c r="AA126" s="76">
        <v>8</v>
      </c>
      <c r="AB126" s="76">
        <v>1</v>
      </c>
      <c r="AC126" s="76">
        <v>1</v>
      </c>
      <c r="AD126" s="76">
        <v>17</v>
      </c>
      <c r="AE126" s="76">
        <v>23</v>
      </c>
      <c r="AF126" s="76">
        <v>0</v>
      </c>
      <c r="AG126" s="76">
        <v>0</v>
      </c>
      <c r="AH126" s="76">
        <v>0</v>
      </c>
      <c r="AI126" s="76">
        <v>0</v>
      </c>
      <c r="AJ126" s="76">
        <v>0</v>
      </c>
      <c r="AK126" s="76">
        <v>97</v>
      </c>
      <c r="AL126" s="76">
        <v>414</v>
      </c>
      <c r="AM126" s="202"/>
      <c r="AN126" s="77"/>
      <c r="AO126" s="202"/>
      <c r="AP126" s="202"/>
      <c r="AQ126" s="202"/>
      <c r="AR126" s="202"/>
      <c r="AS126" s="202"/>
      <c r="AT126" s="202"/>
      <c r="AU126" s="202"/>
      <c r="AV126" s="202"/>
      <c r="AW126" s="202"/>
      <c r="AX126" s="202"/>
      <c r="AY126" s="202"/>
    </row>
    <row r="127" spans="1:51" ht="25.5" x14ac:dyDescent="0.2">
      <c r="A127" s="76">
        <v>32</v>
      </c>
      <c r="B127" s="77" t="s">
        <v>1437</v>
      </c>
      <c r="C127" s="76" t="s">
        <v>162</v>
      </c>
      <c r="D127" s="76">
        <v>0</v>
      </c>
      <c r="E127" s="76">
        <v>0</v>
      </c>
      <c r="F127" s="76">
        <v>19.29</v>
      </c>
      <c r="G127" s="76">
        <v>2</v>
      </c>
      <c r="H127" s="76">
        <v>0</v>
      </c>
      <c r="I127" s="76">
        <v>0</v>
      </c>
      <c r="J127" s="76">
        <v>0</v>
      </c>
      <c r="K127" s="76">
        <v>2.1</v>
      </c>
      <c r="L127" s="76">
        <v>6</v>
      </c>
      <c r="M127" s="76">
        <v>5</v>
      </c>
      <c r="N127" s="76">
        <v>5</v>
      </c>
      <c r="O127" s="76">
        <v>2</v>
      </c>
      <c r="P127" s="76">
        <v>3</v>
      </c>
      <c r="Q127" s="76">
        <v>2</v>
      </c>
      <c r="R127" s="76">
        <v>0.46200000000000002</v>
      </c>
      <c r="S127" s="76">
        <v>3.86</v>
      </c>
      <c r="T127" s="76">
        <v>32</v>
      </c>
      <c r="U127" s="77" t="s">
        <v>1437</v>
      </c>
      <c r="V127" s="76" t="s">
        <v>162</v>
      </c>
      <c r="W127" s="76">
        <v>0</v>
      </c>
      <c r="X127" s="76">
        <v>0</v>
      </c>
      <c r="Y127" s="76">
        <v>0</v>
      </c>
      <c r="Z127" s="76">
        <v>0</v>
      </c>
      <c r="AA127" s="76">
        <v>1</v>
      </c>
      <c r="AB127" s="76">
        <v>0</v>
      </c>
      <c r="AC127" s="76">
        <v>0</v>
      </c>
      <c r="AD127" s="76">
        <v>4</v>
      </c>
      <c r="AE127" s="76">
        <v>1</v>
      </c>
      <c r="AF127" s="76">
        <v>0</v>
      </c>
      <c r="AG127" s="76">
        <v>0</v>
      </c>
      <c r="AH127" s="76">
        <v>0</v>
      </c>
      <c r="AI127" s="76">
        <v>0</v>
      </c>
      <c r="AJ127" s="76">
        <v>0</v>
      </c>
      <c r="AK127" s="76">
        <v>16</v>
      </c>
      <c r="AL127" s="76">
        <v>58</v>
      </c>
      <c r="AM127" s="102"/>
      <c r="AN127" s="102"/>
      <c r="AO127" s="102"/>
      <c r="AP127" s="102"/>
      <c r="AQ127" s="102"/>
      <c r="AR127" s="102"/>
      <c r="AS127" s="102"/>
      <c r="AT127" s="102"/>
      <c r="AU127" s="102"/>
      <c r="AV127" s="102"/>
      <c r="AW127" s="102"/>
      <c r="AX127" s="102"/>
      <c r="AY127" s="102"/>
    </row>
    <row r="128" spans="1:51" ht="25.5" x14ac:dyDescent="0.2">
      <c r="A128" s="225" t="s">
        <v>105</v>
      </c>
      <c r="B128" s="225" t="s">
        <v>106</v>
      </c>
      <c r="C128" s="225" t="s">
        <v>157</v>
      </c>
      <c r="D128" s="225" t="s">
        <v>85</v>
      </c>
      <c r="E128" s="225" t="s">
        <v>86</v>
      </c>
      <c r="F128" s="225" t="s">
        <v>107</v>
      </c>
      <c r="G128" s="225" t="s">
        <v>108</v>
      </c>
      <c r="H128" s="225" t="s">
        <v>88</v>
      </c>
      <c r="I128" s="225" t="s">
        <v>90</v>
      </c>
      <c r="J128" s="225" t="s">
        <v>158</v>
      </c>
      <c r="K128" s="225" t="s">
        <v>91</v>
      </c>
      <c r="L128" s="225" t="s">
        <v>92</v>
      </c>
      <c r="M128" s="225" t="s">
        <v>93</v>
      </c>
      <c r="N128" s="225" t="s">
        <v>94</v>
      </c>
      <c r="O128" s="225" t="s">
        <v>95</v>
      </c>
      <c r="P128" s="225" t="s">
        <v>96</v>
      </c>
      <c r="Q128" s="225" t="s">
        <v>97</v>
      </c>
      <c r="R128" s="225" t="s">
        <v>1071</v>
      </c>
      <c r="S128" s="225" t="s">
        <v>1072</v>
      </c>
      <c r="T128" s="225" t="s">
        <v>105</v>
      </c>
      <c r="U128" s="225" t="s">
        <v>106</v>
      </c>
      <c r="V128" s="225" t="s">
        <v>157</v>
      </c>
      <c r="W128" s="225" t="s">
        <v>89</v>
      </c>
      <c r="X128" s="225" t="s">
        <v>1073</v>
      </c>
      <c r="Y128" s="225" t="s">
        <v>1074</v>
      </c>
      <c r="Z128" s="225" t="s">
        <v>98</v>
      </c>
      <c r="AA128" s="225" t="s">
        <v>1075</v>
      </c>
      <c r="AB128" s="225" t="s">
        <v>1076</v>
      </c>
      <c r="AC128" s="225" t="s">
        <v>1077</v>
      </c>
      <c r="AD128" s="225" t="s">
        <v>1066</v>
      </c>
      <c r="AE128" s="225" t="s">
        <v>1067</v>
      </c>
      <c r="AF128" s="225" t="s">
        <v>1078</v>
      </c>
      <c r="AG128" s="225" t="s">
        <v>1079</v>
      </c>
      <c r="AH128" s="225" t="s">
        <v>1057</v>
      </c>
      <c r="AI128" s="225" t="s">
        <v>1058</v>
      </c>
      <c r="AJ128" s="225" t="s">
        <v>1080</v>
      </c>
      <c r="AK128" s="225" t="s">
        <v>109</v>
      </c>
      <c r="AL128" s="225" t="s">
        <v>1069</v>
      </c>
      <c r="AM128" s="202"/>
      <c r="AN128" s="77"/>
      <c r="AO128" s="202"/>
      <c r="AP128" s="202"/>
      <c r="AQ128" s="202"/>
      <c r="AR128" s="202"/>
      <c r="AS128" s="202"/>
      <c r="AT128" s="202"/>
      <c r="AU128" s="202"/>
      <c r="AV128" s="202"/>
      <c r="AW128" s="202"/>
      <c r="AX128" s="202"/>
      <c r="AY128" s="202"/>
    </row>
    <row r="129" spans="1:51" ht="25.5" x14ac:dyDescent="0.2">
      <c r="A129" s="76">
        <v>1</v>
      </c>
      <c r="B129" s="77" t="s">
        <v>364</v>
      </c>
      <c r="C129" s="76" t="s">
        <v>163</v>
      </c>
      <c r="D129" s="76">
        <v>1</v>
      </c>
      <c r="E129" s="76">
        <v>3</v>
      </c>
      <c r="F129" s="76">
        <v>2.67</v>
      </c>
      <c r="G129" s="76">
        <v>34</v>
      </c>
      <c r="H129" s="76">
        <v>0</v>
      </c>
      <c r="I129" s="76">
        <v>7</v>
      </c>
      <c r="J129" s="76">
        <v>12</v>
      </c>
      <c r="K129" s="76">
        <v>27</v>
      </c>
      <c r="L129" s="76">
        <v>18</v>
      </c>
      <c r="M129" s="76">
        <v>9</v>
      </c>
      <c r="N129" s="76">
        <v>8</v>
      </c>
      <c r="O129" s="76">
        <v>3</v>
      </c>
      <c r="P129" s="76">
        <v>7</v>
      </c>
      <c r="Q129" s="76">
        <v>35</v>
      </c>
      <c r="R129" s="76">
        <v>0.184</v>
      </c>
      <c r="S129" s="76">
        <v>0.93</v>
      </c>
      <c r="T129" s="76">
        <v>1</v>
      </c>
      <c r="U129" s="77" t="s">
        <v>364</v>
      </c>
      <c r="V129" s="76" t="s">
        <v>163</v>
      </c>
      <c r="W129" s="76">
        <v>0</v>
      </c>
      <c r="X129" s="76">
        <v>0</v>
      </c>
      <c r="Y129" s="76">
        <v>2</v>
      </c>
      <c r="Z129" s="76">
        <v>0</v>
      </c>
      <c r="AA129" s="76">
        <v>19</v>
      </c>
      <c r="AB129" s="76">
        <v>4</v>
      </c>
      <c r="AC129" s="76">
        <v>1</v>
      </c>
      <c r="AD129" s="76">
        <v>30</v>
      </c>
      <c r="AE129" s="76">
        <v>15</v>
      </c>
      <c r="AF129" s="76">
        <v>4</v>
      </c>
      <c r="AG129" s="76">
        <v>0</v>
      </c>
      <c r="AH129" s="76">
        <v>2</v>
      </c>
      <c r="AI129" s="76">
        <v>0</v>
      </c>
      <c r="AJ129" s="76">
        <v>0</v>
      </c>
      <c r="AK129" s="76">
        <v>107</v>
      </c>
      <c r="AL129" s="76">
        <v>458</v>
      </c>
      <c r="AM129" s="202"/>
      <c r="AN129" s="77"/>
      <c r="AO129" s="202"/>
      <c r="AP129" s="202"/>
      <c r="AQ129" s="202"/>
      <c r="AR129" s="202"/>
      <c r="AS129" s="202"/>
      <c r="AT129" s="202"/>
      <c r="AU129" s="202"/>
      <c r="AV129" s="202"/>
      <c r="AW129" s="202"/>
      <c r="AX129" s="202"/>
      <c r="AY129" s="202"/>
    </row>
    <row r="130" spans="1:51" ht="25.5" x14ac:dyDescent="0.2">
      <c r="A130" s="76">
        <v>2</v>
      </c>
      <c r="B130" s="77" t="s">
        <v>1438</v>
      </c>
      <c r="C130" s="76" t="s">
        <v>163</v>
      </c>
      <c r="D130" s="76">
        <v>5</v>
      </c>
      <c r="E130" s="76">
        <v>6</v>
      </c>
      <c r="F130" s="76">
        <v>3.54</v>
      </c>
      <c r="G130" s="76">
        <v>19</v>
      </c>
      <c r="H130" s="76">
        <v>19</v>
      </c>
      <c r="I130" s="76">
        <v>0</v>
      </c>
      <c r="J130" s="76">
        <v>0</v>
      </c>
      <c r="K130" s="76">
        <v>114.1</v>
      </c>
      <c r="L130" s="76">
        <v>119</v>
      </c>
      <c r="M130" s="76">
        <v>50</v>
      </c>
      <c r="N130" s="76">
        <v>45</v>
      </c>
      <c r="O130" s="76">
        <v>12</v>
      </c>
      <c r="P130" s="76">
        <v>28</v>
      </c>
      <c r="Q130" s="76">
        <v>99</v>
      </c>
      <c r="R130" s="76">
        <v>0.27200000000000002</v>
      </c>
      <c r="S130" s="76">
        <v>1.29</v>
      </c>
      <c r="T130" s="76">
        <v>2</v>
      </c>
      <c r="U130" s="77" t="s">
        <v>1438</v>
      </c>
      <c r="V130" s="76" t="s">
        <v>163</v>
      </c>
      <c r="W130" s="76">
        <v>0</v>
      </c>
      <c r="X130" s="76">
        <v>0</v>
      </c>
      <c r="Y130" s="76">
        <v>3</v>
      </c>
      <c r="Z130" s="76">
        <v>2</v>
      </c>
      <c r="AA130" s="76">
        <v>0</v>
      </c>
      <c r="AB130" s="76">
        <v>0</v>
      </c>
      <c r="AC130" s="76">
        <v>13</v>
      </c>
      <c r="AD130" s="76">
        <v>140</v>
      </c>
      <c r="AE130" s="76">
        <v>88</v>
      </c>
      <c r="AF130" s="76">
        <v>4</v>
      </c>
      <c r="AG130" s="76">
        <v>3</v>
      </c>
      <c r="AH130" s="76">
        <v>7</v>
      </c>
      <c r="AI130" s="76">
        <v>2</v>
      </c>
      <c r="AJ130" s="76">
        <v>3</v>
      </c>
      <c r="AK130" s="76">
        <v>478</v>
      </c>
      <c r="AL130" s="76">
        <v>1793</v>
      </c>
      <c r="AM130" s="202"/>
      <c r="AN130" s="77"/>
      <c r="AO130" s="202"/>
      <c r="AP130" s="202"/>
      <c r="AQ130" s="202"/>
      <c r="AR130" s="202"/>
      <c r="AS130" s="202"/>
      <c r="AT130" s="202"/>
      <c r="AU130" s="202"/>
      <c r="AV130" s="202"/>
      <c r="AW130" s="202"/>
      <c r="AX130" s="202"/>
      <c r="AY130" s="202"/>
    </row>
    <row r="131" spans="1:51" ht="25.5" x14ac:dyDescent="0.2">
      <c r="A131" s="76">
        <v>3</v>
      </c>
      <c r="B131" s="77" t="s">
        <v>585</v>
      </c>
      <c r="C131" s="76" t="s">
        <v>163</v>
      </c>
      <c r="D131" s="76">
        <v>2</v>
      </c>
      <c r="E131" s="76">
        <v>5</v>
      </c>
      <c r="F131" s="76">
        <v>3.69</v>
      </c>
      <c r="G131" s="76">
        <v>66</v>
      </c>
      <c r="H131" s="76">
        <v>0</v>
      </c>
      <c r="I131" s="76">
        <v>1</v>
      </c>
      <c r="J131" s="76">
        <v>4</v>
      </c>
      <c r="K131" s="76">
        <v>46.1</v>
      </c>
      <c r="L131" s="76">
        <v>27</v>
      </c>
      <c r="M131" s="76">
        <v>23</v>
      </c>
      <c r="N131" s="76">
        <v>19</v>
      </c>
      <c r="O131" s="76">
        <v>4</v>
      </c>
      <c r="P131" s="76">
        <v>20</v>
      </c>
      <c r="Q131" s="76">
        <v>57</v>
      </c>
      <c r="R131" s="76">
        <v>0.16600000000000001</v>
      </c>
      <c r="S131" s="76">
        <v>1.01</v>
      </c>
      <c r="T131" s="76">
        <v>3</v>
      </c>
      <c r="U131" s="77" t="s">
        <v>585</v>
      </c>
      <c r="V131" s="76" t="s">
        <v>163</v>
      </c>
      <c r="W131" s="76">
        <v>0</v>
      </c>
      <c r="X131" s="76">
        <v>0</v>
      </c>
      <c r="Y131" s="76">
        <v>2</v>
      </c>
      <c r="Z131" s="76">
        <v>5</v>
      </c>
      <c r="AA131" s="76">
        <v>9</v>
      </c>
      <c r="AB131" s="76">
        <v>27</v>
      </c>
      <c r="AC131" s="76">
        <v>4</v>
      </c>
      <c r="AD131" s="76">
        <v>50</v>
      </c>
      <c r="AE131" s="76">
        <v>31</v>
      </c>
      <c r="AF131" s="76">
        <v>4</v>
      </c>
      <c r="AG131" s="76">
        <v>0</v>
      </c>
      <c r="AH131" s="76">
        <v>1</v>
      </c>
      <c r="AI131" s="76">
        <v>0</v>
      </c>
      <c r="AJ131" s="76">
        <v>0</v>
      </c>
      <c r="AK131" s="76">
        <v>187</v>
      </c>
      <c r="AL131" s="76">
        <v>748</v>
      </c>
      <c r="AM131" s="202"/>
      <c r="AN131" s="77"/>
      <c r="AO131" s="202"/>
      <c r="AP131" s="202"/>
      <c r="AQ131" s="202"/>
      <c r="AR131" s="202"/>
      <c r="AS131" s="202"/>
      <c r="AT131" s="202"/>
      <c r="AU131" s="202"/>
      <c r="AV131" s="202"/>
      <c r="AW131" s="202"/>
      <c r="AX131" s="202"/>
      <c r="AY131" s="202"/>
    </row>
    <row r="132" spans="1:51" ht="25.5" x14ac:dyDescent="0.2">
      <c r="A132" s="76">
        <v>4</v>
      </c>
      <c r="B132" s="77" t="s">
        <v>348</v>
      </c>
      <c r="C132" s="76" t="s">
        <v>163</v>
      </c>
      <c r="D132" s="76">
        <v>3</v>
      </c>
      <c r="E132" s="76">
        <v>5</v>
      </c>
      <c r="F132" s="76">
        <v>3.74</v>
      </c>
      <c r="G132" s="76">
        <v>29</v>
      </c>
      <c r="H132" s="76">
        <v>7</v>
      </c>
      <c r="I132" s="76">
        <v>0</v>
      </c>
      <c r="J132" s="76">
        <v>1</v>
      </c>
      <c r="K132" s="76">
        <v>84.1</v>
      </c>
      <c r="L132" s="76">
        <v>82</v>
      </c>
      <c r="M132" s="76">
        <v>36</v>
      </c>
      <c r="N132" s="76">
        <v>35</v>
      </c>
      <c r="O132" s="76">
        <v>5</v>
      </c>
      <c r="P132" s="76">
        <v>23</v>
      </c>
      <c r="Q132" s="76">
        <v>69</v>
      </c>
      <c r="R132" s="76">
        <v>0.25900000000000001</v>
      </c>
      <c r="S132" s="76">
        <v>1.25</v>
      </c>
      <c r="T132" s="76">
        <v>4</v>
      </c>
      <c r="U132" s="77" t="s">
        <v>348</v>
      </c>
      <c r="V132" s="76" t="s">
        <v>163</v>
      </c>
      <c r="W132" s="76">
        <v>0</v>
      </c>
      <c r="X132" s="76">
        <v>0</v>
      </c>
      <c r="Y132" s="76">
        <v>3</v>
      </c>
      <c r="Z132" s="76">
        <v>2</v>
      </c>
      <c r="AA132" s="76">
        <v>1</v>
      </c>
      <c r="AB132" s="76">
        <v>4</v>
      </c>
      <c r="AC132" s="76">
        <v>10</v>
      </c>
      <c r="AD132" s="76">
        <v>124</v>
      </c>
      <c r="AE132" s="76">
        <v>49</v>
      </c>
      <c r="AF132" s="76">
        <v>4</v>
      </c>
      <c r="AG132" s="76">
        <v>0</v>
      </c>
      <c r="AH132" s="76">
        <v>7</v>
      </c>
      <c r="AI132" s="76">
        <v>2</v>
      </c>
      <c r="AJ132" s="76">
        <v>4</v>
      </c>
      <c r="AK132" s="76">
        <v>350</v>
      </c>
      <c r="AL132" s="76">
        <v>1264</v>
      </c>
      <c r="AM132" s="202"/>
      <c r="AN132" s="77"/>
      <c r="AO132" s="202"/>
      <c r="AP132" s="202"/>
      <c r="AQ132" s="202"/>
      <c r="AR132" s="202"/>
      <c r="AS132" s="202"/>
      <c r="AT132" s="202"/>
      <c r="AU132" s="202"/>
      <c r="AV132" s="202"/>
      <c r="AW132" s="202"/>
      <c r="AX132" s="202"/>
      <c r="AY132" s="202"/>
    </row>
    <row r="133" spans="1:51" ht="25.5" x14ac:dyDescent="0.2">
      <c r="A133" s="76">
        <v>5</v>
      </c>
      <c r="B133" s="77" t="s">
        <v>1439</v>
      </c>
      <c r="C133" s="76" t="s">
        <v>163</v>
      </c>
      <c r="D133" s="76">
        <v>12</v>
      </c>
      <c r="E133" s="76">
        <v>9</v>
      </c>
      <c r="F133" s="76">
        <v>3.87</v>
      </c>
      <c r="G133" s="76">
        <v>27</v>
      </c>
      <c r="H133" s="76">
        <v>27</v>
      </c>
      <c r="I133" s="76">
        <v>0</v>
      </c>
      <c r="J133" s="76">
        <v>0</v>
      </c>
      <c r="K133" s="76">
        <v>158</v>
      </c>
      <c r="L133" s="76">
        <v>147</v>
      </c>
      <c r="M133" s="76">
        <v>75</v>
      </c>
      <c r="N133" s="76">
        <v>68</v>
      </c>
      <c r="O133" s="76">
        <v>15</v>
      </c>
      <c r="P133" s="76">
        <v>70</v>
      </c>
      <c r="Q133" s="76">
        <v>117</v>
      </c>
      <c r="R133" s="76">
        <v>0.25</v>
      </c>
      <c r="S133" s="76">
        <v>1.37</v>
      </c>
      <c r="T133" s="76">
        <v>5</v>
      </c>
      <c r="U133" s="77" t="s">
        <v>1439</v>
      </c>
      <c r="V133" s="76" t="s">
        <v>163</v>
      </c>
      <c r="W133" s="76">
        <v>0</v>
      </c>
      <c r="X133" s="76">
        <v>0</v>
      </c>
      <c r="Y133" s="76">
        <v>5</v>
      </c>
      <c r="Z133" s="76">
        <v>2</v>
      </c>
      <c r="AA133" s="76">
        <v>0</v>
      </c>
      <c r="AB133" s="76">
        <v>0</v>
      </c>
      <c r="AC133" s="76">
        <v>22</v>
      </c>
      <c r="AD133" s="76">
        <v>210</v>
      </c>
      <c r="AE133" s="76">
        <v>120</v>
      </c>
      <c r="AF133" s="76">
        <v>7</v>
      </c>
      <c r="AG133" s="76">
        <v>0</v>
      </c>
      <c r="AH133" s="76">
        <v>4</v>
      </c>
      <c r="AI133" s="76">
        <v>6</v>
      </c>
      <c r="AJ133" s="76">
        <v>0</v>
      </c>
      <c r="AK133" s="76">
        <v>669</v>
      </c>
      <c r="AL133" s="76">
        <v>2546</v>
      </c>
      <c r="AM133" s="202"/>
      <c r="AN133" s="77"/>
      <c r="AO133" s="202"/>
      <c r="AP133" s="202"/>
      <c r="AQ133" s="202"/>
      <c r="AR133" s="202"/>
      <c r="AS133" s="202"/>
      <c r="AT133" s="202"/>
      <c r="AU133" s="202"/>
      <c r="AV133" s="202"/>
      <c r="AW133" s="202"/>
      <c r="AX133" s="202"/>
      <c r="AY133" s="202"/>
    </row>
    <row r="134" spans="1:51" ht="25.5" x14ac:dyDescent="0.2">
      <c r="A134" s="76">
        <v>6</v>
      </c>
      <c r="B134" s="77" t="s">
        <v>1112</v>
      </c>
      <c r="C134" s="76" t="s">
        <v>163</v>
      </c>
      <c r="D134" s="76">
        <v>10</v>
      </c>
      <c r="E134" s="76">
        <v>10</v>
      </c>
      <c r="F134" s="76">
        <v>4.6100000000000003</v>
      </c>
      <c r="G134" s="76">
        <v>29</v>
      </c>
      <c r="H134" s="76">
        <v>29</v>
      </c>
      <c r="I134" s="76">
        <v>0</v>
      </c>
      <c r="J134" s="76">
        <v>0</v>
      </c>
      <c r="K134" s="76">
        <v>168</v>
      </c>
      <c r="L134" s="76">
        <v>153</v>
      </c>
      <c r="M134" s="76">
        <v>92</v>
      </c>
      <c r="N134" s="76">
        <v>86</v>
      </c>
      <c r="O134" s="76">
        <v>18</v>
      </c>
      <c r="P134" s="76">
        <v>59</v>
      </c>
      <c r="Q134" s="76">
        <v>185</v>
      </c>
      <c r="R134" s="76">
        <v>0.24299999999999999</v>
      </c>
      <c r="S134" s="76">
        <v>1.26</v>
      </c>
      <c r="T134" s="76">
        <v>6</v>
      </c>
      <c r="U134" s="77" t="s">
        <v>1112</v>
      </c>
      <c r="V134" s="76" t="s">
        <v>163</v>
      </c>
      <c r="W134" s="76">
        <v>1</v>
      </c>
      <c r="X134" s="76">
        <v>1</v>
      </c>
      <c r="Y134" s="76">
        <v>12</v>
      </c>
      <c r="Z134" s="76">
        <v>2</v>
      </c>
      <c r="AA134" s="76">
        <v>0</v>
      </c>
      <c r="AB134" s="76">
        <v>0</v>
      </c>
      <c r="AC134" s="76">
        <v>10</v>
      </c>
      <c r="AD134" s="76">
        <v>159</v>
      </c>
      <c r="AE134" s="76">
        <v>143</v>
      </c>
      <c r="AF134" s="76">
        <v>7</v>
      </c>
      <c r="AG134" s="76">
        <v>0</v>
      </c>
      <c r="AH134" s="76">
        <v>10</v>
      </c>
      <c r="AI134" s="76">
        <v>2</v>
      </c>
      <c r="AJ134" s="76">
        <v>3</v>
      </c>
      <c r="AK134" s="76">
        <v>712</v>
      </c>
      <c r="AL134" s="76">
        <v>2793</v>
      </c>
      <c r="AM134" s="202"/>
      <c r="AN134" s="77"/>
      <c r="AO134" s="202"/>
      <c r="AP134" s="202"/>
      <c r="AQ134" s="202"/>
      <c r="AR134" s="202"/>
      <c r="AS134" s="202"/>
      <c r="AT134" s="202"/>
      <c r="AU134" s="202"/>
      <c r="AV134" s="202"/>
      <c r="AW134" s="202"/>
      <c r="AX134" s="202"/>
      <c r="AY134" s="202"/>
    </row>
    <row r="135" spans="1:51" ht="25.5" x14ac:dyDescent="0.2">
      <c r="A135" s="76">
        <v>7</v>
      </c>
      <c r="B135" s="77" t="s">
        <v>632</v>
      </c>
      <c r="C135" s="76" t="s">
        <v>163</v>
      </c>
      <c r="D135" s="76">
        <v>2</v>
      </c>
      <c r="E135" s="76">
        <v>3</v>
      </c>
      <c r="F135" s="76">
        <v>4.7300000000000004</v>
      </c>
      <c r="G135" s="76">
        <v>57</v>
      </c>
      <c r="H135" s="76">
        <v>0</v>
      </c>
      <c r="I135" s="76">
        <v>15</v>
      </c>
      <c r="J135" s="76">
        <v>19</v>
      </c>
      <c r="K135" s="76">
        <v>45.2</v>
      </c>
      <c r="L135" s="76">
        <v>56</v>
      </c>
      <c r="M135" s="76">
        <v>25</v>
      </c>
      <c r="N135" s="76">
        <v>24</v>
      </c>
      <c r="O135" s="76">
        <v>9</v>
      </c>
      <c r="P135" s="76">
        <v>16</v>
      </c>
      <c r="Q135" s="76">
        <v>38</v>
      </c>
      <c r="R135" s="76">
        <v>0.30099999999999999</v>
      </c>
      <c r="S135" s="76">
        <v>1.58</v>
      </c>
      <c r="T135" s="76">
        <v>7</v>
      </c>
      <c r="U135" s="77" t="s">
        <v>632</v>
      </c>
      <c r="V135" s="76" t="s">
        <v>163</v>
      </c>
      <c r="W135" s="76">
        <v>0</v>
      </c>
      <c r="X135" s="76">
        <v>0</v>
      </c>
      <c r="Y135" s="76">
        <v>3</v>
      </c>
      <c r="Z135" s="76">
        <v>1</v>
      </c>
      <c r="AA135" s="76">
        <v>25</v>
      </c>
      <c r="AB135" s="76">
        <v>4</v>
      </c>
      <c r="AC135" s="76">
        <v>5</v>
      </c>
      <c r="AD135" s="76">
        <v>46</v>
      </c>
      <c r="AE135" s="76">
        <v>46</v>
      </c>
      <c r="AF135" s="76">
        <v>4</v>
      </c>
      <c r="AG135" s="76">
        <v>0</v>
      </c>
      <c r="AH135" s="76">
        <v>2</v>
      </c>
      <c r="AI135" s="76">
        <v>2</v>
      </c>
      <c r="AJ135" s="76">
        <v>0</v>
      </c>
      <c r="AK135" s="76">
        <v>205</v>
      </c>
      <c r="AL135" s="76">
        <v>842</v>
      </c>
      <c r="AM135" s="202"/>
      <c r="AN135" s="77"/>
      <c r="AO135" s="202"/>
      <c r="AP135" s="202"/>
      <c r="AQ135" s="202"/>
      <c r="AR135" s="202"/>
      <c r="AS135" s="202"/>
      <c r="AT135" s="202"/>
      <c r="AU135" s="202"/>
      <c r="AV135" s="202"/>
      <c r="AW135" s="202"/>
      <c r="AX135" s="202"/>
      <c r="AY135" s="202"/>
    </row>
    <row r="136" spans="1:51" ht="25.5" x14ac:dyDescent="0.2">
      <c r="A136" s="76">
        <v>8</v>
      </c>
      <c r="B136" s="77" t="s">
        <v>371</v>
      </c>
      <c r="C136" s="76" t="s">
        <v>163</v>
      </c>
      <c r="D136" s="76">
        <v>14</v>
      </c>
      <c r="E136" s="76">
        <v>8</v>
      </c>
      <c r="F136" s="76">
        <v>4.79</v>
      </c>
      <c r="G136" s="76">
        <v>32</v>
      </c>
      <c r="H136" s="76">
        <v>32</v>
      </c>
      <c r="I136" s="76">
        <v>0</v>
      </c>
      <c r="J136" s="76">
        <v>0</v>
      </c>
      <c r="K136" s="76">
        <v>186</v>
      </c>
      <c r="L136" s="76">
        <v>204</v>
      </c>
      <c r="M136" s="76">
        <v>107</v>
      </c>
      <c r="N136" s="76">
        <v>99</v>
      </c>
      <c r="O136" s="76">
        <v>22</v>
      </c>
      <c r="P136" s="76">
        <v>59</v>
      </c>
      <c r="Q136" s="76">
        <v>138</v>
      </c>
      <c r="R136" s="76">
        <v>0.27800000000000002</v>
      </c>
      <c r="S136" s="76">
        <v>1.41</v>
      </c>
      <c r="T136" s="76">
        <v>8</v>
      </c>
      <c r="U136" s="77" t="s">
        <v>371</v>
      </c>
      <c r="V136" s="76" t="s">
        <v>163</v>
      </c>
      <c r="W136" s="76">
        <v>1</v>
      </c>
      <c r="X136" s="76">
        <v>1</v>
      </c>
      <c r="Y136" s="76">
        <v>7</v>
      </c>
      <c r="Z136" s="76">
        <v>5</v>
      </c>
      <c r="AA136" s="76">
        <v>0</v>
      </c>
      <c r="AB136" s="76">
        <v>0</v>
      </c>
      <c r="AC136" s="76">
        <v>11</v>
      </c>
      <c r="AD136" s="76">
        <v>260</v>
      </c>
      <c r="AE136" s="76">
        <v>146</v>
      </c>
      <c r="AF136" s="76">
        <v>4</v>
      </c>
      <c r="AG136" s="76">
        <v>0</v>
      </c>
      <c r="AH136" s="76">
        <v>8</v>
      </c>
      <c r="AI136" s="76">
        <v>4</v>
      </c>
      <c r="AJ136" s="76">
        <v>0</v>
      </c>
      <c r="AK136" s="76">
        <v>814</v>
      </c>
      <c r="AL136" s="76">
        <v>3055</v>
      </c>
      <c r="AM136" s="202"/>
      <c r="AN136" s="77"/>
      <c r="AO136" s="202"/>
      <c r="AP136" s="202"/>
      <c r="AQ136" s="202"/>
      <c r="AR136" s="202"/>
      <c r="AS136" s="202"/>
      <c r="AT136" s="202"/>
      <c r="AU136" s="202"/>
      <c r="AV136" s="202"/>
      <c r="AW136" s="202"/>
      <c r="AX136" s="202"/>
      <c r="AY136" s="202"/>
    </row>
    <row r="137" spans="1:51" ht="25.5" x14ac:dyDescent="0.2">
      <c r="A137" s="76">
        <v>9</v>
      </c>
      <c r="B137" s="77" t="s">
        <v>1440</v>
      </c>
      <c r="C137" s="76" t="s">
        <v>163</v>
      </c>
      <c r="D137" s="76">
        <v>0</v>
      </c>
      <c r="E137" s="76">
        <v>4</v>
      </c>
      <c r="F137" s="76">
        <v>4.88</v>
      </c>
      <c r="G137" s="76">
        <v>8</v>
      </c>
      <c r="H137" s="76">
        <v>6</v>
      </c>
      <c r="I137" s="76">
        <v>0</v>
      </c>
      <c r="J137" s="76">
        <v>0</v>
      </c>
      <c r="K137" s="76">
        <v>31.1</v>
      </c>
      <c r="L137" s="76">
        <v>37</v>
      </c>
      <c r="M137" s="76">
        <v>29</v>
      </c>
      <c r="N137" s="76">
        <v>17</v>
      </c>
      <c r="O137" s="76">
        <v>7</v>
      </c>
      <c r="P137" s="76">
        <v>17</v>
      </c>
      <c r="Q137" s="76">
        <v>22</v>
      </c>
      <c r="R137" s="76">
        <v>0.28699999999999998</v>
      </c>
      <c r="S137" s="76">
        <v>1.72</v>
      </c>
      <c r="T137" s="76">
        <v>9</v>
      </c>
      <c r="U137" s="77" t="s">
        <v>1440</v>
      </c>
      <c r="V137" s="76" t="s">
        <v>163</v>
      </c>
      <c r="W137" s="76">
        <v>0</v>
      </c>
      <c r="X137" s="76">
        <v>0</v>
      </c>
      <c r="Y137" s="76">
        <v>0</v>
      </c>
      <c r="Z137" s="76">
        <v>1</v>
      </c>
      <c r="AA137" s="76">
        <v>0</v>
      </c>
      <c r="AB137" s="76">
        <v>0</v>
      </c>
      <c r="AC137" s="76">
        <v>4</v>
      </c>
      <c r="AD137" s="76">
        <v>41</v>
      </c>
      <c r="AE137" s="76">
        <v>30</v>
      </c>
      <c r="AF137" s="76">
        <v>4</v>
      </c>
      <c r="AG137" s="76">
        <v>0</v>
      </c>
      <c r="AH137" s="76">
        <v>1</v>
      </c>
      <c r="AI137" s="76">
        <v>0</v>
      </c>
      <c r="AJ137" s="76">
        <v>0</v>
      </c>
      <c r="AK137" s="76">
        <v>147</v>
      </c>
      <c r="AL137" s="76">
        <v>556</v>
      </c>
      <c r="AM137" s="202"/>
      <c r="AN137" s="77"/>
      <c r="AO137" s="202"/>
      <c r="AP137" s="202"/>
      <c r="AQ137" s="202"/>
      <c r="AR137" s="202"/>
      <c r="AS137" s="202"/>
      <c r="AT137" s="202"/>
      <c r="AU137" s="202"/>
      <c r="AV137" s="202"/>
      <c r="AW137" s="202"/>
      <c r="AX137" s="202"/>
      <c r="AY137" s="202"/>
    </row>
    <row r="138" spans="1:51" ht="25.5" x14ac:dyDescent="0.2">
      <c r="A138" s="76">
        <v>10</v>
      </c>
      <c r="B138" s="77" t="s">
        <v>785</v>
      </c>
      <c r="C138" s="76" t="s">
        <v>163</v>
      </c>
      <c r="D138" s="76">
        <v>0</v>
      </c>
      <c r="E138" s="76">
        <v>1</v>
      </c>
      <c r="F138" s="76">
        <v>4.9400000000000004</v>
      </c>
      <c r="G138" s="76">
        <v>30</v>
      </c>
      <c r="H138" s="76">
        <v>0</v>
      </c>
      <c r="I138" s="76">
        <v>0</v>
      </c>
      <c r="J138" s="76">
        <v>0</v>
      </c>
      <c r="K138" s="76">
        <v>23.2</v>
      </c>
      <c r="L138" s="76">
        <v>28</v>
      </c>
      <c r="M138" s="76">
        <v>15</v>
      </c>
      <c r="N138" s="76">
        <v>13</v>
      </c>
      <c r="O138" s="76">
        <v>6</v>
      </c>
      <c r="P138" s="76">
        <v>8</v>
      </c>
      <c r="Q138" s="76">
        <v>24</v>
      </c>
      <c r="R138" s="76">
        <v>0.28599999999999998</v>
      </c>
      <c r="S138" s="76">
        <v>1.52</v>
      </c>
      <c r="T138" s="76">
        <v>10</v>
      </c>
      <c r="U138" s="77" t="s">
        <v>785</v>
      </c>
      <c r="V138" s="76" t="s">
        <v>163</v>
      </c>
      <c r="W138" s="76">
        <v>0</v>
      </c>
      <c r="X138" s="76">
        <v>0</v>
      </c>
      <c r="Y138" s="76">
        <v>2</v>
      </c>
      <c r="Z138" s="76">
        <v>1</v>
      </c>
      <c r="AA138" s="76">
        <v>8</v>
      </c>
      <c r="AB138" s="76">
        <v>6</v>
      </c>
      <c r="AC138" s="76">
        <v>1</v>
      </c>
      <c r="AD138" s="76">
        <v>27</v>
      </c>
      <c r="AE138" s="76">
        <v>20</v>
      </c>
      <c r="AF138" s="76">
        <v>0</v>
      </c>
      <c r="AG138" s="76">
        <v>0</v>
      </c>
      <c r="AH138" s="76">
        <v>5</v>
      </c>
      <c r="AI138" s="76">
        <v>1</v>
      </c>
      <c r="AJ138" s="76">
        <v>0</v>
      </c>
      <c r="AK138" s="76">
        <v>109</v>
      </c>
      <c r="AL138" s="76">
        <v>462</v>
      </c>
      <c r="AM138" s="202"/>
      <c r="AN138" s="77"/>
      <c r="AO138" s="202"/>
      <c r="AP138" s="202"/>
      <c r="AQ138" s="202"/>
      <c r="AR138" s="202"/>
      <c r="AS138" s="202"/>
      <c r="AT138" s="202"/>
      <c r="AU138" s="202"/>
      <c r="AV138" s="202"/>
      <c r="AW138" s="202"/>
      <c r="AX138" s="202"/>
      <c r="AY138" s="202"/>
    </row>
    <row r="139" spans="1:51" ht="25.5" x14ac:dyDescent="0.2">
      <c r="A139" s="76">
        <v>11</v>
      </c>
      <c r="B139" s="77" t="s">
        <v>1111</v>
      </c>
      <c r="C139" s="76" t="s">
        <v>163</v>
      </c>
      <c r="D139" s="76">
        <v>1</v>
      </c>
      <c r="E139" s="76">
        <v>1</v>
      </c>
      <c r="F139" s="76">
        <v>5.19</v>
      </c>
      <c r="G139" s="76">
        <v>24</v>
      </c>
      <c r="H139" s="76">
        <v>0</v>
      </c>
      <c r="I139" s="76">
        <v>1</v>
      </c>
      <c r="J139" s="76">
        <v>2</v>
      </c>
      <c r="K139" s="76">
        <v>26</v>
      </c>
      <c r="L139" s="76">
        <v>26</v>
      </c>
      <c r="M139" s="76">
        <v>15</v>
      </c>
      <c r="N139" s="76">
        <v>15</v>
      </c>
      <c r="O139" s="76">
        <v>3</v>
      </c>
      <c r="P139" s="76">
        <v>11</v>
      </c>
      <c r="Q139" s="76">
        <v>20</v>
      </c>
      <c r="R139" s="76">
        <v>0.25700000000000001</v>
      </c>
      <c r="S139" s="76">
        <v>1.42</v>
      </c>
      <c r="T139" s="76">
        <v>11</v>
      </c>
      <c r="U139" s="77" t="s">
        <v>1111</v>
      </c>
      <c r="V139" s="76" t="s">
        <v>163</v>
      </c>
      <c r="W139" s="76">
        <v>0</v>
      </c>
      <c r="X139" s="76">
        <v>0</v>
      </c>
      <c r="Y139" s="76">
        <v>1</v>
      </c>
      <c r="Z139" s="76">
        <v>2</v>
      </c>
      <c r="AA139" s="76">
        <v>9</v>
      </c>
      <c r="AB139" s="76">
        <v>1</v>
      </c>
      <c r="AC139" s="76">
        <v>4</v>
      </c>
      <c r="AD139" s="76">
        <v>30</v>
      </c>
      <c r="AE139" s="76">
        <v>25</v>
      </c>
      <c r="AF139" s="76">
        <v>3</v>
      </c>
      <c r="AG139" s="76">
        <v>0</v>
      </c>
      <c r="AH139" s="76">
        <v>1</v>
      </c>
      <c r="AI139" s="76">
        <v>0</v>
      </c>
      <c r="AJ139" s="76">
        <v>0</v>
      </c>
      <c r="AK139" s="76">
        <v>113</v>
      </c>
      <c r="AL139" s="76">
        <v>437</v>
      </c>
      <c r="AM139" s="202"/>
      <c r="AN139" s="77"/>
      <c r="AO139" s="202"/>
      <c r="AP139" s="202"/>
      <c r="AQ139" s="202"/>
      <c r="AR139" s="202"/>
      <c r="AS139" s="202"/>
      <c r="AT139" s="202"/>
      <c r="AU139" s="202"/>
      <c r="AV139" s="202"/>
      <c r="AW139" s="202"/>
      <c r="AX139" s="202"/>
      <c r="AY139" s="202"/>
    </row>
    <row r="140" spans="1:51" ht="25.5" x14ac:dyDescent="0.2">
      <c r="A140" s="76">
        <v>12</v>
      </c>
      <c r="B140" s="77" t="s">
        <v>1441</v>
      </c>
      <c r="C140" s="76" t="s">
        <v>163</v>
      </c>
      <c r="D140" s="76">
        <v>1</v>
      </c>
      <c r="E140" s="76">
        <v>1</v>
      </c>
      <c r="F140" s="76">
        <v>5.23</v>
      </c>
      <c r="G140" s="76">
        <v>6</v>
      </c>
      <c r="H140" s="76">
        <v>3</v>
      </c>
      <c r="I140" s="76">
        <v>0</v>
      </c>
      <c r="J140" s="76">
        <v>0</v>
      </c>
      <c r="K140" s="76">
        <v>20.2</v>
      </c>
      <c r="L140" s="76">
        <v>28</v>
      </c>
      <c r="M140" s="76">
        <v>12</v>
      </c>
      <c r="N140" s="76">
        <v>12</v>
      </c>
      <c r="O140" s="76">
        <v>2</v>
      </c>
      <c r="P140" s="76">
        <v>6</v>
      </c>
      <c r="Q140" s="76">
        <v>15</v>
      </c>
      <c r="R140" s="76">
        <v>0.32600000000000001</v>
      </c>
      <c r="S140" s="76">
        <v>1.65</v>
      </c>
      <c r="T140" s="76">
        <v>12</v>
      </c>
      <c r="U140" s="77" t="s">
        <v>1441</v>
      </c>
      <c r="V140" s="76" t="s">
        <v>163</v>
      </c>
      <c r="W140" s="76">
        <v>0</v>
      </c>
      <c r="X140" s="76">
        <v>0</v>
      </c>
      <c r="Y140" s="76">
        <v>3</v>
      </c>
      <c r="Z140" s="76">
        <v>0</v>
      </c>
      <c r="AA140" s="76">
        <v>0</v>
      </c>
      <c r="AB140" s="76">
        <v>0</v>
      </c>
      <c r="AC140" s="76">
        <v>0</v>
      </c>
      <c r="AD140" s="76">
        <v>31</v>
      </c>
      <c r="AE140" s="76">
        <v>15</v>
      </c>
      <c r="AF140" s="76">
        <v>0</v>
      </c>
      <c r="AG140" s="76">
        <v>0</v>
      </c>
      <c r="AH140" s="76">
        <v>2</v>
      </c>
      <c r="AI140" s="76">
        <v>0</v>
      </c>
      <c r="AJ140" s="76">
        <v>0</v>
      </c>
      <c r="AK140" s="76">
        <v>98</v>
      </c>
      <c r="AL140" s="76">
        <v>351</v>
      </c>
      <c r="AM140" s="202"/>
      <c r="AN140" s="77"/>
      <c r="AO140" s="202"/>
      <c r="AP140" s="202"/>
      <c r="AQ140" s="202"/>
      <c r="AR140" s="202"/>
      <c r="AS140" s="202"/>
      <c r="AT140" s="202"/>
      <c r="AU140" s="202"/>
      <c r="AV140" s="202"/>
      <c r="AW140" s="202"/>
      <c r="AX140" s="202"/>
      <c r="AY140" s="202"/>
    </row>
    <row r="141" spans="1:51" ht="25.5" x14ac:dyDescent="0.2">
      <c r="A141" s="76">
        <v>13</v>
      </c>
      <c r="B141" s="77" t="s">
        <v>387</v>
      </c>
      <c r="C141" s="76" t="s">
        <v>163</v>
      </c>
      <c r="D141" s="76">
        <v>2</v>
      </c>
      <c r="E141" s="76">
        <v>0</v>
      </c>
      <c r="F141" s="76">
        <v>5.23</v>
      </c>
      <c r="G141" s="76">
        <v>44</v>
      </c>
      <c r="H141" s="76">
        <v>0</v>
      </c>
      <c r="I141" s="76">
        <v>0</v>
      </c>
      <c r="J141" s="76">
        <v>1</v>
      </c>
      <c r="K141" s="76">
        <v>32.200000000000003</v>
      </c>
      <c r="L141" s="76">
        <v>43</v>
      </c>
      <c r="M141" s="76">
        <v>22</v>
      </c>
      <c r="N141" s="76">
        <v>19</v>
      </c>
      <c r="O141" s="76">
        <v>5</v>
      </c>
      <c r="P141" s="76">
        <v>9</v>
      </c>
      <c r="Q141" s="76">
        <v>22</v>
      </c>
      <c r="R141" s="76">
        <v>0.30499999999999999</v>
      </c>
      <c r="S141" s="76">
        <v>1.59</v>
      </c>
      <c r="T141" s="76">
        <v>13</v>
      </c>
      <c r="U141" s="77" t="s">
        <v>387</v>
      </c>
      <c r="V141" s="76" t="s">
        <v>163</v>
      </c>
      <c r="W141" s="76">
        <v>0</v>
      </c>
      <c r="X141" s="76">
        <v>0</v>
      </c>
      <c r="Y141" s="76">
        <v>0</v>
      </c>
      <c r="Z141" s="76">
        <v>1</v>
      </c>
      <c r="AA141" s="76">
        <v>14</v>
      </c>
      <c r="AB141" s="76">
        <v>4</v>
      </c>
      <c r="AC141" s="76">
        <v>1</v>
      </c>
      <c r="AD141" s="76">
        <v>47</v>
      </c>
      <c r="AE141" s="76">
        <v>31</v>
      </c>
      <c r="AF141" s="76">
        <v>1</v>
      </c>
      <c r="AG141" s="76">
        <v>0</v>
      </c>
      <c r="AH141" s="76">
        <v>3</v>
      </c>
      <c r="AI141" s="76">
        <v>0</v>
      </c>
      <c r="AJ141" s="76">
        <v>0</v>
      </c>
      <c r="AK141" s="76">
        <v>152</v>
      </c>
      <c r="AL141" s="76">
        <v>534</v>
      </c>
      <c r="AM141" s="202"/>
      <c r="AN141" s="77"/>
      <c r="AO141" s="202"/>
      <c r="AP141" s="202"/>
      <c r="AQ141" s="202"/>
      <c r="AR141" s="202"/>
      <c r="AS141" s="202"/>
      <c r="AT141" s="202"/>
      <c r="AU141" s="202"/>
      <c r="AV141" s="202"/>
      <c r="AW141" s="202"/>
      <c r="AX141" s="202"/>
      <c r="AY141" s="202"/>
    </row>
    <row r="142" spans="1:51" ht="25.5" x14ac:dyDescent="0.2">
      <c r="A142" s="76">
        <v>14</v>
      </c>
      <c r="B142" s="77" t="s">
        <v>1442</v>
      </c>
      <c r="C142" s="76" t="s">
        <v>163</v>
      </c>
      <c r="D142" s="76">
        <v>3</v>
      </c>
      <c r="E142" s="76">
        <v>7</v>
      </c>
      <c r="F142" s="76">
        <v>5.24</v>
      </c>
      <c r="G142" s="76">
        <v>63</v>
      </c>
      <c r="H142" s="76">
        <v>0</v>
      </c>
      <c r="I142" s="76">
        <v>11</v>
      </c>
      <c r="J142" s="76">
        <v>18</v>
      </c>
      <c r="K142" s="76">
        <v>55</v>
      </c>
      <c r="L142" s="76">
        <v>50</v>
      </c>
      <c r="M142" s="76">
        <v>32</v>
      </c>
      <c r="N142" s="76">
        <v>32</v>
      </c>
      <c r="O142" s="76">
        <v>6</v>
      </c>
      <c r="P142" s="76">
        <v>28</v>
      </c>
      <c r="Q142" s="76">
        <v>59</v>
      </c>
      <c r="R142" s="76">
        <v>0.24</v>
      </c>
      <c r="S142" s="76">
        <v>1.42</v>
      </c>
      <c r="T142" s="76">
        <v>14</v>
      </c>
      <c r="U142" s="77" t="s">
        <v>1442</v>
      </c>
      <c r="V142" s="76" t="s">
        <v>163</v>
      </c>
      <c r="W142" s="76">
        <v>0</v>
      </c>
      <c r="X142" s="76">
        <v>0</v>
      </c>
      <c r="Y142" s="76">
        <v>5</v>
      </c>
      <c r="Z142" s="76">
        <v>4</v>
      </c>
      <c r="AA142" s="76">
        <v>26</v>
      </c>
      <c r="AB142" s="76">
        <v>11</v>
      </c>
      <c r="AC142" s="76">
        <v>1</v>
      </c>
      <c r="AD142" s="76">
        <v>45</v>
      </c>
      <c r="AE142" s="76">
        <v>59</v>
      </c>
      <c r="AF142" s="76">
        <v>3</v>
      </c>
      <c r="AG142" s="76">
        <v>0</v>
      </c>
      <c r="AH142" s="76">
        <v>7</v>
      </c>
      <c r="AI142" s="76">
        <v>1</v>
      </c>
      <c r="AJ142" s="76">
        <v>0</v>
      </c>
      <c r="AK142" s="76">
        <v>246</v>
      </c>
      <c r="AL142" s="76">
        <v>1025</v>
      </c>
      <c r="AM142" s="202"/>
      <c r="AN142" s="77"/>
      <c r="AO142" s="202"/>
      <c r="AP142" s="202"/>
      <c r="AQ142" s="202"/>
      <c r="AR142" s="202"/>
      <c r="AS142" s="202"/>
      <c r="AT142" s="202"/>
      <c r="AU142" s="202"/>
      <c r="AV142" s="202"/>
      <c r="AW142" s="202"/>
      <c r="AX142" s="202"/>
      <c r="AY142" s="202"/>
    </row>
    <row r="143" spans="1:51" ht="25.5" x14ac:dyDescent="0.2">
      <c r="A143" s="76">
        <v>15</v>
      </c>
      <c r="B143" s="77" t="s">
        <v>416</v>
      </c>
      <c r="C143" s="76" t="s">
        <v>163</v>
      </c>
      <c r="D143" s="76">
        <v>2</v>
      </c>
      <c r="E143" s="76">
        <v>1</v>
      </c>
      <c r="F143" s="76">
        <v>5.31</v>
      </c>
      <c r="G143" s="76">
        <v>40</v>
      </c>
      <c r="H143" s="76">
        <v>0</v>
      </c>
      <c r="I143" s="76">
        <v>1</v>
      </c>
      <c r="J143" s="76">
        <v>2</v>
      </c>
      <c r="K143" s="76">
        <v>40.200000000000003</v>
      </c>
      <c r="L143" s="76">
        <v>41</v>
      </c>
      <c r="M143" s="76">
        <v>25</v>
      </c>
      <c r="N143" s="76">
        <v>24</v>
      </c>
      <c r="O143" s="76">
        <v>5</v>
      </c>
      <c r="P143" s="76">
        <v>25</v>
      </c>
      <c r="Q143" s="76">
        <v>32</v>
      </c>
      <c r="R143" s="76">
        <v>0.26600000000000001</v>
      </c>
      <c r="S143" s="76">
        <v>1.62</v>
      </c>
      <c r="T143" s="76">
        <v>15</v>
      </c>
      <c r="U143" s="77" t="s">
        <v>416</v>
      </c>
      <c r="V143" s="76" t="s">
        <v>163</v>
      </c>
      <c r="W143" s="76">
        <v>0</v>
      </c>
      <c r="X143" s="76">
        <v>0</v>
      </c>
      <c r="Y143" s="76">
        <v>1</v>
      </c>
      <c r="Z143" s="76">
        <v>3</v>
      </c>
      <c r="AA143" s="76">
        <v>8</v>
      </c>
      <c r="AB143" s="76">
        <v>0</v>
      </c>
      <c r="AC143" s="76">
        <v>3</v>
      </c>
      <c r="AD143" s="76">
        <v>41</v>
      </c>
      <c r="AE143" s="76">
        <v>42</v>
      </c>
      <c r="AF143" s="76">
        <v>5</v>
      </c>
      <c r="AG143" s="76">
        <v>0</v>
      </c>
      <c r="AH143" s="76">
        <v>1</v>
      </c>
      <c r="AI143" s="76">
        <v>2</v>
      </c>
      <c r="AJ143" s="76">
        <v>0</v>
      </c>
      <c r="AK143" s="76">
        <v>182</v>
      </c>
      <c r="AL143" s="76">
        <v>739</v>
      </c>
      <c r="AM143" s="202"/>
      <c r="AN143" s="77"/>
      <c r="AO143" s="202"/>
      <c r="AP143" s="202"/>
      <c r="AQ143" s="202"/>
      <c r="AR143" s="202"/>
      <c r="AS143" s="202"/>
      <c r="AT143" s="202"/>
      <c r="AU143" s="202"/>
      <c r="AV143" s="202"/>
      <c r="AW143" s="202"/>
      <c r="AX143" s="202"/>
      <c r="AY143" s="202"/>
    </row>
    <row r="144" spans="1:51" ht="38.25" x14ac:dyDescent="0.2">
      <c r="A144" s="76">
        <v>16</v>
      </c>
      <c r="B144" s="77" t="s">
        <v>366</v>
      </c>
      <c r="C144" s="76" t="s">
        <v>163</v>
      </c>
      <c r="D144" s="76">
        <v>8</v>
      </c>
      <c r="E144" s="76">
        <v>9</v>
      </c>
      <c r="F144" s="76">
        <v>5.51</v>
      </c>
      <c r="G144" s="76">
        <v>27</v>
      </c>
      <c r="H144" s="76">
        <v>24</v>
      </c>
      <c r="I144" s="76">
        <v>0</v>
      </c>
      <c r="J144" s="76">
        <v>0</v>
      </c>
      <c r="K144" s="76">
        <v>134</v>
      </c>
      <c r="L144" s="76">
        <v>157</v>
      </c>
      <c r="M144" s="76">
        <v>93</v>
      </c>
      <c r="N144" s="76">
        <v>82</v>
      </c>
      <c r="O144" s="76">
        <v>23</v>
      </c>
      <c r="P144" s="76">
        <v>63</v>
      </c>
      <c r="Q144" s="76">
        <v>108</v>
      </c>
      <c r="R144" s="76">
        <v>0.29299999999999998</v>
      </c>
      <c r="S144" s="76">
        <v>1.64</v>
      </c>
      <c r="T144" s="76">
        <v>16</v>
      </c>
      <c r="U144" s="77" t="s">
        <v>366</v>
      </c>
      <c r="V144" s="76" t="s">
        <v>163</v>
      </c>
      <c r="W144" s="76">
        <v>0</v>
      </c>
      <c r="X144" s="76">
        <v>0</v>
      </c>
      <c r="Y144" s="76">
        <v>8</v>
      </c>
      <c r="Z144" s="76">
        <v>3</v>
      </c>
      <c r="AA144" s="76">
        <v>0</v>
      </c>
      <c r="AB144" s="76">
        <v>0</v>
      </c>
      <c r="AC144" s="76">
        <v>15</v>
      </c>
      <c r="AD144" s="76">
        <v>152</v>
      </c>
      <c r="AE144" s="76">
        <v>126</v>
      </c>
      <c r="AF144" s="76">
        <v>7</v>
      </c>
      <c r="AG144" s="76">
        <v>1</v>
      </c>
      <c r="AH144" s="76">
        <v>18</v>
      </c>
      <c r="AI144" s="76">
        <v>4</v>
      </c>
      <c r="AJ144" s="76">
        <v>1</v>
      </c>
      <c r="AK144" s="76">
        <v>614</v>
      </c>
      <c r="AL144" s="76">
        <v>2343</v>
      </c>
      <c r="AM144" s="202"/>
      <c r="AN144" s="77"/>
      <c r="AO144" s="202"/>
      <c r="AP144" s="202"/>
      <c r="AQ144" s="202"/>
      <c r="AR144" s="202"/>
      <c r="AS144" s="202"/>
      <c r="AT144" s="202"/>
      <c r="AU144" s="202"/>
      <c r="AV144" s="202"/>
      <c r="AW144" s="202"/>
      <c r="AX144" s="202"/>
      <c r="AY144" s="202"/>
    </row>
    <row r="145" spans="1:51" ht="25.5" x14ac:dyDescent="0.2">
      <c r="A145" s="76">
        <v>17</v>
      </c>
      <c r="B145" s="77" t="s">
        <v>593</v>
      </c>
      <c r="C145" s="76" t="s">
        <v>163</v>
      </c>
      <c r="D145" s="76">
        <v>1</v>
      </c>
      <c r="E145" s="76">
        <v>1</v>
      </c>
      <c r="F145" s="76">
        <v>5.7</v>
      </c>
      <c r="G145" s="76">
        <v>40</v>
      </c>
      <c r="H145" s="76">
        <v>0</v>
      </c>
      <c r="I145" s="76">
        <v>0</v>
      </c>
      <c r="J145" s="76">
        <v>0</v>
      </c>
      <c r="K145" s="76">
        <v>42.2</v>
      </c>
      <c r="L145" s="76">
        <v>50</v>
      </c>
      <c r="M145" s="76">
        <v>27</v>
      </c>
      <c r="N145" s="76">
        <v>27</v>
      </c>
      <c r="O145" s="76">
        <v>6</v>
      </c>
      <c r="P145" s="76">
        <v>20</v>
      </c>
      <c r="Q145" s="76">
        <v>45</v>
      </c>
      <c r="R145" s="76">
        <v>0.29799999999999999</v>
      </c>
      <c r="S145" s="76">
        <v>1.64</v>
      </c>
      <c r="T145" s="76">
        <v>17</v>
      </c>
      <c r="U145" s="77" t="s">
        <v>593</v>
      </c>
      <c r="V145" s="76" t="s">
        <v>163</v>
      </c>
      <c r="W145" s="76">
        <v>0</v>
      </c>
      <c r="X145" s="76">
        <v>0</v>
      </c>
      <c r="Y145" s="76">
        <v>2</v>
      </c>
      <c r="Z145" s="76">
        <v>0</v>
      </c>
      <c r="AA145" s="76">
        <v>13</v>
      </c>
      <c r="AB145" s="76">
        <v>1</v>
      </c>
      <c r="AC145" s="76">
        <v>3</v>
      </c>
      <c r="AD145" s="76">
        <v>30</v>
      </c>
      <c r="AE145" s="76">
        <v>46</v>
      </c>
      <c r="AF145" s="76">
        <v>3</v>
      </c>
      <c r="AG145" s="76">
        <v>1</v>
      </c>
      <c r="AH145" s="76">
        <v>5</v>
      </c>
      <c r="AI145" s="76">
        <v>0</v>
      </c>
      <c r="AJ145" s="76">
        <v>0</v>
      </c>
      <c r="AK145" s="76">
        <v>194</v>
      </c>
      <c r="AL145" s="76">
        <v>771</v>
      </c>
      <c r="AM145" s="202"/>
      <c r="AN145" s="77"/>
      <c r="AO145" s="202"/>
      <c r="AP145" s="202"/>
      <c r="AQ145" s="202"/>
      <c r="AR145" s="202"/>
      <c r="AS145" s="202"/>
      <c r="AT145" s="202"/>
      <c r="AU145" s="202"/>
      <c r="AV145" s="202"/>
      <c r="AW145" s="202"/>
      <c r="AX145" s="202"/>
      <c r="AY145" s="202"/>
    </row>
    <row r="146" spans="1:51" ht="25.5" x14ac:dyDescent="0.2">
      <c r="A146" s="76">
        <v>18</v>
      </c>
      <c r="B146" s="77" t="s">
        <v>553</v>
      </c>
      <c r="C146" s="76" t="s">
        <v>163</v>
      </c>
      <c r="D146" s="76">
        <v>4</v>
      </c>
      <c r="E146" s="76">
        <v>5</v>
      </c>
      <c r="F146" s="76">
        <v>5.83</v>
      </c>
      <c r="G146" s="76">
        <v>40</v>
      </c>
      <c r="H146" s="76">
        <v>5</v>
      </c>
      <c r="I146" s="76">
        <v>1</v>
      </c>
      <c r="J146" s="76">
        <v>4</v>
      </c>
      <c r="K146" s="76">
        <v>58.2</v>
      </c>
      <c r="L146" s="76">
        <v>69</v>
      </c>
      <c r="M146" s="76">
        <v>46</v>
      </c>
      <c r="N146" s="76">
        <v>38</v>
      </c>
      <c r="O146" s="76">
        <v>4</v>
      </c>
      <c r="P146" s="76">
        <v>28</v>
      </c>
      <c r="Q146" s="76">
        <v>32</v>
      </c>
      <c r="R146" s="76">
        <v>0.29099999999999998</v>
      </c>
      <c r="S146" s="76">
        <v>1.65</v>
      </c>
      <c r="T146" s="76">
        <v>18</v>
      </c>
      <c r="U146" s="77" t="s">
        <v>553</v>
      </c>
      <c r="V146" s="76" t="s">
        <v>163</v>
      </c>
      <c r="W146" s="76">
        <v>0</v>
      </c>
      <c r="X146" s="76">
        <v>0</v>
      </c>
      <c r="Y146" s="76">
        <v>4</v>
      </c>
      <c r="Z146" s="76">
        <v>2</v>
      </c>
      <c r="AA146" s="76">
        <v>7</v>
      </c>
      <c r="AB146" s="76">
        <v>3</v>
      </c>
      <c r="AC146" s="76">
        <v>6</v>
      </c>
      <c r="AD146" s="76">
        <v>81</v>
      </c>
      <c r="AE146" s="76">
        <v>58</v>
      </c>
      <c r="AF146" s="76">
        <v>5</v>
      </c>
      <c r="AG146" s="76">
        <v>0</v>
      </c>
      <c r="AH146" s="76">
        <v>6</v>
      </c>
      <c r="AI146" s="76">
        <v>0</v>
      </c>
      <c r="AJ146" s="76">
        <v>0</v>
      </c>
      <c r="AK146" s="76">
        <v>273</v>
      </c>
      <c r="AL146" s="76">
        <v>957</v>
      </c>
      <c r="AM146" s="202"/>
      <c r="AN146" s="77"/>
      <c r="AO146" s="202"/>
      <c r="AP146" s="202"/>
      <c r="AQ146" s="202"/>
      <c r="AR146" s="202"/>
      <c r="AS146" s="202"/>
      <c r="AT146" s="202"/>
      <c r="AU146" s="202"/>
      <c r="AV146" s="202"/>
      <c r="AW146" s="202"/>
      <c r="AX146" s="202"/>
      <c r="AY146" s="202"/>
    </row>
    <row r="147" spans="1:51" ht="25.5" x14ac:dyDescent="0.2">
      <c r="A147" s="76">
        <v>19</v>
      </c>
      <c r="B147" s="77" t="s">
        <v>1115</v>
      </c>
      <c r="C147" s="76" t="s">
        <v>163</v>
      </c>
      <c r="D147" s="76">
        <v>0</v>
      </c>
      <c r="E147" s="76">
        <v>0</v>
      </c>
      <c r="F147" s="76">
        <v>6.14</v>
      </c>
      <c r="G147" s="76">
        <v>19</v>
      </c>
      <c r="H147" s="76">
        <v>0</v>
      </c>
      <c r="I147" s="76">
        <v>0</v>
      </c>
      <c r="J147" s="76">
        <v>1</v>
      </c>
      <c r="K147" s="76">
        <v>14.2</v>
      </c>
      <c r="L147" s="76">
        <v>18</v>
      </c>
      <c r="M147" s="76">
        <v>10</v>
      </c>
      <c r="N147" s="76">
        <v>10</v>
      </c>
      <c r="O147" s="76">
        <v>3</v>
      </c>
      <c r="P147" s="76">
        <v>5</v>
      </c>
      <c r="Q147" s="76">
        <v>12</v>
      </c>
      <c r="R147" s="76">
        <v>0.3</v>
      </c>
      <c r="S147" s="76">
        <v>1.57</v>
      </c>
      <c r="T147" s="76">
        <v>19</v>
      </c>
      <c r="U147" s="77" t="s">
        <v>1115</v>
      </c>
      <c r="V147" s="76" t="s">
        <v>163</v>
      </c>
      <c r="W147" s="76">
        <v>0</v>
      </c>
      <c r="X147" s="76">
        <v>0</v>
      </c>
      <c r="Y147" s="76">
        <v>1</v>
      </c>
      <c r="Z147" s="76">
        <v>0</v>
      </c>
      <c r="AA147" s="76">
        <v>4</v>
      </c>
      <c r="AB147" s="76">
        <v>7</v>
      </c>
      <c r="AC147" s="76">
        <v>1</v>
      </c>
      <c r="AD147" s="76">
        <v>21</v>
      </c>
      <c r="AE147" s="76">
        <v>10</v>
      </c>
      <c r="AF147" s="76">
        <v>0</v>
      </c>
      <c r="AG147" s="76">
        <v>0</v>
      </c>
      <c r="AH147" s="76">
        <v>2</v>
      </c>
      <c r="AI147" s="76">
        <v>0</v>
      </c>
      <c r="AJ147" s="76">
        <v>0</v>
      </c>
      <c r="AK147" s="76">
        <v>67</v>
      </c>
      <c r="AL147" s="76">
        <v>240</v>
      </c>
      <c r="AM147" s="202"/>
      <c r="AN147" s="77"/>
      <c r="AO147" s="202"/>
      <c r="AP147" s="202"/>
      <c r="AQ147" s="202"/>
      <c r="AR147" s="202"/>
      <c r="AS147" s="202"/>
      <c r="AT147" s="202"/>
      <c r="AU147" s="202"/>
      <c r="AV147" s="202"/>
      <c r="AW147" s="202"/>
      <c r="AX147" s="202"/>
      <c r="AY147" s="202"/>
    </row>
    <row r="148" spans="1:51" ht="25.5" x14ac:dyDescent="0.2">
      <c r="A148" s="76">
        <v>20</v>
      </c>
      <c r="B148" s="77" t="s">
        <v>760</v>
      </c>
      <c r="C148" s="76" t="s">
        <v>163</v>
      </c>
      <c r="D148" s="76">
        <v>2</v>
      </c>
      <c r="E148" s="76">
        <v>5</v>
      </c>
      <c r="F148" s="76">
        <v>7.17</v>
      </c>
      <c r="G148" s="76">
        <v>17</v>
      </c>
      <c r="H148" s="76">
        <v>9</v>
      </c>
      <c r="I148" s="76">
        <v>0</v>
      </c>
      <c r="J148" s="76">
        <v>0</v>
      </c>
      <c r="K148" s="76">
        <v>64</v>
      </c>
      <c r="L148" s="76">
        <v>87</v>
      </c>
      <c r="M148" s="76">
        <v>57</v>
      </c>
      <c r="N148" s="76">
        <v>51</v>
      </c>
      <c r="O148" s="76">
        <v>13</v>
      </c>
      <c r="P148" s="76">
        <v>21</v>
      </c>
      <c r="Q148" s="76">
        <v>47</v>
      </c>
      <c r="R148" s="76">
        <v>0.32800000000000001</v>
      </c>
      <c r="S148" s="76">
        <v>1.69</v>
      </c>
      <c r="T148" s="76">
        <v>20</v>
      </c>
      <c r="U148" s="77" t="s">
        <v>760</v>
      </c>
      <c r="V148" s="76" t="s">
        <v>163</v>
      </c>
      <c r="W148" s="76">
        <v>0</v>
      </c>
      <c r="X148" s="76">
        <v>0</v>
      </c>
      <c r="Y148" s="76">
        <v>3</v>
      </c>
      <c r="Z148" s="76">
        <v>1</v>
      </c>
      <c r="AA148" s="76">
        <v>0</v>
      </c>
      <c r="AB148" s="76">
        <v>0</v>
      </c>
      <c r="AC148" s="76">
        <v>6</v>
      </c>
      <c r="AD148" s="76">
        <v>74</v>
      </c>
      <c r="AE148" s="76">
        <v>61</v>
      </c>
      <c r="AF148" s="76">
        <v>1</v>
      </c>
      <c r="AG148" s="76">
        <v>0</v>
      </c>
      <c r="AH148" s="76">
        <v>4</v>
      </c>
      <c r="AI148" s="76">
        <v>3</v>
      </c>
      <c r="AJ148" s="76">
        <v>0</v>
      </c>
      <c r="AK148" s="76">
        <v>293</v>
      </c>
      <c r="AL148" s="76">
        <v>1079</v>
      </c>
      <c r="AM148" s="202"/>
      <c r="AN148" s="77"/>
      <c r="AO148" s="202"/>
      <c r="AP148" s="202"/>
      <c r="AQ148" s="202"/>
      <c r="AR148" s="202"/>
      <c r="AS148" s="202"/>
      <c r="AT148" s="202"/>
      <c r="AU148" s="202"/>
      <c r="AV148" s="202"/>
      <c r="AW148" s="202"/>
      <c r="AX148" s="202"/>
      <c r="AY148" s="202"/>
    </row>
    <row r="149" spans="1:51" ht="25.5" x14ac:dyDescent="0.2">
      <c r="A149" s="76">
        <v>21</v>
      </c>
      <c r="B149" s="77" t="s">
        <v>759</v>
      </c>
      <c r="C149" s="76" t="s">
        <v>163</v>
      </c>
      <c r="D149" s="76">
        <v>1</v>
      </c>
      <c r="E149" s="76">
        <v>3</v>
      </c>
      <c r="F149" s="76">
        <v>8.39</v>
      </c>
      <c r="G149" s="76">
        <v>15</v>
      </c>
      <c r="H149" s="76">
        <v>1</v>
      </c>
      <c r="I149" s="76">
        <v>0</v>
      </c>
      <c r="J149" s="76">
        <v>1</v>
      </c>
      <c r="K149" s="76">
        <v>24.2</v>
      </c>
      <c r="L149" s="76">
        <v>39</v>
      </c>
      <c r="M149" s="76">
        <v>24</v>
      </c>
      <c r="N149" s="76">
        <v>23</v>
      </c>
      <c r="O149" s="76">
        <v>7</v>
      </c>
      <c r="P149" s="76">
        <v>6</v>
      </c>
      <c r="Q149" s="76">
        <v>22</v>
      </c>
      <c r="R149" s="76">
        <v>0.35499999999999998</v>
      </c>
      <c r="S149" s="76">
        <v>1.82</v>
      </c>
      <c r="T149" s="76">
        <v>21</v>
      </c>
      <c r="U149" s="77" t="s">
        <v>759</v>
      </c>
      <c r="V149" s="76" t="s">
        <v>163</v>
      </c>
      <c r="W149" s="76">
        <v>0</v>
      </c>
      <c r="X149" s="76">
        <v>0</v>
      </c>
      <c r="Y149" s="76">
        <v>0</v>
      </c>
      <c r="Z149" s="76">
        <v>0</v>
      </c>
      <c r="AA149" s="76">
        <v>5</v>
      </c>
      <c r="AB149" s="76">
        <v>0</v>
      </c>
      <c r="AC149" s="76">
        <v>2</v>
      </c>
      <c r="AD149" s="76">
        <v>22</v>
      </c>
      <c r="AE149" s="76">
        <v>30</v>
      </c>
      <c r="AF149" s="76">
        <v>0</v>
      </c>
      <c r="AG149" s="76">
        <v>0</v>
      </c>
      <c r="AH149" s="76">
        <v>0</v>
      </c>
      <c r="AI149" s="76">
        <v>0</v>
      </c>
      <c r="AJ149" s="76">
        <v>0</v>
      </c>
      <c r="AK149" s="76">
        <v>119</v>
      </c>
      <c r="AL149" s="76">
        <v>448</v>
      </c>
      <c r="AM149" s="202"/>
      <c r="AN149" s="77"/>
      <c r="AO149" s="202"/>
      <c r="AP149" s="202"/>
      <c r="AQ149" s="202"/>
      <c r="AR149" s="202"/>
      <c r="AS149" s="202"/>
      <c r="AT149" s="202"/>
      <c r="AU149" s="202"/>
      <c r="AV149" s="202"/>
      <c r="AW149" s="202"/>
      <c r="AX149" s="202"/>
      <c r="AY149" s="202"/>
    </row>
    <row r="150" spans="1:51" ht="25.5" x14ac:dyDescent="0.2">
      <c r="A150" s="76">
        <v>22</v>
      </c>
      <c r="B150" s="77" t="s">
        <v>1443</v>
      </c>
      <c r="C150" s="76" t="s">
        <v>163</v>
      </c>
      <c r="D150" s="76">
        <v>1</v>
      </c>
      <c r="E150" s="76">
        <v>0</v>
      </c>
      <c r="F150" s="76">
        <v>9.19</v>
      </c>
      <c r="G150" s="76">
        <v>19</v>
      </c>
      <c r="H150" s="76">
        <v>0</v>
      </c>
      <c r="I150" s="76">
        <v>0</v>
      </c>
      <c r="J150" s="76">
        <v>0</v>
      </c>
      <c r="K150" s="76">
        <v>15.2</v>
      </c>
      <c r="L150" s="76">
        <v>25</v>
      </c>
      <c r="M150" s="76">
        <v>17</v>
      </c>
      <c r="N150" s="76">
        <v>16</v>
      </c>
      <c r="O150" s="76">
        <v>1</v>
      </c>
      <c r="P150" s="76">
        <v>11</v>
      </c>
      <c r="Q150" s="76">
        <v>17</v>
      </c>
      <c r="R150" s="76">
        <v>0.373</v>
      </c>
      <c r="S150" s="76">
        <v>2.2999999999999998</v>
      </c>
      <c r="T150" s="76">
        <v>22</v>
      </c>
      <c r="U150" s="77" t="s">
        <v>1443</v>
      </c>
      <c r="V150" s="76" t="s">
        <v>163</v>
      </c>
      <c r="W150" s="76">
        <v>0</v>
      </c>
      <c r="X150" s="76">
        <v>0</v>
      </c>
      <c r="Y150" s="76">
        <v>3</v>
      </c>
      <c r="Z150" s="76">
        <v>0</v>
      </c>
      <c r="AA150" s="76">
        <v>7</v>
      </c>
      <c r="AB150" s="76">
        <v>2</v>
      </c>
      <c r="AC150" s="76">
        <v>2</v>
      </c>
      <c r="AD150" s="76">
        <v>12</v>
      </c>
      <c r="AE150" s="76">
        <v>15</v>
      </c>
      <c r="AF150" s="76">
        <v>2</v>
      </c>
      <c r="AG150" s="76">
        <v>0</v>
      </c>
      <c r="AH150" s="76">
        <v>1</v>
      </c>
      <c r="AI150" s="76">
        <v>1</v>
      </c>
      <c r="AJ150" s="76">
        <v>0</v>
      </c>
      <c r="AK150" s="76">
        <v>83</v>
      </c>
      <c r="AL150" s="76">
        <v>307</v>
      </c>
      <c r="AM150" s="202"/>
      <c r="AN150" s="77"/>
      <c r="AO150" s="202"/>
      <c r="AP150" s="202"/>
      <c r="AQ150" s="202"/>
      <c r="AR150" s="202"/>
      <c r="AS150" s="202"/>
      <c r="AT150" s="202"/>
      <c r="AU150" s="202"/>
      <c r="AV150" s="202"/>
      <c r="AW150" s="202"/>
      <c r="AX150" s="202"/>
      <c r="AY150" s="202"/>
    </row>
    <row r="151" spans="1:51" ht="25.5" x14ac:dyDescent="0.2">
      <c r="A151" s="76">
        <v>23</v>
      </c>
      <c r="B151" s="77" t="s">
        <v>1114</v>
      </c>
      <c r="C151" s="76" t="s">
        <v>163</v>
      </c>
      <c r="D151" s="76">
        <v>0</v>
      </c>
      <c r="E151" s="76">
        <v>0</v>
      </c>
      <c r="F151" s="76">
        <v>9.31</v>
      </c>
      <c r="G151" s="76">
        <v>6</v>
      </c>
      <c r="H151" s="76">
        <v>0</v>
      </c>
      <c r="I151" s="76">
        <v>0</v>
      </c>
      <c r="J151" s="76">
        <v>0</v>
      </c>
      <c r="K151" s="76">
        <v>9.1999999999999993</v>
      </c>
      <c r="L151" s="76">
        <v>16</v>
      </c>
      <c r="M151" s="76">
        <v>10</v>
      </c>
      <c r="N151" s="76">
        <v>10</v>
      </c>
      <c r="O151" s="76">
        <v>1</v>
      </c>
      <c r="P151" s="76">
        <v>2</v>
      </c>
      <c r="Q151" s="76">
        <v>7</v>
      </c>
      <c r="R151" s="76">
        <v>0.38100000000000001</v>
      </c>
      <c r="S151" s="76">
        <v>1.86</v>
      </c>
      <c r="T151" s="76">
        <v>23</v>
      </c>
      <c r="U151" s="77" t="s">
        <v>1114</v>
      </c>
      <c r="V151" s="76" t="s">
        <v>163</v>
      </c>
      <c r="W151" s="76">
        <v>0</v>
      </c>
      <c r="X151" s="76">
        <v>0</v>
      </c>
      <c r="Y151" s="76">
        <v>0</v>
      </c>
      <c r="Z151" s="76">
        <v>0</v>
      </c>
      <c r="AA151" s="76">
        <v>5</v>
      </c>
      <c r="AB151" s="76">
        <v>0</v>
      </c>
      <c r="AC151" s="76">
        <v>1</v>
      </c>
      <c r="AD151" s="76">
        <v>12</v>
      </c>
      <c r="AE151" s="76">
        <v>8</v>
      </c>
      <c r="AF151" s="76">
        <v>0</v>
      </c>
      <c r="AG151" s="76">
        <v>0</v>
      </c>
      <c r="AH151" s="76">
        <v>1</v>
      </c>
      <c r="AI151" s="76">
        <v>1</v>
      </c>
      <c r="AJ151" s="76">
        <v>1</v>
      </c>
      <c r="AK151" s="76">
        <v>45</v>
      </c>
      <c r="AL151" s="76">
        <v>155</v>
      </c>
      <c r="AM151" s="202"/>
      <c r="AN151" s="77"/>
      <c r="AO151" s="202"/>
      <c r="AP151" s="202"/>
      <c r="AQ151" s="202"/>
      <c r="AR151" s="202"/>
      <c r="AS151" s="202"/>
      <c r="AT151" s="202"/>
      <c r="AU151" s="202"/>
      <c r="AV151" s="202"/>
      <c r="AW151" s="202"/>
      <c r="AX151" s="202"/>
      <c r="AY151" s="202"/>
    </row>
    <row r="152" spans="1:51" ht="25.5" x14ac:dyDescent="0.2">
      <c r="A152" s="76">
        <v>24</v>
      </c>
      <c r="B152" s="77" t="s">
        <v>757</v>
      </c>
      <c r="C152" s="76" t="s">
        <v>163</v>
      </c>
      <c r="D152" s="76">
        <v>0</v>
      </c>
      <c r="E152" s="76">
        <v>0</v>
      </c>
      <c r="F152" s="76">
        <v>12.27</v>
      </c>
      <c r="G152" s="76">
        <v>2</v>
      </c>
      <c r="H152" s="76">
        <v>0</v>
      </c>
      <c r="I152" s="76">
        <v>0</v>
      </c>
      <c r="J152" s="76">
        <v>0</v>
      </c>
      <c r="K152" s="76">
        <v>3.2</v>
      </c>
      <c r="L152" s="76">
        <v>8</v>
      </c>
      <c r="M152" s="76">
        <v>6</v>
      </c>
      <c r="N152" s="76">
        <v>5</v>
      </c>
      <c r="O152" s="76">
        <v>0</v>
      </c>
      <c r="P152" s="76">
        <v>3</v>
      </c>
      <c r="Q152" s="76">
        <v>0</v>
      </c>
      <c r="R152" s="76">
        <v>0.5</v>
      </c>
      <c r="S152" s="76">
        <v>3</v>
      </c>
      <c r="T152" s="76">
        <v>24</v>
      </c>
      <c r="U152" s="77" t="s">
        <v>757</v>
      </c>
      <c r="V152" s="76" t="s">
        <v>163</v>
      </c>
      <c r="W152" s="76">
        <v>0</v>
      </c>
      <c r="X152" s="76">
        <v>0</v>
      </c>
      <c r="Y152" s="76">
        <v>0</v>
      </c>
      <c r="Z152" s="76">
        <v>1</v>
      </c>
      <c r="AA152" s="76">
        <v>0</v>
      </c>
      <c r="AB152" s="76">
        <v>0</v>
      </c>
      <c r="AC152" s="76">
        <v>2</v>
      </c>
      <c r="AD152" s="76">
        <v>7</v>
      </c>
      <c r="AE152" s="76">
        <v>2</v>
      </c>
      <c r="AF152" s="76">
        <v>0</v>
      </c>
      <c r="AG152" s="76">
        <v>0</v>
      </c>
      <c r="AH152" s="76">
        <v>0</v>
      </c>
      <c r="AI152" s="76">
        <v>0</v>
      </c>
      <c r="AJ152" s="76">
        <v>0</v>
      </c>
      <c r="AK152" s="76">
        <v>20</v>
      </c>
      <c r="AL152" s="76">
        <v>62</v>
      </c>
      <c r="AM152" s="202"/>
      <c r="AN152" s="77"/>
      <c r="AO152" s="202"/>
      <c r="AP152" s="202"/>
      <c r="AQ152" s="202"/>
      <c r="AR152" s="202"/>
      <c r="AS152" s="202"/>
      <c r="AT152" s="202"/>
      <c r="AU152" s="202"/>
      <c r="AV152" s="202"/>
      <c r="AW152" s="202"/>
      <c r="AX152" s="202"/>
      <c r="AY152" s="202"/>
    </row>
    <row r="153" spans="1:51" ht="25.5" x14ac:dyDescent="0.2">
      <c r="A153" s="76">
        <v>25</v>
      </c>
      <c r="B153" s="77" t="s">
        <v>331</v>
      </c>
      <c r="C153" s="76" t="s">
        <v>163</v>
      </c>
      <c r="D153" s="76">
        <v>0</v>
      </c>
      <c r="E153" s="76">
        <v>0</v>
      </c>
      <c r="F153" s="76">
        <v>13.5</v>
      </c>
      <c r="G153" s="76">
        <v>2</v>
      </c>
      <c r="H153" s="76">
        <v>0</v>
      </c>
      <c r="I153" s="76">
        <v>0</v>
      </c>
      <c r="J153" s="76">
        <v>0</v>
      </c>
      <c r="K153" s="76">
        <v>2</v>
      </c>
      <c r="L153" s="76">
        <v>4</v>
      </c>
      <c r="M153" s="76">
        <v>3</v>
      </c>
      <c r="N153" s="76">
        <v>3</v>
      </c>
      <c r="O153" s="76">
        <v>1</v>
      </c>
      <c r="P153" s="76">
        <v>2</v>
      </c>
      <c r="Q153" s="76">
        <v>1</v>
      </c>
      <c r="R153" s="76">
        <v>0.4</v>
      </c>
      <c r="S153" s="76">
        <v>3</v>
      </c>
      <c r="T153" s="76">
        <v>25</v>
      </c>
      <c r="U153" s="77" t="s">
        <v>331</v>
      </c>
      <c r="V153" s="76" t="s">
        <v>163</v>
      </c>
      <c r="W153" s="76">
        <v>0</v>
      </c>
      <c r="X153" s="76">
        <v>0</v>
      </c>
      <c r="Y153" s="76">
        <v>0</v>
      </c>
      <c r="Z153" s="76">
        <v>0</v>
      </c>
      <c r="AA153" s="76">
        <v>0</v>
      </c>
      <c r="AB153" s="76">
        <v>0</v>
      </c>
      <c r="AC153" s="76">
        <v>0</v>
      </c>
      <c r="AD153" s="76">
        <v>1</v>
      </c>
      <c r="AE153" s="76">
        <v>4</v>
      </c>
      <c r="AF153" s="76">
        <v>0</v>
      </c>
      <c r="AG153" s="76">
        <v>0</v>
      </c>
      <c r="AH153" s="76">
        <v>2</v>
      </c>
      <c r="AI153" s="76">
        <v>0</v>
      </c>
      <c r="AJ153" s="76">
        <v>0</v>
      </c>
      <c r="AK153" s="76">
        <v>12</v>
      </c>
      <c r="AL153" s="76">
        <v>48</v>
      </c>
      <c r="AM153" s="202"/>
      <c r="AN153" s="77"/>
      <c r="AO153" s="202"/>
      <c r="AP153" s="202"/>
      <c r="AQ153" s="202"/>
      <c r="AR153" s="202"/>
      <c r="AS153" s="202"/>
      <c r="AT153" s="202"/>
      <c r="AU153" s="202"/>
      <c r="AV153" s="202"/>
      <c r="AW153" s="202"/>
      <c r="AX153" s="202"/>
      <c r="AY153" s="202"/>
    </row>
    <row r="154" spans="1:51" ht="25.5" x14ac:dyDescent="0.2">
      <c r="A154" s="225" t="s">
        <v>105</v>
      </c>
      <c r="B154" s="225" t="s">
        <v>106</v>
      </c>
      <c r="C154" s="225" t="s">
        <v>157</v>
      </c>
      <c r="D154" s="225" t="s">
        <v>85</v>
      </c>
      <c r="E154" s="225" t="s">
        <v>86</v>
      </c>
      <c r="F154" s="225" t="s">
        <v>107</v>
      </c>
      <c r="G154" s="225" t="s">
        <v>108</v>
      </c>
      <c r="H154" s="225" t="s">
        <v>88</v>
      </c>
      <c r="I154" s="225" t="s">
        <v>90</v>
      </c>
      <c r="J154" s="225" t="s">
        <v>158</v>
      </c>
      <c r="K154" s="225" t="s">
        <v>91</v>
      </c>
      <c r="L154" s="225" t="s">
        <v>92</v>
      </c>
      <c r="M154" s="225" t="s">
        <v>93</v>
      </c>
      <c r="N154" s="225" t="s">
        <v>94</v>
      </c>
      <c r="O154" s="225" t="s">
        <v>95</v>
      </c>
      <c r="P154" s="225" t="s">
        <v>96</v>
      </c>
      <c r="Q154" s="225" t="s">
        <v>97</v>
      </c>
      <c r="R154" s="225" t="s">
        <v>1071</v>
      </c>
      <c r="S154" s="225" t="s">
        <v>1072</v>
      </c>
      <c r="T154" s="225" t="s">
        <v>105</v>
      </c>
      <c r="U154" s="225" t="s">
        <v>106</v>
      </c>
      <c r="V154" s="225" t="s">
        <v>157</v>
      </c>
      <c r="W154" s="225" t="s">
        <v>89</v>
      </c>
      <c r="X154" s="225" t="s">
        <v>1073</v>
      </c>
      <c r="Y154" s="225" t="s">
        <v>1074</v>
      </c>
      <c r="Z154" s="225" t="s">
        <v>98</v>
      </c>
      <c r="AA154" s="225" t="s">
        <v>1075</v>
      </c>
      <c r="AB154" s="225" t="s">
        <v>1076</v>
      </c>
      <c r="AC154" s="225" t="s">
        <v>1077</v>
      </c>
      <c r="AD154" s="225" t="s">
        <v>1066</v>
      </c>
      <c r="AE154" s="225" t="s">
        <v>1067</v>
      </c>
      <c r="AF154" s="225" t="s">
        <v>1078</v>
      </c>
      <c r="AG154" s="225" t="s">
        <v>1079</v>
      </c>
      <c r="AH154" s="225" t="s">
        <v>1057</v>
      </c>
      <c r="AI154" s="225" t="s">
        <v>1058</v>
      </c>
      <c r="AJ154" s="225" t="s">
        <v>1080</v>
      </c>
      <c r="AK154" s="225" t="s">
        <v>109</v>
      </c>
      <c r="AL154" s="225" t="s">
        <v>1069</v>
      </c>
      <c r="AM154" s="202"/>
      <c r="AN154" s="77"/>
      <c r="AO154" s="202"/>
      <c r="AP154" s="202"/>
      <c r="AQ154" s="202"/>
      <c r="AR154" s="202"/>
      <c r="AS154" s="202"/>
      <c r="AT154" s="202"/>
      <c r="AU154" s="202"/>
      <c r="AV154" s="202"/>
      <c r="AW154" s="202"/>
      <c r="AX154" s="202"/>
      <c r="AY154" s="202"/>
    </row>
    <row r="155" spans="1:51" ht="25.5" x14ac:dyDescent="0.2">
      <c r="A155" s="76">
        <v>1</v>
      </c>
      <c r="B155" s="77" t="s">
        <v>765</v>
      </c>
      <c r="C155" s="76" t="s">
        <v>165</v>
      </c>
      <c r="D155" s="76">
        <v>0</v>
      </c>
      <c r="E155" s="76">
        <v>0</v>
      </c>
      <c r="F155" s="76">
        <v>0</v>
      </c>
      <c r="G155" s="76">
        <v>1</v>
      </c>
      <c r="H155" s="76">
        <v>0</v>
      </c>
      <c r="I155" s="76">
        <v>0</v>
      </c>
      <c r="J155" s="76">
        <v>0</v>
      </c>
      <c r="K155" s="76">
        <v>4</v>
      </c>
      <c r="L155" s="76">
        <v>2</v>
      </c>
      <c r="M155" s="76">
        <v>0</v>
      </c>
      <c r="N155" s="76">
        <v>0</v>
      </c>
      <c r="O155" s="76">
        <v>0</v>
      </c>
      <c r="P155" s="76">
        <v>1</v>
      </c>
      <c r="Q155" s="76">
        <v>3</v>
      </c>
      <c r="R155" s="76">
        <v>0.14299999999999999</v>
      </c>
      <c r="S155" s="76">
        <v>0.75</v>
      </c>
      <c r="T155" s="76">
        <v>1</v>
      </c>
      <c r="U155" s="77" t="s">
        <v>765</v>
      </c>
      <c r="V155" s="76" t="s">
        <v>165</v>
      </c>
      <c r="W155" s="76">
        <v>0</v>
      </c>
      <c r="X155" s="76">
        <v>0</v>
      </c>
      <c r="Y155" s="76">
        <v>0</v>
      </c>
      <c r="Z155" s="76">
        <v>0</v>
      </c>
      <c r="AA155" s="76">
        <v>1</v>
      </c>
      <c r="AB155" s="76">
        <v>0</v>
      </c>
      <c r="AC155" s="76">
        <v>0</v>
      </c>
      <c r="AD155" s="76">
        <v>4</v>
      </c>
      <c r="AE155" s="76">
        <v>5</v>
      </c>
      <c r="AF155" s="76">
        <v>0</v>
      </c>
      <c r="AG155" s="76">
        <v>0</v>
      </c>
      <c r="AH155" s="76">
        <v>0</v>
      </c>
      <c r="AI155" s="76">
        <v>0</v>
      </c>
      <c r="AJ155" s="76">
        <v>0</v>
      </c>
      <c r="AK155" s="76">
        <v>15</v>
      </c>
      <c r="AL155" s="76">
        <v>52</v>
      </c>
      <c r="AM155" s="202"/>
      <c r="AN155" s="77"/>
      <c r="AO155" s="202"/>
      <c r="AP155" s="202"/>
      <c r="AQ155" s="202"/>
      <c r="AR155" s="202"/>
      <c r="AS155" s="202"/>
      <c r="AT155" s="202"/>
      <c r="AU155" s="202"/>
      <c r="AV155" s="202"/>
      <c r="AW155" s="202"/>
      <c r="AX155" s="202"/>
      <c r="AY155" s="202"/>
    </row>
    <row r="156" spans="1:51" ht="25.5" x14ac:dyDescent="0.2">
      <c r="A156" s="76">
        <v>2</v>
      </c>
      <c r="B156" s="77" t="s">
        <v>1117</v>
      </c>
      <c r="C156" s="76" t="s">
        <v>165</v>
      </c>
      <c r="D156" s="76">
        <v>0</v>
      </c>
      <c r="E156" s="76">
        <v>0</v>
      </c>
      <c r="F156" s="76">
        <v>0.93</v>
      </c>
      <c r="G156" s="76">
        <v>10</v>
      </c>
      <c r="H156" s="76">
        <v>0</v>
      </c>
      <c r="I156" s="76">
        <v>0</v>
      </c>
      <c r="J156" s="76">
        <v>0</v>
      </c>
      <c r="K156" s="76">
        <v>9.1999999999999993</v>
      </c>
      <c r="L156" s="76">
        <v>2</v>
      </c>
      <c r="M156" s="76">
        <v>1</v>
      </c>
      <c r="N156" s="76">
        <v>1</v>
      </c>
      <c r="O156" s="76">
        <v>1</v>
      </c>
      <c r="P156" s="76">
        <v>4</v>
      </c>
      <c r="Q156" s="76">
        <v>13</v>
      </c>
      <c r="R156" s="76">
        <v>6.5000000000000002E-2</v>
      </c>
      <c r="S156" s="76">
        <v>0.62</v>
      </c>
      <c r="T156" s="76">
        <v>2</v>
      </c>
      <c r="U156" s="77" t="s">
        <v>1117</v>
      </c>
      <c r="V156" s="76" t="s">
        <v>165</v>
      </c>
      <c r="W156" s="76">
        <v>0</v>
      </c>
      <c r="X156" s="76">
        <v>0</v>
      </c>
      <c r="Y156" s="76">
        <v>0</v>
      </c>
      <c r="Z156" s="76">
        <v>0</v>
      </c>
      <c r="AA156" s="76">
        <v>4</v>
      </c>
      <c r="AB156" s="76">
        <v>0</v>
      </c>
      <c r="AC156" s="76">
        <v>0</v>
      </c>
      <c r="AD156" s="76">
        <v>6</v>
      </c>
      <c r="AE156" s="76">
        <v>10</v>
      </c>
      <c r="AF156" s="76">
        <v>2</v>
      </c>
      <c r="AG156" s="76">
        <v>0</v>
      </c>
      <c r="AH156" s="76">
        <v>0</v>
      </c>
      <c r="AI156" s="76">
        <v>0</v>
      </c>
      <c r="AJ156" s="76">
        <v>0</v>
      </c>
      <c r="AK156" s="76">
        <v>35</v>
      </c>
      <c r="AL156" s="76">
        <v>147</v>
      </c>
      <c r="AM156" s="202"/>
      <c r="AN156" s="77"/>
      <c r="AO156" s="202"/>
      <c r="AP156" s="202"/>
      <c r="AQ156" s="202"/>
      <c r="AR156" s="202"/>
      <c r="AS156" s="202"/>
      <c r="AT156" s="202"/>
      <c r="AU156" s="202"/>
      <c r="AV156" s="202"/>
      <c r="AW156" s="202"/>
      <c r="AX156" s="202"/>
      <c r="AY156" s="202"/>
    </row>
    <row r="157" spans="1:51" ht="25.5" x14ac:dyDescent="0.2">
      <c r="A157" s="76">
        <v>3</v>
      </c>
      <c r="B157" s="77" t="s">
        <v>375</v>
      </c>
      <c r="C157" s="76" t="s">
        <v>165</v>
      </c>
      <c r="D157" s="76">
        <v>12</v>
      </c>
      <c r="E157" s="76">
        <v>4</v>
      </c>
      <c r="F157" s="76">
        <v>1.69</v>
      </c>
      <c r="G157" s="76">
        <v>21</v>
      </c>
      <c r="H157" s="76">
        <v>21</v>
      </c>
      <c r="I157" s="76">
        <v>0</v>
      </c>
      <c r="J157" s="76">
        <v>0</v>
      </c>
      <c r="K157" s="76">
        <v>149</v>
      </c>
      <c r="L157" s="76">
        <v>97</v>
      </c>
      <c r="M157" s="76">
        <v>31</v>
      </c>
      <c r="N157" s="76">
        <v>28</v>
      </c>
      <c r="O157" s="76">
        <v>8</v>
      </c>
      <c r="P157" s="76">
        <v>11</v>
      </c>
      <c r="Q157" s="76">
        <v>172</v>
      </c>
      <c r="R157" s="76">
        <v>0.184</v>
      </c>
      <c r="S157" s="76">
        <v>0.72</v>
      </c>
      <c r="T157" s="76">
        <v>3</v>
      </c>
      <c r="U157" s="77" t="s">
        <v>375</v>
      </c>
      <c r="V157" s="76" t="s">
        <v>165</v>
      </c>
      <c r="W157" s="76">
        <v>3</v>
      </c>
      <c r="X157" s="76">
        <v>3</v>
      </c>
      <c r="Y157" s="76">
        <v>2</v>
      </c>
      <c r="Z157" s="76">
        <v>1</v>
      </c>
      <c r="AA157" s="76">
        <v>0</v>
      </c>
      <c r="AB157" s="76">
        <v>0</v>
      </c>
      <c r="AC157" s="76">
        <v>9</v>
      </c>
      <c r="AD157" s="76">
        <v>148</v>
      </c>
      <c r="AE157" s="76">
        <v>114</v>
      </c>
      <c r="AF157" s="76">
        <v>5</v>
      </c>
      <c r="AG157" s="76">
        <v>3</v>
      </c>
      <c r="AH157" s="76">
        <v>1</v>
      </c>
      <c r="AI157" s="76">
        <v>1</v>
      </c>
      <c r="AJ157" s="76">
        <v>0</v>
      </c>
      <c r="AK157" s="76">
        <v>544</v>
      </c>
      <c r="AL157" s="76">
        <v>2062</v>
      </c>
      <c r="AM157" s="202"/>
      <c r="AN157" s="77"/>
      <c r="AO157" s="202"/>
      <c r="AP157" s="202"/>
      <c r="AQ157" s="202"/>
      <c r="AR157" s="202"/>
      <c r="AS157" s="202"/>
      <c r="AT157" s="202"/>
      <c r="AU157" s="202"/>
      <c r="AV157" s="202"/>
      <c r="AW157" s="202"/>
      <c r="AX157" s="202"/>
      <c r="AY157" s="202"/>
    </row>
    <row r="158" spans="1:51" x14ac:dyDescent="0.2">
      <c r="A158" s="76">
        <v>4</v>
      </c>
      <c r="B158" s="77" t="s">
        <v>532</v>
      </c>
      <c r="C158" s="76" t="s">
        <v>165</v>
      </c>
      <c r="D158" s="76">
        <v>3</v>
      </c>
      <c r="E158" s="76">
        <v>2</v>
      </c>
      <c r="F158" s="76">
        <v>1.83</v>
      </c>
      <c r="G158" s="76">
        <v>6</v>
      </c>
      <c r="H158" s="76">
        <v>6</v>
      </c>
      <c r="I158" s="76">
        <v>0</v>
      </c>
      <c r="J158" s="76">
        <v>0</v>
      </c>
      <c r="K158" s="76">
        <v>34.1</v>
      </c>
      <c r="L158" s="76">
        <v>22</v>
      </c>
      <c r="M158" s="76">
        <v>7</v>
      </c>
      <c r="N158" s="76">
        <v>7</v>
      </c>
      <c r="O158" s="76">
        <v>2</v>
      </c>
      <c r="P158" s="76">
        <v>5</v>
      </c>
      <c r="Q158" s="76">
        <v>39</v>
      </c>
      <c r="R158" s="76">
        <v>0.182</v>
      </c>
      <c r="S158" s="76">
        <v>0.79</v>
      </c>
      <c r="T158" s="76">
        <v>4</v>
      </c>
      <c r="U158" s="77" t="s">
        <v>532</v>
      </c>
      <c r="V158" s="76" t="s">
        <v>165</v>
      </c>
      <c r="W158" s="76">
        <v>0</v>
      </c>
      <c r="X158" s="76">
        <v>0</v>
      </c>
      <c r="Y158" s="76">
        <v>0</v>
      </c>
      <c r="Z158" s="76">
        <v>0</v>
      </c>
      <c r="AA158" s="76">
        <v>0</v>
      </c>
      <c r="AB158" s="76">
        <v>0</v>
      </c>
      <c r="AC158" s="76">
        <v>0</v>
      </c>
      <c r="AD158" s="76">
        <v>24</v>
      </c>
      <c r="AE158" s="76">
        <v>38</v>
      </c>
      <c r="AF158" s="76">
        <v>0</v>
      </c>
      <c r="AG158" s="76">
        <v>0</v>
      </c>
      <c r="AH158" s="76">
        <v>1</v>
      </c>
      <c r="AI158" s="76">
        <v>1</v>
      </c>
      <c r="AJ158" s="76">
        <v>1</v>
      </c>
      <c r="AK158" s="76">
        <v>128</v>
      </c>
      <c r="AL158" s="76">
        <v>511</v>
      </c>
      <c r="AM158" s="102"/>
      <c r="AN158" s="102"/>
      <c r="AO158" s="102"/>
      <c r="AP158" s="102"/>
      <c r="AQ158" s="102"/>
      <c r="AR158" s="102"/>
      <c r="AS158" s="102"/>
      <c r="AT158" s="102"/>
      <c r="AU158" s="102"/>
      <c r="AV158" s="102"/>
      <c r="AW158" s="102"/>
      <c r="AX158" s="102"/>
      <c r="AY158" s="102"/>
    </row>
    <row r="159" spans="1:51" ht="25.5" x14ac:dyDescent="0.2">
      <c r="A159" s="76">
        <v>4</v>
      </c>
      <c r="B159" s="77" t="s">
        <v>376</v>
      </c>
      <c r="C159" s="76" t="s">
        <v>165</v>
      </c>
      <c r="D159" s="76">
        <v>3</v>
      </c>
      <c r="E159" s="76">
        <v>2</v>
      </c>
      <c r="F159" s="76">
        <v>1.83</v>
      </c>
      <c r="G159" s="76">
        <v>71</v>
      </c>
      <c r="H159" s="76">
        <v>0</v>
      </c>
      <c r="I159" s="76">
        <v>47</v>
      </c>
      <c r="J159" s="76">
        <v>53</v>
      </c>
      <c r="K159" s="76">
        <v>68.2</v>
      </c>
      <c r="L159" s="76">
        <v>35</v>
      </c>
      <c r="M159" s="76">
        <v>14</v>
      </c>
      <c r="N159" s="76">
        <v>14</v>
      </c>
      <c r="O159" s="76">
        <v>4</v>
      </c>
      <c r="P159" s="76">
        <v>11</v>
      </c>
      <c r="Q159" s="76">
        <v>104</v>
      </c>
      <c r="R159" s="76">
        <v>0.15</v>
      </c>
      <c r="S159" s="76">
        <v>0.67</v>
      </c>
      <c r="T159" s="76">
        <v>4</v>
      </c>
      <c r="U159" s="77" t="s">
        <v>376</v>
      </c>
      <c r="V159" s="76" t="s">
        <v>165</v>
      </c>
      <c r="W159" s="76">
        <v>0</v>
      </c>
      <c r="X159" s="76">
        <v>0</v>
      </c>
      <c r="Y159" s="76">
        <v>2</v>
      </c>
      <c r="Z159" s="76">
        <v>2</v>
      </c>
      <c r="AA159" s="76">
        <v>63</v>
      </c>
      <c r="AB159" s="76">
        <v>0</v>
      </c>
      <c r="AC159" s="76">
        <v>1</v>
      </c>
      <c r="AD159" s="76">
        <v>36</v>
      </c>
      <c r="AE159" s="76">
        <v>63</v>
      </c>
      <c r="AF159" s="76">
        <v>1</v>
      </c>
      <c r="AG159" s="76">
        <v>0</v>
      </c>
      <c r="AH159" s="76">
        <v>4</v>
      </c>
      <c r="AI159" s="76">
        <v>1</v>
      </c>
      <c r="AJ159" s="76">
        <v>0</v>
      </c>
      <c r="AK159" s="76">
        <v>251</v>
      </c>
      <c r="AL159" s="76">
        <v>1002</v>
      </c>
      <c r="AM159" s="202"/>
      <c r="AN159" s="77"/>
      <c r="AO159" s="202"/>
      <c r="AP159" s="202"/>
      <c r="AQ159" s="202"/>
      <c r="AR159" s="202"/>
      <c r="AS159" s="202"/>
      <c r="AT159" s="202"/>
      <c r="AU159" s="202"/>
      <c r="AV159" s="202"/>
      <c r="AW159" s="202"/>
      <c r="AX159" s="202"/>
      <c r="AY159" s="202"/>
    </row>
    <row r="160" spans="1:51" ht="25.5" x14ac:dyDescent="0.2">
      <c r="A160" s="76">
        <v>6</v>
      </c>
      <c r="B160" s="77" t="s">
        <v>1444</v>
      </c>
      <c r="C160" s="76" t="s">
        <v>165</v>
      </c>
      <c r="D160" s="76">
        <v>0</v>
      </c>
      <c r="E160" s="76">
        <v>1</v>
      </c>
      <c r="F160" s="76">
        <v>2.0499999999999998</v>
      </c>
      <c r="G160" s="76">
        <v>25</v>
      </c>
      <c r="H160" s="76">
        <v>0</v>
      </c>
      <c r="I160" s="76">
        <v>0</v>
      </c>
      <c r="J160" s="76">
        <v>2</v>
      </c>
      <c r="K160" s="76">
        <v>26.1</v>
      </c>
      <c r="L160" s="76">
        <v>14</v>
      </c>
      <c r="M160" s="76">
        <v>7</v>
      </c>
      <c r="N160" s="76">
        <v>6</v>
      </c>
      <c r="O160" s="76">
        <v>4</v>
      </c>
      <c r="P160" s="76">
        <v>6</v>
      </c>
      <c r="Q160" s="76">
        <v>39</v>
      </c>
      <c r="R160" s="76">
        <v>0.14899999999999999</v>
      </c>
      <c r="S160" s="76">
        <v>0.76</v>
      </c>
      <c r="T160" s="76">
        <v>6</v>
      </c>
      <c r="U160" s="77" t="s">
        <v>1444</v>
      </c>
      <c r="V160" s="76" t="s">
        <v>165</v>
      </c>
      <c r="W160" s="76">
        <v>0</v>
      </c>
      <c r="X160" s="76">
        <v>0</v>
      </c>
      <c r="Y160" s="76">
        <v>1</v>
      </c>
      <c r="Z160" s="76">
        <v>0</v>
      </c>
      <c r="AA160" s="76">
        <v>0</v>
      </c>
      <c r="AB160" s="76">
        <v>6</v>
      </c>
      <c r="AC160" s="76">
        <v>0</v>
      </c>
      <c r="AD160" s="76">
        <v>13</v>
      </c>
      <c r="AE160" s="76">
        <v>28</v>
      </c>
      <c r="AF160" s="76">
        <v>0</v>
      </c>
      <c r="AG160" s="76">
        <v>0</v>
      </c>
      <c r="AH160" s="76">
        <v>0</v>
      </c>
      <c r="AI160" s="76">
        <v>1</v>
      </c>
      <c r="AJ160" s="76">
        <v>1</v>
      </c>
      <c r="AK160" s="76">
        <v>101</v>
      </c>
      <c r="AL160" s="76">
        <v>468</v>
      </c>
      <c r="AM160" s="202"/>
      <c r="AN160" s="77"/>
      <c r="AO160" s="202"/>
      <c r="AP160" s="202"/>
      <c r="AQ160" s="202"/>
      <c r="AR160" s="202"/>
      <c r="AS160" s="202"/>
      <c r="AT160" s="202"/>
      <c r="AU160" s="202"/>
      <c r="AV160" s="202"/>
      <c r="AW160" s="202"/>
      <c r="AX160" s="202"/>
      <c r="AY160" s="202"/>
    </row>
    <row r="161" spans="1:51" ht="25.5" x14ac:dyDescent="0.2">
      <c r="A161" s="76">
        <v>7</v>
      </c>
      <c r="B161" s="77" t="s">
        <v>1151</v>
      </c>
      <c r="C161" s="76" t="s">
        <v>165</v>
      </c>
      <c r="D161" s="76">
        <v>7</v>
      </c>
      <c r="E161" s="76">
        <v>2</v>
      </c>
      <c r="F161" s="76">
        <v>2.48</v>
      </c>
      <c r="G161" s="76">
        <v>75</v>
      </c>
      <c r="H161" s="76">
        <v>0</v>
      </c>
      <c r="I161" s="76">
        <v>0</v>
      </c>
      <c r="J161" s="76">
        <v>1</v>
      </c>
      <c r="K161" s="76">
        <v>80</v>
      </c>
      <c r="L161" s="76">
        <v>55</v>
      </c>
      <c r="M161" s="76">
        <v>23</v>
      </c>
      <c r="N161" s="76">
        <v>22</v>
      </c>
      <c r="O161" s="76">
        <v>7</v>
      </c>
      <c r="P161" s="76">
        <v>26</v>
      </c>
      <c r="Q161" s="76">
        <v>80</v>
      </c>
      <c r="R161" s="76">
        <v>0.19400000000000001</v>
      </c>
      <c r="S161" s="76">
        <v>1.01</v>
      </c>
      <c r="T161" s="76">
        <v>7</v>
      </c>
      <c r="U161" s="77" t="s">
        <v>1151</v>
      </c>
      <c r="V161" s="76" t="s">
        <v>165</v>
      </c>
      <c r="W161" s="76">
        <v>0</v>
      </c>
      <c r="X161" s="76">
        <v>0</v>
      </c>
      <c r="Y161" s="76">
        <v>2</v>
      </c>
      <c r="Z161" s="76">
        <v>4</v>
      </c>
      <c r="AA161" s="76">
        <v>15</v>
      </c>
      <c r="AB161" s="76">
        <v>28</v>
      </c>
      <c r="AC161" s="76">
        <v>5</v>
      </c>
      <c r="AD161" s="76">
        <v>58</v>
      </c>
      <c r="AE161" s="76">
        <v>94</v>
      </c>
      <c r="AF161" s="76">
        <v>3</v>
      </c>
      <c r="AG161" s="76">
        <v>0</v>
      </c>
      <c r="AH161" s="76">
        <v>9</v>
      </c>
      <c r="AI161" s="76">
        <v>1</v>
      </c>
      <c r="AJ161" s="76">
        <v>0</v>
      </c>
      <c r="AK161" s="76">
        <v>315</v>
      </c>
      <c r="AL161" s="76">
        <v>1278</v>
      </c>
      <c r="AM161" s="202"/>
      <c r="AN161" s="77"/>
      <c r="AO161" s="202"/>
      <c r="AP161" s="202"/>
      <c r="AQ161" s="202"/>
      <c r="AR161" s="202"/>
      <c r="AS161" s="202"/>
      <c r="AT161" s="202"/>
      <c r="AU161" s="202"/>
      <c r="AV161" s="202"/>
      <c r="AW161" s="202"/>
      <c r="AX161" s="202"/>
      <c r="AY161" s="202"/>
    </row>
    <row r="162" spans="1:51" ht="25.5" x14ac:dyDescent="0.2">
      <c r="A162" s="76">
        <v>8</v>
      </c>
      <c r="B162" s="77" t="s">
        <v>550</v>
      </c>
      <c r="C162" s="76" t="s">
        <v>165</v>
      </c>
      <c r="D162" s="76">
        <v>1</v>
      </c>
      <c r="E162" s="76">
        <v>0</v>
      </c>
      <c r="F162" s="76">
        <v>2.79</v>
      </c>
      <c r="G162" s="76">
        <v>22</v>
      </c>
      <c r="H162" s="76">
        <v>0</v>
      </c>
      <c r="I162" s="76">
        <v>0</v>
      </c>
      <c r="J162" s="76">
        <v>0</v>
      </c>
      <c r="K162" s="76">
        <v>19.100000000000001</v>
      </c>
      <c r="L162" s="76">
        <v>20</v>
      </c>
      <c r="M162" s="76">
        <v>8</v>
      </c>
      <c r="N162" s="76">
        <v>6</v>
      </c>
      <c r="O162" s="76">
        <v>2</v>
      </c>
      <c r="P162" s="76">
        <v>8</v>
      </c>
      <c r="Q162" s="76">
        <v>22</v>
      </c>
      <c r="R162" s="76">
        <v>0.25600000000000001</v>
      </c>
      <c r="S162" s="76">
        <v>1.45</v>
      </c>
      <c r="T162" s="76">
        <v>8</v>
      </c>
      <c r="U162" s="77" t="s">
        <v>550</v>
      </c>
      <c r="V162" s="76" t="s">
        <v>165</v>
      </c>
      <c r="W162" s="76">
        <v>0</v>
      </c>
      <c r="X162" s="76">
        <v>0</v>
      </c>
      <c r="Y162" s="76">
        <v>1</v>
      </c>
      <c r="Z162" s="76">
        <v>2</v>
      </c>
      <c r="AA162" s="76">
        <v>5</v>
      </c>
      <c r="AB162" s="76">
        <v>2</v>
      </c>
      <c r="AC162" s="76">
        <v>1</v>
      </c>
      <c r="AD162" s="76">
        <v>11</v>
      </c>
      <c r="AE162" s="76">
        <v>25</v>
      </c>
      <c r="AF162" s="76">
        <v>0</v>
      </c>
      <c r="AG162" s="76">
        <v>0</v>
      </c>
      <c r="AH162" s="76">
        <v>2</v>
      </c>
      <c r="AI162" s="76">
        <v>0</v>
      </c>
      <c r="AJ162" s="76">
        <v>0</v>
      </c>
      <c r="AK162" s="76">
        <v>87</v>
      </c>
      <c r="AL162" s="76">
        <v>343</v>
      </c>
      <c r="AM162" s="202"/>
      <c r="AN162" s="77"/>
      <c r="AO162" s="202"/>
      <c r="AP162" s="202"/>
      <c r="AQ162" s="202"/>
      <c r="AR162" s="202"/>
      <c r="AS162" s="202"/>
      <c r="AT162" s="202"/>
      <c r="AU162" s="202"/>
      <c r="AV162" s="202"/>
      <c r="AW162" s="202"/>
      <c r="AX162" s="202"/>
      <c r="AY162" s="202"/>
    </row>
    <row r="163" spans="1:51" ht="25.5" x14ac:dyDescent="0.2">
      <c r="A163" s="76">
        <v>9</v>
      </c>
      <c r="B163" s="77" t="s">
        <v>763</v>
      </c>
      <c r="C163" s="76" t="s">
        <v>165</v>
      </c>
      <c r="D163" s="76">
        <v>3</v>
      </c>
      <c r="E163" s="76">
        <v>2</v>
      </c>
      <c r="F163" s="76">
        <v>3.04</v>
      </c>
      <c r="G163" s="76">
        <v>73</v>
      </c>
      <c r="H163" s="76">
        <v>0</v>
      </c>
      <c r="I163" s="76">
        <v>0</v>
      </c>
      <c r="J163" s="76">
        <v>2</v>
      </c>
      <c r="K163" s="76">
        <v>74</v>
      </c>
      <c r="L163" s="76">
        <v>52</v>
      </c>
      <c r="M163" s="76">
        <v>27</v>
      </c>
      <c r="N163" s="76">
        <v>25</v>
      </c>
      <c r="O163" s="76">
        <v>11</v>
      </c>
      <c r="P163" s="76">
        <v>22</v>
      </c>
      <c r="Q163" s="76">
        <v>83</v>
      </c>
      <c r="R163" s="76">
        <v>0.19500000000000001</v>
      </c>
      <c r="S163" s="76">
        <v>1</v>
      </c>
      <c r="T163" s="76">
        <v>9</v>
      </c>
      <c r="U163" s="77" t="s">
        <v>763</v>
      </c>
      <c r="V163" s="76" t="s">
        <v>165</v>
      </c>
      <c r="W163" s="76">
        <v>0</v>
      </c>
      <c r="X163" s="76">
        <v>0</v>
      </c>
      <c r="Y163" s="76">
        <v>2</v>
      </c>
      <c r="Z163" s="76">
        <v>0</v>
      </c>
      <c r="AA163" s="76">
        <v>10</v>
      </c>
      <c r="AB163" s="76">
        <v>23</v>
      </c>
      <c r="AC163" s="76">
        <v>3</v>
      </c>
      <c r="AD163" s="76">
        <v>65</v>
      </c>
      <c r="AE163" s="76">
        <v>70</v>
      </c>
      <c r="AF163" s="76">
        <v>3</v>
      </c>
      <c r="AG163" s="76">
        <v>2</v>
      </c>
      <c r="AH163" s="76">
        <v>4</v>
      </c>
      <c r="AI163" s="76">
        <v>3</v>
      </c>
      <c r="AJ163" s="76">
        <v>0</v>
      </c>
      <c r="AK163" s="76">
        <v>295</v>
      </c>
      <c r="AL163" s="76">
        <v>1178</v>
      </c>
      <c r="AM163" s="202"/>
      <c r="AN163" s="77"/>
      <c r="AO163" s="202"/>
      <c r="AP163" s="202"/>
      <c r="AQ163" s="202"/>
      <c r="AR163" s="202"/>
      <c r="AS163" s="202"/>
      <c r="AT163" s="202"/>
      <c r="AU163" s="202"/>
      <c r="AV163" s="202"/>
      <c r="AW163" s="202"/>
      <c r="AX163" s="202"/>
      <c r="AY163" s="202"/>
    </row>
    <row r="164" spans="1:51" ht="25.5" x14ac:dyDescent="0.2">
      <c r="A164" s="76">
        <v>10</v>
      </c>
      <c r="B164" s="77" t="s">
        <v>333</v>
      </c>
      <c r="C164" s="76" t="s">
        <v>165</v>
      </c>
      <c r="D164" s="76">
        <v>3</v>
      </c>
      <c r="E164" s="76">
        <v>0</v>
      </c>
      <c r="F164" s="76">
        <v>3.2</v>
      </c>
      <c r="G164" s="76">
        <v>27</v>
      </c>
      <c r="H164" s="76">
        <v>0</v>
      </c>
      <c r="I164" s="76">
        <v>0</v>
      </c>
      <c r="J164" s="76">
        <v>1</v>
      </c>
      <c r="K164" s="76">
        <v>19.2</v>
      </c>
      <c r="L164" s="76">
        <v>12</v>
      </c>
      <c r="M164" s="76">
        <v>8</v>
      </c>
      <c r="N164" s="76">
        <v>7</v>
      </c>
      <c r="O164" s="76">
        <v>0</v>
      </c>
      <c r="P164" s="76">
        <v>10</v>
      </c>
      <c r="Q164" s="76">
        <v>28</v>
      </c>
      <c r="R164" s="76">
        <v>0.17599999999999999</v>
      </c>
      <c r="S164" s="76">
        <v>1.1200000000000001</v>
      </c>
      <c r="T164" s="76">
        <v>10</v>
      </c>
      <c r="U164" s="77" t="s">
        <v>333</v>
      </c>
      <c r="V164" s="76" t="s">
        <v>165</v>
      </c>
      <c r="W164" s="76">
        <v>0</v>
      </c>
      <c r="X164" s="76">
        <v>0</v>
      </c>
      <c r="Y164" s="76">
        <v>2</v>
      </c>
      <c r="Z164" s="76">
        <v>4</v>
      </c>
      <c r="AA164" s="76">
        <v>3</v>
      </c>
      <c r="AB164" s="76">
        <v>3</v>
      </c>
      <c r="AC164" s="76">
        <v>1</v>
      </c>
      <c r="AD164" s="76">
        <v>18</v>
      </c>
      <c r="AE164" s="76">
        <v>12</v>
      </c>
      <c r="AF164" s="76">
        <v>1</v>
      </c>
      <c r="AG164" s="76">
        <v>0</v>
      </c>
      <c r="AH164" s="76">
        <v>2</v>
      </c>
      <c r="AI164" s="76">
        <v>1</v>
      </c>
      <c r="AJ164" s="76">
        <v>1</v>
      </c>
      <c r="AK164" s="76">
        <v>82</v>
      </c>
      <c r="AL164" s="76">
        <v>327</v>
      </c>
      <c r="AM164" s="202"/>
      <c r="AN164" s="77"/>
      <c r="AO164" s="202"/>
      <c r="AP164" s="202"/>
      <c r="AQ164" s="202"/>
      <c r="AR164" s="202"/>
      <c r="AS164" s="202"/>
      <c r="AT164" s="202"/>
      <c r="AU164" s="202"/>
      <c r="AV164" s="202"/>
      <c r="AW164" s="202"/>
      <c r="AX164" s="202"/>
      <c r="AY164" s="202"/>
    </row>
    <row r="165" spans="1:51" ht="25.5" x14ac:dyDescent="0.2">
      <c r="A165" s="76">
        <v>11</v>
      </c>
      <c r="B165" s="77" t="s">
        <v>762</v>
      </c>
      <c r="C165" s="76" t="s">
        <v>165</v>
      </c>
      <c r="D165" s="76">
        <v>0</v>
      </c>
      <c r="E165" s="76">
        <v>0</v>
      </c>
      <c r="F165" s="76">
        <v>3.24</v>
      </c>
      <c r="G165" s="76">
        <v>9</v>
      </c>
      <c r="H165" s="76">
        <v>0</v>
      </c>
      <c r="I165" s="76">
        <v>0</v>
      </c>
      <c r="J165" s="76">
        <v>2</v>
      </c>
      <c r="K165" s="76">
        <v>8.1</v>
      </c>
      <c r="L165" s="76">
        <v>9</v>
      </c>
      <c r="M165" s="76">
        <v>3</v>
      </c>
      <c r="N165" s="76">
        <v>3</v>
      </c>
      <c r="O165" s="76">
        <v>0</v>
      </c>
      <c r="P165" s="76">
        <v>1</v>
      </c>
      <c r="Q165" s="76">
        <v>4</v>
      </c>
      <c r="R165" s="76">
        <v>0.31</v>
      </c>
      <c r="S165" s="76">
        <v>1.2</v>
      </c>
      <c r="T165" s="76">
        <v>11</v>
      </c>
      <c r="U165" s="77" t="s">
        <v>762</v>
      </c>
      <c r="V165" s="76" t="s">
        <v>165</v>
      </c>
      <c r="W165" s="76">
        <v>0</v>
      </c>
      <c r="X165" s="76">
        <v>0</v>
      </c>
      <c r="Y165" s="76">
        <v>1</v>
      </c>
      <c r="Z165" s="76">
        <v>0</v>
      </c>
      <c r="AA165" s="76">
        <v>1</v>
      </c>
      <c r="AB165" s="76">
        <v>1</v>
      </c>
      <c r="AC165" s="76">
        <v>1</v>
      </c>
      <c r="AD165" s="76">
        <v>7</v>
      </c>
      <c r="AE165" s="76">
        <v>13</v>
      </c>
      <c r="AF165" s="76">
        <v>0</v>
      </c>
      <c r="AG165" s="76">
        <v>0</v>
      </c>
      <c r="AH165" s="76">
        <v>0</v>
      </c>
      <c r="AI165" s="76">
        <v>0</v>
      </c>
      <c r="AJ165" s="76">
        <v>0</v>
      </c>
      <c r="AK165" s="76">
        <v>35</v>
      </c>
      <c r="AL165" s="76">
        <v>128</v>
      </c>
      <c r="AM165" s="202"/>
      <c r="AN165" s="77"/>
      <c r="AO165" s="202"/>
      <c r="AP165" s="202"/>
      <c r="AQ165" s="202"/>
      <c r="AR165" s="202"/>
      <c r="AS165" s="202"/>
      <c r="AT165" s="202"/>
      <c r="AU165" s="202"/>
      <c r="AV165" s="202"/>
      <c r="AW165" s="202"/>
      <c r="AX165" s="202"/>
      <c r="AY165" s="202"/>
    </row>
    <row r="166" spans="1:51" ht="25.5" x14ac:dyDescent="0.2">
      <c r="A166" s="76">
        <v>12</v>
      </c>
      <c r="B166" s="77" t="s">
        <v>1116</v>
      </c>
      <c r="C166" s="76" t="s">
        <v>165</v>
      </c>
      <c r="D166" s="76">
        <v>2</v>
      </c>
      <c r="E166" s="76">
        <v>2</v>
      </c>
      <c r="F166" s="76">
        <v>3.38</v>
      </c>
      <c r="G166" s="76">
        <v>58</v>
      </c>
      <c r="H166" s="76">
        <v>0</v>
      </c>
      <c r="I166" s="76">
        <v>0</v>
      </c>
      <c r="J166" s="76">
        <v>2</v>
      </c>
      <c r="K166" s="76">
        <v>42.2</v>
      </c>
      <c r="L166" s="76">
        <v>34</v>
      </c>
      <c r="M166" s="76">
        <v>16</v>
      </c>
      <c r="N166" s="76">
        <v>16</v>
      </c>
      <c r="O166" s="76">
        <v>2</v>
      </c>
      <c r="P166" s="76">
        <v>17</v>
      </c>
      <c r="Q166" s="76">
        <v>47</v>
      </c>
      <c r="R166" s="76">
        <v>0.219</v>
      </c>
      <c r="S166" s="76">
        <v>1.2</v>
      </c>
      <c r="T166" s="76">
        <v>12</v>
      </c>
      <c r="U166" s="77" t="s">
        <v>1116</v>
      </c>
      <c r="V166" s="76" t="s">
        <v>165</v>
      </c>
      <c r="W166" s="76">
        <v>0</v>
      </c>
      <c r="X166" s="76">
        <v>0</v>
      </c>
      <c r="Y166" s="76">
        <v>2</v>
      </c>
      <c r="Z166" s="76">
        <v>4</v>
      </c>
      <c r="AA166" s="76">
        <v>9</v>
      </c>
      <c r="AB166" s="76">
        <v>14</v>
      </c>
      <c r="AC166" s="76">
        <v>3</v>
      </c>
      <c r="AD166" s="76">
        <v>30</v>
      </c>
      <c r="AE166" s="76">
        <v>46</v>
      </c>
      <c r="AF166" s="76">
        <v>1</v>
      </c>
      <c r="AG166" s="76">
        <v>0</v>
      </c>
      <c r="AH166" s="76">
        <v>4</v>
      </c>
      <c r="AI166" s="76">
        <v>1</v>
      </c>
      <c r="AJ166" s="76">
        <v>1</v>
      </c>
      <c r="AK166" s="76">
        <v>176</v>
      </c>
      <c r="AL166" s="76">
        <v>716</v>
      </c>
      <c r="AM166" s="202"/>
      <c r="AN166" s="77"/>
      <c r="AO166" s="202"/>
      <c r="AP166" s="202"/>
      <c r="AQ166" s="202"/>
      <c r="AR166" s="202"/>
      <c r="AS166" s="202"/>
      <c r="AT166" s="202"/>
      <c r="AU166" s="202"/>
      <c r="AV166" s="202"/>
      <c r="AW166" s="202"/>
      <c r="AX166" s="202"/>
      <c r="AY166" s="202"/>
    </row>
    <row r="167" spans="1:51" ht="25.5" x14ac:dyDescent="0.2">
      <c r="A167" s="76">
        <v>13</v>
      </c>
      <c r="B167" s="77" t="s">
        <v>1445</v>
      </c>
      <c r="C167" s="76" t="s">
        <v>165</v>
      </c>
      <c r="D167" s="76">
        <v>5</v>
      </c>
      <c r="E167" s="76">
        <v>2</v>
      </c>
      <c r="F167" s="76">
        <v>3.39</v>
      </c>
      <c r="G167" s="76">
        <v>18</v>
      </c>
      <c r="H167" s="76">
        <v>15</v>
      </c>
      <c r="I167" s="76">
        <v>0</v>
      </c>
      <c r="J167" s="76">
        <v>0</v>
      </c>
      <c r="K167" s="76">
        <v>77</v>
      </c>
      <c r="L167" s="76">
        <v>81</v>
      </c>
      <c r="M167" s="76">
        <v>32</v>
      </c>
      <c r="N167" s="76">
        <v>29</v>
      </c>
      <c r="O167" s="76">
        <v>5</v>
      </c>
      <c r="P167" s="76">
        <v>31</v>
      </c>
      <c r="Q167" s="76">
        <v>84</v>
      </c>
      <c r="R167" s="76">
        <v>0.27400000000000002</v>
      </c>
      <c r="S167" s="76">
        <v>1.45</v>
      </c>
      <c r="T167" s="76">
        <v>13</v>
      </c>
      <c r="U167" s="77" t="s">
        <v>1445</v>
      </c>
      <c r="V167" s="76" t="s">
        <v>165</v>
      </c>
      <c r="W167" s="76">
        <v>0</v>
      </c>
      <c r="X167" s="76">
        <v>0</v>
      </c>
      <c r="Y167" s="76">
        <v>4</v>
      </c>
      <c r="Z167" s="76">
        <v>0</v>
      </c>
      <c r="AA167" s="76">
        <v>1</v>
      </c>
      <c r="AB167" s="76">
        <v>0</v>
      </c>
      <c r="AC167" s="76">
        <v>6</v>
      </c>
      <c r="AD167" s="76">
        <v>73</v>
      </c>
      <c r="AE167" s="76">
        <v>63</v>
      </c>
      <c r="AF167" s="76">
        <v>3</v>
      </c>
      <c r="AG167" s="76">
        <v>0</v>
      </c>
      <c r="AH167" s="76">
        <v>7</v>
      </c>
      <c r="AI167" s="76">
        <v>3</v>
      </c>
      <c r="AJ167" s="76">
        <v>6</v>
      </c>
      <c r="AK167" s="76">
        <v>336</v>
      </c>
      <c r="AL167" s="76">
        <v>1416</v>
      </c>
      <c r="AM167" s="202"/>
      <c r="AN167" s="77"/>
      <c r="AO167" s="202"/>
      <c r="AP167" s="202"/>
      <c r="AQ167" s="202"/>
      <c r="AR167" s="202"/>
      <c r="AS167" s="202"/>
      <c r="AT167" s="202"/>
      <c r="AU167" s="202"/>
      <c r="AV167" s="202"/>
      <c r="AW167" s="202"/>
      <c r="AX167" s="202"/>
      <c r="AY167" s="202"/>
    </row>
    <row r="168" spans="1:51" ht="25.5" x14ac:dyDescent="0.2">
      <c r="A168" s="76">
        <v>14</v>
      </c>
      <c r="B168" s="77" t="s">
        <v>1446</v>
      </c>
      <c r="C168" s="76" t="s">
        <v>165</v>
      </c>
      <c r="D168" s="76">
        <v>16</v>
      </c>
      <c r="E168" s="76">
        <v>11</v>
      </c>
      <c r="F168" s="76">
        <v>3.48</v>
      </c>
      <c r="G168" s="76">
        <v>32</v>
      </c>
      <c r="H168" s="76">
        <v>32</v>
      </c>
      <c r="I168" s="76">
        <v>0</v>
      </c>
      <c r="J168" s="76">
        <v>0</v>
      </c>
      <c r="K168" s="76">
        <v>175.2</v>
      </c>
      <c r="L168" s="76">
        <v>150</v>
      </c>
      <c r="M168" s="76">
        <v>72</v>
      </c>
      <c r="N168" s="76">
        <v>68</v>
      </c>
      <c r="O168" s="76">
        <v>20</v>
      </c>
      <c r="P168" s="76">
        <v>50</v>
      </c>
      <c r="Q168" s="76">
        <v>179</v>
      </c>
      <c r="R168" s="76">
        <v>0.22900000000000001</v>
      </c>
      <c r="S168" s="76">
        <v>1.1399999999999999</v>
      </c>
      <c r="T168" s="76">
        <v>14</v>
      </c>
      <c r="U168" s="77" t="s">
        <v>1446</v>
      </c>
      <c r="V168" s="76" t="s">
        <v>165</v>
      </c>
      <c r="W168" s="76">
        <v>0</v>
      </c>
      <c r="X168" s="76">
        <v>0</v>
      </c>
      <c r="Y168" s="76">
        <v>8</v>
      </c>
      <c r="Z168" s="76">
        <v>6</v>
      </c>
      <c r="AA168" s="76">
        <v>0</v>
      </c>
      <c r="AB168" s="76">
        <v>0</v>
      </c>
      <c r="AC168" s="76">
        <v>10</v>
      </c>
      <c r="AD168" s="76">
        <v>172</v>
      </c>
      <c r="AE168" s="76">
        <v>157</v>
      </c>
      <c r="AF168" s="76">
        <v>6</v>
      </c>
      <c r="AG168" s="76">
        <v>0</v>
      </c>
      <c r="AH168" s="76">
        <v>9</v>
      </c>
      <c r="AI168" s="76">
        <v>4</v>
      </c>
      <c r="AJ168" s="76">
        <v>0</v>
      </c>
      <c r="AK168" s="76">
        <v>716</v>
      </c>
      <c r="AL168" s="76">
        <v>2930</v>
      </c>
      <c r="AM168" s="202"/>
      <c r="AN168" s="77"/>
      <c r="AO168" s="202"/>
      <c r="AP168" s="202"/>
      <c r="AQ168" s="202"/>
      <c r="AR168" s="202"/>
      <c r="AS168" s="202"/>
      <c r="AT168" s="202"/>
      <c r="AU168" s="202"/>
      <c r="AV168" s="202"/>
      <c r="AW168" s="202"/>
      <c r="AX168" s="202"/>
      <c r="AY168" s="202"/>
    </row>
    <row r="169" spans="1:51" ht="25.5" x14ac:dyDescent="0.2">
      <c r="A169" s="76">
        <v>15</v>
      </c>
      <c r="B169" s="77" t="s">
        <v>336</v>
      </c>
      <c r="C169" s="76" t="s">
        <v>165</v>
      </c>
      <c r="D169" s="76">
        <v>1</v>
      </c>
      <c r="E169" s="76">
        <v>4</v>
      </c>
      <c r="F169" s="76">
        <v>3.73</v>
      </c>
      <c r="G169" s="76">
        <v>14</v>
      </c>
      <c r="H169" s="76">
        <v>10</v>
      </c>
      <c r="I169" s="76">
        <v>0</v>
      </c>
      <c r="J169" s="76">
        <v>0</v>
      </c>
      <c r="K169" s="76">
        <v>60.1</v>
      </c>
      <c r="L169" s="76">
        <v>56</v>
      </c>
      <c r="M169" s="76">
        <v>30</v>
      </c>
      <c r="N169" s="76">
        <v>25</v>
      </c>
      <c r="O169" s="76">
        <v>5</v>
      </c>
      <c r="P169" s="76">
        <v>20</v>
      </c>
      <c r="Q169" s="76">
        <v>66</v>
      </c>
      <c r="R169" s="76">
        <v>0.245</v>
      </c>
      <c r="S169" s="76">
        <v>1.26</v>
      </c>
      <c r="T169" s="76">
        <v>15</v>
      </c>
      <c r="U169" s="77" t="s">
        <v>336</v>
      </c>
      <c r="V169" s="76" t="s">
        <v>165</v>
      </c>
      <c r="W169" s="76">
        <v>0</v>
      </c>
      <c r="X169" s="76">
        <v>0</v>
      </c>
      <c r="Y169" s="76">
        <v>3</v>
      </c>
      <c r="Z169" s="76">
        <v>0</v>
      </c>
      <c r="AA169" s="76">
        <v>0</v>
      </c>
      <c r="AB169" s="76">
        <v>0</v>
      </c>
      <c r="AC169" s="76">
        <v>5</v>
      </c>
      <c r="AD169" s="76">
        <v>64</v>
      </c>
      <c r="AE169" s="76">
        <v>45</v>
      </c>
      <c r="AF169" s="76">
        <v>4</v>
      </c>
      <c r="AG169" s="76">
        <v>0</v>
      </c>
      <c r="AH169" s="76">
        <v>2</v>
      </c>
      <c r="AI169" s="76">
        <v>3</v>
      </c>
      <c r="AJ169" s="76">
        <v>2</v>
      </c>
      <c r="AK169" s="76">
        <v>255</v>
      </c>
      <c r="AL169" s="76">
        <v>985</v>
      </c>
      <c r="AM169" s="202"/>
      <c r="AN169" s="77"/>
      <c r="AO169" s="202"/>
      <c r="AP169" s="202"/>
      <c r="AQ169" s="202"/>
      <c r="AR169" s="202"/>
      <c r="AS169" s="202"/>
      <c r="AT169" s="202"/>
      <c r="AU169" s="202"/>
      <c r="AV169" s="202"/>
      <c r="AW169" s="202"/>
      <c r="AX169" s="202"/>
      <c r="AY169" s="202"/>
    </row>
    <row r="170" spans="1:51" ht="25.5" x14ac:dyDescent="0.2">
      <c r="A170" s="76">
        <v>16</v>
      </c>
      <c r="B170" s="77" t="s">
        <v>1447</v>
      </c>
      <c r="C170" s="76" t="s">
        <v>165</v>
      </c>
      <c r="D170" s="76">
        <v>5</v>
      </c>
      <c r="E170" s="76">
        <v>9</v>
      </c>
      <c r="F170" s="76">
        <v>3.96</v>
      </c>
      <c r="G170" s="76">
        <v>22</v>
      </c>
      <c r="H170" s="76">
        <v>14</v>
      </c>
      <c r="I170" s="76">
        <v>0</v>
      </c>
      <c r="J170" s="76">
        <v>0</v>
      </c>
      <c r="K170" s="76">
        <v>100</v>
      </c>
      <c r="L170" s="76">
        <v>96</v>
      </c>
      <c r="M170" s="76">
        <v>46</v>
      </c>
      <c r="N170" s="76">
        <v>44</v>
      </c>
      <c r="O170" s="76">
        <v>10</v>
      </c>
      <c r="P170" s="76">
        <v>30</v>
      </c>
      <c r="Q170" s="76">
        <v>74</v>
      </c>
      <c r="R170" s="76">
        <v>0.25</v>
      </c>
      <c r="S170" s="76">
        <v>1.26</v>
      </c>
      <c r="T170" s="76">
        <v>16</v>
      </c>
      <c r="U170" s="77" t="s">
        <v>1447</v>
      </c>
      <c r="V170" s="76" t="s">
        <v>165</v>
      </c>
      <c r="W170" s="76">
        <v>0</v>
      </c>
      <c r="X170" s="76">
        <v>0</v>
      </c>
      <c r="Y170" s="76">
        <v>1</v>
      </c>
      <c r="Z170" s="76">
        <v>3</v>
      </c>
      <c r="AA170" s="76">
        <v>4</v>
      </c>
      <c r="AB170" s="76">
        <v>0</v>
      </c>
      <c r="AC170" s="76">
        <v>7</v>
      </c>
      <c r="AD170" s="76">
        <v>131</v>
      </c>
      <c r="AE170" s="76">
        <v>87</v>
      </c>
      <c r="AF170" s="76">
        <v>6</v>
      </c>
      <c r="AG170" s="76">
        <v>0</v>
      </c>
      <c r="AH170" s="76">
        <v>9</v>
      </c>
      <c r="AI170" s="76">
        <v>0</v>
      </c>
      <c r="AJ170" s="76">
        <v>0</v>
      </c>
      <c r="AK170" s="76">
        <v>419</v>
      </c>
      <c r="AL170" s="76">
        <v>1590</v>
      </c>
      <c r="AM170" s="202"/>
      <c r="AN170" s="77"/>
      <c r="AO170" s="202"/>
      <c r="AP170" s="202"/>
      <c r="AQ170" s="202"/>
      <c r="AR170" s="202"/>
      <c r="AS170" s="202"/>
      <c r="AT170" s="202"/>
      <c r="AU170" s="202"/>
      <c r="AV170" s="202"/>
      <c r="AW170" s="202"/>
      <c r="AX170" s="202"/>
      <c r="AY170" s="202"/>
    </row>
    <row r="171" spans="1:51" ht="25.5" x14ac:dyDescent="0.2">
      <c r="A171" s="76">
        <v>17</v>
      </c>
      <c r="B171" s="77" t="s">
        <v>377</v>
      </c>
      <c r="C171" s="76" t="s">
        <v>165</v>
      </c>
      <c r="D171" s="76">
        <v>1</v>
      </c>
      <c r="E171" s="76">
        <v>1</v>
      </c>
      <c r="F171" s="76">
        <v>4.09</v>
      </c>
      <c r="G171" s="76">
        <v>64</v>
      </c>
      <c r="H171" s="76">
        <v>0</v>
      </c>
      <c r="I171" s="76">
        <v>0</v>
      </c>
      <c r="J171" s="76">
        <v>0</v>
      </c>
      <c r="K171" s="76">
        <v>50.2</v>
      </c>
      <c r="L171" s="76">
        <v>56</v>
      </c>
      <c r="M171" s="76">
        <v>23</v>
      </c>
      <c r="N171" s="76">
        <v>23</v>
      </c>
      <c r="O171" s="76">
        <v>4</v>
      </c>
      <c r="P171" s="76">
        <v>15</v>
      </c>
      <c r="Q171" s="76">
        <v>44</v>
      </c>
      <c r="R171" s="76">
        <v>0.28100000000000003</v>
      </c>
      <c r="S171" s="76">
        <v>1.4</v>
      </c>
      <c r="T171" s="76">
        <v>17</v>
      </c>
      <c r="U171" s="77" t="s">
        <v>377</v>
      </c>
      <c r="V171" s="76" t="s">
        <v>165</v>
      </c>
      <c r="W171" s="76">
        <v>0</v>
      </c>
      <c r="X171" s="76">
        <v>0</v>
      </c>
      <c r="Y171" s="76">
        <v>3</v>
      </c>
      <c r="Z171" s="76">
        <v>2</v>
      </c>
      <c r="AA171" s="76">
        <v>11</v>
      </c>
      <c r="AB171" s="76">
        <v>2</v>
      </c>
      <c r="AC171" s="76">
        <v>4</v>
      </c>
      <c r="AD171" s="76">
        <v>70</v>
      </c>
      <c r="AE171" s="76">
        <v>32</v>
      </c>
      <c r="AF171" s="76">
        <v>3</v>
      </c>
      <c r="AG171" s="76">
        <v>0</v>
      </c>
      <c r="AH171" s="76">
        <v>2</v>
      </c>
      <c r="AI171" s="76">
        <v>4</v>
      </c>
      <c r="AJ171" s="76">
        <v>1</v>
      </c>
      <c r="AK171" s="76">
        <v>220</v>
      </c>
      <c r="AL171" s="76">
        <v>883</v>
      </c>
      <c r="AM171" s="202"/>
      <c r="AN171" s="77"/>
      <c r="AO171" s="202"/>
      <c r="AP171" s="202"/>
      <c r="AQ171" s="202"/>
      <c r="AR171" s="202"/>
      <c r="AS171" s="202"/>
      <c r="AT171" s="202"/>
      <c r="AU171" s="202"/>
      <c r="AV171" s="202"/>
      <c r="AW171" s="202"/>
      <c r="AX171" s="202"/>
      <c r="AY171" s="202"/>
    </row>
    <row r="172" spans="1:51" ht="25.5" x14ac:dyDescent="0.2">
      <c r="A172" s="76">
        <v>18</v>
      </c>
      <c r="B172" s="77" t="s">
        <v>600</v>
      </c>
      <c r="C172" s="76" t="s">
        <v>165</v>
      </c>
      <c r="D172" s="76">
        <v>1</v>
      </c>
      <c r="E172" s="76">
        <v>0</v>
      </c>
      <c r="F172" s="76">
        <v>4.21</v>
      </c>
      <c r="G172" s="76">
        <v>23</v>
      </c>
      <c r="H172" s="76">
        <v>0</v>
      </c>
      <c r="I172" s="76">
        <v>0</v>
      </c>
      <c r="J172" s="76">
        <v>1</v>
      </c>
      <c r="K172" s="76">
        <v>25.2</v>
      </c>
      <c r="L172" s="76">
        <v>28</v>
      </c>
      <c r="M172" s="76">
        <v>14</v>
      </c>
      <c r="N172" s="76">
        <v>12</v>
      </c>
      <c r="O172" s="76">
        <v>3</v>
      </c>
      <c r="P172" s="76">
        <v>8</v>
      </c>
      <c r="Q172" s="76">
        <v>21</v>
      </c>
      <c r="R172" s="76">
        <v>0.27700000000000002</v>
      </c>
      <c r="S172" s="76">
        <v>1.4</v>
      </c>
      <c r="T172" s="76">
        <v>18</v>
      </c>
      <c r="U172" s="77" t="s">
        <v>600</v>
      </c>
      <c r="V172" s="76" t="s">
        <v>165</v>
      </c>
      <c r="W172" s="76">
        <v>0</v>
      </c>
      <c r="X172" s="76">
        <v>0</v>
      </c>
      <c r="Y172" s="76">
        <v>0</v>
      </c>
      <c r="Z172" s="76">
        <v>3</v>
      </c>
      <c r="AA172" s="76">
        <v>3</v>
      </c>
      <c r="AB172" s="76">
        <v>4</v>
      </c>
      <c r="AC172" s="76">
        <v>3</v>
      </c>
      <c r="AD172" s="76">
        <v>25</v>
      </c>
      <c r="AE172" s="76">
        <v>27</v>
      </c>
      <c r="AF172" s="76">
        <v>0</v>
      </c>
      <c r="AG172" s="76">
        <v>0</v>
      </c>
      <c r="AH172" s="76">
        <v>1</v>
      </c>
      <c r="AI172" s="76">
        <v>1</v>
      </c>
      <c r="AJ172" s="76">
        <v>0</v>
      </c>
      <c r="AK172" s="76">
        <v>109</v>
      </c>
      <c r="AL172" s="76">
        <v>442</v>
      </c>
      <c r="AM172" s="202"/>
      <c r="AN172" s="77"/>
      <c r="AO172" s="202"/>
      <c r="AP172" s="202"/>
      <c r="AQ172" s="202"/>
      <c r="AR172" s="202"/>
      <c r="AS172" s="202"/>
      <c r="AT172" s="202"/>
      <c r="AU172" s="202"/>
      <c r="AV172" s="202"/>
      <c r="AW172" s="202"/>
      <c r="AX172" s="202"/>
      <c r="AY172" s="202"/>
    </row>
    <row r="173" spans="1:51" ht="25.5" x14ac:dyDescent="0.2">
      <c r="A173" s="76">
        <v>18</v>
      </c>
      <c r="B173" s="77" t="s">
        <v>575</v>
      </c>
      <c r="C173" s="76" t="s">
        <v>165</v>
      </c>
      <c r="D173" s="76">
        <v>0</v>
      </c>
      <c r="E173" s="76">
        <v>1</v>
      </c>
      <c r="F173" s="76">
        <v>4.21</v>
      </c>
      <c r="G173" s="76">
        <v>25</v>
      </c>
      <c r="H173" s="76">
        <v>0</v>
      </c>
      <c r="I173" s="76">
        <v>0</v>
      </c>
      <c r="J173" s="76">
        <v>1</v>
      </c>
      <c r="K173" s="76">
        <v>25.2</v>
      </c>
      <c r="L173" s="76">
        <v>24</v>
      </c>
      <c r="M173" s="76">
        <v>12</v>
      </c>
      <c r="N173" s="76">
        <v>12</v>
      </c>
      <c r="O173" s="76">
        <v>8</v>
      </c>
      <c r="P173" s="76">
        <v>7</v>
      </c>
      <c r="Q173" s="76">
        <v>23</v>
      </c>
      <c r="R173" s="76">
        <v>0.245</v>
      </c>
      <c r="S173" s="76">
        <v>1.21</v>
      </c>
      <c r="T173" s="76">
        <v>18</v>
      </c>
      <c r="U173" s="77" t="s">
        <v>575</v>
      </c>
      <c r="V173" s="76" t="s">
        <v>165</v>
      </c>
      <c r="W173" s="76">
        <v>0</v>
      </c>
      <c r="X173" s="76">
        <v>0</v>
      </c>
      <c r="Y173" s="76">
        <v>0</v>
      </c>
      <c r="Z173" s="76">
        <v>3</v>
      </c>
      <c r="AA173" s="76">
        <v>5</v>
      </c>
      <c r="AB173" s="76">
        <v>5</v>
      </c>
      <c r="AC173" s="76">
        <v>0</v>
      </c>
      <c r="AD173" s="76">
        <v>23</v>
      </c>
      <c r="AE173" s="76">
        <v>29</v>
      </c>
      <c r="AF173" s="76">
        <v>0</v>
      </c>
      <c r="AG173" s="76">
        <v>0</v>
      </c>
      <c r="AH173" s="76">
        <v>0</v>
      </c>
      <c r="AI173" s="76">
        <v>1</v>
      </c>
      <c r="AJ173" s="76">
        <v>0</v>
      </c>
      <c r="AK173" s="76">
        <v>106</v>
      </c>
      <c r="AL173" s="76">
        <v>424</v>
      </c>
      <c r="AM173" s="202"/>
      <c r="AN173" s="77"/>
      <c r="AO173" s="202"/>
      <c r="AP173" s="202"/>
      <c r="AQ173" s="202"/>
      <c r="AR173" s="202"/>
      <c r="AS173" s="202"/>
      <c r="AT173" s="202"/>
      <c r="AU173" s="202"/>
      <c r="AV173" s="202"/>
      <c r="AW173" s="202"/>
      <c r="AX173" s="202"/>
      <c r="AY173" s="202"/>
    </row>
    <row r="174" spans="1:51" ht="25.5" x14ac:dyDescent="0.2">
      <c r="A174" s="76">
        <v>20</v>
      </c>
      <c r="B174" s="77" t="s">
        <v>530</v>
      </c>
      <c r="C174" s="76" t="s">
        <v>165</v>
      </c>
      <c r="D174" s="76">
        <v>10</v>
      </c>
      <c r="E174" s="76">
        <v>6</v>
      </c>
      <c r="F174" s="76">
        <v>4.5599999999999996</v>
      </c>
      <c r="G174" s="76">
        <v>26</v>
      </c>
      <c r="H174" s="76">
        <v>26</v>
      </c>
      <c r="I174" s="76">
        <v>0</v>
      </c>
      <c r="J174" s="76">
        <v>0</v>
      </c>
      <c r="K174" s="76">
        <v>136.1</v>
      </c>
      <c r="L174" s="76">
        <v>133</v>
      </c>
      <c r="M174" s="76">
        <v>71</v>
      </c>
      <c r="N174" s="76">
        <v>69</v>
      </c>
      <c r="O174" s="76">
        <v>21</v>
      </c>
      <c r="P174" s="76">
        <v>52</v>
      </c>
      <c r="Q174" s="76">
        <v>134</v>
      </c>
      <c r="R174" s="76">
        <v>0.253</v>
      </c>
      <c r="S174" s="76">
        <v>1.36</v>
      </c>
      <c r="T174" s="76">
        <v>20</v>
      </c>
      <c r="U174" s="77" t="s">
        <v>530</v>
      </c>
      <c r="V174" s="76" t="s">
        <v>165</v>
      </c>
      <c r="W174" s="76">
        <v>0</v>
      </c>
      <c r="X174" s="76">
        <v>0</v>
      </c>
      <c r="Y174" s="76">
        <v>7</v>
      </c>
      <c r="Z174" s="76">
        <v>3</v>
      </c>
      <c r="AA174" s="76">
        <v>0</v>
      </c>
      <c r="AB174" s="76">
        <v>0</v>
      </c>
      <c r="AC174" s="76">
        <v>6</v>
      </c>
      <c r="AD174" s="76">
        <v>133</v>
      </c>
      <c r="AE174" s="76">
        <v>131</v>
      </c>
      <c r="AF174" s="76">
        <v>5</v>
      </c>
      <c r="AG174" s="76">
        <v>0</v>
      </c>
      <c r="AH174" s="76">
        <v>8</v>
      </c>
      <c r="AI174" s="76">
        <v>3</v>
      </c>
      <c r="AJ174" s="76">
        <v>1</v>
      </c>
      <c r="AK174" s="76">
        <v>590</v>
      </c>
      <c r="AL174" s="76">
        <v>2392</v>
      </c>
      <c r="AM174" s="202"/>
      <c r="AN174" s="77"/>
      <c r="AO174" s="202"/>
      <c r="AP174" s="202"/>
      <c r="AQ174" s="202"/>
      <c r="AR174" s="202"/>
      <c r="AS174" s="202"/>
      <c r="AT174" s="202"/>
      <c r="AU174" s="202"/>
      <c r="AV174" s="202"/>
      <c r="AW174" s="202"/>
      <c r="AX174" s="202"/>
      <c r="AY174" s="202"/>
    </row>
    <row r="175" spans="1:51" ht="25.5" x14ac:dyDescent="0.2">
      <c r="A175" s="76">
        <v>21</v>
      </c>
      <c r="B175" s="77" t="s">
        <v>554</v>
      </c>
      <c r="C175" s="76" t="s">
        <v>165</v>
      </c>
      <c r="D175" s="76">
        <v>2</v>
      </c>
      <c r="E175" s="76">
        <v>1</v>
      </c>
      <c r="F175" s="76">
        <v>4.6900000000000004</v>
      </c>
      <c r="G175" s="76">
        <v>61</v>
      </c>
      <c r="H175" s="76">
        <v>0</v>
      </c>
      <c r="I175" s="76">
        <v>0</v>
      </c>
      <c r="J175" s="76">
        <v>2</v>
      </c>
      <c r="K175" s="76">
        <v>48</v>
      </c>
      <c r="L175" s="76">
        <v>45</v>
      </c>
      <c r="M175" s="76">
        <v>27</v>
      </c>
      <c r="N175" s="76">
        <v>25</v>
      </c>
      <c r="O175" s="76">
        <v>5</v>
      </c>
      <c r="P175" s="76">
        <v>24</v>
      </c>
      <c r="Q175" s="76">
        <v>45</v>
      </c>
      <c r="R175" s="76">
        <v>0.25</v>
      </c>
      <c r="S175" s="76">
        <v>1.44</v>
      </c>
      <c r="T175" s="76">
        <v>21</v>
      </c>
      <c r="U175" s="77" t="s">
        <v>554</v>
      </c>
      <c r="V175" s="76" t="s">
        <v>165</v>
      </c>
      <c r="W175" s="76">
        <v>0</v>
      </c>
      <c r="X175" s="76">
        <v>0</v>
      </c>
      <c r="Y175" s="76">
        <v>3</v>
      </c>
      <c r="Z175" s="76">
        <v>2</v>
      </c>
      <c r="AA175" s="76">
        <v>11</v>
      </c>
      <c r="AB175" s="76">
        <v>10</v>
      </c>
      <c r="AC175" s="76">
        <v>3</v>
      </c>
      <c r="AD175" s="76">
        <v>40</v>
      </c>
      <c r="AE175" s="76">
        <v>54</v>
      </c>
      <c r="AF175" s="76">
        <v>3</v>
      </c>
      <c r="AG175" s="76">
        <v>0</v>
      </c>
      <c r="AH175" s="76">
        <v>1</v>
      </c>
      <c r="AI175" s="76">
        <v>1</v>
      </c>
      <c r="AJ175" s="76">
        <v>0</v>
      </c>
      <c r="AK175" s="76">
        <v>211</v>
      </c>
      <c r="AL175" s="76">
        <v>889</v>
      </c>
      <c r="AM175" s="202"/>
      <c r="AN175" s="77"/>
      <c r="AO175" s="202"/>
      <c r="AP175" s="202"/>
      <c r="AQ175" s="202"/>
      <c r="AR175" s="202"/>
      <c r="AS175" s="202"/>
      <c r="AT175" s="202"/>
      <c r="AU175" s="202"/>
      <c r="AV175" s="202"/>
      <c r="AW175" s="202"/>
      <c r="AX175" s="202"/>
      <c r="AY175" s="202"/>
    </row>
    <row r="176" spans="1:51" ht="25.5" x14ac:dyDescent="0.2">
      <c r="A176" s="76">
        <v>22</v>
      </c>
      <c r="B176" s="77" t="s">
        <v>327</v>
      </c>
      <c r="C176" s="76" t="s">
        <v>165</v>
      </c>
      <c r="D176" s="76">
        <v>2</v>
      </c>
      <c r="E176" s="76">
        <v>3</v>
      </c>
      <c r="F176" s="76">
        <v>4.95</v>
      </c>
      <c r="G176" s="76">
        <v>10</v>
      </c>
      <c r="H176" s="76">
        <v>9</v>
      </c>
      <c r="I176" s="76">
        <v>0</v>
      </c>
      <c r="J176" s="76">
        <v>1</v>
      </c>
      <c r="K176" s="76">
        <v>40</v>
      </c>
      <c r="L176" s="76">
        <v>29</v>
      </c>
      <c r="M176" s="76">
        <v>24</v>
      </c>
      <c r="N176" s="76">
        <v>22</v>
      </c>
      <c r="O176" s="76">
        <v>2</v>
      </c>
      <c r="P176" s="76">
        <v>26</v>
      </c>
      <c r="Q176" s="76">
        <v>44</v>
      </c>
      <c r="R176" s="76">
        <v>0.20699999999999999</v>
      </c>
      <c r="S176" s="76">
        <v>1.38</v>
      </c>
      <c r="T176" s="76">
        <v>22</v>
      </c>
      <c r="U176" s="77" t="s">
        <v>327</v>
      </c>
      <c r="V176" s="76" t="s">
        <v>165</v>
      </c>
      <c r="W176" s="76">
        <v>0</v>
      </c>
      <c r="X176" s="76">
        <v>0</v>
      </c>
      <c r="Y176" s="76">
        <v>2</v>
      </c>
      <c r="Z176" s="76">
        <v>1</v>
      </c>
      <c r="AA176" s="76">
        <v>0</v>
      </c>
      <c r="AB176" s="76">
        <v>0</v>
      </c>
      <c r="AC176" s="76">
        <v>3</v>
      </c>
      <c r="AD176" s="76">
        <v>29</v>
      </c>
      <c r="AE176" s="76">
        <v>41</v>
      </c>
      <c r="AF176" s="76">
        <v>2</v>
      </c>
      <c r="AG176" s="76">
        <v>0</v>
      </c>
      <c r="AH176" s="76">
        <v>6</v>
      </c>
      <c r="AI176" s="76">
        <v>2</v>
      </c>
      <c r="AJ176" s="76">
        <v>2</v>
      </c>
      <c r="AK176" s="76">
        <v>171</v>
      </c>
      <c r="AL176" s="76">
        <v>701</v>
      </c>
      <c r="AM176" s="202"/>
      <c r="AN176" s="77"/>
      <c r="AO176" s="202"/>
      <c r="AP176" s="202"/>
      <c r="AQ176" s="202"/>
      <c r="AR176" s="202"/>
      <c r="AS176" s="202"/>
      <c r="AT176" s="202"/>
      <c r="AU176" s="202"/>
      <c r="AV176" s="202"/>
      <c r="AW176" s="202"/>
      <c r="AX176" s="202"/>
      <c r="AY176" s="202"/>
    </row>
    <row r="177" spans="1:51" ht="25.5" x14ac:dyDescent="0.2">
      <c r="A177" s="76">
        <v>23</v>
      </c>
      <c r="B177" s="77" t="s">
        <v>1118</v>
      </c>
      <c r="C177" s="76" t="s">
        <v>165</v>
      </c>
      <c r="D177" s="76">
        <v>0</v>
      </c>
      <c r="E177" s="76">
        <v>1</v>
      </c>
      <c r="F177" s="76">
        <v>5.4</v>
      </c>
      <c r="G177" s="76">
        <v>2</v>
      </c>
      <c r="H177" s="76">
        <v>0</v>
      </c>
      <c r="I177" s="76">
        <v>0</v>
      </c>
      <c r="J177" s="76">
        <v>0</v>
      </c>
      <c r="K177" s="76">
        <v>1.2</v>
      </c>
      <c r="L177" s="76">
        <v>1</v>
      </c>
      <c r="M177" s="76">
        <v>1</v>
      </c>
      <c r="N177" s="76">
        <v>1</v>
      </c>
      <c r="O177" s="76">
        <v>0</v>
      </c>
      <c r="P177" s="76">
        <v>3</v>
      </c>
      <c r="Q177" s="76">
        <v>0</v>
      </c>
      <c r="R177" s="76">
        <v>0.16700000000000001</v>
      </c>
      <c r="S177" s="76">
        <v>2.4</v>
      </c>
      <c r="T177" s="76">
        <v>23</v>
      </c>
      <c r="U177" s="77" t="s">
        <v>1118</v>
      </c>
      <c r="V177" s="76" t="s">
        <v>165</v>
      </c>
      <c r="W177" s="76">
        <v>0</v>
      </c>
      <c r="X177" s="76">
        <v>0</v>
      </c>
      <c r="Y177" s="76">
        <v>0</v>
      </c>
      <c r="Z177" s="76">
        <v>0</v>
      </c>
      <c r="AA177" s="76">
        <v>2</v>
      </c>
      <c r="AB177" s="76">
        <v>0</v>
      </c>
      <c r="AC177" s="76">
        <v>0</v>
      </c>
      <c r="AD177" s="76">
        <v>0</v>
      </c>
      <c r="AE177" s="76">
        <v>5</v>
      </c>
      <c r="AF177" s="76">
        <v>0</v>
      </c>
      <c r="AG177" s="76">
        <v>0</v>
      </c>
      <c r="AH177" s="76">
        <v>1</v>
      </c>
      <c r="AI177" s="76">
        <v>0</v>
      </c>
      <c r="AJ177" s="76">
        <v>0</v>
      </c>
      <c r="AK177" s="76">
        <v>9</v>
      </c>
      <c r="AL177" s="76">
        <v>36</v>
      </c>
      <c r="AM177" s="202"/>
      <c r="AN177" s="77"/>
      <c r="AO177" s="202"/>
      <c r="AP177" s="202"/>
      <c r="AQ177" s="202"/>
      <c r="AR177" s="202"/>
      <c r="AS177" s="202"/>
      <c r="AT177" s="202"/>
      <c r="AU177" s="202"/>
      <c r="AV177" s="202"/>
      <c r="AW177" s="202"/>
      <c r="AX177" s="202"/>
      <c r="AY177" s="202"/>
    </row>
    <row r="178" spans="1:51" ht="25.5" x14ac:dyDescent="0.2">
      <c r="A178" s="76">
        <v>24</v>
      </c>
      <c r="B178" s="77" t="s">
        <v>398</v>
      </c>
      <c r="C178" s="76" t="s">
        <v>165</v>
      </c>
      <c r="D178" s="76">
        <v>5</v>
      </c>
      <c r="E178" s="76">
        <v>4</v>
      </c>
      <c r="F178" s="76">
        <v>5.53</v>
      </c>
      <c r="G178" s="76">
        <v>37</v>
      </c>
      <c r="H178" s="76">
        <v>0</v>
      </c>
      <c r="I178" s="76">
        <v>0</v>
      </c>
      <c r="J178" s="76">
        <v>1</v>
      </c>
      <c r="K178" s="76">
        <v>40.200000000000003</v>
      </c>
      <c r="L178" s="76">
        <v>40</v>
      </c>
      <c r="M178" s="76">
        <v>26</v>
      </c>
      <c r="N178" s="76">
        <v>25</v>
      </c>
      <c r="O178" s="76">
        <v>8</v>
      </c>
      <c r="P178" s="76">
        <v>21</v>
      </c>
      <c r="Q178" s="76">
        <v>43</v>
      </c>
      <c r="R178" s="76">
        <v>0.253</v>
      </c>
      <c r="S178" s="76">
        <v>1.5</v>
      </c>
      <c r="T178" s="76">
        <v>24</v>
      </c>
      <c r="U178" s="77" t="s">
        <v>398</v>
      </c>
      <c r="V178" s="76" t="s">
        <v>165</v>
      </c>
      <c r="W178" s="76">
        <v>0</v>
      </c>
      <c r="X178" s="76">
        <v>0</v>
      </c>
      <c r="Y178" s="76">
        <v>1</v>
      </c>
      <c r="Z178" s="76">
        <v>4</v>
      </c>
      <c r="AA178" s="76">
        <v>10</v>
      </c>
      <c r="AB178" s="76">
        <v>4</v>
      </c>
      <c r="AC178" s="76">
        <v>3</v>
      </c>
      <c r="AD178" s="76">
        <v>40</v>
      </c>
      <c r="AE178" s="76">
        <v>36</v>
      </c>
      <c r="AF178" s="76">
        <v>4</v>
      </c>
      <c r="AG178" s="76">
        <v>0</v>
      </c>
      <c r="AH178" s="76">
        <v>4</v>
      </c>
      <c r="AI178" s="76">
        <v>0</v>
      </c>
      <c r="AJ178" s="76">
        <v>1</v>
      </c>
      <c r="AK178" s="76">
        <v>181</v>
      </c>
      <c r="AL178" s="76">
        <v>770</v>
      </c>
      <c r="AM178" s="202"/>
      <c r="AN178" s="77"/>
      <c r="AO178" s="202"/>
      <c r="AP178" s="202"/>
      <c r="AQ178" s="202"/>
      <c r="AR178" s="202"/>
      <c r="AS178" s="202"/>
      <c r="AT178" s="202"/>
      <c r="AU178" s="202"/>
      <c r="AV178" s="202"/>
      <c r="AW178" s="202"/>
      <c r="AX178" s="202"/>
      <c r="AY178" s="202"/>
    </row>
    <row r="179" spans="1:51" ht="25.5" x14ac:dyDescent="0.2">
      <c r="A179" s="76">
        <v>25</v>
      </c>
      <c r="B179" s="77" t="s">
        <v>1448</v>
      </c>
      <c r="C179" s="76" t="s">
        <v>165</v>
      </c>
      <c r="D179" s="76">
        <v>2</v>
      </c>
      <c r="E179" s="76">
        <v>2</v>
      </c>
      <c r="F179" s="76">
        <v>5.79</v>
      </c>
      <c r="G179" s="76">
        <v>7</v>
      </c>
      <c r="H179" s="76">
        <v>5</v>
      </c>
      <c r="I179" s="76">
        <v>0</v>
      </c>
      <c r="J179" s="76">
        <v>0</v>
      </c>
      <c r="K179" s="76">
        <v>28</v>
      </c>
      <c r="L179" s="76">
        <v>33</v>
      </c>
      <c r="M179" s="76">
        <v>18</v>
      </c>
      <c r="N179" s="76">
        <v>18</v>
      </c>
      <c r="O179" s="76">
        <v>7</v>
      </c>
      <c r="P179" s="76">
        <v>12</v>
      </c>
      <c r="Q179" s="76">
        <v>25</v>
      </c>
      <c r="R179" s="76">
        <v>0.29199999999999998</v>
      </c>
      <c r="S179" s="76">
        <v>1.61</v>
      </c>
      <c r="T179" s="76">
        <v>25</v>
      </c>
      <c r="U179" s="77" t="s">
        <v>1448</v>
      </c>
      <c r="V179" s="76" t="s">
        <v>165</v>
      </c>
      <c r="W179" s="76">
        <v>0</v>
      </c>
      <c r="X179" s="76">
        <v>0</v>
      </c>
      <c r="Y179" s="76">
        <v>0</v>
      </c>
      <c r="Z179" s="76">
        <v>1</v>
      </c>
      <c r="AA179" s="76">
        <v>0</v>
      </c>
      <c r="AB179" s="76">
        <v>0</v>
      </c>
      <c r="AC179" s="76">
        <v>1</v>
      </c>
      <c r="AD179" s="76">
        <v>28</v>
      </c>
      <c r="AE179" s="76">
        <v>28</v>
      </c>
      <c r="AF179" s="76">
        <v>0</v>
      </c>
      <c r="AG179" s="76">
        <v>0</v>
      </c>
      <c r="AH179" s="76">
        <v>2</v>
      </c>
      <c r="AI179" s="76">
        <v>2</v>
      </c>
      <c r="AJ179" s="76">
        <v>0</v>
      </c>
      <c r="AK179" s="76">
        <v>126</v>
      </c>
      <c r="AL179" s="76">
        <v>484</v>
      </c>
      <c r="AM179" s="202"/>
      <c r="AN179" s="77"/>
      <c r="AO179" s="202"/>
      <c r="AP179" s="202"/>
      <c r="AQ179" s="202"/>
      <c r="AR179" s="202"/>
      <c r="AS179" s="202"/>
      <c r="AT179" s="202"/>
      <c r="AU179" s="202"/>
      <c r="AV179" s="202"/>
      <c r="AW179" s="202"/>
      <c r="AX179" s="202"/>
      <c r="AY179" s="202"/>
    </row>
    <row r="180" spans="1:51" ht="25.5" x14ac:dyDescent="0.2">
      <c r="A180" s="76">
        <v>26</v>
      </c>
      <c r="B180" s="77" t="s">
        <v>1449</v>
      </c>
      <c r="C180" s="76" t="s">
        <v>165</v>
      </c>
      <c r="D180" s="76">
        <v>2</v>
      </c>
      <c r="E180" s="76">
        <v>0</v>
      </c>
      <c r="F180" s="76">
        <v>6.35</v>
      </c>
      <c r="G180" s="76">
        <v>4</v>
      </c>
      <c r="H180" s="76">
        <v>4</v>
      </c>
      <c r="I180" s="76">
        <v>0</v>
      </c>
      <c r="J180" s="76">
        <v>0</v>
      </c>
      <c r="K180" s="76">
        <v>17</v>
      </c>
      <c r="L180" s="76">
        <v>19</v>
      </c>
      <c r="M180" s="76">
        <v>17</v>
      </c>
      <c r="N180" s="76">
        <v>12</v>
      </c>
      <c r="O180" s="76">
        <v>5</v>
      </c>
      <c r="P180" s="76">
        <v>7</v>
      </c>
      <c r="Q180" s="76">
        <v>15</v>
      </c>
      <c r="R180" s="76">
        <v>0.28799999999999998</v>
      </c>
      <c r="S180" s="76">
        <v>1.53</v>
      </c>
      <c r="T180" s="76">
        <v>26</v>
      </c>
      <c r="U180" s="77" t="s">
        <v>1449</v>
      </c>
      <c r="V180" s="76" t="s">
        <v>165</v>
      </c>
      <c r="W180" s="76">
        <v>0</v>
      </c>
      <c r="X180" s="76">
        <v>0</v>
      </c>
      <c r="Y180" s="76">
        <v>3</v>
      </c>
      <c r="Z180" s="76">
        <v>1</v>
      </c>
      <c r="AA180" s="76">
        <v>0</v>
      </c>
      <c r="AB180" s="76">
        <v>0</v>
      </c>
      <c r="AC180" s="76">
        <v>0</v>
      </c>
      <c r="AD180" s="76">
        <v>20</v>
      </c>
      <c r="AE180" s="76">
        <v>16</v>
      </c>
      <c r="AF180" s="76">
        <v>0</v>
      </c>
      <c r="AG180" s="76">
        <v>0</v>
      </c>
      <c r="AH180" s="76">
        <v>0</v>
      </c>
      <c r="AI180" s="76">
        <v>0</v>
      </c>
      <c r="AJ180" s="76">
        <v>1</v>
      </c>
      <c r="AK180" s="76">
        <v>80</v>
      </c>
      <c r="AL180" s="76">
        <v>302</v>
      </c>
      <c r="AM180" s="202"/>
      <c r="AN180" s="77"/>
      <c r="AO180" s="202"/>
      <c r="AP180" s="202"/>
      <c r="AQ180" s="202"/>
      <c r="AR180" s="202"/>
      <c r="AS180" s="202"/>
      <c r="AT180" s="202"/>
      <c r="AU180" s="202"/>
      <c r="AV180" s="202"/>
      <c r="AW180" s="202"/>
      <c r="AX180" s="202"/>
      <c r="AY180" s="202"/>
    </row>
    <row r="181" spans="1:51" ht="25.5" x14ac:dyDescent="0.2">
      <c r="A181" s="76">
        <v>27</v>
      </c>
      <c r="B181" s="77" t="s">
        <v>492</v>
      </c>
      <c r="C181" s="76" t="s">
        <v>165</v>
      </c>
      <c r="D181" s="76">
        <v>3</v>
      </c>
      <c r="E181" s="76">
        <v>3</v>
      </c>
      <c r="F181" s="76">
        <v>6.54</v>
      </c>
      <c r="G181" s="76">
        <v>13</v>
      </c>
      <c r="H181" s="76">
        <v>9</v>
      </c>
      <c r="I181" s="76">
        <v>0</v>
      </c>
      <c r="J181" s="76">
        <v>0</v>
      </c>
      <c r="K181" s="76">
        <v>42.2</v>
      </c>
      <c r="L181" s="76">
        <v>48</v>
      </c>
      <c r="M181" s="76">
        <v>33</v>
      </c>
      <c r="N181" s="76">
        <v>31</v>
      </c>
      <c r="O181" s="76">
        <v>8</v>
      </c>
      <c r="P181" s="76">
        <v>21</v>
      </c>
      <c r="Q181" s="76">
        <v>42</v>
      </c>
      <c r="R181" s="76">
        <v>0.27900000000000003</v>
      </c>
      <c r="S181" s="76">
        <v>1.62</v>
      </c>
      <c r="T181" s="76">
        <v>27</v>
      </c>
      <c r="U181" s="77" t="s">
        <v>492</v>
      </c>
      <c r="V181" s="76" t="s">
        <v>165</v>
      </c>
      <c r="W181" s="76">
        <v>0</v>
      </c>
      <c r="X181" s="76">
        <v>0</v>
      </c>
      <c r="Y181" s="76">
        <v>1</v>
      </c>
      <c r="Z181" s="76">
        <v>3</v>
      </c>
      <c r="AA181" s="76">
        <v>1</v>
      </c>
      <c r="AB181" s="76">
        <v>0</v>
      </c>
      <c r="AC181" s="76">
        <v>7</v>
      </c>
      <c r="AD181" s="76">
        <v>44</v>
      </c>
      <c r="AE181" s="76">
        <v>38</v>
      </c>
      <c r="AF181" s="76">
        <v>4</v>
      </c>
      <c r="AG181" s="76">
        <v>0</v>
      </c>
      <c r="AH181" s="76">
        <v>2</v>
      </c>
      <c r="AI181" s="76">
        <v>0</v>
      </c>
      <c r="AJ181" s="76">
        <v>0</v>
      </c>
      <c r="AK181" s="76">
        <v>194</v>
      </c>
      <c r="AL181" s="76">
        <v>802</v>
      </c>
      <c r="AM181" s="202"/>
      <c r="AN181" s="77"/>
      <c r="AO181" s="202"/>
      <c r="AP181" s="202"/>
      <c r="AQ181" s="202"/>
      <c r="AR181" s="202"/>
      <c r="AS181" s="202"/>
      <c r="AT181" s="202"/>
      <c r="AU181" s="202"/>
      <c r="AV181" s="202"/>
      <c r="AW181" s="202"/>
      <c r="AX181" s="202"/>
      <c r="AY181" s="202"/>
    </row>
    <row r="182" spans="1:51" ht="25.5" x14ac:dyDescent="0.2">
      <c r="A182" s="76">
        <v>28</v>
      </c>
      <c r="B182" s="77" t="s">
        <v>748</v>
      </c>
      <c r="C182" s="76" t="s">
        <v>165</v>
      </c>
      <c r="D182" s="76">
        <v>1</v>
      </c>
      <c r="E182" s="76">
        <v>4</v>
      </c>
      <c r="F182" s="76">
        <v>6.83</v>
      </c>
      <c r="G182" s="76">
        <v>6</v>
      </c>
      <c r="H182" s="76">
        <v>6</v>
      </c>
      <c r="I182" s="76">
        <v>0</v>
      </c>
      <c r="J182" s="76">
        <v>0</v>
      </c>
      <c r="K182" s="76">
        <v>27.2</v>
      </c>
      <c r="L182" s="76">
        <v>33</v>
      </c>
      <c r="M182" s="76">
        <v>21</v>
      </c>
      <c r="N182" s="76">
        <v>21</v>
      </c>
      <c r="O182" s="76">
        <v>7</v>
      </c>
      <c r="P182" s="76">
        <v>9</v>
      </c>
      <c r="Q182" s="76">
        <v>25</v>
      </c>
      <c r="R182" s="76">
        <v>0.30299999999999999</v>
      </c>
      <c r="S182" s="76">
        <v>1.52</v>
      </c>
      <c r="T182" s="76">
        <v>28</v>
      </c>
      <c r="U182" s="77" t="s">
        <v>748</v>
      </c>
      <c r="V182" s="76" t="s">
        <v>165</v>
      </c>
      <c r="W182" s="76">
        <v>0</v>
      </c>
      <c r="X182" s="76">
        <v>0</v>
      </c>
      <c r="Y182" s="76">
        <v>2</v>
      </c>
      <c r="Z182" s="76">
        <v>1</v>
      </c>
      <c r="AA182" s="76">
        <v>0</v>
      </c>
      <c r="AB182" s="76">
        <v>0</v>
      </c>
      <c r="AC182" s="76">
        <v>2</v>
      </c>
      <c r="AD182" s="76">
        <v>24</v>
      </c>
      <c r="AE182" s="76">
        <v>29</v>
      </c>
      <c r="AF182" s="76">
        <v>0</v>
      </c>
      <c r="AG182" s="76">
        <v>0</v>
      </c>
      <c r="AH182" s="76">
        <v>5</v>
      </c>
      <c r="AI182" s="76">
        <v>1</v>
      </c>
      <c r="AJ182" s="76">
        <v>0</v>
      </c>
      <c r="AK182" s="76">
        <v>122</v>
      </c>
      <c r="AL182" s="76">
        <v>470</v>
      </c>
      <c r="AM182" s="202"/>
      <c r="AN182" s="77"/>
      <c r="AO182" s="202"/>
      <c r="AP182" s="202"/>
      <c r="AQ182" s="202"/>
      <c r="AR182" s="202"/>
      <c r="AS182" s="202"/>
      <c r="AT182" s="202"/>
      <c r="AU182" s="202"/>
      <c r="AV182" s="202"/>
      <c r="AW182" s="202"/>
      <c r="AX182" s="202"/>
      <c r="AY182" s="202"/>
    </row>
    <row r="183" spans="1:51" ht="25.5" x14ac:dyDescent="0.2">
      <c r="A183" s="76">
        <v>29</v>
      </c>
      <c r="B183" s="77" t="s">
        <v>1450</v>
      </c>
      <c r="C183" s="76" t="s">
        <v>165</v>
      </c>
      <c r="D183" s="76">
        <v>0</v>
      </c>
      <c r="E183" s="76">
        <v>1</v>
      </c>
      <c r="F183" s="76">
        <v>11.25</v>
      </c>
      <c r="G183" s="76">
        <v>1</v>
      </c>
      <c r="H183" s="76">
        <v>1</v>
      </c>
      <c r="I183" s="76">
        <v>0</v>
      </c>
      <c r="J183" s="76">
        <v>0</v>
      </c>
      <c r="K183" s="76">
        <v>4</v>
      </c>
      <c r="L183" s="76">
        <v>7</v>
      </c>
      <c r="M183" s="76">
        <v>5</v>
      </c>
      <c r="N183" s="76">
        <v>5</v>
      </c>
      <c r="O183" s="76">
        <v>1</v>
      </c>
      <c r="P183" s="76">
        <v>0</v>
      </c>
      <c r="Q183" s="76">
        <v>3</v>
      </c>
      <c r="R183" s="76">
        <v>0.36799999999999999</v>
      </c>
      <c r="S183" s="76">
        <v>1.75</v>
      </c>
      <c r="T183" s="76">
        <v>29</v>
      </c>
      <c r="U183" s="77" t="s">
        <v>1450</v>
      </c>
      <c r="V183" s="76" t="s">
        <v>165</v>
      </c>
      <c r="W183" s="76">
        <v>0</v>
      </c>
      <c r="X183" s="76">
        <v>0</v>
      </c>
      <c r="Y183" s="76">
        <v>0</v>
      </c>
      <c r="Z183" s="76">
        <v>0</v>
      </c>
      <c r="AA183" s="76">
        <v>0</v>
      </c>
      <c r="AB183" s="76">
        <v>0</v>
      </c>
      <c r="AC183" s="76">
        <v>0</v>
      </c>
      <c r="AD183" s="76">
        <v>4</v>
      </c>
      <c r="AE183" s="76">
        <v>5</v>
      </c>
      <c r="AF183" s="76">
        <v>0</v>
      </c>
      <c r="AG183" s="76">
        <v>0</v>
      </c>
      <c r="AH183" s="76">
        <v>0</v>
      </c>
      <c r="AI183" s="76">
        <v>0</v>
      </c>
      <c r="AJ183" s="76">
        <v>0</v>
      </c>
      <c r="AK183" s="76">
        <v>19</v>
      </c>
      <c r="AL183" s="76">
        <v>66</v>
      </c>
      <c r="AM183" s="202"/>
      <c r="AN183" s="77"/>
      <c r="AO183" s="202"/>
      <c r="AP183" s="202"/>
      <c r="AQ183" s="202"/>
      <c r="AR183" s="202"/>
      <c r="AS183" s="202"/>
      <c r="AT183" s="202"/>
      <c r="AU183" s="202"/>
      <c r="AV183" s="202"/>
      <c r="AW183" s="202"/>
      <c r="AX183" s="202"/>
      <c r="AY183" s="202"/>
    </row>
    <row r="184" spans="1:51" ht="25.5" x14ac:dyDescent="0.2">
      <c r="A184" s="76">
        <v>30</v>
      </c>
      <c r="B184" s="77" t="s">
        <v>1451</v>
      </c>
      <c r="C184" s="76" t="s">
        <v>165</v>
      </c>
      <c r="D184" s="76">
        <v>0</v>
      </c>
      <c r="E184" s="76">
        <v>1</v>
      </c>
      <c r="F184" s="76">
        <v>11.57</v>
      </c>
      <c r="G184" s="76">
        <v>1</v>
      </c>
      <c r="H184" s="76">
        <v>1</v>
      </c>
      <c r="I184" s="76">
        <v>0</v>
      </c>
      <c r="J184" s="76">
        <v>0</v>
      </c>
      <c r="K184" s="76">
        <v>4.2</v>
      </c>
      <c r="L184" s="76">
        <v>8</v>
      </c>
      <c r="M184" s="76">
        <v>6</v>
      </c>
      <c r="N184" s="76">
        <v>6</v>
      </c>
      <c r="O184" s="76">
        <v>1</v>
      </c>
      <c r="P184" s="76">
        <v>2</v>
      </c>
      <c r="Q184" s="76">
        <v>4</v>
      </c>
      <c r="R184" s="76">
        <v>0.36399999999999999</v>
      </c>
      <c r="S184" s="76">
        <v>2.14</v>
      </c>
      <c r="T184" s="76">
        <v>30</v>
      </c>
      <c r="U184" s="77" t="s">
        <v>1451</v>
      </c>
      <c r="V184" s="76" t="s">
        <v>165</v>
      </c>
      <c r="W184" s="76">
        <v>0</v>
      </c>
      <c r="X184" s="76">
        <v>0</v>
      </c>
      <c r="Y184" s="76">
        <v>0</v>
      </c>
      <c r="Z184" s="76">
        <v>1</v>
      </c>
      <c r="AA184" s="76">
        <v>0</v>
      </c>
      <c r="AB184" s="76">
        <v>0</v>
      </c>
      <c r="AC184" s="76">
        <v>0</v>
      </c>
      <c r="AD184" s="76">
        <v>6</v>
      </c>
      <c r="AE184" s="76">
        <v>4</v>
      </c>
      <c r="AF184" s="76">
        <v>0</v>
      </c>
      <c r="AG184" s="76">
        <v>0</v>
      </c>
      <c r="AH184" s="76">
        <v>0</v>
      </c>
      <c r="AI184" s="76">
        <v>0</v>
      </c>
      <c r="AJ184" s="76">
        <v>0</v>
      </c>
      <c r="AK184" s="76">
        <v>24</v>
      </c>
      <c r="AL184" s="76">
        <v>89</v>
      </c>
      <c r="AM184" s="202"/>
      <c r="AN184" s="77"/>
      <c r="AO184" s="202"/>
      <c r="AP184" s="202"/>
      <c r="AQ184" s="202"/>
      <c r="AR184" s="202"/>
      <c r="AS184" s="202"/>
      <c r="AT184" s="202"/>
      <c r="AU184" s="202"/>
      <c r="AV184" s="202"/>
      <c r="AW184" s="202"/>
      <c r="AX184" s="202"/>
      <c r="AY184" s="202"/>
    </row>
    <row r="185" spans="1:51" ht="25.5" x14ac:dyDescent="0.2">
      <c r="A185" s="76">
        <v>31</v>
      </c>
      <c r="B185" s="77" t="s">
        <v>604</v>
      </c>
      <c r="C185" s="76" t="s">
        <v>165</v>
      </c>
      <c r="D185" s="76">
        <v>1</v>
      </c>
      <c r="E185" s="76">
        <v>2</v>
      </c>
      <c r="F185" s="76">
        <v>11.91</v>
      </c>
      <c r="G185" s="76">
        <v>4</v>
      </c>
      <c r="H185" s="76">
        <v>3</v>
      </c>
      <c r="I185" s="76">
        <v>0</v>
      </c>
      <c r="J185" s="76">
        <v>0</v>
      </c>
      <c r="K185" s="76">
        <v>11.1</v>
      </c>
      <c r="L185" s="76">
        <v>25</v>
      </c>
      <c r="M185" s="76">
        <v>15</v>
      </c>
      <c r="N185" s="76">
        <v>15</v>
      </c>
      <c r="O185" s="76">
        <v>4</v>
      </c>
      <c r="P185" s="76">
        <v>4</v>
      </c>
      <c r="Q185" s="76">
        <v>5</v>
      </c>
      <c r="R185" s="76">
        <v>0.44600000000000001</v>
      </c>
      <c r="S185" s="76">
        <v>2.56</v>
      </c>
      <c r="T185" s="76">
        <v>31</v>
      </c>
      <c r="U185" s="77" t="s">
        <v>604</v>
      </c>
      <c r="V185" s="76" t="s">
        <v>165</v>
      </c>
      <c r="W185" s="76">
        <v>0</v>
      </c>
      <c r="X185" s="76">
        <v>0</v>
      </c>
      <c r="Y185" s="76">
        <v>0</v>
      </c>
      <c r="Z185" s="76">
        <v>0</v>
      </c>
      <c r="AA185" s="76">
        <v>0</v>
      </c>
      <c r="AB185" s="76">
        <v>0</v>
      </c>
      <c r="AC185" s="76">
        <v>0</v>
      </c>
      <c r="AD185" s="76">
        <v>19</v>
      </c>
      <c r="AE185" s="76">
        <v>9</v>
      </c>
      <c r="AF185" s="76">
        <v>2</v>
      </c>
      <c r="AG185" s="76">
        <v>0</v>
      </c>
      <c r="AH185" s="76">
        <v>1</v>
      </c>
      <c r="AI185" s="76">
        <v>1</v>
      </c>
      <c r="AJ185" s="76">
        <v>1</v>
      </c>
      <c r="AK185" s="76">
        <v>62</v>
      </c>
      <c r="AL185" s="76">
        <v>209</v>
      </c>
      <c r="AM185" s="202"/>
      <c r="AN185" s="77"/>
      <c r="AO185" s="202"/>
      <c r="AP185" s="202"/>
      <c r="AQ185" s="202"/>
      <c r="AR185" s="202"/>
      <c r="AS185" s="202"/>
      <c r="AT185" s="202"/>
      <c r="AU185" s="202"/>
      <c r="AV185" s="202"/>
      <c r="AW185" s="202"/>
      <c r="AX185" s="202"/>
      <c r="AY185" s="202"/>
    </row>
    <row r="186" spans="1:51" ht="25.5" x14ac:dyDescent="0.2">
      <c r="A186" s="225" t="s">
        <v>105</v>
      </c>
      <c r="B186" s="225" t="s">
        <v>106</v>
      </c>
      <c r="C186" s="225" t="s">
        <v>157</v>
      </c>
      <c r="D186" s="225" t="s">
        <v>85</v>
      </c>
      <c r="E186" s="225" t="s">
        <v>86</v>
      </c>
      <c r="F186" s="225" t="s">
        <v>107</v>
      </c>
      <c r="G186" s="225" t="s">
        <v>108</v>
      </c>
      <c r="H186" s="225" t="s">
        <v>88</v>
      </c>
      <c r="I186" s="225" t="s">
        <v>90</v>
      </c>
      <c r="J186" s="225" t="s">
        <v>158</v>
      </c>
      <c r="K186" s="225" t="s">
        <v>91</v>
      </c>
      <c r="L186" s="225" t="s">
        <v>92</v>
      </c>
      <c r="M186" s="225" t="s">
        <v>93</v>
      </c>
      <c r="N186" s="225" t="s">
        <v>94</v>
      </c>
      <c r="O186" s="225" t="s">
        <v>95</v>
      </c>
      <c r="P186" s="225" t="s">
        <v>96</v>
      </c>
      <c r="Q186" s="225" t="s">
        <v>97</v>
      </c>
      <c r="R186" s="225" t="s">
        <v>1071</v>
      </c>
      <c r="S186" s="225" t="s">
        <v>1072</v>
      </c>
      <c r="T186" s="225" t="s">
        <v>105</v>
      </c>
      <c r="U186" s="225" t="s">
        <v>106</v>
      </c>
      <c r="V186" s="225" t="s">
        <v>157</v>
      </c>
      <c r="W186" s="225" t="s">
        <v>89</v>
      </c>
      <c r="X186" s="225" t="s">
        <v>1073</v>
      </c>
      <c r="Y186" s="225" t="s">
        <v>1074</v>
      </c>
      <c r="Z186" s="225" t="s">
        <v>98</v>
      </c>
      <c r="AA186" s="225" t="s">
        <v>1075</v>
      </c>
      <c r="AB186" s="225" t="s">
        <v>1076</v>
      </c>
      <c r="AC186" s="225" t="s">
        <v>1077</v>
      </c>
      <c r="AD186" s="225" t="s">
        <v>1066</v>
      </c>
      <c r="AE186" s="225" t="s">
        <v>1067</v>
      </c>
      <c r="AF186" s="225" t="s">
        <v>1078</v>
      </c>
      <c r="AG186" s="225" t="s">
        <v>1079</v>
      </c>
      <c r="AH186" s="225" t="s">
        <v>1057</v>
      </c>
      <c r="AI186" s="225" t="s">
        <v>1058</v>
      </c>
      <c r="AJ186" s="225" t="s">
        <v>1080</v>
      </c>
      <c r="AK186" s="225" t="s">
        <v>109</v>
      </c>
      <c r="AL186" s="225" t="s">
        <v>1069</v>
      </c>
      <c r="AM186" s="202"/>
      <c r="AN186" s="77"/>
      <c r="AO186" s="202"/>
      <c r="AP186" s="202"/>
      <c r="AQ186" s="202"/>
      <c r="AR186" s="202"/>
      <c r="AS186" s="202"/>
      <c r="AT186" s="202"/>
      <c r="AU186" s="202"/>
      <c r="AV186" s="202"/>
      <c r="AW186" s="202"/>
      <c r="AX186" s="202"/>
      <c r="AY186" s="202"/>
    </row>
    <row r="187" spans="1:51" ht="25.5" x14ac:dyDescent="0.2">
      <c r="A187" s="76">
        <v>1</v>
      </c>
      <c r="B187" s="77" t="s">
        <v>1125</v>
      </c>
      <c r="C187" s="76" t="s">
        <v>244</v>
      </c>
      <c r="D187" s="76">
        <v>0</v>
      </c>
      <c r="E187" s="76">
        <v>0</v>
      </c>
      <c r="F187" s="76">
        <v>0</v>
      </c>
      <c r="G187" s="76">
        <v>1</v>
      </c>
      <c r="H187" s="76">
        <v>1</v>
      </c>
      <c r="I187" s="76">
        <v>0</v>
      </c>
      <c r="J187" s="76">
        <v>0</v>
      </c>
      <c r="K187" s="76">
        <v>3</v>
      </c>
      <c r="L187" s="76">
        <v>1</v>
      </c>
      <c r="M187" s="76">
        <v>0</v>
      </c>
      <c r="N187" s="76">
        <v>0</v>
      </c>
      <c r="O187" s="76">
        <v>0</v>
      </c>
      <c r="P187" s="76">
        <v>3</v>
      </c>
      <c r="Q187" s="76">
        <v>1</v>
      </c>
      <c r="R187" s="76">
        <v>0.1</v>
      </c>
      <c r="S187" s="76">
        <v>1.33</v>
      </c>
      <c r="T187" s="76">
        <v>1</v>
      </c>
      <c r="U187" s="77" t="s">
        <v>1125</v>
      </c>
      <c r="V187" s="76" t="s">
        <v>244</v>
      </c>
      <c r="W187" s="76">
        <v>0</v>
      </c>
      <c r="X187" s="76">
        <v>0</v>
      </c>
      <c r="Y187" s="76">
        <v>0</v>
      </c>
      <c r="Z187" s="76">
        <v>0</v>
      </c>
      <c r="AA187" s="76">
        <v>0</v>
      </c>
      <c r="AB187" s="76">
        <v>0</v>
      </c>
      <c r="AC187" s="76">
        <v>0</v>
      </c>
      <c r="AD187" s="76">
        <v>1</v>
      </c>
      <c r="AE187" s="76">
        <v>7</v>
      </c>
      <c r="AF187" s="76">
        <v>0</v>
      </c>
      <c r="AG187" s="76">
        <v>0</v>
      </c>
      <c r="AH187" s="76">
        <v>0</v>
      </c>
      <c r="AI187" s="76">
        <v>0</v>
      </c>
      <c r="AJ187" s="76">
        <v>0</v>
      </c>
      <c r="AK187" s="76">
        <v>13</v>
      </c>
      <c r="AL187" s="76">
        <v>59</v>
      </c>
      <c r="AM187" s="202"/>
      <c r="AN187" s="77"/>
      <c r="AO187" s="202"/>
      <c r="AP187" s="202"/>
      <c r="AQ187" s="202"/>
      <c r="AR187" s="202"/>
      <c r="AS187" s="202"/>
      <c r="AT187" s="202"/>
      <c r="AU187" s="202"/>
      <c r="AV187" s="202"/>
      <c r="AW187" s="202"/>
      <c r="AX187" s="202"/>
      <c r="AY187" s="202"/>
    </row>
    <row r="188" spans="1:51" ht="25.5" x14ac:dyDescent="0.2">
      <c r="A188" s="76">
        <v>1</v>
      </c>
      <c r="B188" s="77" t="s">
        <v>1154</v>
      </c>
      <c r="C188" s="76" t="s">
        <v>244</v>
      </c>
      <c r="D188" s="76">
        <v>0</v>
      </c>
      <c r="E188" s="76">
        <v>0</v>
      </c>
      <c r="F188" s="76">
        <v>0</v>
      </c>
      <c r="G188" s="76">
        <v>1</v>
      </c>
      <c r="H188" s="76">
        <v>1</v>
      </c>
      <c r="I188" s="76">
        <v>0</v>
      </c>
      <c r="J188" s="76">
        <v>0</v>
      </c>
      <c r="K188" s="76">
        <v>3.1</v>
      </c>
      <c r="L188" s="76">
        <v>1</v>
      </c>
      <c r="M188" s="76">
        <v>0</v>
      </c>
      <c r="N188" s="76">
        <v>0</v>
      </c>
      <c r="O188" s="76">
        <v>0</v>
      </c>
      <c r="P188" s="76">
        <v>0</v>
      </c>
      <c r="Q188" s="76">
        <v>4</v>
      </c>
      <c r="R188" s="76">
        <v>0.1</v>
      </c>
      <c r="S188" s="76">
        <v>0.3</v>
      </c>
      <c r="T188" s="76">
        <v>1</v>
      </c>
      <c r="U188" s="77" t="s">
        <v>1154</v>
      </c>
      <c r="V188" s="76" t="s">
        <v>244</v>
      </c>
      <c r="W188" s="76">
        <v>0</v>
      </c>
      <c r="X188" s="76">
        <v>0</v>
      </c>
      <c r="Y188" s="76">
        <v>0</v>
      </c>
      <c r="Z188" s="76">
        <v>0</v>
      </c>
      <c r="AA188" s="76">
        <v>0</v>
      </c>
      <c r="AB188" s="76">
        <v>0</v>
      </c>
      <c r="AC188" s="76">
        <v>0</v>
      </c>
      <c r="AD188" s="76">
        <v>3</v>
      </c>
      <c r="AE188" s="76">
        <v>3</v>
      </c>
      <c r="AF188" s="76">
        <v>0</v>
      </c>
      <c r="AG188" s="76">
        <v>0</v>
      </c>
      <c r="AH188" s="76">
        <v>0</v>
      </c>
      <c r="AI188" s="76">
        <v>0</v>
      </c>
      <c r="AJ188" s="76">
        <v>0</v>
      </c>
      <c r="AK188" s="76">
        <v>11</v>
      </c>
      <c r="AL188" s="76">
        <v>44</v>
      </c>
      <c r="AM188" s="202"/>
      <c r="AN188" s="77"/>
      <c r="AO188" s="202"/>
      <c r="AP188" s="202"/>
      <c r="AQ188" s="202"/>
      <c r="AR188" s="202"/>
      <c r="AS188" s="202"/>
      <c r="AT188" s="202"/>
      <c r="AU188" s="202"/>
      <c r="AV188" s="202"/>
      <c r="AW188" s="202"/>
      <c r="AX188" s="202"/>
      <c r="AY188" s="202"/>
    </row>
    <row r="189" spans="1:51" ht="25.5" x14ac:dyDescent="0.2">
      <c r="A189" s="76">
        <v>3</v>
      </c>
      <c r="B189" s="77" t="s">
        <v>590</v>
      </c>
      <c r="C189" s="76" t="s">
        <v>244</v>
      </c>
      <c r="D189" s="76">
        <v>7</v>
      </c>
      <c r="E189" s="76">
        <v>6</v>
      </c>
      <c r="F189" s="76">
        <v>2.2799999999999998</v>
      </c>
      <c r="G189" s="76">
        <v>64</v>
      </c>
      <c r="H189" s="76">
        <v>5</v>
      </c>
      <c r="I189" s="76">
        <v>4</v>
      </c>
      <c r="J189" s="76">
        <v>10</v>
      </c>
      <c r="K189" s="76">
        <v>86.2</v>
      </c>
      <c r="L189" s="76">
        <v>61</v>
      </c>
      <c r="M189" s="76">
        <v>23</v>
      </c>
      <c r="N189" s="76">
        <v>22</v>
      </c>
      <c r="O189" s="76">
        <v>6</v>
      </c>
      <c r="P189" s="76">
        <v>38</v>
      </c>
      <c r="Q189" s="76">
        <v>114</v>
      </c>
      <c r="R189" s="76">
        <v>0.19700000000000001</v>
      </c>
      <c r="S189" s="76">
        <v>1.1399999999999999</v>
      </c>
      <c r="T189" s="76">
        <v>3</v>
      </c>
      <c r="U189" s="77" t="s">
        <v>590</v>
      </c>
      <c r="V189" s="76" t="s">
        <v>244</v>
      </c>
      <c r="W189" s="76">
        <v>0</v>
      </c>
      <c r="X189" s="76">
        <v>0</v>
      </c>
      <c r="Y189" s="76">
        <v>2</v>
      </c>
      <c r="Z189" s="76">
        <v>6</v>
      </c>
      <c r="AA189" s="76">
        <v>6</v>
      </c>
      <c r="AB189" s="76">
        <v>25</v>
      </c>
      <c r="AC189" s="76">
        <v>7</v>
      </c>
      <c r="AD189" s="76">
        <v>70</v>
      </c>
      <c r="AE189" s="76">
        <v>67</v>
      </c>
      <c r="AF189" s="76">
        <v>0</v>
      </c>
      <c r="AG189" s="76">
        <v>1</v>
      </c>
      <c r="AH189" s="76">
        <v>4</v>
      </c>
      <c r="AI189" s="76">
        <v>0</v>
      </c>
      <c r="AJ189" s="76">
        <v>0</v>
      </c>
      <c r="AK189" s="76">
        <v>352</v>
      </c>
      <c r="AL189" s="76">
        <v>1497</v>
      </c>
      <c r="AM189" s="202"/>
      <c r="AN189" s="77"/>
      <c r="AO189" s="202"/>
      <c r="AP189" s="202"/>
      <c r="AQ189" s="202"/>
      <c r="AR189" s="202"/>
      <c r="AS189" s="202"/>
      <c r="AT189" s="202"/>
      <c r="AU189" s="202"/>
      <c r="AV189" s="202"/>
      <c r="AW189" s="202"/>
      <c r="AX189" s="202"/>
      <c r="AY189" s="202"/>
    </row>
    <row r="190" spans="1:51" ht="25.5" x14ac:dyDescent="0.2">
      <c r="A190" s="76">
        <v>4</v>
      </c>
      <c r="B190" s="77" t="s">
        <v>1149</v>
      </c>
      <c r="C190" s="76" t="s">
        <v>244</v>
      </c>
      <c r="D190" s="76">
        <v>0</v>
      </c>
      <c r="E190" s="76">
        <v>0</v>
      </c>
      <c r="F190" s="76">
        <v>2.2999999999999998</v>
      </c>
      <c r="G190" s="76">
        <v>14</v>
      </c>
      <c r="H190" s="76">
        <v>0</v>
      </c>
      <c r="I190" s="76">
        <v>0</v>
      </c>
      <c r="J190" s="76">
        <v>0</v>
      </c>
      <c r="K190" s="76">
        <v>15.2</v>
      </c>
      <c r="L190" s="76">
        <v>10</v>
      </c>
      <c r="M190" s="76">
        <v>5</v>
      </c>
      <c r="N190" s="76">
        <v>4</v>
      </c>
      <c r="O190" s="76">
        <v>0</v>
      </c>
      <c r="P190" s="76">
        <v>8</v>
      </c>
      <c r="Q190" s="76">
        <v>8</v>
      </c>
      <c r="R190" s="76">
        <v>0.17899999999999999</v>
      </c>
      <c r="S190" s="76">
        <v>1.1499999999999999</v>
      </c>
      <c r="T190" s="76">
        <v>4</v>
      </c>
      <c r="U190" s="77" t="s">
        <v>1149</v>
      </c>
      <c r="V190" s="76" t="s">
        <v>244</v>
      </c>
      <c r="W190" s="76">
        <v>0</v>
      </c>
      <c r="X190" s="76">
        <v>0</v>
      </c>
      <c r="Y190" s="76">
        <v>0</v>
      </c>
      <c r="Z190" s="76">
        <v>0</v>
      </c>
      <c r="AA190" s="76">
        <v>5</v>
      </c>
      <c r="AB190" s="76">
        <v>1</v>
      </c>
      <c r="AC190" s="76">
        <v>1</v>
      </c>
      <c r="AD190" s="76">
        <v>27</v>
      </c>
      <c r="AE190" s="76">
        <v>12</v>
      </c>
      <c r="AF190" s="76">
        <v>1</v>
      </c>
      <c r="AG190" s="76">
        <v>0</v>
      </c>
      <c r="AH190" s="76">
        <v>2</v>
      </c>
      <c r="AI190" s="76">
        <v>1</v>
      </c>
      <c r="AJ190" s="76">
        <v>0</v>
      </c>
      <c r="AK190" s="76">
        <v>65</v>
      </c>
      <c r="AL190" s="76">
        <v>227</v>
      </c>
      <c r="AM190" s="102"/>
      <c r="AN190" s="102"/>
      <c r="AO190" s="102"/>
      <c r="AP190" s="102"/>
      <c r="AQ190" s="102"/>
      <c r="AR190" s="102"/>
      <c r="AS190" s="102"/>
      <c r="AT190" s="102"/>
      <c r="AU190" s="102"/>
      <c r="AV190" s="102"/>
      <c r="AW190" s="102"/>
      <c r="AX190" s="102"/>
      <c r="AY190" s="102"/>
    </row>
    <row r="191" spans="1:51" ht="25.5" x14ac:dyDescent="0.2">
      <c r="A191" s="76">
        <v>5</v>
      </c>
      <c r="B191" s="77" t="s">
        <v>1120</v>
      </c>
      <c r="C191" s="76" t="s">
        <v>244</v>
      </c>
      <c r="D191" s="76">
        <v>4</v>
      </c>
      <c r="E191" s="76">
        <v>2</v>
      </c>
      <c r="F191" s="76">
        <v>2.4500000000000002</v>
      </c>
      <c r="G191" s="76">
        <v>32</v>
      </c>
      <c r="H191" s="76">
        <v>0</v>
      </c>
      <c r="I191" s="76">
        <v>0</v>
      </c>
      <c r="J191" s="76">
        <v>0</v>
      </c>
      <c r="K191" s="76">
        <v>33</v>
      </c>
      <c r="L191" s="76">
        <v>27</v>
      </c>
      <c r="M191" s="76">
        <v>10</v>
      </c>
      <c r="N191" s="76">
        <v>9</v>
      </c>
      <c r="O191" s="76">
        <v>2</v>
      </c>
      <c r="P191" s="76">
        <v>16</v>
      </c>
      <c r="Q191" s="76">
        <v>32</v>
      </c>
      <c r="R191" s="76">
        <v>0.223</v>
      </c>
      <c r="S191" s="76">
        <v>1.3</v>
      </c>
      <c r="T191" s="76">
        <v>5</v>
      </c>
      <c r="U191" s="77" t="s">
        <v>1120</v>
      </c>
      <c r="V191" s="76" t="s">
        <v>244</v>
      </c>
      <c r="W191" s="76">
        <v>0</v>
      </c>
      <c r="X191" s="76">
        <v>0</v>
      </c>
      <c r="Y191" s="76">
        <v>2</v>
      </c>
      <c r="Z191" s="76">
        <v>2</v>
      </c>
      <c r="AA191" s="76">
        <v>7</v>
      </c>
      <c r="AB191" s="76">
        <v>3</v>
      </c>
      <c r="AC191" s="76">
        <v>3</v>
      </c>
      <c r="AD191" s="76">
        <v>18</v>
      </c>
      <c r="AE191" s="76">
        <v>46</v>
      </c>
      <c r="AF191" s="76">
        <v>3</v>
      </c>
      <c r="AG191" s="76">
        <v>1</v>
      </c>
      <c r="AH191" s="76">
        <v>2</v>
      </c>
      <c r="AI191" s="76">
        <v>1</v>
      </c>
      <c r="AJ191" s="76">
        <v>0</v>
      </c>
      <c r="AK191" s="76">
        <v>142</v>
      </c>
      <c r="AL191" s="76">
        <v>565</v>
      </c>
      <c r="AM191" s="202"/>
      <c r="AN191" s="77"/>
      <c r="AO191" s="202"/>
      <c r="AP191" s="202"/>
      <c r="AQ191" s="202"/>
      <c r="AR191" s="202"/>
      <c r="AS191" s="202"/>
      <c r="AT191" s="202"/>
      <c r="AU191" s="202"/>
      <c r="AV191" s="202"/>
      <c r="AW191" s="202"/>
      <c r="AX191" s="202"/>
      <c r="AY191" s="202"/>
    </row>
    <row r="192" spans="1:51" ht="25.5" x14ac:dyDescent="0.2">
      <c r="A192" s="76">
        <v>6</v>
      </c>
      <c r="B192" s="77" t="s">
        <v>392</v>
      </c>
      <c r="C192" s="76" t="s">
        <v>244</v>
      </c>
      <c r="D192" s="76">
        <v>1</v>
      </c>
      <c r="E192" s="76">
        <v>4</v>
      </c>
      <c r="F192" s="76">
        <v>2.81</v>
      </c>
      <c r="G192" s="76">
        <v>67</v>
      </c>
      <c r="H192" s="76">
        <v>0</v>
      </c>
      <c r="I192" s="76">
        <v>40</v>
      </c>
      <c r="J192" s="76">
        <v>43</v>
      </c>
      <c r="K192" s="76">
        <v>64</v>
      </c>
      <c r="L192" s="76">
        <v>52</v>
      </c>
      <c r="M192" s="76">
        <v>21</v>
      </c>
      <c r="N192" s="76">
        <v>20</v>
      </c>
      <c r="O192" s="76">
        <v>1</v>
      </c>
      <c r="P192" s="76">
        <v>35</v>
      </c>
      <c r="Q192" s="76">
        <v>73</v>
      </c>
      <c r="R192" s="76">
        <v>0.223</v>
      </c>
      <c r="S192" s="76">
        <v>1.36</v>
      </c>
      <c r="T192" s="76">
        <v>6</v>
      </c>
      <c r="U192" s="77" t="s">
        <v>392</v>
      </c>
      <c r="V192" s="76" t="s">
        <v>244</v>
      </c>
      <c r="W192" s="76">
        <v>0</v>
      </c>
      <c r="X192" s="76">
        <v>0</v>
      </c>
      <c r="Y192" s="76">
        <v>4</v>
      </c>
      <c r="Z192" s="76">
        <v>3</v>
      </c>
      <c r="AA192" s="76">
        <v>52</v>
      </c>
      <c r="AB192" s="76">
        <v>2</v>
      </c>
      <c r="AC192" s="76">
        <v>5</v>
      </c>
      <c r="AD192" s="76">
        <v>47</v>
      </c>
      <c r="AE192" s="76">
        <v>67</v>
      </c>
      <c r="AF192" s="76">
        <v>6</v>
      </c>
      <c r="AG192" s="76">
        <v>0</v>
      </c>
      <c r="AH192" s="76">
        <v>4</v>
      </c>
      <c r="AI192" s="76">
        <v>1</v>
      </c>
      <c r="AJ192" s="76">
        <v>0</v>
      </c>
      <c r="AK192" s="76">
        <v>278</v>
      </c>
      <c r="AL192" s="76">
        <v>1117</v>
      </c>
      <c r="AM192" s="202"/>
      <c r="AN192" s="77"/>
      <c r="AO192" s="202"/>
      <c r="AP192" s="202"/>
      <c r="AQ192" s="202"/>
      <c r="AR192" s="202"/>
      <c r="AS192" s="202"/>
      <c r="AT192" s="202"/>
      <c r="AU192" s="202"/>
      <c r="AV192" s="202"/>
      <c r="AW192" s="202"/>
      <c r="AX192" s="202"/>
      <c r="AY192" s="202"/>
    </row>
    <row r="193" spans="1:51" ht="25.5" x14ac:dyDescent="0.2">
      <c r="A193" s="76">
        <v>7</v>
      </c>
      <c r="B193" s="77" t="s">
        <v>616</v>
      </c>
      <c r="C193" s="76" t="s">
        <v>244</v>
      </c>
      <c r="D193" s="76">
        <v>1</v>
      </c>
      <c r="E193" s="76">
        <v>3</v>
      </c>
      <c r="F193" s="76">
        <v>2.82</v>
      </c>
      <c r="G193" s="76">
        <v>55</v>
      </c>
      <c r="H193" s="76">
        <v>0</v>
      </c>
      <c r="I193" s="76">
        <v>1</v>
      </c>
      <c r="J193" s="76">
        <v>2</v>
      </c>
      <c r="K193" s="76">
        <v>67</v>
      </c>
      <c r="L193" s="76">
        <v>49</v>
      </c>
      <c r="M193" s="76">
        <v>26</v>
      </c>
      <c r="N193" s="76">
        <v>21</v>
      </c>
      <c r="O193" s="76">
        <v>7</v>
      </c>
      <c r="P193" s="76">
        <v>33</v>
      </c>
      <c r="Q193" s="76">
        <v>63</v>
      </c>
      <c r="R193" s="76">
        <v>0.20200000000000001</v>
      </c>
      <c r="S193" s="76">
        <v>1.22</v>
      </c>
      <c r="T193" s="76">
        <v>7</v>
      </c>
      <c r="U193" s="77" t="s">
        <v>616</v>
      </c>
      <c r="V193" s="76" t="s">
        <v>244</v>
      </c>
      <c r="W193" s="76">
        <v>0</v>
      </c>
      <c r="X193" s="76">
        <v>0</v>
      </c>
      <c r="Y193" s="76">
        <v>2</v>
      </c>
      <c r="Z193" s="76">
        <v>7</v>
      </c>
      <c r="AA193" s="76">
        <v>24</v>
      </c>
      <c r="AB193" s="76">
        <v>3</v>
      </c>
      <c r="AC193" s="76">
        <v>6</v>
      </c>
      <c r="AD193" s="76">
        <v>84</v>
      </c>
      <c r="AE193" s="76">
        <v>48</v>
      </c>
      <c r="AF193" s="76">
        <v>4</v>
      </c>
      <c r="AG193" s="76">
        <v>0</v>
      </c>
      <c r="AH193" s="76">
        <v>6</v>
      </c>
      <c r="AI193" s="76">
        <v>2</v>
      </c>
      <c r="AJ193" s="76">
        <v>0</v>
      </c>
      <c r="AK193" s="76">
        <v>279</v>
      </c>
      <c r="AL193" s="76">
        <v>1080</v>
      </c>
      <c r="AM193" s="202"/>
      <c r="AN193" s="77"/>
      <c r="AO193" s="202"/>
      <c r="AP193" s="202"/>
      <c r="AQ193" s="202"/>
      <c r="AR193" s="202"/>
      <c r="AS193" s="202"/>
      <c r="AT193" s="202"/>
      <c r="AU193" s="202"/>
      <c r="AV193" s="202"/>
      <c r="AW193" s="202"/>
      <c r="AX193" s="202"/>
      <c r="AY193" s="202"/>
    </row>
    <row r="194" spans="1:51" ht="38.25" x14ac:dyDescent="0.2">
      <c r="A194" s="76">
        <v>8</v>
      </c>
      <c r="B194" s="77" t="s">
        <v>1119</v>
      </c>
      <c r="C194" s="76" t="s">
        <v>244</v>
      </c>
      <c r="D194" s="76">
        <v>6</v>
      </c>
      <c r="E194" s="76">
        <v>3</v>
      </c>
      <c r="F194" s="76">
        <v>2.85</v>
      </c>
      <c r="G194" s="76">
        <v>75</v>
      </c>
      <c r="H194" s="76">
        <v>0</v>
      </c>
      <c r="I194" s="76">
        <v>0</v>
      </c>
      <c r="J194" s="76">
        <v>4</v>
      </c>
      <c r="K194" s="76">
        <v>72.2</v>
      </c>
      <c r="L194" s="76">
        <v>45</v>
      </c>
      <c r="M194" s="76">
        <v>24</v>
      </c>
      <c r="N194" s="76">
        <v>23</v>
      </c>
      <c r="O194" s="76">
        <v>1</v>
      </c>
      <c r="P194" s="76">
        <v>44</v>
      </c>
      <c r="Q194" s="76">
        <v>113</v>
      </c>
      <c r="R194" s="76">
        <v>0.17599999999999999</v>
      </c>
      <c r="S194" s="76">
        <v>1.22</v>
      </c>
      <c r="T194" s="76">
        <v>8</v>
      </c>
      <c r="U194" s="77" t="s">
        <v>1119</v>
      </c>
      <c r="V194" s="76" t="s">
        <v>244</v>
      </c>
      <c r="W194" s="76">
        <v>0</v>
      </c>
      <c r="X194" s="76">
        <v>0</v>
      </c>
      <c r="Y194" s="76">
        <v>2</v>
      </c>
      <c r="Z194" s="76">
        <v>1</v>
      </c>
      <c r="AA194" s="76">
        <v>6</v>
      </c>
      <c r="AB194" s="76">
        <v>29</v>
      </c>
      <c r="AC194" s="76">
        <v>2</v>
      </c>
      <c r="AD194" s="76">
        <v>66</v>
      </c>
      <c r="AE194" s="76">
        <v>36</v>
      </c>
      <c r="AF194" s="76">
        <v>8</v>
      </c>
      <c r="AG194" s="76">
        <v>0</v>
      </c>
      <c r="AH194" s="76">
        <v>9</v>
      </c>
      <c r="AI194" s="76">
        <v>2</v>
      </c>
      <c r="AJ194" s="76">
        <v>0</v>
      </c>
      <c r="AK194" s="76">
        <v>306</v>
      </c>
      <c r="AL194" s="76">
        <v>1337</v>
      </c>
      <c r="AM194" s="202"/>
      <c r="AN194" s="77"/>
      <c r="AO194" s="202"/>
      <c r="AP194" s="202"/>
      <c r="AQ194" s="202"/>
      <c r="AR194" s="202"/>
      <c r="AS194" s="202"/>
      <c r="AT194" s="202"/>
      <c r="AU194" s="202"/>
      <c r="AV194" s="202"/>
      <c r="AW194" s="202"/>
      <c r="AX194" s="202"/>
      <c r="AY194" s="202"/>
    </row>
    <row r="195" spans="1:51" ht="25.5" x14ac:dyDescent="0.2">
      <c r="A195" s="76">
        <v>9</v>
      </c>
      <c r="B195" s="77" t="s">
        <v>385</v>
      </c>
      <c r="C195" s="76" t="s">
        <v>244</v>
      </c>
      <c r="D195" s="76">
        <v>16</v>
      </c>
      <c r="E195" s="76">
        <v>8</v>
      </c>
      <c r="F195" s="76">
        <v>2.86</v>
      </c>
      <c r="G195" s="76">
        <v>29</v>
      </c>
      <c r="H195" s="76">
        <v>29</v>
      </c>
      <c r="I195" s="76">
        <v>0</v>
      </c>
      <c r="J195" s="76">
        <v>0</v>
      </c>
      <c r="K195" s="76">
        <v>182.1</v>
      </c>
      <c r="L195" s="76">
        <v>149</v>
      </c>
      <c r="M195" s="76">
        <v>63</v>
      </c>
      <c r="N195" s="76">
        <v>58</v>
      </c>
      <c r="O195" s="76">
        <v>13</v>
      </c>
      <c r="P195" s="76">
        <v>55</v>
      </c>
      <c r="Q195" s="76">
        <v>253</v>
      </c>
      <c r="R195" s="76">
        <v>0.224</v>
      </c>
      <c r="S195" s="76">
        <v>1.1200000000000001</v>
      </c>
      <c r="T195" s="76">
        <v>9</v>
      </c>
      <c r="U195" s="77" t="s">
        <v>385</v>
      </c>
      <c r="V195" s="76" t="s">
        <v>244</v>
      </c>
      <c r="W195" s="76">
        <v>0</v>
      </c>
      <c r="X195" s="76">
        <v>0</v>
      </c>
      <c r="Y195" s="76">
        <v>6</v>
      </c>
      <c r="Z195" s="76">
        <v>6</v>
      </c>
      <c r="AA195" s="76">
        <v>0</v>
      </c>
      <c r="AB195" s="76">
        <v>0</v>
      </c>
      <c r="AC195" s="76">
        <v>14</v>
      </c>
      <c r="AD195" s="76">
        <v>139</v>
      </c>
      <c r="AE195" s="76">
        <v>135</v>
      </c>
      <c r="AF195" s="76">
        <v>9</v>
      </c>
      <c r="AG195" s="76">
        <v>1</v>
      </c>
      <c r="AH195" s="76">
        <v>2</v>
      </c>
      <c r="AI195" s="76">
        <v>6</v>
      </c>
      <c r="AJ195" s="76">
        <v>0</v>
      </c>
      <c r="AK195" s="76">
        <v>737</v>
      </c>
      <c r="AL195" s="76">
        <v>2940</v>
      </c>
      <c r="AM195" s="202"/>
      <c r="AN195" s="77"/>
      <c r="AO195" s="202"/>
      <c r="AP195" s="202"/>
      <c r="AQ195" s="202"/>
      <c r="AR195" s="202"/>
      <c r="AS195" s="202"/>
      <c r="AT195" s="202"/>
      <c r="AU195" s="202"/>
      <c r="AV195" s="202"/>
      <c r="AW195" s="202"/>
      <c r="AX195" s="202"/>
      <c r="AY195" s="202"/>
    </row>
    <row r="196" spans="1:51" ht="25.5" x14ac:dyDescent="0.2">
      <c r="A196" s="76">
        <v>10</v>
      </c>
      <c r="B196" s="77" t="s">
        <v>434</v>
      </c>
      <c r="C196" s="76" t="s">
        <v>244</v>
      </c>
      <c r="D196" s="76">
        <v>0</v>
      </c>
      <c r="E196" s="76">
        <v>0</v>
      </c>
      <c r="F196" s="76">
        <v>3.06</v>
      </c>
      <c r="G196" s="76">
        <v>24</v>
      </c>
      <c r="H196" s="76">
        <v>0</v>
      </c>
      <c r="I196" s="76">
        <v>1</v>
      </c>
      <c r="J196" s="76">
        <v>3</v>
      </c>
      <c r="K196" s="76">
        <v>17.2</v>
      </c>
      <c r="L196" s="76">
        <v>15</v>
      </c>
      <c r="M196" s="76">
        <v>7</v>
      </c>
      <c r="N196" s="76">
        <v>6</v>
      </c>
      <c r="O196" s="76">
        <v>4</v>
      </c>
      <c r="P196" s="76">
        <v>10</v>
      </c>
      <c r="Q196" s="76">
        <v>13</v>
      </c>
      <c r="R196" s="76">
        <v>0.23799999999999999</v>
      </c>
      <c r="S196" s="76">
        <v>1.42</v>
      </c>
      <c r="T196" s="76">
        <v>10</v>
      </c>
      <c r="U196" s="77" t="s">
        <v>434</v>
      </c>
      <c r="V196" s="76" t="s">
        <v>244</v>
      </c>
      <c r="W196" s="76">
        <v>0</v>
      </c>
      <c r="X196" s="76">
        <v>0</v>
      </c>
      <c r="Y196" s="76">
        <v>1</v>
      </c>
      <c r="Z196" s="76">
        <v>1</v>
      </c>
      <c r="AA196" s="76">
        <v>4</v>
      </c>
      <c r="AB196" s="76">
        <v>6</v>
      </c>
      <c r="AC196" s="76">
        <v>2</v>
      </c>
      <c r="AD196" s="76">
        <v>22</v>
      </c>
      <c r="AE196" s="76">
        <v>13</v>
      </c>
      <c r="AF196" s="76">
        <v>0</v>
      </c>
      <c r="AG196" s="76">
        <v>0</v>
      </c>
      <c r="AH196" s="76">
        <v>2</v>
      </c>
      <c r="AI196" s="76">
        <v>1</v>
      </c>
      <c r="AJ196" s="76">
        <v>0</v>
      </c>
      <c r="AK196" s="76">
        <v>74</v>
      </c>
      <c r="AL196" s="76">
        <v>282</v>
      </c>
      <c r="AM196" s="202"/>
      <c r="AN196" s="77"/>
      <c r="AO196" s="202"/>
      <c r="AP196" s="202"/>
      <c r="AQ196" s="202"/>
      <c r="AR196" s="202"/>
      <c r="AS196" s="202"/>
      <c r="AT196" s="202"/>
      <c r="AU196" s="202"/>
      <c r="AV196" s="202"/>
      <c r="AW196" s="202"/>
      <c r="AX196" s="202"/>
      <c r="AY196" s="202"/>
    </row>
    <row r="197" spans="1:51" ht="25.5" x14ac:dyDescent="0.2">
      <c r="A197" s="76">
        <v>11</v>
      </c>
      <c r="B197" s="77" t="s">
        <v>1452</v>
      </c>
      <c r="C197" s="76" t="s">
        <v>244</v>
      </c>
      <c r="D197" s="76">
        <v>4</v>
      </c>
      <c r="E197" s="76">
        <v>3</v>
      </c>
      <c r="F197" s="76">
        <v>3.14</v>
      </c>
      <c r="G197" s="76">
        <v>48</v>
      </c>
      <c r="H197" s="76">
        <v>0</v>
      </c>
      <c r="I197" s="76">
        <v>0</v>
      </c>
      <c r="J197" s="76">
        <v>2</v>
      </c>
      <c r="K197" s="76">
        <v>51.2</v>
      </c>
      <c r="L197" s="76">
        <v>50</v>
      </c>
      <c r="M197" s="76">
        <v>18</v>
      </c>
      <c r="N197" s="76">
        <v>18</v>
      </c>
      <c r="O197" s="76">
        <v>6</v>
      </c>
      <c r="P197" s="76">
        <v>10</v>
      </c>
      <c r="Q197" s="76">
        <v>42</v>
      </c>
      <c r="R197" s="76">
        <v>0.254</v>
      </c>
      <c r="S197" s="76">
        <v>1.1599999999999999</v>
      </c>
      <c r="T197" s="76">
        <v>11</v>
      </c>
      <c r="U197" s="77" t="s">
        <v>1452</v>
      </c>
      <c r="V197" s="76" t="s">
        <v>244</v>
      </c>
      <c r="W197" s="76">
        <v>0</v>
      </c>
      <c r="X197" s="76">
        <v>0</v>
      </c>
      <c r="Y197" s="76">
        <v>1</v>
      </c>
      <c r="Z197" s="76">
        <v>2</v>
      </c>
      <c r="AA197" s="76">
        <v>9</v>
      </c>
      <c r="AB197" s="76">
        <v>6</v>
      </c>
      <c r="AC197" s="76">
        <v>2</v>
      </c>
      <c r="AD197" s="76">
        <v>48</v>
      </c>
      <c r="AE197" s="76">
        <v>62</v>
      </c>
      <c r="AF197" s="76">
        <v>1</v>
      </c>
      <c r="AG197" s="76">
        <v>0</v>
      </c>
      <c r="AH197" s="76">
        <v>0</v>
      </c>
      <c r="AI197" s="76">
        <v>0</v>
      </c>
      <c r="AJ197" s="76">
        <v>0</v>
      </c>
      <c r="AK197" s="76">
        <v>213</v>
      </c>
      <c r="AL197" s="76">
        <v>842</v>
      </c>
      <c r="AM197" s="202"/>
      <c r="AN197" s="77"/>
      <c r="AO197" s="202"/>
      <c r="AP197" s="202"/>
      <c r="AQ197" s="202"/>
      <c r="AR197" s="202"/>
      <c r="AS197" s="202"/>
      <c r="AT197" s="202"/>
      <c r="AU197" s="202"/>
      <c r="AV197" s="202"/>
      <c r="AW197" s="202"/>
      <c r="AX197" s="202"/>
      <c r="AY197" s="202"/>
    </row>
    <row r="198" spans="1:51" ht="25.5" x14ac:dyDescent="0.2">
      <c r="A198" s="76">
        <v>12</v>
      </c>
      <c r="B198" s="77" t="s">
        <v>388</v>
      </c>
      <c r="C198" s="76" t="s">
        <v>244</v>
      </c>
      <c r="D198" s="76">
        <v>6</v>
      </c>
      <c r="E198" s="76">
        <v>1</v>
      </c>
      <c r="F198" s="76">
        <v>3.4</v>
      </c>
      <c r="G198" s="76">
        <v>51</v>
      </c>
      <c r="H198" s="76">
        <v>0</v>
      </c>
      <c r="I198" s="76">
        <v>0</v>
      </c>
      <c r="J198" s="76">
        <v>4</v>
      </c>
      <c r="K198" s="76">
        <v>42.1</v>
      </c>
      <c r="L198" s="76">
        <v>43</v>
      </c>
      <c r="M198" s="76">
        <v>16</v>
      </c>
      <c r="N198" s="76">
        <v>16</v>
      </c>
      <c r="O198" s="76">
        <v>5</v>
      </c>
      <c r="P198" s="76">
        <v>11</v>
      </c>
      <c r="Q198" s="76">
        <v>38</v>
      </c>
      <c r="R198" s="76">
        <v>0.27</v>
      </c>
      <c r="S198" s="76">
        <v>1.28</v>
      </c>
      <c r="T198" s="76">
        <v>12</v>
      </c>
      <c r="U198" s="77" t="s">
        <v>388</v>
      </c>
      <c r="V198" s="76" t="s">
        <v>244</v>
      </c>
      <c r="W198" s="76">
        <v>0</v>
      </c>
      <c r="X198" s="76">
        <v>0</v>
      </c>
      <c r="Y198" s="76">
        <v>3</v>
      </c>
      <c r="Z198" s="76">
        <v>0</v>
      </c>
      <c r="AA198" s="76">
        <v>5</v>
      </c>
      <c r="AB198" s="76">
        <v>8</v>
      </c>
      <c r="AC198" s="76">
        <v>3</v>
      </c>
      <c r="AD198" s="76">
        <v>25</v>
      </c>
      <c r="AE198" s="76">
        <v>56</v>
      </c>
      <c r="AF198" s="76">
        <v>2</v>
      </c>
      <c r="AG198" s="76">
        <v>0</v>
      </c>
      <c r="AH198" s="76">
        <v>1</v>
      </c>
      <c r="AI198" s="76">
        <v>4</v>
      </c>
      <c r="AJ198" s="76">
        <v>3</v>
      </c>
      <c r="AK198" s="76">
        <v>176</v>
      </c>
      <c r="AL198" s="76">
        <v>720</v>
      </c>
      <c r="AM198" s="202"/>
      <c r="AN198" s="77"/>
      <c r="AO198" s="202"/>
      <c r="AP198" s="202"/>
      <c r="AQ198" s="202"/>
      <c r="AR198" s="202"/>
      <c r="AS198" s="202"/>
      <c r="AT198" s="202"/>
      <c r="AU198" s="202"/>
      <c r="AV198" s="202"/>
      <c r="AW198" s="202"/>
      <c r="AX198" s="202"/>
      <c r="AY198" s="202"/>
    </row>
    <row r="199" spans="1:51" ht="25.5" x14ac:dyDescent="0.2">
      <c r="A199" s="76">
        <v>13</v>
      </c>
      <c r="B199" s="77" t="s">
        <v>1121</v>
      </c>
      <c r="C199" s="76" t="s">
        <v>244</v>
      </c>
      <c r="D199" s="76">
        <v>8</v>
      </c>
      <c r="E199" s="76">
        <v>6</v>
      </c>
      <c r="F199" s="76">
        <v>3.85</v>
      </c>
      <c r="G199" s="76">
        <v>25</v>
      </c>
      <c r="H199" s="76">
        <v>25</v>
      </c>
      <c r="I199" s="76">
        <v>0</v>
      </c>
      <c r="J199" s="76">
        <v>0</v>
      </c>
      <c r="K199" s="76">
        <v>133.1</v>
      </c>
      <c r="L199" s="76">
        <v>125</v>
      </c>
      <c r="M199" s="76">
        <v>59</v>
      </c>
      <c r="N199" s="76">
        <v>57</v>
      </c>
      <c r="O199" s="76">
        <v>13</v>
      </c>
      <c r="P199" s="76">
        <v>62</v>
      </c>
      <c r="Q199" s="76">
        <v>124</v>
      </c>
      <c r="R199" s="76">
        <v>0.25</v>
      </c>
      <c r="S199" s="76">
        <v>1.4</v>
      </c>
      <c r="T199" s="76">
        <v>13</v>
      </c>
      <c r="U199" s="77" t="s">
        <v>1121</v>
      </c>
      <c r="V199" s="76" t="s">
        <v>244</v>
      </c>
      <c r="W199" s="76">
        <v>0</v>
      </c>
      <c r="X199" s="76">
        <v>0</v>
      </c>
      <c r="Y199" s="76">
        <v>11</v>
      </c>
      <c r="Z199" s="76">
        <v>7</v>
      </c>
      <c r="AA199" s="76">
        <v>0</v>
      </c>
      <c r="AB199" s="76">
        <v>0</v>
      </c>
      <c r="AC199" s="76">
        <v>14</v>
      </c>
      <c r="AD199" s="76">
        <v>111</v>
      </c>
      <c r="AE199" s="76">
        <v>150</v>
      </c>
      <c r="AF199" s="76">
        <v>9</v>
      </c>
      <c r="AG199" s="76">
        <v>0</v>
      </c>
      <c r="AH199" s="76">
        <v>8</v>
      </c>
      <c r="AI199" s="76">
        <v>1</v>
      </c>
      <c r="AJ199" s="76">
        <v>1</v>
      </c>
      <c r="AK199" s="76">
        <v>584</v>
      </c>
      <c r="AL199" s="76">
        <v>2274</v>
      </c>
      <c r="AM199" s="202"/>
      <c r="AN199" s="77"/>
      <c r="AO199" s="202"/>
      <c r="AP199" s="202"/>
      <c r="AQ199" s="202"/>
      <c r="AR199" s="202"/>
      <c r="AS199" s="202"/>
      <c r="AT199" s="202"/>
      <c r="AU199" s="202"/>
      <c r="AV199" s="202"/>
      <c r="AW199" s="202"/>
      <c r="AX199" s="202"/>
      <c r="AY199" s="202"/>
    </row>
    <row r="200" spans="1:51" ht="25.5" x14ac:dyDescent="0.2">
      <c r="A200" s="76">
        <v>14</v>
      </c>
      <c r="B200" s="77" t="s">
        <v>396</v>
      </c>
      <c r="C200" s="76" t="s">
        <v>244</v>
      </c>
      <c r="D200" s="76">
        <v>9</v>
      </c>
      <c r="E200" s="76">
        <v>13</v>
      </c>
      <c r="F200" s="76">
        <v>4.33</v>
      </c>
      <c r="G200" s="76">
        <v>33</v>
      </c>
      <c r="H200" s="76">
        <v>33</v>
      </c>
      <c r="I200" s="76">
        <v>0</v>
      </c>
      <c r="J200" s="76">
        <v>0</v>
      </c>
      <c r="K200" s="76">
        <v>176.2</v>
      </c>
      <c r="L200" s="76">
        <v>176</v>
      </c>
      <c r="M200" s="76">
        <v>93</v>
      </c>
      <c r="N200" s="76">
        <v>85</v>
      </c>
      <c r="O200" s="76">
        <v>22</v>
      </c>
      <c r="P200" s="76">
        <v>83</v>
      </c>
      <c r="Q200" s="76">
        <v>147</v>
      </c>
      <c r="R200" s="76">
        <v>0.26100000000000001</v>
      </c>
      <c r="S200" s="76">
        <v>1.47</v>
      </c>
      <c r="T200" s="76">
        <v>14</v>
      </c>
      <c r="U200" s="77" t="s">
        <v>396</v>
      </c>
      <c r="V200" s="76" t="s">
        <v>244</v>
      </c>
      <c r="W200" s="76">
        <v>0</v>
      </c>
      <c r="X200" s="76">
        <v>0</v>
      </c>
      <c r="Y200" s="76">
        <v>5</v>
      </c>
      <c r="Z200" s="76">
        <v>7</v>
      </c>
      <c r="AA200" s="76">
        <v>0</v>
      </c>
      <c r="AB200" s="76">
        <v>0</v>
      </c>
      <c r="AC200" s="76">
        <v>10</v>
      </c>
      <c r="AD200" s="76">
        <v>183</v>
      </c>
      <c r="AE200" s="76">
        <v>180</v>
      </c>
      <c r="AF200" s="76">
        <v>9</v>
      </c>
      <c r="AG200" s="76">
        <v>0</v>
      </c>
      <c r="AH200" s="76">
        <v>9</v>
      </c>
      <c r="AI200" s="76">
        <v>8</v>
      </c>
      <c r="AJ200" s="76">
        <v>1</v>
      </c>
      <c r="AK200" s="76">
        <v>774</v>
      </c>
      <c r="AL200" s="76">
        <v>3089</v>
      </c>
      <c r="AM200" s="202"/>
      <c r="AN200" s="77"/>
      <c r="AO200" s="202"/>
      <c r="AP200" s="202"/>
      <c r="AQ200" s="202"/>
      <c r="AR200" s="202"/>
      <c r="AS200" s="202"/>
      <c r="AT200" s="202"/>
      <c r="AU200" s="202"/>
      <c r="AV200" s="202"/>
      <c r="AW200" s="202"/>
      <c r="AX200" s="202"/>
      <c r="AY200" s="202"/>
    </row>
    <row r="201" spans="1:51" ht="25.5" x14ac:dyDescent="0.2">
      <c r="A201" s="76">
        <v>15</v>
      </c>
      <c r="B201" s="77" t="s">
        <v>498</v>
      </c>
      <c r="C201" s="76" t="s">
        <v>244</v>
      </c>
      <c r="D201" s="76">
        <v>0</v>
      </c>
      <c r="E201" s="76">
        <v>2</v>
      </c>
      <c r="F201" s="76">
        <v>4.5</v>
      </c>
      <c r="G201" s="76">
        <v>15</v>
      </c>
      <c r="H201" s="76">
        <v>0</v>
      </c>
      <c r="I201" s="76">
        <v>0</v>
      </c>
      <c r="J201" s="76">
        <v>1</v>
      </c>
      <c r="K201" s="76">
        <v>14</v>
      </c>
      <c r="L201" s="76">
        <v>21</v>
      </c>
      <c r="M201" s="76">
        <v>9</v>
      </c>
      <c r="N201" s="76">
        <v>7</v>
      </c>
      <c r="O201" s="76">
        <v>1</v>
      </c>
      <c r="P201" s="76">
        <v>4</v>
      </c>
      <c r="Q201" s="76">
        <v>7</v>
      </c>
      <c r="R201" s="76">
        <v>0.36199999999999999</v>
      </c>
      <c r="S201" s="76">
        <v>1.79</v>
      </c>
      <c r="T201" s="76">
        <v>15</v>
      </c>
      <c r="U201" s="77" t="s">
        <v>498</v>
      </c>
      <c r="V201" s="76" t="s">
        <v>244</v>
      </c>
      <c r="W201" s="76">
        <v>0</v>
      </c>
      <c r="X201" s="76">
        <v>0</v>
      </c>
      <c r="Y201" s="76">
        <v>0</v>
      </c>
      <c r="Z201" s="76">
        <v>0</v>
      </c>
      <c r="AA201" s="76">
        <v>4</v>
      </c>
      <c r="AB201" s="76">
        <v>2</v>
      </c>
      <c r="AC201" s="76">
        <v>2</v>
      </c>
      <c r="AD201" s="76">
        <v>13</v>
      </c>
      <c r="AE201" s="76">
        <v>18</v>
      </c>
      <c r="AF201" s="76">
        <v>2</v>
      </c>
      <c r="AG201" s="76">
        <v>0</v>
      </c>
      <c r="AH201" s="76">
        <v>0</v>
      </c>
      <c r="AI201" s="76">
        <v>2</v>
      </c>
      <c r="AJ201" s="76">
        <v>1</v>
      </c>
      <c r="AK201" s="76">
        <v>63</v>
      </c>
      <c r="AL201" s="76">
        <v>210</v>
      </c>
      <c r="AM201" s="202"/>
      <c r="AN201" s="77"/>
      <c r="AO201" s="202"/>
      <c r="AP201" s="202"/>
      <c r="AQ201" s="202"/>
      <c r="AR201" s="202"/>
      <c r="AS201" s="202"/>
      <c r="AT201" s="202"/>
      <c r="AU201" s="202"/>
      <c r="AV201" s="202"/>
      <c r="AW201" s="202"/>
      <c r="AX201" s="202"/>
      <c r="AY201" s="202"/>
    </row>
    <row r="202" spans="1:51" ht="25.5" x14ac:dyDescent="0.2">
      <c r="A202" s="76">
        <v>16</v>
      </c>
      <c r="B202" s="77" t="s">
        <v>1415</v>
      </c>
      <c r="C202" s="76" t="s">
        <v>244</v>
      </c>
      <c r="D202" s="76">
        <v>0</v>
      </c>
      <c r="E202" s="76">
        <v>0</v>
      </c>
      <c r="F202" s="76">
        <v>4.82</v>
      </c>
      <c r="G202" s="76">
        <v>18</v>
      </c>
      <c r="H202" s="76">
        <v>0</v>
      </c>
      <c r="I202" s="76">
        <v>0</v>
      </c>
      <c r="J202" s="76">
        <v>0</v>
      </c>
      <c r="K202" s="76">
        <v>9.1</v>
      </c>
      <c r="L202" s="76">
        <v>11</v>
      </c>
      <c r="M202" s="76">
        <v>5</v>
      </c>
      <c r="N202" s="76">
        <v>5</v>
      </c>
      <c r="O202" s="76">
        <v>1</v>
      </c>
      <c r="P202" s="76">
        <v>5</v>
      </c>
      <c r="Q202" s="76">
        <v>7</v>
      </c>
      <c r="R202" s="76">
        <v>0.28899999999999998</v>
      </c>
      <c r="S202" s="76">
        <v>1.71</v>
      </c>
      <c r="T202" s="76">
        <v>16</v>
      </c>
      <c r="U202" s="77" t="s">
        <v>1415</v>
      </c>
      <c r="V202" s="76" t="s">
        <v>244</v>
      </c>
      <c r="W202" s="76">
        <v>0</v>
      </c>
      <c r="X202" s="76">
        <v>0</v>
      </c>
      <c r="Y202" s="76">
        <v>0</v>
      </c>
      <c r="Z202" s="76">
        <v>0</v>
      </c>
      <c r="AA202" s="76">
        <v>3</v>
      </c>
      <c r="AB202" s="76">
        <v>2</v>
      </c>
      <c r="AC202" s="76">
        <v>0</v>
      </c>
      <c r="AD202" s="76">
        <v>10</v>
      </c>
      <c r="AE202" s="76">
        <v>10</v>
      </c>
      <c r="AF202" s="76">
        <v>0</v>
      </c>
      <c r="AG202" s="76">
        <v>0</v>
      </c>
      <c r="AH202" s="76">
        <v>2</v>
      </c>
      <c r="AI202" s="76">
        <v>1</v>
      </c>
      <c r="AJ202" s="76">
        <v>1</v>
      </c>
      <c r="AK202" s="76">
        <v>43</v>
      </c>
      <c r="AL202" s="76">
        <v>179</v>
      </c>
      <c r="AM202" s="202"/>
      <c r="AN202" s="77"/>
      <c r="AO202" s="202"/>
      <c r="AP202" s="202"/>
      <c r="AQ202" s="202"/>
      <c r="AR202" s="202"/>
      <c r="AS202" s="202"/>
      <c r="AT202" s="202"/>
      <c r="AU202" s="202"/>
      <c r="AV202" s="202"/>
      <c r="AW202" s="202"/>
      <c r="AX202" s="202"/>
      <c r="AY202" s="202"/>
    </row>
    <row r="203" spans="1:51" ht="25.5" x14ac:dyDescent="0.2">
      <c r="A203" s="76">
        <v>17</v>
      </c>
      <c r="B203" s="77" t="s">
        <v>490</v>
      </c>
      <c r="C203" s="76" t="s">
        <v>244</v>
      </c>
      <c r="D203" s="76">
        <v>5</v>
      </c>
      <c r="E203" s="76">
        <v>5</v>
      </c>
      <c r="F203" s="76">
        <v>4.96</v>
      </c>
      <c r="G203" s="76">
        <v>22</v>
      </c>
      <c r="H203" s="76">
        <v>22</v>
      </c>
      <c r="I203" s="76">
        <v>0</v>
      </c>
      <c r="J203" s="76">
        <v>0</v>
      </c>
      <c r="K203" s="76">
        <v>123.1</v>
      </c>
      <c r="L203" s="76">
        <v>134</v>
      </c>
      <c r="M203" s="76">
        <v>69</v>
      </c>
      <c r="N203" s="76">
        <v>68</v>
      </c>
      <c r="O203" s="76">
        <v>22</v>
      </c>
      <c r="P203" s="76">
        <v>24</v>
      </c>
      <c r="Q203" s="76">
        <v>100</v>
      </c>
      <c r="R203" s="76">
        <v>0.27600000000000002</v>
      </c>
      <c r="S203" s="76">
        <v>1.28</v>
      </c>
      <c r="T203" s="76">
        <v>17</v>
      </c>
      <c r="U203" s="77" t="s">
        <v>490</v>
      </c>
      <c r="V203" s="76" t="s">
        <v>244</v>
      </c>
      <c r="W203" s="76">
        <v>0</v>
      </c>
      <c r="X203" s="76">
        <v>0</v>
      </c>
      <c r="Y203" s="76">
        <v>3</v>
      </c>
      <c r="Z203" s="76">
        <v>0</v>
      </c>
      <c r="AA203" s="76">
        <v>0</v>
      </c>
      <c r="AB203" s="76">
        <v>0</v>
      </c>
      <c r="AC203" s="76">
        <v>10</v>
      </c>
      <c r="AD203" s="76">
        <v>123</v>
      </c>
      <c r="AE203" s="76">
        <v>136</v>
      </c>
      <c r="AF203" s="76">
        <v>1</v>
      </c>
      <c r="AG203" s="76">
        <v>0</v>
      </c>
      <c r="AH203" s="76">
        <v>2</v>
      </c>
      <c r="AI203" s="76">
        <v>0</v>
      </c>
      <c r="AJ203" s="76">
        <v>0</v>
      </c>
      <c r="AK203" s="76">
        <v>520</v>
      </c>
      <c r="AL203" s="76">
        <v>1918</v>
      </c>
      <c r="AM203" s="202"/>
      <c r="AN203" s="77"/>
      <c r="AO203" s="202"/>
      <c r="AP203" s="202"/>
      <c r="AQ203" s="202"/>
      <c r="AR203" s="202"/>
      <c r="AS203" s="202"/>
      <c r="AT203" s="202"/>
      <c r="AU203" s="202"/>
      <c r="AV203" s="202"/>
      <c r="AW203" s="202"/>
      <c r="AX203" s="202"/>
      <c r="AY203" s="202"/>
    </row>
    <row r="204" spans="1:51" ht="25.5" x14ac:dyDescent="0.2">
      <c r="A204" s="76">
        <v>18</v>
      </c>
      <c r="B204" s="77" t="s">
        <v>1122</v>
      </c>
      <c r="C204" s="76" t="s">
        <v>244</v>
      </c>
      <c r="D204" s="76">
        <v>3</v>
      </c>
      <c r="E204" s="76">
        <v>6</v>
      </c>
      <c r="F204" s="76">
        <v>4.99</v>
      </c>
      <c r="G204" s="76">
        <v>18</v>
      </c>
      <c r="H204" s="76">
        <v>13</v>
      </c>
      <c r="I204" s="76">
        <v>0</v>
      </c>
      <c r="J204" s="76">
        <v>0</v>
      </c>
      <c r="K204" s="76">
        <v>79.099999999999994</v>
      </c>
      <c r="L204" s="76">
        <v>96</v>
      </c>
      <c r="M204" s="76">
        <v>45</v>
      </c>
      <c r="N204" s="76">
        <v>44</v>
      </c>
      <c r="O204" s="76">
        <v>8</v>
      </c>
      <c r="P204" s="76">
        <v>20</v>
      </c>
      <c r="Q204" s="76">
        <v>37</v>
      </c>
      <c r="R204" s="76">
        <v>0.307</v>
      </c>
      <c r="S204" s="76">
        <v>1.46</v>
      </c>
      <c r="T204" s="76">
        <v>18</v>
      </c>
      <c r="U204" s="77" t="s">
        <v>1122</v>
      </c>
      <c r="V204" s="76" t="s">
        <v>244</v>
      </c>
      <c r="W204" s="76">
        <v>0</v>
      </c>
      <c r="X204" s="76">
        <v>0</v>
      </c>
      <c r="Y204" s="76">
        <v>3</v>
      </c>
      <c r="Z204" s="76">
        <v>1</v>
      </c>
      <c r="AA204" s="76">
        <v>0</v>
      </c>
      <c r="AB204" s="76">
        <v>0</v>
      </c>
      <c r="AC204" s="76">
        <v>9</v>
      </c>
      <c r="AD204" s="76">
        <v>104</v>
      </c>
      <c r="AE204" s="76">
        <v>86</v>
      </c>
      <c r="AF204" s="76">
        <v>1</v>
      </c>
      <c r="AG204" s="76">
        <v>0</v>
      </c>
      <c r="AH204" s="76">
        <v>8</v>
      </c>
      <c r="AI204" s="76">
        <v>2</v>
      </c>
      <c r="AJ204" s="76">
        <v>1</v>
      </c>
      <c r="AK204" s="76">
        <v>346</v>
      </c>
      <c r="AL204" s="76">
        <v>1209</v>
      </c>
      <c r="AM204" s="202"/>
      <c r="AN204" s="77"/>
      <c r="AO204" s="202"/>
      <c r="AP204" s="202"/>
      <c r="AQ204" s="202"/>
      <c r="AR204" s="202"/>
      <c r="AS204" s="202"/>
      <c r="AT204" s="202"/>
      <c r="AU204" s="202"/>
      <c r="AV204" s="202"/>
      <c r="AW204" s="202"/>
      <c r="AX204" s="202"/>
      <c r="AY204" s="202"/>
    </row>
    <row r="205" spans="1:51" ht="25.5" x14ac:dyDescent="0.2">
      <c r="A205" s="76">
        <v>19</v>
      </c>
      <c r="B205" s="77" t="s">
        <v>1453</v>
      </c>
      <c r="C205" s="76" t="s">
        <v>244</v>
      </c>
      <c r="D205" s="76">
        <v>0</v>
      </c>
      <c r="E205" s="76">
        <v>1</v>
      </c>
      <c r="F205" s="76">
        <v>5.54</v>
      </c>
      <c r="G205" s="76">
        <v>3</v>
      </c>
      <c r="H205" s="76">
        <v>3</v>
      </c>
      <c r="I205" s="76">
        <v>0</v>
      </c>
      <c r="J205" s="76">
        <v>0</v>
      </c>
      <c r="K205" s="76">
        <v>13</v>
      </c>
      <c r="L205" s="76">
        <v>17</v>
      </c>
      <c r="M205" s="76">
        <v>8</v>
      </c>
      <c r="N205" s="76">
        <v>8</v>
      </c>
      <c r="O205" s="76">
        <v>4</v>
      </c>
      <c r="P205" s="76">
        <v>6</v>
      </c>
      <c r="Q205" s="76">
        <v>10</v>
      </c>
      <c r="R205" s="76">
        <v>0.32700000000000001</v>
      </c>
      <c r="S205" s="76">
        <v>1.77</v>
      </c>
      <c r="T205" s="76">
        <v>19</v>
      </c>
      <c r="U205" s="77" t="s">
        <v>1453</v>
      </c>
      <c r="V205" s="76" t="s">
        <v>244</v>
      </c>
      <c r="W205" s="76">
        <v>0</v>
      </c>
      <c r="X205" s="76">
        <v>0</v>
      </c>
      <c r="Y205" s="76">
        <v>1</v>
      </c>
      <c r="Z205" s="76">
        <v>1</v>
      </c>
      <c r="AA205" s="76">
        <v>0</v>
      </c>
      <c r="AB205" s="76">
        <v>0</v>
      </c>
      <c r="AC205" s="76">
        <v>4</v>
      </c>
      <c r="AD205" s="76">
        <v>14</v>
      </c>
      <c r="AE205" s="76">
        <v>11</v>
      </c>
      <c r="AF205" s="76">
        <v>0</v>
      </c>
      <c r="AG205" s="76">
        <v>0</v>
      </c>
      <c r="AH205" s="76">
        <v>1</v>
      </c>
      <c r="AI205" s="76">
        <v>1</v>
      </c>
      <c r="AJ205" s="76">
        <v>0</v>
      </c>
      <c r="AK205" s="76">
        <v>59</v>
      </c>
      <c r="AL205" s="76">
        <v>214</v>
      </c>
      <c r="AM205" s="202"/>
      <c r="AN205" s="77"/>
      <c r="AO205" s="202"/>
      <c r="AP205" s="202"/>
      <c r="AQ205" s="202"/>
      <c r="AR205" s="202"/>
      <c r="AS205" s="202"/>
      <c r="AT205" s="202"/>
      <c r="AU205" s="202"/>
      <c r="AV205" s="202"/>
      <c r="AW205" s="202"/>
      <c r="AX205" s="202"/>
      <c r="AY205" s="202"/>
    </row>
    <row r="206" spans="1:51" ht="25.5" x14ac:dyDescent="0.2">
      <c r="A206" s="76">
        <v>20</v>
      </c>
      <c r="B206" s="77" t="s">
        <v>629</v>
      </c>
      <c r="C206" s="76" t="s">
        <v>244</v>
      </c>
      <c r="D206" s="76">
        <v>2</v>
      </c>
      <c r="E206" s="76">
        <v>3</v>
      </c>
      <c r="F206" s="76">
        <v>5.89</v>
      </c>
      <c r="G206" s="76">
        <v>39</v>
      </c>
      <c r="H206" s="76">
        <v>0</v>
      </c>
      <c r="I206" s="76">
        <v>8</v>
      </c>
      <c r="J206" s="76">
        <v>11</v>
      </c>
      <c r="K206" s="76">
        <v>36.200000000000003</v>
      </c>
      <c r="L206" s="76">
        <v>41</v>
      </c>
      <c r="M206" s="76">
        <v>25</v>
      </c>
      <c r="N206" s="76">
        <v>24</v>
      </c>
      <c r="O206" s="76">
        <v>5</v>
      </c>
      <c r="P206" s="76">
        <v>25</v>
      </c>
      <c r="Q206" s="76">
        <v>41</v>
      </c>
      <c r="R206" s="76">
        <v>0.28899999999999998</v>
      </c>
      <c r="S206" s="76">
        <v>1.8</v>
      </c>
      <c r="T206" s="76">
        <v>20</v>
      </c>
      <c r="U206" s="77" t="s">
        <v>629</v>
      </c>
      <c r="V206" s="76" t="s">
        <v>244</v>
      </c>
      <c r="W206" s="76">
        <v>0</v>
      </c>
      <c r="X206" s="76">
        <v>0</v>
      </c>
      <c r="Y206" s="76">
        <v>3</v>
      </c>
      <c r="Z206" s="76">
        <v>3</v>
      </c>
      <c r="AA206" s="76">
        <v>17</v>
      </c>
      <c r="AB206" s="76">
        <v>8</v>
      </c>
      <c r="AC206" s="76">
        <v>3</v>
      </c>
      <c r="AD206" s="76">
        <v>39</v>
      </c>
      <c r="AE206" s="76">
        <v>25</v>
      </c>
      <c r="AF206" s="76">
        <v>4</v>
      </c>
      <c r="AG206" s="76">
        <v>0</v>
      </c>
      <c r="AH206" s="76">
        <v>3</v>
      </c>
      <c r="AI206" s="76">
        <v>2</v>
      </c>
      <c r="AJ206" s="76">
        <v>1</v>
      </c>
      <c r="AK206" s="76">
        <v>174</v>
      </c>
      <c r="AL206" s="76">
        <v>712</v>
      </c>
      <c r="AM206" s="202"/>
      <c r="AN206" s="77"/>
      <c r="AO206" s="202"/>
      <c r="AP206" s="202"/>
      <c r="AQ206" s="202"/>
      <c r="AR206" s="202"/>
      <c r="AS206" s="202"/>
      <c r="AT206" s="202"/>
      <c r="AU206" s="202"/>
      <c r="AV206" s="202"/>
      <c r="AW206" s="202"/>
      <c r="AX206" s="202"/>
      <c r="AY206" s="202"/>
    </row>
    <row r="207" spans="1:51" ht="25.5" x14ac:dyDescent="0.2">
      <c r="A207" s="76">
        <v>21</v>
      </c>
      <c r="B207" s="77" t="s">
        <v>352</v>
      </c>
      <c r="C207" s="76" t="s">
        <v>244</v>
      </c>
      <c r="D207" s="76">
        <v>0</v>
      </c>
      <c r="E207" s="76">
        <v>1</v>
      </c>
      <c r="F207" s="76">
        <v>5.91</v>
      </c>
      <c r="G207" s="76">
        <v>8</v>
      </c>
      <c r="H207" s="76">
        <v>0</v>
      </c>
      <c r="I207" s="76">
        <v>0</v>
      </c>
      <c r="J207" s="76">
        <v>0</v>
      </c>
      <c r="K207" s="76">
        <v>10.199999999999999</v>
      </c>
      <c r="L207" s="76">
        <v>13</v>
      </c>
      <c r="M207" s="76">
        <v>7</v>
      </c>
      <c r="N207" s="76">
        <v>7</v>
      </c>
      <c r="O207" s="76">
        <v>2</v>
      </c>
      <c r="P207" s="76">
        <v>6</v>
      </c>
      <c r="Q207" s="76">
        <v>7</v>
      </c>
      <c r="R207" s="76">
        <v>0.317</v>
      </c>
      <c r="S207" s="76">
        <v>1.78</v>
      </c>
      <c r="T207" s="76">
        <v>21</v>
      </c>
      <c r="U207" s="77" t="s">
        <v>352</v>
      </c>
      <c r="V207" s="76" t="s">
        <v>244</v>
      </c>
      <c r="W207" s="76">
        <v>0</v>
      </c>
      <c r="X207" s="76">
        <v>0</v>
      </c>
      <c r="Y207" s="76">
        <v>0</v>
      </c>
      <c r="Z207" s="76">
        <v>1</v>
      </c>
      <c r="AA207" s="76">
        <v>3</v>
      </c>
      <c r="AB207" s="76">
        <v>0</v>
      </c>
      <c r="AC207" s="76">
        <v>1</v>
      </c>
      <c r="AD207" s="76">
        <v>7</v>
      </c>
      <c r="AE207" s="76">
        <v>14</v>
      </c>
      <c r="AF207" s="76">
        <v>1</v>
      </c>
      <c r="AG207" s="76">
        <v>0</v>
      </c>
      <c r="AH207" s="76">
        <v>1</v>
      </c>
      <c r="AI207" s="76">
        <v>0</v>
      </c>
      <c r="AJ207" s="76">
        <v>1</v>
      </c>
      <c r="AK207" s="76">
        <v>47</v>
      </c>
      <c r="AL207" s="76">
        <v>192</v>
      </c>
      <c r="AM207" s="202"/>
      <c r="AN207" s="77"/>
      <c r="AO207" s="202"/>
      <c r="AP207" s="202"/>
      <c r="AQ207" s="202"/>
      <c r="AR207" s="202"/>
      <c r="AS207" s="202"/>
      <c r="AT207" s="202"/>
      <c r="AU207" s="202"/>
      <c r="AV207" s="202"/>
      <c r="AW207" s="202"/>
      <c r="AX207" s="202"/>
      <c r="AY207" s="202"/>
    </row>
    <row r="208" spans="1:51" ht="25.5" x14ac:dyDescent="0.2">
      <c r="A208" s="76">
        <v>22</v>
      </c>
      <c r="B208" s="77" t="s">
        <v>547</v>
      </c>
      <c r="C208" s="76" t="s">
        <v>244</v>
      </c>
      <c r="D208" s="76">
        <v>0</v>
      </c>
      <c r="E208" s="76">
        <v>1</v>
      </c>
      <c r="F208" s="76">
        <v>5.95</v>
      </c>
      <c r="G208" s="76">
        <v>4</v>
      </c>
      <c r="H208" s="76">
        <v>4</v>
      </c>
      <c r="I208" s="76">
        <v>0</v>
      </c>
      <c r="J208" s="76">
        <v>0</v>
      </c>
      <c r="K208" s="76">
        <v>19.2</v>
      </c>
      <c r="L208" s="76">
        <v>19</v>
      </c>
      <c r="M208" s="76">
        <v>14</v>
      </c>
      <c r="N208" s="76">
        <v>13</v>
      </c>
      <c r="O208" s="76">
        <v>0</v>
      </c>
      <c r="P208" s="76">
        <v>16</v>
      </c>
      <c r="Q208" s="76">
        <v>11</v>
      </c>
      <c r="R208" s="76">
        <v>0.25700000000000001</v>
      </c>
      <c r="S208" s="76">
        <v>1.78</v>
      </c>
      <c r="T208" s="76">
        <v>22</v>
      </c>
      <c r="U208" s="77" t="s">
        <v>547</v>
      </c>
      <c r="V208" s="76" t="s">
        <v>244</v>
      </c>
      <c r="W208" s="76">
        <v>0</v>
      </c>
      <c r="X208" s="76">
        <v>0</v>
      </c>
      <c r="Y208" s="76">
        <v>0</v>
      </c>
      <c r="Z208" s="76">
        <v>2</v>
      </c>
      <c r="AA208" s="76">
        <v>0</v>
      </c>
      <c r="AB208" s="76">
        <v>0</v>
      </c>
      <c r="AC208" s="76">
        <v>3</v>
      </c>
      <c r="AD208" s="76">
        <v>39</v>
      </c>
      <c r="AE208" s="76">
        <v>7</v>
      </c>
      <c r="AF208" s="76">
        <v>2</v>
      </c>
      <c r="AG208" s="76">
        <v>0</v>
      </c>
      <c r="AH208" s="76">
        <v>1</v>
      </c>
      <c r="AI208" s="76">
        <v>0</v>
      </c>
      <c r="AJ208" s="76">
        <v>0</v>
      </c>
      <c r="AK208" s="76">
        <v>92</v>
      </c>
      <c r="AL208" s="76">
        <v>401</v>
      </c>
      <c r="AM208" s="202"/>
      <c r="AN208" s="77"/>
      <c r="AO208" s="202"/>
      <c r="AP208" s="202"/>
      <c r="AQ208" s="202"/>
      <c r="AR208" s="202"/>
      <c r="AS208" s="202"/>
      <c r="AT208" s="202"/>
      <c r="AU208" s="202"/>
      <c r="AV208" s="202"/>
      <c r="AW208" s="202"/>
      <c r="AX208" s="202"/>
      <c r="AY208" s="202"/>
    </row>
    <row r="209" spans="1:51" ht="25.5" x14ac:dyDescent="0.2">
      <c r="A209" s="76">
        <v>23</v>
      </c>
      <c r="B209" s="77" t="s">
        <v>442</v>
      </c>
      <c r="C209" s="76" t="s">
        <v>244</v>
      </c>
      <c r="D209" s="76">
        <v>1</v>
      </c>
      <c r="E209" s="76">
        <v>4</v>
      </c>
      <c r="F209" s="76">
        <v>5.98</v>
      </c>
      <c r="G209" s="76">
        <v>12</v>
      </c>
      <c r="H209" s="76">
        <v>11</v>
      </c>
      <c r="I209" s="76">
        <v>0</v>
      </c>
      <c r="J209" s="76">
        <v>0</v>
      </c>
      <c r="K209" s="76">
        <v>52.2</v>
      </c>
      <c r="L209" s="76">
        <v>62</v>
      </c>
      <c r="M209" s="76">
        <v>36</v>
      </c>
      <c r="N209" s="76">
        <v>35</v>
      </c>
      <c r="O209" s="76">
        <v>6</v>
      </c>
      <c r="P209" s="76">
        <v>30</v>
      </c>
      <c r="Q209" s="76">
        <v>45</v>
      </c>
      <c r="R209" s="76">
        <v>0.30099999999999999</v>
      </c>
      <c r="S209" s="76">
        <v>1.75</v>
      </c>
      <c r="T209" s="76">
        <v>23</v>
      </c>
      <c r="U209" s="77" t="s">
        <v>442</v>
      </c>
      <c r="V209" s="76" t="s">
        <v>244</v>
      </c>
      <c r="W209" s="76">
        <v>0</v>
      </c>
      <c r="X209" s="76">
        <v>0</v>
      </c>
      <c r="Y209" s="76">
        <v>1</v>
      </c>
      <c r="Z209" s="76">
        <v>3</v>
      </c>
      <c r="AA209" s="76">
        <v>1</v>
      </c>
      <c r="AB209" s="76">
        <v>0</v>
      </c>
      <c r="AC209" s="76">
        <v>9</v>
      </c>
      <c r="AD209" s="76">
        <v>55</v>
      </c>
      <c r="AE209" s="76">
        <v>48</v>
      </c>
      <c r="AF209" s="76">
        <v>2</v>
      </c>
      <c r="AG209" s="76">
        <v>0</v>
      </c>
      <c r="AH209" s="76">
        <v>8</v>
      </c>
      <c r="AI209" s="76">
        <v>3</v>
      </c>
      <c r="AJ209" s="76">
        <v>0</v>
      </c>
      <c r="AK209" s="76">
        <v>241</v>
      </c>
      <c r="AL209" s="76">
        <v>971</v>
      </c>
      <c r="AM209" s="202"/>
      <c r="AN209" s="77"/>
      <c r="AO209" s="202"/>
      <c r="AP209" s="202"/>
      <c r="AQ209" s="202"/>
      <c r="AR209" s="202"/>
      <c r="AS209" s="202"/>
      <c r="AT209" s="202"/>
      <c r="AU209" s="202"/>
      <c r="AV209" s="202"/>
      <c r="AW209" s="202"/>
      <c r="AX209" s="202"/>
      <c r="AY209" s="202"/>
    </row>
    <row r="210" spans="1:51" ht="25.5" x14ac:dyDescent="0.2">
      <c r="A210" s="76">
        <v>24</v>
      </c>
      <c r="B210" s="77" t="s">
        <v>1126</v>
      </c>
      <c r="C210" s="76" t="s">
        <v>244</v>
      </c>
      <c r="D210" s="76">
        <v>4</v>
      </c>
      <c r="E210" s="76">
        <v>9</v>
      </c>
      <c r="F210" s="76">
        <v>6.13</v>
      </c>
      <c r="G210" s="76">
        <v>28</v>
      </c>
      <c r="H210" s="76">
        <v>12</v>
      </c>
      <c r="I210" s="76">
        <v>1</v>
      </c>
      <c r="J210" s="76">
        <v>3</v>
      </c>
      <c r="K210" s="76">
        <v>83.2</v>
      </c>
      <c r="L210" s="76">
        <v>91</v>
      </c>
      <c r="M210" s="76">
        <v>59</v>
      </c>
      <c r="N210" s="76">
        <v>57</v>
      </c>
      <c r="O210" s="76">
        <v>11</v>
      </c>
      <c r="P210" s="76">
        <v>29</v>
      </c>
      <c r="Q210" s="76">
        <v>58</v>
      </c>
      <c r="R210" s="76">
        <v>0.27500000000000002</v>
      </c>
      <c r="S210" s="76">
        <v>1.43</v>
      </c>
      <c r="T210" s="76">
        <v>24</v>
      </c>
      <c r="U210" s="77" t="s">
        <v>1126</v>
      </c>
      <c r="V210" s="76" t="s">
        <v>244</v>
      </c>
      <c r="W210" s="76">
        <v>0</v>
      </c>
      <c r="X210" s="76">
        <v>0</v>
      </c>
      <c r="Y210" s="76">
        <v>6</v>
      </c>
      <c r="Z210" s="76">
        <v>6</v>
      </c>
      <c r="AA210" s="76">
        <v>4</v>
      </c>
      <c r="AB210" s="76">
        <v>1</v>
      </c>
      <c r="AC210" s="76">
        <v>6</v>
      </c>
      <c r="AD210" s="76">
        <v>109</v>
      </c>
      <c r="AE210" s="76">
        <v>80</v>
      </c>
      <c r="AF210" s="76">
        <v>0</v>
      </c>
      <c r="AG210" s="76">
        <v>0</v>
      </c>
      <c r="AH210" s="76">
        <v>1</v>
      </c>
      <c r="AI210" s="76">
        <v>0</v>
      </c>
      <c r="AJ210" s="76">
        <v>0</v>
      </c>
      <c r="AK210" s="76">
        <v>373</v>
      </c>
      <c r="AL210" s="76">
        <v>1437</v>
      </c>
      <c r="AM210" s="202"/>
      <c r="AN210" s="77"/>
      <c r="AO210" s="202"/>
      <c r="AP210" s="202"/>
      <c r="AQ210" s="202"/>
      <c r="AR210" s="202"/>
      <c r="AS210" s="202"/>
      <c r="AT210" s="202"/>
      <c r="AU210" s="202"/>
      <c r="AV210" s="202"/>
      <c r="AW210" s="202"/>
      <c r="AX210" s="202"/>
      <c r="AY210" s="202"/>
    </row>
    <row r="211" spans="1:51" ht="25.5" x14ac:dyDescent="0.2">
      <c r="A211" s="76">
        <v>25</v>
      </c>
      <c r="B211" s="77" t="s">
        <v>1454</v>
      </c>
      <c r="C211" s="76" t="s">
        <v>244</v>
      </c>
      <c r="D211" s="76">
        <v>1</v>
      </c>
      <c r="E211" s="76">
        <v>0</v>
      </c>
      <c r="F211" s="76">
        <v>6.3</v>
      </c>
      <c r="G211" s="76">
        <v>2</v>
      </c>
      <c r="H211" s="76">
        <v>2</v>
      </c>
      <c r="I211" s="76">
        <v>0</v>
      </c>
      <c r="J211" s="76">
        <v>0</v>
      </c>
      <c r="K211" s="76">
        <v>10</v>
      </c>
      <c r="L211" s="76">
        <v>11</v>
      </c>
      <c r="M211" s="76">
        <v>7</v>
      </c>
      <c r="N211" s="76">
        <v>7</v>
      </c>
      <c r="O211" s="76">
        <v>5</v>
      </c>
      <c r="P211" s="76">
        <v>8</v>
      </c>
      <c r="Q211" s="76">
        <v>6</v>
      </c>
      <c r="R211" s="76">
        <v>0.28899999999999998</v>
      </c>
      <c r="S211" s="76">
        <v>1.9</v>
      </c>
      <c r="T211" s="76">
        <v>25</v>
      </c>
      <c r="U211" s="77" t="s">
        <v>1454</v>
      </c>
      <c r="V211" s="76" t="s">
        <v>244</v>
      </c>
      <c r="W211" s="76">
        <v>0</v>
      </c>
      <c r="X211" s="76">
        <v>0</v>
      </c>
      <c r="Y211" s="76">
        <v>1</v>
      </c>
      <c r="Z211" s="76">
        <v>0</v>
      </c>
      <c r="AA211" s="76">
        <v>0</v>
      </c>
      <c r="AB211" s="76">
        <v>0</v>
      </c>
      <c r="AC211" s="76">
        <v>2</v>
      </c>
      <c r="AD211" s="76">
        <v>10</v>
      </c>
      <c r="AE211" s="76">
        <v>11</v>
      </c>
      <c r="AF211" s="76">
        <v>0</v>
      </c>
      <c r="AG211" s="76">
        <v>0</v>
      </c>
      <c r="AH211" s="76">
        <v>0</v>
      </c>
      <c r="AI211" s="76">
        <v>0</v>
      </c>
      <c r="AJ211" s="76">
        <v>0</v>
      </c>
      <c r="AK211" s="76">
        <v>47</v>
      </c>
      <c r="AL211" s="76">
        <v>181</v>
      </c>
      <c r="AM211" s="202"/>
      <c r="AN211" s="77"/>
      <c r="AO211" s="202"/>
      <c r="AP211" s="202"/>
      <c r="AQ211" s="202"/>
      <c r="AR211" s="202"/>
      <c r="AS211" s="202"/>
      <c r="AT211" s="202"/>
      <c r="AU211" s="202"/>
      <c r="AV211" s="202"/>
      <c r="AW211" s="202"/>
      <c r="AX211" s="202"/>
      <c r="AY211" s="202"/>
    </row>
    <row r="212" spans="1:51" ht="25.5" x14ac:dyDescent="0.2">
      <c r="A212" s="76">
        <v>26</v>
      </c>
      <c r="B212" s="77" t="s">
        <v>1455</v>
      </c>
      <c r="C212" s="76" t="s">
        <v>244</v>
      </c>
      <c r="D212" s="76">
        <v>0</v>
      </c>
      <c r="E212" s="76">
        <v>1</v>
      </c>
      <c r="F212" s="76">
        <v>7.07</v>
      </c>
      <c r="G212" s="76">
        <v>15</v>
      </c>
      <c r="H212" s="76">
        <v>0</v>
      </c>
      <c r="I212" s="76">
        <v>0</v>
      </c>
      <c r="J212" s="76">
        <v>0</v>
      </c>
      <c r="K212" s="76">
        <v>14</v>
      </c>
      <c r="L212" s="76">
        <v>9</v>
      </c>
      <c r="M212" s="76">
        <v>12</v>
      </c>
      <c r="N212" s="76">
        <v>11</v>
      </c>
      <c r="O212" s="76">
        <v>2</v>
      </c>
      <c r="P212" s="76">
        <v>5</v>
      </c>
      <c r="Q212" s="76">
        <v>14</v>
      </c>
      <c r="R212" s="76">
        <v>0.17299999999999999</v>
      </c>
      <c r="S212" s="76">
        <v>1</v>
      </c>
      <c r="T212" s="76">
        <v>26</v>
      </c>
      <c r="U212" s="77" t="s">
        <v>1455</v>
      </c>
      <c r="V212" s="76" t="s">
        <v>244</v>
      </c>
      <c r="W212" s="76">
        <v>0</v>
      </c>
      <c r="X212" s="76">
        <v>0</v>
      </c>
      <c r="Y212" s="76">
        <v>2</v>
      </c>
      <c r="Z212" s="76">
        <v>1</v>
      </c>
      <c r="AA212" s="76">
        <v>2</v>
      </c>
      <c r="AB212" s="76">
        <v>1</v>
      </c>
      <c r="AC212" s="76">
        <v>0</v>
      </c>
      <c r="AD212" s="76">
        <v>18</v>
      </c>
      <c r="AE212" s="76">
        <v>11</v>
      </c>
      <c r="AF212" s="76">
        <v>0</v>
      </c>
      <c r="AG212" s="76">
        <v>0</v>
      </c>
      <c r="AH212" s="76">
        <v>0</v>
      </c>
      <c r="AI212" s="76">
        <v>0</v>
      </c>
      <c r="AJ212" s="76">
        <v>0</v>
      </c>
      <c r="AK212" s="76">
        <v>59</v>
      </c>
      <c r="AL212" s="76">
        <v>206</v>
      </c>
      <c r="AM212" s="202"/>
      <c r="AN212" s="77"/>
      <c r="AO212" s="202"/>
      <c r="AP212" s="202"/>
      <c r="AQ212" s="202"/>
      <c r="AR212" s="202"/>
      <c r="AS212" s="202"/>
      <c r="AT212" s="202"/>
      <c r="AU212" s="202"/>
      <c r="AV212" s="202"/>
      <c r="AW212" s="202"/>
      <c r="AX212" s="202"/>
      <c r="AY212" s="202"/>
    </row>
    <row r="213" spans="1:51" ht="25.5" x14ac:dyDescent="0.2">
      <c r="A213" s="76">
        <v>27</v>
      </c>
      <c r="B213" s="77" t="s">
        <v>1123</v>
      </c>
      <c r="C213" s="76" t="s">
        <v>244</v>
      </c>
      <c r="D213" s="76">
        <v>1</v>
      </c>
      <c r="E213" s="76">
        <v>0</v>
      </c>
      <c r="F213" s="76">
        <v>8.64</v>
      </c>
      <c r="G213" s="76">
        <v>6</v>
      </c>
      <c r="H213" s="76">
        <v>0</v>
      </c>
      <c r="I213" s="76">
        <v>0</v>
      </c>
      <c r="J213" s="76">
        <v>1</v>
      </c>
      <c r="K213" s="76">
        <v>8.1</v>
      </c>
      <c r="L213" s="76">
        <v>10</v>
      </c>
      <c r="M213" s="76">
        <v>8</v>
      </c>
      <c r="N213" s="76">
        <v>8</v>
      </c>
      <c r="O213" s="76">
        <v>3</v>
      </c>
      <c r="P213" s="76">
        <v>2</v>
      </c>
      <c r="Q213" s="76">
        <v>6</v>
      </c>
      <c r="R213" s="76">
        <v>0.28599999999999998</v>
      </c>
      <c r="S213" s="76">
        <v>1.44</v>
      </c>
      <c r="T213" s="76">
        <v>27</v>
      </c>
      <c r="U213" s="77" t="s">
        <v>1123</v>
      </c>
      <c r="V213" s="76" t="s">
        <v>244</v>
      </c>
      <c r="W213" s="76">
        <v>0</v>
      </c>
      <c r="X213" s="76">
        <v>0</v>
      </c>
      <c r="Y213" s="76">
        <v>1</v>
      </c>
      <c r="Z213" s="76">
        <v>1</v>
      </c>
      <c r="AA213" s="76">
        <v>2</v>
      </c>
      <c r="AB213" s="76">
        <v>0</v>
      </c>
      <c r="AC213" s="76">
        <v>0</v>
      </c>
      <c r="AD213" s="76">
        <v>9</v>
      </c>
      <c r="AE213" s="76">
        <v>10</v>
      </c>
      <c r="AF213" s="76">
        <v>1</v>
      </c>
      <c r="AG213" s="76">
        <v>0</v>
      </c>
      <c r="AH213" s="76">
        <v>0</v>
      </c>
      <c r="AI213" s="76">
        <v>0</v>
      </c>
      <c r="AJ213" s="76">
        <v>0</v>
      </c>
      <c r="AK213" s="76">
        <v>38</v>
      </c>
      <c r="AL213" s="76">
        <v>130</v>
      </c>
      <c r="AM213" s="202"/>
      <c r="AN213" s="77"/>
      <c r="AO213" s="202"/>
      <c r="AP213" s="202"/>
      <c r="AQ213" s="202"/>
      <c r="AR213" s="202"/>
      <c r="AS213" s="202"/>
      <c r="AT213" s="202"/>
      <c r="AU213" s="202"/>
      <c r="AV213" s="202"/>
      <c r="AW213" s="202"/>
      <c r="AX213" s="202"/>
      <c r="AY213" s="202"/>
    </row>
    <row r="214" spans="1:51" ht="25.5" x14ac:dyDescent="0.2">
      <c r="A214" s="76">
        <v>28</v>
      </c>
      <c r="B214" s="77" t="s">
        <v>777</v>
      </c>
      <c r="C214" s="76" t="s">
        <v>244</v>
      </c>
      <c r="D214" s="76">
        <v>0</v>
      </c>
      <c r="E214" s="76">
        <v>0</v>
      </c>
      <c r="F214" s="76">
        <v>9</v>
      </c>
      <c r="G214" s="76">
        <v>3</v>
      </c>
      <c r="H214" s="76">
        <v>0</v>
      </c>
      <c r="I214" s="76">
        <v>0</v>
      </c>
      <c r="J214" s="76">
        <v>0</v>
      </c>
      <c r="K214" s="76">
        <v>3</v>
      </c>
      <c r="L214" s="76">
        <v>4</v>
      </c>
      <c r="M214" s="76">
        <v>3</v>
      </c>
      <c r="N214" s="76">
        <v>3</v>
      </c>
      <c r="O214" s="76">
        <v>0</v>
      </c>
      <c r="P214" s="76">
        <v>1</v>
      </c>
      <c r="Q214" s="76">
        <v>0</v>
      </c>
      <c r="R214" s="76">
        <v>0.36399999999999999</v>
      </c>
      <c r="S214" s="76">
        <v>1.67</v>
      </c>
      <c r="T214" s="76">
        <v>28</v>
      </c>
      <c r="U214" s="77" t="s">
        <v>777</v>
      </c>
      <c r="V214" s="76" t="s">
        <v>244</v>
      </c>
      <c r="W214" s="76">
        <v>0</v>
      </c>
      <c r="X214" s="76">
        <v>0</v>
      </c>
      <c r="Y214" s="76">
        <v>0</v>
      </c>
      <c r="Z214" s="76">
        <v>0</v>
      </c>
      <c r="AA214" s="76">
        <v>3</v>
      </c>
      <c r="AB214" s="76">
        <v>0</v>
      </c>
      <c r="AC214" s="76">
        <v>1</v>
      </c>
      <c r="AD214" s="76">
        <v>6</v>
      </c>
      <c r="AE214" s="76">
        <v>2</v>
      </c>
      <c r="AF214" s="76">
        <v>0</v>
      </c>
      <c r="AG214" s="76">
        <v>0</v>
      </c>
      <c r="AH214" s="76">
        <v>0</v>
      </c>
      <c r="AI214" s="76">
        <v>0</v>
      </c>
      <c r="AJ214" s="76">
        <v>0</v>
      </c>
      <c r="AK214" s="76">
        <v>13</v>
      </c>
      <c r="AL214" s="76">
        <v>48</v>
      </c>
      <c r="AM214" s="202"/>
      <c r="AN214" s="77"/>
      <c r="AO214" s="202"/>
      <c r="AP214" s="202"/>
      <c r="AQ214" s="202"/>
      <c r="AR214" s="202"/>
      <c r="AS214" s="202"/>
      <c r="AT214" s="202"/>
      <c r="AU214" s="202"/>
      <c r="AV214" s="202"/>
      <c r="AW214" s="202"/>
      <c r="AX214" s="202"/>
      <c r="AY214" s="202"/>
    </row>
    <row r="215" spans="1:51" ht="25.5" x14ac:dyDescent="0.2">
      <c r="A215" s="76">
        <v>28</v>
      </c>
      <c r="B215" s="77" t="s">
        <v>1190</v>
      </c>
      <c r="C215" s="76" t="s">
        <v>244</v>
      </c>
      <c r="D215" s="76">
        <v>0</v>
      </c>
      <c r="E215" s="76">
        <v>0</v>
      </c>
      <c r="F215" s="76">
        <v>9</v>
      </c>
      <c r="G215" s="76">
        <v>1</v>
      </c>
      <c r="H215" s="76">
        <v>0</v>
      </c>
      <c r="I215" s="76">
        <v>0</v>
      </c>
      <c r="J215" s="76">
        <v>0</v>
      </c>
      <c r="K215" s="76">
        <v>2</v>
      </c>
      <c r="L215" s="76">
        <v>3</v>
      </c>
      <c r="M215" s="76">
        <v>2</v>
      </c>
      <c r="N215" s="76">
        <v>2</v>
      </c>
      <c r="O215" s="76">
        <v>0</v>
      </c>
      <c r="P215" s="76">
        <v>1</v>
      </c>
      <c r="Q215" s="76">
        <v>0</v>
      </c>
      <c r="R215" s="76">
        <v>0.33300000000000002</v>
      </c>
      <c r="S215" s="76">
        <v>2</v>
      </c>
      <c r="T215" s="76">
        <v>28</v>
      </c>
      <c r="U215" s="77" t="s">
        <v>1190</v>
      </c>
      <c r="V215" s="76" t="s">
        <v>244</v>
      </c>
      <c r="W215" s="76">
        <v>0</v>
      </c>
      <c r="X215" s="76">
        <v>0</v>
      </c>
      <c r="Y215" s="76">
        <v>0</v>
      </c>
      <c r="Z215" s="76">
        <v>0</v>
      </c>
      <c r="AA215" s="76">
        <v>1</v>
      </c>
      <c r="AB215" s="76">
        <v>0</v>
      </c>
      <c r="AC215" s="76">
        <v>0</v>
      </c>
      <c r="AD215" s="76">
        <v>2</v>
      </c>
      <c r="AE215" s="76">
        <v>4</v>
      </c>
      <c r="AF215" s="76">
        <v>0</v>
      </c>
      <c r="AG215" s="76">
        <v>0</v>
      </c>
      <c r="AH215" s="76">
        <v>0</v>
      </c>
      <c r="AI215" s="76">
        <v>0</v>
      </c>
      <c r="AJ215" s="76">
        <v>0</v>
      </c>
      <c r="AK215" s="76">
        <v>10</v>
      </c>
      <c r="AL215" s="76">
        <v>36</v>
      </c>
      <c r="AM215" s="202"/>
      <c r="AN215" s="77"/>
      <c r="AO215" s="202"/>
      <c r="AP215" s="202"/>
      <c r="AQ215" s="202"/>
      <c r="AR215" s="202"/>
      <c r="AS215" s="202"/>
      <c r="AT215" s="202"/>
      <c r="AU215" s="202"/>
      <c r="AV215" s="202"/>
      <c r="AW215" s="202"/>
      <c r="AX215" s="202"/>
      <c r="AY215" s="202"/>
    </row>
    <row r="216" spans="1:51" ht="25.5" x14ac:dyDescent="0.2">
      <c r="A216" s="76">
        <v>30</v>
      </c>
      <c r="B216" s="77" t="s">
        <v>1343</v>
      </c>
      <c r="C216" s="76" t="s">
        <v>244</v>
      </c>
      <c r="D216" s="76">
        <v>0</v>
      </c>
      <c r="E216" s="76">
        <v>0</v>
      </c>
      <c r="F216" s="76">
        <v>12</v>
      </c>
      <c r="G216" s="76">
        <v>5</v>
      </c>
      <c r="H216" s="76">
        <v>0</v>
      </c>
      <c r="I216" s="76">
        <v>0</v>
      </c>
      <c r="J216" s="76">
        <v>0</v>
      </c>
      <c r="K216" s="76">
        <v>3</v>
      </c>
      <c r="L216" s="76">
        <v>8</v>
      </c>
      <c r="M216" s="76">
        <v>4</v>
      </c>
      <c r="N216" s="76">
        <v>4</v>
      </c>
      <c r="O216" s="76">
        <v>1</v>
      </c>
      <c r="P216" s="76">
        <v>2</v>
      </c>
      <c r="Q216" s="76">
        <v>2</v>
      </c>
      <c r="R216" s="76">
        <v>0.57099999999999995</v>
      </c>
      <c r="S216" s="76">
        <v>3.33</v>
      </c>
      <c r="T216" s="76">
        <v>30</v>
      </c>
      <c r="U216" s="77" t="s">
        <v>1343</v>
      </c>
      <c r="V216" s="76" t="s">
        <v>244</v>
      </c>
      <c r="W216" s="76">
        <v>0</v>
      </c>
      <c r="X216" s="76">
        <v>0</v>
      </c>
      <c r="Y216" s="76">
        <v>1</v>
      </c>
      <c r="Z216" s="76">
        <v>0</v>
      </c>
      <c r="AA216" s="76">
        <v>1</v>
      </c>
      <c r="AB216" s="76">
        <v>0</v>
      </c>
      <c r="AC216" s="76">
        <v>0</v>
      </c>
      <c r="AD216" s="76">
        <v>1</v>
      </c>
      <c r="AE216" s="76">
        <v>5</v>
      </c>
      <c r="AF216" s="76">
        <v>0</v>
      </c>
      <c r="AG216" s="76">
        <v>0</v>
      </c>
      <c r="AH216" s="76">
        <v>0</v>
      </c>
      <c r="AI216" s="76">
        <v>0</v>
      </c>
      <c r="AJ216" s="76">
        <v>0</v>
      </c>
      <c r="AK216" s="76">
        <v>19</v>
      </c>
      <c r="AL216" s="76">
        <v>59</v>
      </c>
      <c r="AM216" s="202"/>
      <c r="AN216" s="77"/>
      <c r="AO216" s="202"/>
      <c r="AP216" s="202"/>
      <c r="AQ216" s="202"/>
      <c r="AR216" s="202"/>
      <c r="AS216" s="202"/>
      <c r="AT216" s="202"/>
      <c r="AU216" s="202"/>
      <c r="AV216" s="202"/>
      <c r="AW216" s="202"/>
      <c r="AX216" s="202"/>
      <c r="AY216" s="202"/>
    </row>
    <row r="217" spans="1:51" ht="25.5" x14ac:dyDescent="0.2">
      <c r="A217" s="76">
        <v>30</v>
      </c>
      <c r="B217" s="77" t="s">
        <v>1159</v>
      </c>
      <c r="C217" s="76" t="s">
        <v>244</v>
      </c>
      <c r="D217" s="76">
        <v>0</v>
      </c>
      <c r="E217" s="76">
        <v>0</v>
      </c>
      <c r="F217" s="76">
        <v>12</v>
      </c>
      <c r="G217" s="76">
        <v>2</v>
      </c>
      <c r="H217" s="76">
        <v>0</v>
      </c>
      <c r="I217" s="76">
        <v>0</v>
      </c>
      <c r="J217" s="76">
        <v>0</v>
      </c>
      <c r="K217" s="76">
        <v>3</v>
      </c>
      <c r="L217" s="76">
        <v>4</v>
      </c>
      <c r="M217" s="76">
        <v>4</v>
      </c>
      <c r="N217" s="76">
        <v>4</v>
      </c>
      <c r="O217" s="76">
        <v>1</v>
      </c>
      <c r="P217" s="76">
        <v>3</v>
      </c>
      <c r="Q217" s="76">
        <v>3</v>
      </c>
      <c r="R217" s="76">
        <v>0.308</v>
      </c>
      <c r="S217" s="76">
        <v>2.33</v>
      </c>
      <c r="T217" s="76">
        <v>30</v>
      </c>
      <c r="U217" s="77" t="s">
        <v>1159</v>
      </c>
      <c r="V217" s="76" t="s">
        <v>244</v>
      </c>
      <c r="W217" s="76">
        <v>0</v>
      </c>
      <c r="X217" s="76">
        <v>0</v>
      </c>
      <c r="Y217" s="76">
        <v>0</v>
      </c>
      <c r="Z217" s="76">
        <v>1</v>
      </c>
      <c r="AA217" s="76">
        <v>2</v>
      </c>
      <c r="AB217" s="76">
        <v>0</v>
      </c>
      <c r="AC217" s="76">
        <v>0</v>
      </c>
      <c r="AD217" s="76">
        <v>2</v>
      </c>
      <c r="AE217" s="76">
        <v>4</v>
      </c>
      <c r="AF217" s="76">
        <v>0</v>
      </c>
      <c r="AG217" s="76">
        <v>0</v>
      </c>
      <c r="AH217" s="76">
        <v>0</v>
      </c>
      <c r="AI217" s="76">
        <v>0</v>
      </c>
      <c r="AJ217" s="76">
        <v>0</v>
      </c>
      <c r="AK217" s="76">
        <v>16</v>
      </c>
      <c r="AL217" s="76">
        <v>68</v>
      </c>
      <c r="AM217" s="202"/>
      <c r="AN217" s="77"/>
      <c r="AO217" s="202"/>
      <c r="AP217" s="202"/>
      <c r="AQ217" s="202"/>
      <c r="AR217" s="202"/>
      <c r="AS217" s="202"/>
      <c r="AT217" s="202"/>
      <c r="AU217" s="202"/>
      <c r="AV217" s="202"/>
      <c r="AW217" s="202"/>
      <c r="AX217" s="202"/>
      <c r="AY217" s="202"/>
    </row>
    <row r="218" spans="1:51" ht="25.5" x14ac:dyDescent="0.2">
      <c r="A218" s="225" t="s">
        <v>105</v>
      </c>
      <c r="B218" s="225" t="s">
        <v>106</v>
      </c>
      <c r="C218" s="225" t="s">
        <v>157</v>
      </c>
      <c r="D218" s="225" t="s">
        <v>85</v>
      </c>
      <c r="E218" s="225" t="s">
        <v>86</v>
      </c>
      <c r="F218" s="225" t="s">
        <v>107</v>
      </c>
      <c r="G218" s="225" t="s">
        <v>108</v>
      </c>
      <c r="H218" s="225" t="s">
        <v>88</v>
      </c>
      <c r="I218" s="225" t="s">
        <v>90</v>
      </c>
      <c r="J218" s="225" t="s">
        <v>158</v>
      </c>
      <c r="K218" s="225" t="s">
        <v>91</v>
      </c>
      <c r="L218" s="225" t="s">
        <v>92</v>
      </c>
      <c r="M218" s="225" t="s">
        <v>93</v>
      </c>
      <c r="N218" s="225" t="s">
        <v>94</v>
      </c>
      <c r="O218" s="225" t="s">
        <v>95</v>
      </c>
      <c r="P218" s="225" t="s">
        <v>96</v>
      </c>
      <c r="Q218" s="225" t="s">
        <v>97</v>
      </c>
      <c r="R218" s="225" t="s">
        <v>1071</v>
      </c>
      <c r="S218" s="225" t="s">
        <v>1072</v>
      </c>
      <c r="T218" s="225" t="s">
        <v>105</v>
      </c>
      <c r="U218" s="225" t="s">
        <v>106</v>
      </c>
      <c r="V218" s="225" t="s">
        <v>157</v>
      </c>
      <c r="W218" s="225" t="s">
        <v>89</v>
      </c>
      <c r="X218" s="225" t="s">
        <v>1073</v>
      </c>
      <c r="Y218" s="225" t="s">
        <v>1074</v>
      </c>
      <c r="Z218" s="225" t="s">
        <v>98</v>
      </c>
      <c r="AA218" s="225" t="s">
        <v>1075</v>
      </c>
      <c r="AB218" s="225" t="s">
        <v>1076</v>
      </c>
      <c r="AC218" s="225" t="s">
        <v>1077</v>
      </c>
      <c r="AD218" s="225" t="s">
        <v>1066</v>
      </c>
      <c r="AE218" s="225" t="s">
        <v>1067</v>
      </c>
      <c r="AF218" s="225" t="s">
        <v>1078</v>
      </c>
      <c r="AG218" s="225" t="s">
        <v>1079</v>
      </c>
      <c r="AH218" s="225" t="s">
        <v>1057</v>
      </c>
      <c r="AI218" s="225" t="s">
        <v>1058</v>
      </c>
      <c r="AJ218" s="225" t="s">
        <v>1080</v>
      </c>
      <c r="AK218" s="225" t="s">
        <v>109</v>
      </c>
      <c r="AL218" s="225" t="s">
        <v>1069</v>
      </c>
      <c r="AM218" s="202"/>
      <c r="AN218" s="77"/>
      <c r="AO218" s="202"/>
      <c r="AP218" s="202"/>
      <c r="AQ218" s="202"/>
      <c r="AR218" s="202"/>
      <c r="AS218" s="202"/>
      <c r="AT218" s="202"/>
      <c r="AU218" s="202"/>
      <c r="AV218" s="202"/>
      <c r="AW218" s="202"/>
      <c r="AX218" s="202"/>
      <c r="AY218" s="202"/>
    </row>
    <row r="219" spans="1:51" ht="25.5" x14ac:dyDescent="0.2">
      <c r="A219" s="76">
        <v>1</v>
      </c>
      <c r="B219" s="77" t="s">
        <v>401</v>
      </c>
      <c r="C219" s="76" t="s">
        <v>166</v>
      </c>
      <c r="D219" s="76">
        <v>8</v>
      </c>
      <c r="E219" s="76">
        <v>5</v>
      </c>
      <c r="F219" s="76">
        <v>2.15</v>
      </c>
      <c r="G219" s="76">
        <v>67</v>
      </c>
      <c r="H219" s="76">
        <v>0</v>
      </c>
      <c r="I219" s="76">
        <v>13</v>
      </c>
      <c r="J219" s="76">
        <v>21</v>
      </c>
      <c r="K219" s="76">
        <v>67</v>
      </c>
      <c r="L219" s="76">
        <v>38</v>
      </c>
      <c r="M219" s="76">
        <v>19</v>
      </c>
      <c r="N219" s="76">
        <v>16</v>
      </c>
      <c r="O219" s="76">
        <v>6</v>
      </c>
      <c r="P219" s="76">
        <v>25</v>
      </c>
      <c r="Q219" s="76">
        <v>90</v>
      </c>
      <c r="R219" s="76">
        <v>0.16200000000000001</v>
      </c>
      <c r="S219" s="76">
        <v>0.94</v>
      </c>
      <c r="T219" s="76">
        <v>1</v>
      </c>
      <c r="U219" s="77" t="s">
        <v>401</v>
      </c>
      <c r="V219" s="76" t="s">
        <v>166</v>
      </c>
      <c r="W219" s="76">
        <v>0</v>
      </c>
      <c r="X219" s="76">
        <v>0</v>
      </c>
      <c r="Y219" s="76">
        <v>2</v>
      </c>
      <c r="Z219" s="76">
        <v>1</v>
      </c>
      <c r="AA219" s="76">
        <v>23</v>
      </c>
      <c r="AB219" s="76">
        <v>20</v>
      </c>
      <c r="AC219" s="76">
        <v>1</v>
      </c>
      <c r="AD219" s="76">
        <v>44</v>
      </c>
      <c r="AE219" s="76">
        <v>64</v>
      </c>
      <c r="AF219" s="76">
        <v>4</v>
      </c>
      <c r="AG219" s="76">
        <v>0</v>
      </c>
      <c r="AH219" s="76">
        <v>1</v>
      </c>
      <c r="AI219" s="76">
        <v>1</v>
      </c>
      <c r="AJ219" s="76">
        <v>0</v>
      </c>
      <c r="AK219" s="76">
        <v>263</v>
      </c>
      <c r="AL219" s="76">
        <v>1145</v>
      </c>
      <c r="AM219" s="202"/>
      <c r="AN219" s="77"/>
      <c r="AO219" s="202"/>
      <c r="AP219" s="202"/>
      <c r="AQ219" s="202"/>
      <c r="AR219" s="202"/>
      <c r="AS219" s="202"/>
      <c r="AT219" s="202"/>
      <c r="AU219" s="202"/>
      <c r="AV219" s="202"/>
      <c r="AW219" s="202"/>
      <c r="AX219" s="202"/>
      <c r="AY219" s="202"/>
    </row>
    <row r="220" spans="1:51" ht="25.5" x14ac:dyDescent="0.2">
      <c r="A220" s="76">
        <v>2</v>
      </c>
      <c r="B220" s="77" t="s">
        <v>615</v>
      </c>
      <c r="C220" s="76" t="s">
        <v>166</v>
      </c>
      <c r="D220" s="76">
        <v>2</v>
      </c>
      <c r="E220" s="76">
        <v>2</v>
      </c>
      <c r="F220" s="76">
        <v>2.2200000000000002</v>
      </c>
      <c r="G220" s="76">
        <v>47</v>
      </c>
      <c r="H220" s="76">
        <v>0</v>
      </c>
      <c r="I220" s="76">
        <v>27</v>
      </c>
      <c r="J220" s="76">
        <v>28</v>
      </c>
      <c r="K220" s="76">
        <v>44.2</v>
      </c>
      <c r="L220" s="76">
        <v>45</v>
      </c>
      <c r="M220" s="76">
        <v>13</v>
      </c>
      <c r="N220" s="76">
        <v>11</v>
      </c>
      <c r="O220" s="76">
        <v>2</v>
      </c>
      <c r="P220" s="76">
        <v>11</v>
      </c>
      <c r="Q220" s="76">
        <v>35</v>
      </c>
      <c r="R220" s="76">
        <v>0.26200000000000001</v>
      </c>
      <c r="S220" s="76">
        <v>1.25</v>
      </c>
      <c r="T220" s="76">
        <v>2</v>
      </c>
      <c r="U220" s="77" t="s">
        <v>615</v>
      </c>
      <c r="V220" s="76" t="s">
        <v>166</v>
      </c>
      <c r="W220" s="76">
        <v>0</v>
      </c>
      <c r="X220" s="76">
        <v>0</v>
      </c>
      <c r="Y220" s="76">
        <v>4</v>
      </c>
      <c r="Z220" s="76">
        <v>3</v>
      </c>
      <c r="AA220" s="76">
        <v>40</v>
      </c>
      <c r="AB220" s="76">
        <v>0</v>
      </c>
      <c r="AC220" s="76">
        <v>6</v>
      </c>
      <c r="AD220" s="76">
        <v>68</v>
      </c>
      <c r="AE220" s="76">
        <v>27</v>
      </c>
      <c r="AF220" s="76">
        <v>0</v>
      </c>
      <c r="AG220" s="76">
        <v>0</v>
      </c>
      <c r="AH220" s="76">
        <v>0</v>
      </c>
      <c r="AI220" s="76">
        <v>2</v>
      </c>
      <c r="AJ220" s="76">
        <v>0</v>
      </c>
      <c r="AK220" s="76">
        <v>190</v>
      </c>
      <c r="AL220" s="76">
        <v>663</v>
      </c>
      <c r="AM220" s="102"/>
      <c r="AN220" s="102"/>
      <c r="AO220" s="102"/>
      <c r="AP220" s="102"/>
      <c r="AQ220" s="102"/>
      <c r="AR220" s="102"/>
      <c r="AS220" s="102"/>
      <c r="AT220" s="102"/>
      <c r="AU220" s="102"/>
      <c r="AV220" s="102"/>
      <c r="AW220" s="102"/>
      <c r="AX220" s="102"/>
      <c r="AY220" s="102"/>
    </row>
    <row r="221" spans="1:51" ht="25.5" x14ac:dyDescent="0.2">
      <c r="A221" s="76">
        <v>3</v>
      </c>
      <c r="B221" s="77" t="s">
        <v>369</v>
      </c>
      <c r="C221" s="76" t="s">
        <v>166</v>
      </c>
      <c r="D221" s="76">
        <v>0</v>
      </c>
      <c r="E221" s="76">
        <v>0</v>
      </c>
      <c r="F221" s="76">
        <v>2.4500000000000002</v>
      </c>
      <c r="G221" s="76">
        <v>16</v>
      </c>
      <c r="H221" s="76">
        <v>0</v>
      </c>
      <c r="I221" s="76">
        <v>0</v>
      </c>
      <c r="J221" s="76">
        <v>0</v>
      </c>
      <c r="K221" s="76">
        <v>18.100000000000001</v>
      </c>
      <c r="L221" s="76">
        <v>16</v>
      </c>
      <c r="M221" s="76">
        <v>5</v>
      </c>
      <c r="N221" s="76">
        <v>5</v>
      </c>
      <c r="O221" s="76">
        <v>1</v>
      </c>
      <c r="P221" s="76">
        <v>3</v>
      </c>
      <c r="Q221" s="76">
        <v>14</v>
      </c>
      <c r="R221" s="76">
        <v>0.22500000000000001</v>
      </c>
      <c r="S221" s="76">
        <v>1.04</v>
      </c>
      <c r="T221" s="76">
        <v>3</v>
      </c>
      <c r="U221" s="77" t="s">
        <v>369</v>
      </c>
      <c r="V221" s="76" t="s">
        <v>166</v>
      </c>
      <c r="W221" s="76">
        <v>0</v>
      </c>
      <c r="X221" s="76">
        <v>0</v>
      </c>
      <c r="Y221" s="76">
        <v>2</v>
      </c>
      <c r="Z221" s="76">
        <v>0</v>
      </c>
      <c r="AA221" s="76">
        <v>7</v>
      </c>
      <c r="AB221" s="76">
        <v>1</v>
      </c>
      <c r="AC221" s="76">
        <v>1</v>
      </c>
      <c r="AD221" s="76">
        <v>31</v>
      </c>
      <c r="AE221" s="76">
        <v>10</v>
      </c>
      <c r="AF221" s="76">
        <v>0</v>
      </c>
      <c r="AG221" s="76">
        <v>0</v>
      </c>
      <c r="AH221" s="76">
        <v>0</v>
      </c>
      <c r="AI221" s="76">
        <v>0</v>
      </c>
      <c r="AJ221" s="76">
        <v>0</v>
      </c>
      <c r="AK221" s="76">
        <v>76</v>
      </c>
      <c r="AL221" s="76">
        <v>270</v>
      </c>
      <c r="AM221" s="202"/>
      <c r="AN221" s="77"/>
      <c r="AO221" s="202"/>
      <c r="AP221" s="202"/>
      <c r="AQ221" s="202"/>
      <c r="AR221" s="202"/>
      <c r="AS221" s="202"/>
      <c r="AT221" s="202"/>
      <c r="AU221" s="202"/>
      <c r="AV221" s="202"/>
      <c r="AW221" s="202"/>
      <c r="AX221" s="202"/>
      <c r="AY221" s="202"/>
    </row>
    <row r="222" spans="1:51" ht="25.5" x14ac:dyDescent="0.2">
      <c r="A222" s="76">
        <v>4</v>
      </c>
      <c r="B222" s="77" t="s">
        <v>1456</v>
      </c>
      <c r="C222" s="76" t="s">
        <v>166</v>
      </c>
      <c r="D222" s="76">
        <v>0</v>
      </c>
      <c r="E222" s="76">
        <v>1</v>
      </c>
      <c r="F222" s="76">
        <v>2.7</v>
      </c>
      <c r="G222" s="76">
        <v>27</v>
      </c>
      <c r="H222" s="76">
        <v>0</v>
      </c>
      <c r="I222" s="76">
        <v>1</v>
      </c>
      <c r="J222" s="76">
        <v>1</v>
      </c>
      <c r="K222" s="76">
        <v>26.2</v>
      </c>
      <c r="L222" s="76">
        <v>24</v>
      </c>
      <c r="M222" s="76">
        <v>9</v>
      </c>
      <c r="N222" s="76">
        <v>8</v>
      </c>
      <c r="O222" s="76">
        <v>1</v>
      </c>
      <c r="P222" s="76">
        <v>6</v>
      </c>
      <c r="Q222" s="76">
        <v>26</v>
      </c>
      <c r="R222" s="76">
        <v>0.245</v>
      </c>
      <c r="S222" s="76">
        <v>1.1299999999999999</v>
      </c>
      <c r="T222" s="76">
        <v>4</v>
      </c>
      <c r="U222" s="77" t="s">
        <v>1456</v>
      </c>
      <c r="V222" s="76" t="s">
        <v>166</v>
      </c>
      <c r="W222" s="76">
        <v>0</v>
      </c>
      <c r="X222" s="76">
        <v>0</v>
      </c>
      <c r="Y222" s="76">
        <v>0</v>
      </c>
      <c r="Z222" s="76">
        <v>1</v>
      </c>
      <c r="AA222" s="76">
        <v>7</v>
      </c>
      <c r="AB222" s="76">
        <v>0</v>
      </c>
      <c r="AC222" s="76">
        <v>3</v>
      </c>
      <c r="AD222" s="76">
        <v>25</v>
      </c>
      <c r="AE222" s="76">
        <v>25</v>
      </c>
      <c r="AF222" s="76">
        <v>2</v>
      </c>
      <c r="AG222" s="76">
        <v>0</v>
      </c>
      <c r="AH222" s="76">
        <v>1</v>
      </c>
      <c r="AI222" s="76">
        <v>1</v>
      </c>
      <c r="AJ222" s="76">
        <v>0</v>
      </c>
      <c r="AK222" s="76">
        <v>106</v>
      </c>
      <c r="AL222" s="76">
        <v>405</v>
      </c>
      <c r="AM222" s="202"/>
      <c r="AN222" s="77"/>
      <c r="AO222" s="202"/>
      <c r="AP222" s="202"/>
      <c r="AQ222" s="202"/>
      <c r="AR222" s="202"/>
      <c r="AS222" s="202"/>
      <c r="AT222" s="202"/>
      <c r="AU222" s="202"/>
      <c r="AV222" s="202"/>
      <c r="AW222" s="202"/>
      <c r="AX222" s="202"/>
      <c r="AY222" s="202"/>
    </row>
    <row r="223" spans="1:51" ht="25.5" x14ac:dyDescent="0.2">
      <c r="A223" s="76">
        <v>5</v>
      </c>
      <c r="B223" s="77" t="s">
        <v>413</v>
      </c>
      <c r="C223" s="76" t="s">
        <v>166</v>
      </c>
      <c r="D223" s="76">
        <v>3</v>
      </c>
      <c r="E223" s="76">
        <v>3</v>
      </c>
      <c r="F223" s="76">
        <v>2.73</v>
      </c>
      <c r="G223" s="76">
        <v>72</v>
      </c>
      <c r="H223" s="76">
        <v>0</v>
      </c>
      <c r="I223" s="76">
        <v>2</v>
      </c>
      <c r="J223" s="76">
        <v>5</v>
      </c>
      <c r="K223" s="76">
        <v>82.1</v>
      </c>
      <c r="L223" s="76">
        <v>65</v>
      </c>
      <c r="M223" s="76">
        <v>26</v>
      </c>
      <c r="N223" s="76">
        <v>25</v>
      </c>
      <c r="O223" s="76">
        <v>8</v>
      </c>
      <c r="P223" s="76">
        <v>30</v>
      </c>
      <c r="Q223" s="76">
        <v>78</v>
      </c>
      <c r="R223" s="76">
        <v>0.217</v>
      </c>
      <c r="S223" s="76">
        <v>1.1499999999999999</v>
      </c>
      <c r="T223" s="76">
        <v>5</v>
      </c>
      <c r="U223" s="77" t="s">
        <v>413</v>
      </c>
      <c r="V223" s="76" t="s">
        <v>166</v>
      </c>
      <c r="W223" s="76">
        <v>0</v>
      </c>
      <c r="X223" s="76">
        <v>0</v>
      </c>
      <c r="Y223" s="76">
        <v>4</v>
      </c>
      <c r="Z223" s="76">
        <v>3</v>
      </c>
      <c r="AA223" s="76">
        <v>12</v>
      </c>
      <c r="AB223" s="76">
        <v>20</v>
      </c>
      <c r="AC223" s="76">
        <v>6</v>
      </c>
      <c r="AD223" s="76">
        <v>87</v>
      </c>
      <c r="AE223" s="76">
        <v>75</v>
      </c>
      <c r="AF223" s="76">
        <v>1</v>
      </c>
      <c r="AG223" s="76">
        <v>1</v>
      </c>
      <c r="AH223" s="76">
        <v>5</v>
      </c>
      <c r="AI223" s="76">
        <v>2</v>
      </c>
      <c r="AJ223" s="76">
        <v>1</v>
      </c>
      <c r="AK223" s="76">
        <v>339</v>
      </c>
      <c r="AL223" s="76">
        <v>1317</v>
      </c>
      <c r="AM223" s="202"/>
      <c r="AN223" s="77"/>
      <c r="AO223" s="202"/>
      <c r="AP223" s="202"/>
      <c r="AQ223" s="202"/>
      <c r="AR223" s="202"/>
      <c r="AS223" s="202"/>
      <c r="AT223" s="202"/>
      <c r="AU223" s="202"/>
      <c r="AV223" s="202"/>
      <c r="AW223" s="202"/>
      <c r="AX223" s="202"/>
      <c r="AY223" s="202"/>
    </row>
    <row r="224" spans="1:51" ht="25.5" x14ac:dyDescent="0.2">
      <c r="A224" s="76">
        <v>6</v>
      </c>
      <c r="B224" s="77" t="s">
        <v>383</v>
      </c>
      <c r="C224" s="76" t="s">
        <v>166</v>
      </c>
      <c r="D224" s="76">
        <v>9</v>
      </c>
      <c r="E224" s="76">
        <v>3</v>
      </c>
      <c r="F224" s="76">
        <v>2.81</v>
      </c>
      <c r="G224" s="76">
        <v>20</v>
      </c>
      <c r="H224" s="76">
        <v>20</v>
      </c>
      <c r="I224" s="76">
        <v>0</v>
      </c>
      <c r="J224" s="76">
        <v>0</v>
      </c>
      <c r="K224" s="76">
        <v>121.2</v>
      </c>
      <c r="L224" s="76">
        <v>94</v>
      </c>
      <c r="M224" s="76">
        <v>40</v>
      </c>
      <c r="N224" s="76">
        <v>38</v>
      </c>
      <c r="O224" s="76">
        <v>10</v>
      </c>
      <c r="P224" s="76">
        <v>43</v>
      </c>
      <c r="Q224" s="76">
        <v>100</v>
      </c>
      <c r="R224" s="76">
        <v>0.21299999999999999</v>
      </c>
      <c r="S224" s="76">
        <v>1.1299999999999999</v>
      </c>
      <c r="T224" s="76">
        <v>6</v>
      </c>
      <c r="U224" s="77" t="s">
        <v>383</v>
      </c>
      <c r="V224" s="76" t="s">
        <v>166</v>
      </c>
      <c r="W224" s="76">
        <v>0</v>
      </c>
      <c r="X224" s="76">
        <v>0</v>
      </c>
      <c r="Y224" s="76">
        <v>3</v>
      </c>
      <c r="Z224" s="76">
        <v>2</v>
      </c>
      <c r="AA224" s="76">
        <v>0</v>
      </c>
      <c r="AB224" s="76">
        <v>0</v>
      </c>
      <c r="AC224" s="76">
        <v>10</v>
      </c>
      <c r="AD224" s="76">
        <v>136</v>
      </c>
      <c r="AE224" s="76">
        <v>116</v>
      </c>
      <c r="AF224" s="76">
        <v>7</v>
      </c>
      <c r="AG224" s="76">
        <v>1</v>
      </c>
      <c r="AH224" s="76">
        <v>5</v>
      </c>
      <c r="AI224" s="76">
        <v>3</v>
      </c>
      <c r="AJ224" s="76">
        <v>0</v>
      </c>
      <c r="AK224" s="76">
        <v>492</v>
      </c>
      <c r="AL224" s="76">
        <v>1866</v>
      </c>
      <c r="AM224" s="202"/>
      <c r="AN224" s="77"/>
      <c r="AO224" s="202"/>
      <c r="AP224" s="202"/>
      <c r="AQ224" s="202"/>
      <c r="AR224" s="202"/>
      <c r="AS224" s="202"/>
      <c r="AT224" s="202"/>
      <c r="AU224" s="202"/>
      <c r="AV224" s="202"/>
      <c r="AW224" s="202"/>
      <c r="AX224" s="202"/>
      <c r="AY224" s="202"/>
    </row>
    <row r="225" spans="1:51" ht="25.5" x14ac:dyDescent="0.2">
      <c r="A225" s="76">
        <v>7</v>
      </c>
      <c r="B225" s="77" t="s">
        <v>1132</v>
      </c>
      <c r="C225" s="76" t="s">
        <v>166</v>
      </c>
      <c r="D225" s="76">
        <v>0</v>
      </c>
      <c r="E225" s="76">
        <v>1</v>
      </c>
      <c r="F225" s="76">
        <v>2.86</v>
      </c>
      <c r="G225" s="76">
        <v>20</v>
      </c>
      <c r="H225" s="76">
        <v>2</v>
      </c>
      <c r="I225" s="76">
        <v>0</v>
      </c>
      <c r="J225" s="76">
        <v>0</v>
      </c>
      <c r="K225" s="76">
        <v>28.1</v>
      </c>
      <c r="L225" s="76">
        <v>21</v>
      </c>
      <c r="M225" s="76">
        <v>9</v>
      </c>
      <c r="N225" s="76">
        <v>9</v>
      </c>
      <c r="O225" s="76">
        <v>3</v>
      </c>
      <c r="P225" s="76">
        <v>12</v>
      </c>
      <c r="Q225" s="76">
        <v>22</v>
      </c>
      <c r="R225" s="76">
        <v>0.20799999999999999</v>
      </c>
      <c r="S225" s="76">
        <v>1.1599999999999999</v>
      </c>
      <c r="T225" s="76">
        <v>7</v>
      </c>
      <c r="U225" s="77" t="s">
        <v>1132</v>
      </c>
      <c r="V225" s="76" t="s">
        <v>166</v>
      </c>
      <c r="W225" s="76">
        <v>0</v>
      </c>
      <c r="X225" s="76">
        <v>0</v>
      </c>
      <c r="Y225" s="76">
        <v>1</v>
      </c>
      <c r="Z225" s="76">
        <v>1</v>
      </c>
      <c r="AA225" s="76">
        <v>4</v>
      </c>
      <c r="AB225" s="76">
        <v>0</v>
      </c>
      <c r="AC225" s="76">
        <v>0</v>
      </c>
      <c r="AD225" s="76">
        <v>19</v>
      </c>
      <c r="AE225" s="76">
        <v>41</v>
      </c>
      <c r="AF225" s="76">
        <v>0</v>
      </c>
      <c r="AG225" s="76">
        <v>0</v>
      </c>
      <c r="AH225" s="76">
        <v>1</v>
      </c>
      <c r="AI225" s="76">
        <v>1</v>
      </c>
      <c r="AJ225" s="76">
        <v>0</v>
      </c>
      <c r="AK225" s="76">
        <v>116</v>
      </c>
      <c r="AL225" s="76">
        <v>451</v>
      </c>
      <c r="AM225" s="202"/>
      <c r="AN225" s="77"/>
      <c r="AO225" s="202"/>
      <c r="AP225" s="202"/>
      <c r="AQ225" s="202"/>
      <c r="AR225" s="202"/>
      <c r="AS225" s="202"/>
      <c r="AT225" s="202"/>
      <c r="AU225" s="202"/>
      <c r="AV225" s="202"/>
      <c r="AW225" s="202"/>
      <c r="AX225" s="202"/>
      <c r="AY225" s="202"/>
    </row>
    <row r="226" spans="1:51" ht="25.5" x14ac:dyDescent="0.2">
      <c r="A226" s="76">
        <v>8</v>
      </c>
      <c r="B226" s="77" t="s">
        <v>1382</v>
      </c>
      <c r="C226" s="76" t="s">
        <v>166</v>
      </c>
      <c r="D226" s="76">
        <v>0</v>
      </c>
      <c r="E226" s="76">
        <v>1</v>
      </c>
      <c r="F226" s="76">
        <v>3.22</v>
      </c>
      <c r="G226" s="76">
        <v>43</v>
      </c>
      <c r="H226" s="76">
        <v>0</v>
      </c>
      <c r="I226" s="76">
        <v>0</v>
      </c>
      <c r="J226" s="76">
        <v>0</v>
      </c>
      <c r="K226" s="76">
        <v>58.2</v>
      </c>
      <c r="L226" s="76">
        <v>60</v>
      </c>
      <c r="M226" s="76">
        <v>24</v>
      </c>
      <c r="N226" s="76">
        <v>21</v>
      </c>
      <c r="O226" s="76">
        <v>3</v>
      </c>
      <c r="P226" s="76">
        <v>21</v>
      </c>
      <c r="Q226" s="76">
        <v>47</v>
      </c>
      <c r="R226" s="76">
        <v>0.26500000000000001</v>
      </c>
      <c r="S226" s="76">
        <v>1.38</v>
      </c>
      <c r="T226" s="76">
        <v>8</v>
      </c>
      <c r="U226" s="77" t="s">
        <v>1382</v>
      </c>
      <c r="V226" s="76" t="s">
        <v>166</v>
      </c>
      <c r="W226" s="76">
        <v>0</v>
      </c>
      <c r="X226" s="76">
        <v>0</v>
      </c>
      <c r="Y226" s="76">
        <v>6</v>
      </c>
      <c r="Z226" s="76">
        <v>3</v>
      </c>
      <c r="AA226" s="76">
        <v>10</v>
      </c>
      <c r="AB226" s="76">
        <v>5</v>
      </c>
      <c r="AC226" s="76">
        <v>7</v>
      </c>
      <c r="AD226" s="76">
        <v>78</v>
      </c>
      <c r="AE226" s="76">
        <v>44</v>
      </c>
      <c r="AF226" s="76">
        <v>4</v>
      </c>
      <c r="AG226" s="76">
        <v>0</v>
      </c>
      <c r="AH226" s="76">
        <v>4</v>
      </c>
      <c r="AI226" s="76">
        <v>2</v>
      </c>
      <c r="AJ226" s="76">
        <v>0</v>
      </c>
      <c r="AK226" s="76">
        <v>256</v>
      </c>
      <c r="AL226" s="76">
        <v>910</v>
      </c>
      <c r="AM226" s="202"/>
      <c r="AN226" s="77"/>
      <c r="AO226" s="202"/>
      <c r="AP226" s="202"/>
      <c r="AQ226" s="202"/>
      <c r="AR226" s="202"/>
      <c r="AS226" s="202"/>
      <c r="AT226" s="202"/>
      <c r="AU226" s="202"/>
      <c r="AV226" s="202"/>
      <c r="AW226" s="202"/>
      <c r="AX226" s="202"/>
      <c r="AY226" s="202"/>
    </row>
    <row r="227" spans="1:51" ht="25.5" x14ac:dyDescent="0.2">
      <c r="A227" s="76">
        <v>9</v>
      </c>
      <c r="B227" s="77" t="s">
        <v>1457</v>
      </c>
      <c r="C227" s="76" t="s">
        <v>166</v>
      </c>
      <c r="D227" s="76">
        <v>2</v>
      </c>
      <c r="E227" s="76">
        <v>2</v>
      </c>
      <c r="F227" s="76">
        <v>3.32</v>
      </c>
      <c r="G227" s="76">
        <v>14</v>
      </c>
      <c r="H227" s="76">
        <v>2</v>
      </c>
      <c r="I227" s="76">
        <v>0</v>
      </c>
      <c r="J227" s="76">
        <v>0</v>
      </c>
      <c r="K227" s="76">
        <v>21.2</v>
      </c>
      <c r="L227" s="76">
        <v>25</v>
      </c>
      <c r="M227" s="76">
        <v>8</v>
      </c>
      <c r="N227" s="76">
        <v>8</v>
      </c>
      <c r="O227" s="76">
        <v>3</v>
      </c>
      <c r="P227" s="76">
        <v>5</v>
      </c>
      <c r="Q227" s="76">
        <v>15</v>
      </c>
      <c r="R227" s="76">
        <v>0.29799999999999999</v>
      </c>
      <c r="S227" s="76">
        <v>1.38</v>
      </c>
      <c r="T227" s="76">
        <v>9</v>
      </c>
      <c r="U227" s="77" t="s">
        <v>1457</v>
      </c>
      <c r="V227" s="76" t="s">
        <v>166</v>
      </c>
      <c r="W227" s="76">
        <v>0</v>
      </c>
      <c r="X227" s="76">
        <v>0</v>
      </c>
      <c r="Y227" s="76">
        <v>1</v>
      </c>
      <c r="Z227" s="76">
        <v>0</v>
      </c>
      <c r="AA227" s="76">
        <v>4</v>
      </c>
      <c r="AB227" s="76">
        <v>2</v>
      </c>
      <c r="AC227" s="76">
        <v>0</v>
      </c>
      <c r="AD227" s="76">
        <v>19</v>
      </c>
      <c r="AE227" s="76">
        <v>26</v>
      </c>
      <c r="AF227" s="76">
        <v>1</v>
      </c>
      <c r="AG227" s="76">
        <v>0</v>
      </c>
      <c r="AH227" s="76">
        <v>0</v>
      </c>
      <c r="AI227" s="76">
        <v>1</v>
      </c>
      <c r="AJ227" s="76">
        <v>3</v>
      </c>
      <c r="AK227" s="76">
        <v>91</v>
      </c>
      <c r="AL227" s="76">
        <v>347</v>
      </c>
      <c r="AM227" s="202"/>
      <c r="AN227" s="77"/>
      <c r="AO227" s="202"/>
      <c r="AP227" s="202"/>
      <c r="AQ227" s="202"/>
      <c r="AR227" s="202"/>
      <c r="AS227" s="202"/>
      <c r="AT227" s="202"/>
      <c r="AU227" s="202"/>
      <c r="AV227" s="202"/>
      <c r="AW227" s="202"/>
      <c r="AX227" s="202"/>
      <c r="AY227" s="202"/>
    </row>
    <row r="228" spans="1:51" ht="25.5" x14ac:dyDescent="0.2">
      <c r="A228" s="76">
        <v>10</v>
      </c>
      <c r="B228" s="77" t="s">
        <v>557</v>
      </c>
      <c r="C228" s="76" t="s">
        <v>166</v>
      </c>
      <c r="D228" s="76">
        <v>1</v>
      </c>
      <c r="E228" s="76">
        <v>3</v>
      </c>
      <c r="F228" s="76">
        <v>3.68</v>
      </c>
      <c r="G228" s="76">
        <v>27</v>
      </c>
      <c r="H228" s="76">
        <v>0</v>
      </c>
      <c r="I228" s="76">
        <v>0</v>
      </c>
      <c r="J228" s="76">
        <v>4</v>
      </c>
      <c r="K228" s="76">
        <v>22</v>
      </c>
      <c r="L228" s="76">
        <v>18</v>
      </c>
      <c r="M228" s="76">
        <v>13</v>
      </c>
      <c r="N228" s="76">
        <v>9</v>
      </c>
      <c r="O228" s="76">
        <v>3</v>
      </c>
      <c r="P228" s="76">
        <v>9</v>
      </c>
      <c r="Q228" s="76">
        <v>22</v>
      </c>
      <c r="R228" s="76">
        <v>0.22500000000000001</v>
      </c>
      <c r="S228" s="76">
        <v>1.23</v>
      </c>
      <c r="T228" s="76">
        <v>10</v>
      </c>
      <c r="U228" s="77" t="s">
        <v>557</v>
      </c>
      <c r="V228" s="76" t="s">
        <v>166</v>
      </c>
      <c r="W228" s="76">
        <v>0</v>
      </c>
      <c r="X228" s="76">
        <v>0</v>
      </c>
      <c r="Y228" s="76">
        <v>1</v>
      </c>
      <c r="Z228" s="76">
        <v>1</v>
      </c>
      <c r="AA228" s="76">
        <v>3</v>
      </c>
      <c r="AB228" s="76">
        <v>12</v>
      </c>
      <c r="AC228" s="76">
        <v>2</v>
      </c>
      <c r="AD228" s="76">
        <v>18</v>
      </c>
      <c r="AE228" s="76">
        <v>24</v>
      </c>
      <c r="AF228" s="76">
        <v>3</v>
      </c>
      <c r="AG228" s="76">
        <v>0</v>
      </c>
      <c r="AH228" s="76">
        <v>1</v>
      </c>
      <c r="AI228" s="76">
        <v>0</v>
      </c>
      <c r="AJ228" s="76">
        <v>0</v>
      </c>
      <c r="AK228" s="76">
        <v>92</v>
      </c>
      <c r="AL228" s="76">
        <v>345</v>
      </c>
      <c r="AM228" s="202"/>
      <c r="AN228" s="77"/>
      <c r="AO228" s="202"/>
      <c r="AP228" s="202"/>
      <c r="AQ228" s="202"/>
      <c r="AR228" s="202"/>
      <c r="AS228" s="202"/>
      <c r="AT228" s="202"/>
      <c r="AU228" s="202"/>
      <c r="AV228" s="202"/>
      <c r="AW228" s="202"/>
      <c r="AX228" s="202"/>
      <c r="AY228" s="202"/>
    </row>
    <row r="229" spans="1:51" ht="25.5" x14ac:dyDescent="0.2">
      <c r="A229" s="76">
        <v>11</v>
      </c>
      <c r="B229" s="77" t="s">
        <v>778</v>
      </c>
      <c r="C229" s="76" t="s">
        <v>166</v>
      </c>
      <c r="D229" s="76">
        <v>2</v>
      </c>
      <c r="E229" s="76">
        <v>4</v>
      </c>
      <c r="F229" s="76">
        <v>3.95</v>
      </c>
      <c r="G229" s="76">
        <v>61</v>
      </c>
      <c r="H229" s="76">
        <v>0</v>
      </c>
      <c r="I229" s="76">
        <v>1</v>
      </c>
      <c r="J229" s="76">
        <v>3</v>
      </c>
      <c r="K229" s="76">
        <v>66</v>
      </c>
      <c r="L229" s="76">
        <v>80</v>
      </c>
      <c r="M229" s="76">
        <v>30</v>
      </c>
      <c r="N229" s="76">
        <v>29</v>
      </c>
      <c r="O229" s="76">
        <v>4</v>
      </c>
      <c r="P229" s="76">
        <v>17</v>
      </c>
      <c r="Q229" s="76">
        <v>26</v>
      </c>
      <c r="R229" s="76">
        <v>0.30499999999999999</v>
      </c>
      <c r="S229" s="76">
        <v>1.47</v>
      </c>
      <c r="T229" s="76">
        <v>11</v>
      </c>
      <c r="U229" s="77" t="s">
        <v>778</v>
      </c>
      <c r="V229" s="76" t="s">
        <v>166</v>
      </c>
      <c r="W229" s="76">
        <v>0</v>
      </c>
      <c r="X229" s="76">
        <v>0</v>
      </c>
      <c r="Y229" s="76">
        <v>1</v>
      </c>
      <c r="Z229" s="76">
        <v>3</v>
      </c>
      <c r="AA229" s="76">
        <v>17</v>
      </c>
      <c r="AB229" s="76">
        <v>5</v>
      </c>
      <c r="AC229" s="76">
        <v>11</v>
      </c>
      <c r="AD229" s="76">
        <v>84</v>
      </c>
      <c r="AE229" s="76">
        <v>74</v>
      </c>
      <c r="AF229" s="76">
        <v>0</v>
      </c>
      <c r="AG229" s="76">
        <v>0</v>
      </c>
      <c r="AH229" s="76">
        <v>3</v>
      </c>
      <c r="AI229" s="76">
        <v>2</v>
      </c>
      <c r="AJ229" s="76">
        <v>0</v>
      </c>
      <c r="AK229" s="76">
        <v>282</v>
      </c>
      <c r="AL229" s="76">
        <v>1052</v>
      </c>
      <c r="AM229" s="202"/>
      <c r="AN229" s="77"/>
      <c r="AO229" s="202"/>
      <c r="AP229" s="202"/>
      <c r="AQ229" s="202"/>
      <c r="AR229" s="202"/>
      <c r="AS229" s="202"/>
      <c r="AT229" s="202"/>
      <c r="AU229" s="202"/>
      <c r="AV229" s="202"/>
      <c r="AW229" s="202"/>
      <c r="AX229" s="202"/>
      <c r="AY229" s="202"/>
    </row>
    <row r="230" spans="1:51" ht="25.5" x14ac:dyDescent="0.2">
      <c r="A230" s="76">
        <v>12</v>
      </c>
      <c r="B230" s="77" t="s">
        <v>1128</v>
      </c>
      <c r="C230" s="76" t="s">
        <v>166</v>
      </c>
      <c r="D230" s="76">
        <v>11</v>
      </c>
      <c r="E230" s="76">
        <v>7</v>
      </c>
      <c r="F230" s="76">
        <v>3.97</v>
      </c>
      <c r="G230" s="76">
        <v>28</v>
      </c>
      <c r="H230" s="76">
        <v>28</v>
      </c>
      <c r="I230" s="76">
        <v>0</v>
      </c>
      <c r="J230" s="76">
        <v>0</v>
      </c>
      <c r="K230" s="76">
        <v>163.1</v>
      </c>
      <c r="L230" s="76">
        <v>166</v>
      </c>
      <c r="M230" s="76">
        <v>79</v>
      </c>
      <c r="N230" s="76">
        <v>72</v>
      </c>
      <c r="O230" s="76">
        <v>20</v>
      </c>
      <c r="P230" s="76">
        <v>38</v>
      </c>
      <c r="Q230" s="76">
        <v>135</v>
      </c>
      <c r="R230" s="76">
        <v>0.26300000000000001</v>
      </c>
      <c r="S230" s="76">
        <v>1.25</v>
      </c>
      <c r="T230" s="76">
        <v>12</v>
      </c>
      <c r="U230" s="77" t="s">
        <v>1128</v>
      </c>
      <c r="V230" s="76" t="s">
        <v>166</v>
      </c>
      <c r="W230" s="76">
        <v>0</v>
      </c>
      <c r="X230" s="76">
        <v>0</v>
      </c>
      <c r="Y230" s="76">
        <v>6</v>
      </c>
      <c r="Z230" s="76">
        <v>0</v>
      </c>
      <c r="AA230" s="76">
        <v>0</v>
      </c>
      <c r="AB230" s="76">
        <v>0</v>
      </c>
      <c r="AC230" s="76">
        <v>11</v>
      </c>
      <c r="AD230" s="76">
        <v>188</v>
      </c>
      <c r="AE230" s="76">
        <v>151</v>
      </c>
      <c r="AF230" s="76">
        <v>3</v>
      </c>
      <c r="AG230" s="76">
        <v>0</v>
      </c>
      <c r="AH230" s="76">
        <v>8</v>
      </c>
      <c r="AI230" s="76">
        <v>9</v>
      </c>
      <c r="AJ230" s="76">
        <v>0</v>
      </c>
      <c r="AK230" s="76">
        <v>682</v>
      </c>
      <c r="AL230" s="76">
        <v>2588</v>
      </c>
      <c r="AM230" s="202"/>
      <c r="AN230" s="77"/>
      <c r="AO230" s="202"/>
      <c r="AP230" s="202"/>
      <c r="AQ230" s="202"/>
      <c r="AR230" s="202"/>
      <c r="AS230" s="202"/>
      <c r="AT230" s="202"/>
      <c r="AU230" s="202"/>
      <c r="AV230" s="202"/>
      <c r="AW230" s="202"/>
      <c r="AX230" s="202"/>
      <c r="AY230" s="202"/>
    </row>
    <row r="231" spans="1:51" ht="25.5" x14ac:dyDescent="0.2">
      <c r="A231" s="76">
        <v>13</v>
      </c>
      <c r="B231" s="77" t="s">
        <v>382</v>
      </c>
      <c r="C231" s="76" t="s">
        <v>166</v>
      </c>
      <c r="D231" s="76">
        <v>1</v>
      </c>
      <c r="E231" s="76">
        <v>1</v>
      </c>
      <c r="F231" s="76">
        <v>4.13</v>
      </c>
      <c r="G231" s="76">
        <v>16</v>
      </c>
      <c r="H231" s="76">
        <v>0</v>
      </c>
      <c r="I231" s="76">
        <v>0</v>
      </c>
      <c r="J231" s="76">
        <v>1</v>
      </c>
      <c r="K231" s="76">
        <v>24</v>
      </c>
      <c r="L231" s="76">
        <v>23</v>
      </c>
      <c r="M231" s="76">
        <v>11</v>
      </c>
      <c r="N231" s="76">
        <v>11</v>
      </c>
      <c r="O231" s="76">
        <v>7</v>
      </c>
      <c r="P231" s="76">
        <v>15</v>
      </c>
      <c r="Q231" s="76">
        <v>27</v>
      </c>
      <c r="R231" s="76">
        <v>0.25600000000000001</v>
      </c>
      <c r="S231" s="76">
        <v>1.58</v>
      </c>
      <c r="T231" s="76">
        <v>13</v>
      </c>
      <c r="U231" s="77" t="s">
        <v>382</v>
      </c>
      <c r="V231" s="76" t="s">
        <v>166</v>
      </c>
      <c r="W231" s="76">
        <v>0</v>
      </c>
      <c r="X231" s="76">
        <v>0</v>
      </c>
      <c r="Y231" s="76">
        <v>1</v>
      </c>
      <c r="Z231" s="76">
        <v>2</v>
      </c>
      <c r="AA231" s="76">
        <v>3</v>
      </c>
      <c r="AB231" s="76">
        <v>1</v>
      </c>
      <c r="AC231" s="76">
        <v>4</v>
      </c>
      <c r="AD231" s="76">
        <v>20</v>
      </c>
      <c r="AE231" s="76">
        <v>20</v>
      </c>
      <c r="AF231" s="76">
        <v>1</v>
      </c>
      <c r="AG231" s="76">
        <v>0</v>
      </c>
      <c r="AH231" s="76">
        <v>0</v>
      </c>
      <c r="AI231" s="76">
        <v>1</v>
      </c>
      <c r="AJ231" s="76">
        <v>0</v>
      </c>
      <c r="AK231" s="76">
        <v>106</v>
      </c>
      <c r="AL231" s="76">
        <v>438</v>
      </c>
      <c r="AM231" s="202"/>
      <c r="AN231" s="77"/>
      <c r="AO231" s="202"/>
      <c r="AP231" s="202"/>
      <c r="AQ231" s="202"/>
      <c r="AR231" s="202"/>
      <c r="AS231" s="202"/>
      <c r="AT231" s="202"/>
      <c r="AU231" s="202"/>
      <c r="AV231" s="202"/>
      <c r="AW231" s="202"/>
      <c r="AX231" s="202"/>
      <c r="AY231" s="202"/>
    </row>
    <row r="232" spans="1:51" ht="25.5" x14ac:dyDescent="0.2">
      <c r="A232" s="76">
        <v>14</v>
      </c>
      <c r="B232" s="77" t="s">
        <v>747</v>
      </c>
      <c r="C232" s="76" t="s">
        <v>166</v>
      </c>
      <c r="D232" s="76">
        <v>9</v>
      </c>
      <c r="E232" s="76">
        <v>11</v>
      </c>
      <c r="F232" s="76">
        <v>4.3899999999999997</v>
      </c>
      <c r="G232" s="76">
        <v>31</v>
      </c>
      <c r="H232" s="76">
        <v>30</v>
      </c>
      <c r="I232" s="76">
        <v>0</v>
      </c>
      <c r="J232" s="76">
        <v>0</v>
      </c>
      <c r="K232" s="76">
        <v>151.19999999999999</v>
      </c>
      <c r="L232" s="76">
        <v>155</v>
      </c>
      <c r="M232" s="76">
        <v>83</v>
      </c>
      <c r="N232" s="76">
        <v>74</v>
      </c>
      <c r="O232" s="76">
        <v>28</v>
      </c>
      <c r="P232" s="76">
        <v>53</v>
      </c>
      <c r="Q232" s="76">
        <v>120</v>
      </c>
      <c r="R232" s="76">
        <v>0.26600000000000001</v>
      </c>
      <c r="S232" s="76">
        <v>1.37</v>
      </c>
      <c r="T232" s="76">
        <v>14</v>
      </c>
      <c r="U232" s="77" t="s">
        <v>747</v>
      </c>
      <c r="V232" s="76" t="s">
        <v>166</v>
      </c>
      <c r="W232" s="76">
        <v>0</v>
      </c>
      <c r="X232" s="76">
        <v>0</v>
      </c>
      <c r="Y232" s="76">
        <v>4</v>
      </c>
      <c r="Z232" s="76">
        <v>0</v>
      </c>
      <c r="AA232" s="76">
        <v>1</v>
      </c>
      <c r="AB232" s="76">
        <v>0</v>
      </c>
      <c r="AC232" s="76">
        <v>12</v>
      </c>
      <c r="AD232" s="76">
        <v>137</v>
      </c>
      <c r="AE232" s="76">
        <v>178</v>
      </c>
      <c r="AF232" s="76">
        <v>4</v>
      </c>
      <c r="AG232" s="76">
        <v>0</v>
      </c>
      <c r="AH232" s="76">
        <v>7</v>
      </c>
      <c r="AI232" s="76">
        <v>8</v>
      </c>
      <c r="AJ232" s="76">
        <v>0</v>
      </c>
      <c r="AK232" s="76">
        <v>647</v>
      </c>
      <c r="AL232" s="76">
        <v>2639</v>
      </c>
      <c r="AM232" s="202"/>
      <c r="AN232" s="77"/>
      <c r="AO232" s="202"/>
      <c r="AP232" s="202"/>
      <c r="AQ232" s="202"/>
      <c r="AR232" s="202"/>
      <c r="AS232" s="202"/>
      <c r="AT232" s="202"/>
      <c r="AU232" s="202"/>
      <c r="AV232" s="202"/>
      <c r="AW232" s="202"/>
      <c r="AX232" s="202"/>
      <c r="AY232" s="202"/>
    </row>
    <row r="233" spans="1:51" ht="25.5" x14ac:dyDescent="0.2">
      <c r="A233" s="76">
        <v>15</v>
      </c>
      <c r="B233" s="77" t="s">
        <v>344</v>
      </c>
      <c r="C233" s="76" t="s">
        <v>166</v>
      </c>
      <c r="D233" s="76">
        <v>6</v>
      </c>
      <c r="E233" s="76">
        <v>8</v>
      </c>
      <c r="F233" s="76">
        <v>4.51</v>
      </c>
      <c r="G233" s="76">
        <v>19</v>
      </c>
      <c r="H233" s="76">
        <v>19</v>
      </c>
      <c r="I233" s="76">
        <v>0</v>
      </c>
      <c r="J233" s="76">
        <v>0</v>
      </c>
      <c r="K233" s="76">
        <v>101.2</v>
      </c>
      <c r="L233" s="76">
        <v>117</v>
      </c>
      <c r="M233" s="76">
        <v>67</v>
      </c>
      <c r="N233" s="76">
        <v>51</v>
      </c>
      <c r="O233" s="76">
        <v>11</v>
      </c>
      <c r="P233" s="76">
        <v>36</v>
      </c>
      <c r="Q233" s="76">
        <v>70</v>
      </c>
      <c r="R233" s="76">
        <v>0.28299999999999997</v>
      </c>
      <c r="S233" s="76">
        <v>1.5</v>
      </c>
      <c r="T233" s="76">
        <v>15</v>
      </c>
      <c r="U233" s="77" t="s">
        <v>344</v>
      </c>
      <c r="V233" s="76" t="s">
        <v>166</v>
      </c>
      <c r="W233" s="76">
        <v>0</v>
      </c>
      <c r="X233" s="76">
        <v>0</v>
      </c>
      <c r="Y233" s="76">
        <v>3</v>
      </c>
      <c r="Z233" s="76">
        <v>2</v>
      </c>
      <c r="AA233" s="76">
        <v>0</v>
      </c>
      <c r="AB233" s="76">
        <v>0</v>
      </c>
      <c r="AC233" s="76">
        <v>8</v>
      </c>
      <c r="AD233" s="76">
        <v>148</v>
      </c>
      <c r="AE233" s="76">
        <v>87</v>
      </c>
      <c r="AF233" s="76">
        <v>3</v>
      </c>
      <c r="AG233" s="76">
        <v>0</v>
      </c>
      <c r="AH233" s="76">
        <v>3</v>
      </c>
      <c r="AI233" s="76">
        <v>1</v>
      </c>
      <c r="AJ233" s="76">
        <v>0</v>
      </c>
      <c r="AK233" s="76">
        <v>461</v>
      </c>
      <c r="AL233" s="76">
        <v>1717</v>
      </c>
      <c r="AM233" s="202"/>
      <c r="AN233" s="77"/>
      <c r="AO233" s="202"/>
      <c r="AP233" s="202"/>
      <c r="AQ233" s="202"/>
      <c r="AR233" s="202"/>
      <c r="AS233" s="202"/>
      <c r="AT233" s="202"/>
      <c r="AU233" s="202"/>
      <c r="AV233" s="202"/>
      <c r="AW233" s="202"/>
      <c r="AX233" s="202"/>
      <c r="AY233" s="202"/>
    </row>
    <row r="234" spans="1:51" ht="25.5" x14ac:dyDescent="0.2">
      <c r="A234" s="76">
        <v>16</v>
      </c>
      <c r="B234" s="77" t="s">
        <v>399</v>
      </c>
      <c r="C234" s="76" t="s">
        <v>166</v>
      </c>
      <c r="D234" s="76">
        <v>8</v>
      </c>
      <c r="E234" s="76">
        <v>16</v>
      </c>
      <c r="F234" s="76">
        <v>4.62</v>
      </c>
      <c r="G234" s="76">
        <v>32</v>
      </c>
      <c r="H234" s="76">
        <v>32</v>
      </c>
      <c r="I234" s="76">
        <v>0</v>
      </c>
      <c r="J234" s="76">
        <v>0</v>
      </c>
      <c r="K234" s="76">
        <v>179.1</v>
      </c>
      <c r="L234" s="76">
        <v>186</v>
      </c>
      <c r="M234" s="76">
        <v>108</v>
      </c>
      <c r="N234" s="76">
        <v>92</v>
      </c>
      <c r="O234" s="76">
        <v>25</v>
      </c>
      <c r="P234" s="76">
        <v>86</v>
      </c>
      <c r="Q234" s="76">
        <v>140</v>
      </c>
      <c r="R234" s="76">
        <v>0.26800000000000002</v>
      </c>
      <c r="S234" s="76">
        <v>1.52</v>
      </c>
      <c r="T234" s="76">
        <v>16</v>
      </c>
      <c r="U234" s="77" t="s">
        <v>399</v>
      </c>
      <c r="V234" s="76" t="s">
        <v>166</v>
      </c>
      <c r="W234" s="76">
        <v>0</v>
      </c>
      <c r="X234" s="76">
        <v>0</v>
      </c>
      <c r="Y234" s="76">
        <v>17</v>
      </c>
      <c r="Z234" s="76">
        <v>2</v>
      </c>
      <c r="AA234" s="76">
        <v>0</v>
      </c>
      <c r="AB234" s="76">
        <v>0</v>
      </c>
      <c r="AC234" s="76">
        <v>18</v>
      </c>
      <c r="AD234" s="76">
        <v>211</v>
      </c>
      <c r="AE234" s="76">
        <v>167</v>
      </c>
      <c r="AF234" s="76">
        <v>8</v>
      </c>
      <c r="AG234" s="76">
        <v>0</v>
      </c>
      <c r="AH234" s="76">
        <v>30</v>
      </c>
      <c r="AI234" s="76">
        <v>7</v>
      </c>
      <c r="AJ234" s="76">
        <v>4</v>
      </c>
      <c r="AK234" s="76">
        <v>807</v>
      </c>
      <c r="AL234" s="76">
        <v>2984</v>
      </c>
      <c r="AM234" s="202"/>
      <c r="AN234" s="77"/>
      <c r="AO234" s="202"/>
      <c r="AP234" s="202"/>
      <c r="AQ234" s="202"/>
      <c r="AR234" s="202"/>
      <c r="AS234" s="202"/>
      <c r="AT234" s="202"/>
      <c r="AU234" s="202"/>
      <c r="AV234" s="202"/>
      <c r="AW234" s="202"/>
      <c r="AX234" s="202"/>
      <c r="AY234" s="202"/>
    </row>
    <row r="235" spans="1:51" ht="25.5" x14ac:dyDescent="0.2">
      <c r="A235" s="76">
        <v>17</v>
      </c>
      <c r="B235" s="77" t="s">
        <v>800</v>
      </c>
      <c r="C235" s="76" t="s">
        <v>166</v>
      </c>
      <c r="D235" s="76">
        <v>1</v>
      </c>
      <c r="E235" s="76">
        <v>4</v>
      </c>
      <c r="F235" s="76">
        <v>4.68</v>
      </c>
      <c r="G235" s="76">
        <v>35</v>
      </c>
      <c r="H235" s="76">
        <v>0</v>
      </c>
      <c r="I235" s="76">
        <v>2</v>
      </c>
      <c r="J235" s="76">
        <v>4</v>
      </c>
      <c r="K235" s="76">
        <v>32.200000000000003</v>
      </c>
      <c r="L235" s="76">
        <v>32</v>
      </c>
      <c r="M235" s="76">
        <v>20</v>
      </c>
      <c r="N235" s="76">
        <v>17</v>
      </c>
      <c r="O235" s="76">
        <v>3</v>
      </c>
      <c r="P235" s="76">
        <v>16</v>
      </c>
      <c r="Q235" s="76">
        <v>38</v>
      </c>
      <c r="R235" s="76">
        <v>0.252</v>
      </c>
      <c r="S235" s="76">
        <v>1.47</v>
      </c>
      <c r="T235" s="76">
        <v>17</v>
      </c>
      <c r="U235" s="77" t="s">
        <v>800</v>
      </c>
      <c r="V235" s="76" t="s">
        <v>166</v>
      </c>
      <c r="W235" s="76">
        <v>0</v>
      </c>
      <c r="X235" s="76">
        <v>0</v>
      </c>
      <c r="Y235" s="76">
        <v>1</v>
      </c>
      <c r="Z235" s="76">
        <v>3</v>
      </c>
      <c r="AA235" s="76">
        <v>7</v>
      </c>
      <c r="AB235" s="76">
        <v>13</v>
      </c>
      <c r="AC235" s="76">
        <v>1</v>
      </c>
      <c r="AD235" s="76">
        <v>23</v>
      </c>
      <c r="AE235" s="76">
        <v>35</v>
      </c>
      <c r="AF235" s="76">
        <v>1</v>
      </c>
      <c r="AG235" s="76">
        <v>0</v>
      </c>
      <c r="AH235" s="76">
        <v>4</v>
      </c>
      <c r="AI235" s="76">
        <v>1</v>
      </c>
      <c r="AJ235" s="76">
        <v>0</v>
      </c>
      <c r="AK235" s="76">
        <v>145</v>
      </c>
      <c r="AL235" s="76">
        <v>612</v>
      </c>
      <c r="AM235" s="202"/>
      <c r="AN235" s="77"/>
      <c r="AO235" s="202"/>
      <c r="AP235" s="202"/>
      <c r="AQ235" s="202"/>
      <c r="AR235" s="202"/>
      <c r="AS235" s="202"/>
      <c r="AT235" s="202"/>
      <c r="AU235" s="202"/>
      <c r="AV235" s="202"/>
      <c r="AW235" s="202"/>
      <c r="AX235" s="202"/>
      <c r="AY235" s="202"/>
    </row>
    <row r="236" spans="1:51" ht="25.5" x14ac:dyDescent="0.2">
      <c r="A236" s="76">
        <v>18</v>
      </c>
      <c r="B236" s="77" t="s">
        <v>407</v>
      </c>
      <c r="C236" s="76" t="s">
        <v>166</v>
      </c>
      <c r="D236" s="76">
        <v>7</v>
      </c>
      <c r="E236" s="76">
        <v>11</v>
      </c>
      <c r="F236" s="76">
        <v>4.8600000000000003</v>
      </c>
      <c r="G236" s="76">
        <v>23</v>
      </c>
      <c r="H236" s="76">
        <v>23</v>
      </c>
      <c r="I236" s="76">
        <v>0</v>
      </c>
      <c r="J236" s="76">
        <v>0</v>
      </c>
      <c r="K236" s="76">
        <v>127.2</v>
      </c>
      <c r="L236" s="76">
        <v>152</v>
      </c>
      <c r="M236" s="76">
        <v>73</v>
      </c>
      <c r="N236" s="76">
        <v>69</v>
      </c>
      <c r="O236" s="76">
        <v>19</v>
      </c>
      <c r="P236" s="76">
        <v>43</v>
      </c>
      <c r="Q236" s="76">
        <v>93</v>
      </c>
      <c r="R236" s="76">
        <v>0.30499999999999999</v>
      </c>
      <c r="S236" s="76">
        <v>1.53</v>
      </c>
      <c r="T236" s="76">
        <v>18</v>
      </c>
      <c r="U236" s="77" t="s">
        <v>407</v>
      </c>
      <c r="V236" s="76" t="s">
        <v>166</v>
      </c>
      <c r="W236" s="76">
        <v>0</v>
      </c>
      <c r="X236" s="76">
        <v>0</v>
      </c>
      <c r="Y236" s="76">
        <v>3</v>
      </c>
      <c r="Z236" s="76">
        <v>1</v>
      </c>
      <c r="AA236" s="76">
        <v>0</v>
      </c>
      <c r="AB236" s="76">
        <v>0</v>
      </c>
      <c r="AC236" s="76">
        <v>12</v>
      </c>
      <c r="AD236" s="76">
        <v>166</v>
      </c>
      <c r="AE236" s="76">
        <v>97</v>
      </c>
      <c r="AF236" s="76">
        <v>0</v>
      </c>
      <c r="AG236" s="76">
        <v>0</v>
      </c>
      <c r="AH236" s="76">
        <v>11</v>
      </c>
      <c r="AI236" s="76">
        <v>10</v>
      </c>
      <c r="AJ236" s="76">
        <v>1</v>
      </c>
      <c r="AK236" s="76">
        <v>554</v>
      </c>
      <c r="AL236" s="76">
        <v>2132</v>
      </c>
      <c r="AM236" s="202"/>
      <c r="AN236" s="77"/>
      <c r="AO236" s="202"/>
      <c r="AP236" s="202"/>
      <c r="AQ236" s="202"/>
      <c r="AR236" s="202"/>
      <c r="AS236" s="202"/>
      <c r="AT236" s="202"/>
      <c r="AU236" s="202"/>
      <c r="AV236" s="202"/>
      <c r="AW236" s="202"/>
      <c r="AX236" s="202"/>
      <c r="AY236" s="202"/>
    </row>
    <row r="237" spans="1:51" ht="25.5" x14ac:dyDescent="0.2">
      <c r="A237" s="76">
        <v>19</v>
      </c>
      <c r="B237" s="77" t="s">
        <v>1127</v>
      </c>
      <c r="C237" s="76" t="s">
        <v>166</v>
      </c>
      <c r="D237" s="76">
        <v>3</v>
      </c>
      <c r="E237" s="76">
        <v>1</v>
      </c>
      <c r="F237" s="76">
        <v>5.66</v>
      </c>
      <c r="G237" s="76">
        <v>41</v>
      </c>
      <c r="H237" s="76">
        <v>0</v>
      </c>
      <c r="I237" s="76">
        <v>0</v>
      </c>
      <c r="J237" s="76">
        <v>2</v>
      </c>
      <c r="K237" s="76">
        <v>41.1</v>
      </c>
      <c r="L237" s="76">
        <v>52</v>
      </c>
      <c r="M237" s="76">
        <v>31</v>
      </c>
      <c r="N237" s="76">
        <v>26</v>
      </c>
      <c r="O237" s="76">
        <v>7</v>
      </c>
      <c r="P237" s="76">
        <v>27</v>
      </c>
      <c r="Q237" s="76">
        <v>36</v>
      </c>
      <c r="R237" s="76">
        <v>0.311</v>
      </c>
      <c r="S237" s="76">
        <v>1.91</v>
      </c>
      <c r="T237" s="76">
        <v>19</v>
      </c>
      <c r="U237" s="77" t="s">
        <v>1127</v>
      </c>
      <c r="V237" s="76" t="s">
        <v>166</v>
      </c>
      <c r="W237" s="76">
        <v>0</v>
      </c>
      <c r="X237" s="76">
        <v>0</v>
      </c>
      <c r="Y237" s="76">
        <v>2</v>
      </c>
      <c r="Z237" s="76">
        <v>3</v>
      </c>
      <c r="AA237" s="76">
        <v>7</v>
      </c>
      <c r="AB237" s="76">
        <v>9</v>
      </c>
      <c r="AC237" s="76">
        <v>5</v>
      </c>
      <c r="AD237" s="76">
        <v>39</v>
      </c>
      <c r="AE237" s="76">
        <v>45</v>
      </c>
      <c r="AF237" s="76">
        <v>2</v>
      </c>
      <c r="AG237" s="76">
        <v>0</v>
      </c>
      <c r="AH237" s="76">
        <v>2</v>
      </c>
      <c r="AI237" s="76">
        <v>4</v>
      </c>
      <c r="AJ237" s="76">
        <v>1</v>
      </c>
      <c r="AK237" s="76">
        <v>201</v>
      </c>
      <c r="AL237" s="76">
        <v>818</v>
      </c>
      <c r="AM237" s="202"/>
      <c r="AN237" s="77"/>
      <c r="AO237" s="202"/>
      <c r="AP237" s="202"/>
      <c r="AQ237" s="202"/>
      <c r="AR237" s="202"/>
      <c r="AS237" s="202"/>
      <c r="AT237" s="202"/>
      <c r="AU237" s="202"/>
      <c r="AV237" s="202"/>
      <c r="AW237" s="202"/>
      <c r="AX237" s="202"/>
      <c r="AY237" s="202"/>
    </row>
    <row r="238" spans="1:51" ht="25.5" x14ac:dyDescent="0.2">
      <c r="A238" s="76">
        <v>20</v>
      </c>
      <c r="B238" s="77" t="s">
        <v>1458</v>
      </c>
      <c r="C238" s="76" t="s">
        <v>166</v>
      </c>
      <c r="D238" s="76">
        <v>0</v>
      </c>
      <c r="E238" s="76">
        <v>0</v>
      </c>
      <c r="F238" s="76">
        <v>6</v>
      </c>
      <c r="G238" s="76">
        <v>3</v>
      </c>
      <c r="H238" s="76">
        <v>0</v>
      </c>
      <c r="I238" s="76">
        <v>0</v>
      </c>
      <c r="J238" s="76">
        <v>0</v>
      </c>
      <c r="K238" s="76">
        <v>3</v>
      </c>
      <c r="L238" s="76">
        <v>2</v>
      </c>
      <c r="M238" s="76">
        <v>2</v>
      </c>
      <c r="N238" s="76">
        <v>2</v>
      </c>
      <c r="O238" s="76">
        <v>0</v>
      </c>
      <c r="P238" s="76">
        <v>3</v>
      </c>
      <c r="Q238" s="76">
        <v>0</v>
      </c>
      <c r="R238" s="76">
        <v>0.2</v>
      </c>
      <c r="S238" s="76">
        <v>1.67</v>
      </c>
      <c r="T238" s="76">
        <v>20</v>
      </c>
      <c r="U238" s="77" t="s">
        <v>1458</v>
      </c>
      <c r="V238" s="76" t="s">
        <v>166</v>
      </c>
      <c r="W238" s="76">
        <v>0</v>
      </c>
      <c r="X238" s="76">
        <v>0</v>
      </c>
      <c r="Y238" s="76">
        <v>1</v>
      </c>
      <c r="Z238" s="76">
        <v>0</v>
      </c>
      <c r="AA238" s="76">
        <v>3</v>
      </c>
      <c r="AB238" s="76">
        <v>0</v>
      </c>
      <c r="AC238" s="76">
        <v>0</v>
      </c>
      <c r="AD238" s="76">
        <v>5</v>
      </c>
      <c r="AE238" s="76">
        <v>4</v>
      </c>
      <c r="AF238" s="76">
        <v>2</v>
      </c>
      <c r="AG238" s="76">
        <v>0</v>
      </c>
      <c r="AH238" s="76">
        <v>0</v>
      </c>
      <c r="AI238" s="76">
        <v>0</v>
      </c>
      <c r="AJ238" s="76">
        <v>0</v>
      </c>
      <c r="AK238" s="76">
        <v>15</v>
      </c>
      <c r="AL238" s="76">
        <v>54</v>
      </c>
      <c r="AM238" s="202"/>
      <c r="AN238" s="77"/>
      <c r="AO238" s="202"/>
      <c r="AP238" s="202"/>
      <c r="AQ238" s="202"/>
      <c r="AR238" s="202"/>
      <c r="AS238" s="202"/>
      <c r="AT238" s="202"/>
      <c r="AU238" s="202"/>
      <c r="AV238" s="202"/>
      <c r="AW238" s="202"/>
      <c r="AX238" s="202"/>
      <c r="AY238" s="202"/>
    </row>
    <row r="239" spans="1:51" ht="25.5" x14ac:dyDescent="0.2">
      <c r="A239" s="76">
        <v>21</v>
      </c>
      <c r="B239" s="77" t="s">
        <v>1129</v>
      </c>
      <c r="C239" s="76" t="s">
        <v>166</v>
      </c>
      <c r="D239" s="76">
        <v>0</v>
      </c>
      <c r="E239" s="76">
        <v>5</v>
      </c>
      <c r="F239" s="76">
        <v>7.76</v>
      </c>
      <c r="G239" s="76">
        <v>8</v>
      </c>
      <c r="H239" s="76">
        <v>6</v>
      </c>
      <c r="I239" s="76">
        <v>0</v>
      </c>
      <c r="J239" s="76">
        <v>0</v>
      </c>
      <c r="K239" s="76">
        <v>26.2</v>
      </c>
      <c r="L239" s="76">
        <v>30</v>
      </c>
      <c r="M239" s="76">
        <v>24</v>
      </c>
      <c r="N239" s="76">
        <v>23</v>
      </c>
      <c r="O239" s="76">
        <v>4</v>
      </c>
      <c r="P239" s="76">
        <v>17</v>
      </c>
      <c r="Q239" s="76">
        <v>18</v>
      </c>
      <c r="R239" s="76">
        <v>0.29099999999999998</v>
      </c>
      <c r="S239" s="76">
        <v>1.76</v>
      </c>
      <c r="T239" s="76">
        <v>21</v>
      </c>
      <c r="U239" s="77" t="s">
        <v>1129</v>
      </c>
      <c r="V239" s="76" t="s">
        <v>166</v>
      </c>
      <c r="W239" s="76">
        <v>0</v>
      </c>
      <c r="X239" s="76">
        <v>0</v>
      </c>
      <c r="Y239" s="76">
        <v>3</v>
      </c>
      <c r="Z239" s="76">
        <v>1</v>
      </c>
      <c r="AA239" s="76">
        <v>2</v>
      </c>
      <c r="AB239" s="76">
        <v>0</v>
      </c>
      <c r="AC239" s="76">
        <v>1</v>
      </c>
      <c r="AD239" s="76">
        <v>33</v>
      </c>
      <c r="AE239" s="76">
        <v>25</v>
      </c>
      <c r="AF239" s="76">
        <v>0</v>
      </c>
      <c r="AG239" s="76">
        <v>0</v>
      </c>
      <c r="AH239" s="76">
        <v>3</v>
      </c>
      <c r="AI239" s="76">
        <v>3</v>
      </c>
      <c r="AJ239" s="76">
        <v>0</v>
      </c>
      <c r="AK239" s="76">
        <v>126</v>
      </c>
      <c r="AL239" s="76">
        <v>513</v>
      </c>
      <c r="AM239" s="202"/>
      <c r="AN239" s="77"/>
      <c r="AO239" s="202"/>
      <c r="AP239" s="202"/>
      <c r="AQ239" s="202"/>
      <c r="AR239" s="202"/>
      <c r="AS239" s="202"/>
      <c r="AT239" s="202"/>
      <c r="AU239" s="202"/>
      <c r="AV239" s="202"/>
      <c r="AW239" s="202"/>
      <c r="AX239" s="202"/>
      <c r="AY239" s="202"/>
    </row>
    <row r="240" spans="1:51" ht="25.5" x14ac:dyDescent="0.2">
      <c r="A240" s="76">
        <v>22</v>
      </c>
      <c r="B240" s="77" t="s">
        <v>1459</v>
      </c>
      <c r="C240" s="76" t="s">
        <v>166</v>
      </c>
      <c r="D240" s="76">
        <v>0</v>
      </c>
      <c r="E240" s="76">
        <v>0</v>
      </c>
      <c r="F240" s="76">
        <v>9</v>
      </c>
      <c r="G240" s="76">
        <v>1</v>
      </c>
      <c r="H240" s="76">
        <v>0</v>
      </c>
      <c r="I240" s="76">
        <v>0</v>
      </c>
      <c r="J240" s="76">
        <v>0</v>
      </c>
      <c r="K240" s="76">
        <v>1</v>
      </c>
      <c r="L240" s="76">
        <v>1</v>
      </c>
      <c r="M240" s="76">
        <v>1</v>
      </c>
      <c r="N240" s="76">
        <v>1</v>
      </c>
      <c r="O240" s="76">
        <v>0</v>
      </c>
      <c r="P240" s="76">
        <v>1</v>
      </c>
      <c r="Q240" s="76">
        <v>1</v>
      </c>
      <c r="R240" s="76">
        <v>0.25</v>
      </c>
      <c r="S240" s="76">
        <v>2</v>
      </c>
      <c r="T240" s="76">
        <v>22</v>
      </c>
      <c r="U240" s="77" t="s">
        <v>1459</v>
      </c>
      <c r="V240" s="76" t="s">
        <v>166</v>
      </c>
      <c r="W240" s="76">
        <v>0</v>
      </c>
      <c r="X240" s="76">
        <v>0</v>
      </c>
      <c r="Y240" s="76">
        <v>0</v>
      </c>
      <c r="Z240" s="76">
        <v>0</v>
      </c>
      <c r="AA240" s="76">
        <v>0</v>
      </c>
      <c r="AB240" s="76">
        <v>0</v>
      </c>
      <c r="AC240" s="76">
        <v>0</v>
      </c>
      <c r="AD240" s="76">
        <v>1</v>
      </c>
      <c r="AE240" s="76">
        <v>1</v>
      </c>
      <c r="AF240" s="76">
        <v>0</v>
      </c>
      <c r="AG240" s="76">
        <v>0</v>
      </c>
      <c r="AH240" s="76">
        <v>0</v>
      </c>
      <c r="AI240" s="76">
        <v>0</v>
      </c>
      <c r="AJ240" s="76">
        <v>0</v>
      </c>
      <c r="AK240" s="76">
        <v>5</v>
      </c>
      <c r="AL240" s="76">
        <v>21</v>
      </c>
      <c r="AM240" s="202"/>
      <c r="AN240" s="77"/>
      <c r="AO240" s="202"/>
      <c r="AP240" s="202"/>
      <c r="AQ240" s="202"/>
      <c r="AR240" s="202"/>
      <c r="AS240" s="202"/>
      <c r="AT240" s="202"/>
      <c r="AU240" s="202"/>
      <c r="AV240" s="202"/>
      <c r="AW240" s="202"/>
      <c r="AX240" s="202"/>
      <c r="AY240" s="202"/>
    </row>
    <row r="241" spans="1:51" ht="25.5" x14ac:dyDescent="0.2">
      <c r="A241" s="76">
        <v>23</v>
      </c>
      <c r="B241" s="77" t="s">
        <v>752</v>
      </c>
      <c r="C241" s="76" t="s">
        <v>166</v>
      </c>
      <c r="D241" s="76">
        <v>0</v>
      </c>
      <c r="E241" s="76">
        <v>0</v>
      </c>
      <c r="F241" s="76">
        <v>10.8</v>
      </c>
      <c r="G241" s="76">
        <v>2</v>
      </c>
      <c r="H241" s="76">
        <v>0</v>
      </c>
      <c r="I241" s="76">
        <v>0</v>
      </c>
      <c r="J241" s="76">
        <v>0</v>
      </c>
      <c r="K241" s="76">
        <v>1.2</v>
      </c>
      <c r="L241" s="76">
        <v>2</v>
      </c>
      <c r="M241" s="76">
        <v>2</v>
      </c>
      <c r="N241" s="76">
        <v>2</v>
      </c>
      <c r="O241" s="76">
        <v>2</v>
      </c>
      <c r="P241" s="76">
        <v>0</v>
      </c>
      <c r="Q241" s="76">
        <v>3</v>
      </c>
      <c r="R241" s="76">
        <v>0.28599999999999998</v>
      </c>
      <c r="S241" s="76">
        <v>1.2</v>
      </c>
      <c r="T241" s="76">
        <v>23</v>
      </c>
      <c r="U241" s="77" t="s">
        <v>752</v>
      </c>
      <c r="V241" s="76" t="s">
        <v>166</v>
      </c>
      <c r="W241" s="76">
        <v>0</v>
      </c>
      <c r="X241" s="76">
        <v>0</v>
      </c>
      <c r="Y241" s="76">
        <v>0</v>
      </c>
      <c r="Z241" s="76">
        <v>0</v>
      </c>
      <c r="AA241" s="76">
        <v>0</v>
      </c>
      <c r="AB241" s="76">
        <v>0</v>
      </c>
      <c r="AC241" s="76">
        <v>0</v>
      </c>
      <c r="AD241" s="76">
        <v>1</v>
      </c>
      <c r="AE241" s="76">
        <v>1</v>
      </c>
      <c r="AF241" s="76">
        <v>0</v>
      </c>
      <c r="AG241" s="76">
        <v>0</v>
      </c>
      <c r="AH241" s="76">
        <v>0</v>
      </c>
      <c r="AI241" s="76">
        <v>0</v>
      </c>
      <c r="AJ241" s="76">
        <v>0</v>
      </c>
      <c r="AK241" s="76">
        <v>7</v>
      </c>
      <c r="AL241" s="76">
        <v>25</v>
      </c>
      <c r="AM241" s="202"/>
      <c r="AN241" s="77"/>
      <c r="AO241" s="202"/>
      <c r="AP241" s="202"/>
      <c r="AQ241" s="202"/>
      <c r="AR241" s="202"/>
      <c r="AS241" s="202"/>
      <c r="AT241" s="202"/>
      <c r="AU241" s="202"/>
      <c r="AV241" s="202"/>
      <c r="AW241" s="202"/>
      <c r="AX241" s="202"/>
      <c r="AY241" s="202"/>
    </row>
    <row r="242" spans="1:51" ht="25.5" x14ac:dyDescent="0.2">
      <c r="A242" s="76">
        <v>24</v>
      </c>
      <c r="B242" s="77" t="s">
        <v>1130</v>
      </c>
      <c r="C242" s="76" t="s">
        <v>166</v>
      </c>
      <c r="D242" s="76">
        <v>0</v>
      </c>
      <c r="E242" s="76">
        <v>0</v>
      </c>
      <c r="F242" s="76">
        <v>10.97</v>
      </c>
      <c r="G242" s="76">
        <v>10</v>
      </c>
      <c r="H242" s="76">
        <v>0</v>
      </c>
      <c r="I242" s="76">
        <v>0</v>
      </c>
      <c r="J242" s="76">
        <v>0</v>
      </c>
      <c r="K242" s="76">
        <v>10.199999999999999</v>
      </c>
      <c r="L242" s="76">
        <v>18</v>
      </c>
      <c r="M242" s="76">
        <v>14</v>
      </c>
      <c r="N242" s="76">
        <v>13</v>
      </c>
      <c r="O242" s="76">
        <v>3</v>
      </c>
      <c r="P242" s="76">
        <v>4</v>
      </c>
      <c r="Q242" s="76">
        <v>9</v>
      </c>
      <c r="R242" s="76">
        <v>0.35299999999999998</v>
      </c>
      <c r="S242" s="76">
        <v>2.06</v>
      </c>
      <c r="T242" s="76">
        <v>24</v>
      </c>
      <c r="U242" s="77" t="s">
        <v>1130</v>
      </c>
      <c r="V242" s="76" t="s">
        <v>166</v>
      </c>
      <c r="W242" s="76">
        <v>0</v>
      </c>
      <c r="X242" s="76">
        <v>0</v>
      </c>
      <c r="Y242" s="76">
        <v>0</v>
      </c>
      <c r="Z242" s="76">
        <v>1</v>
      </c>
      <c r="AA242" s="76">
        <v>7</v>
      </c>
      <c r="AB242" s="76">
        <v>0</v>
      </c>
      <c r="AC242" s="76">
        <v>0</v>
      </c>
      <c r="AD242" s="76">
        <v>16</v>
      </c>
      <c r="AE242" s="76">
        <v>8</v>
      </c>
      <c r="AF242" s="76">
        <v>1</v>
      </c>
      <c r="AG242" s="76">
        <v>0</v>
      </c>
      <c r="AH242" s="76">
        <v>3</v>
      </c>
      <c r="AI242" s="76">
        <v>0</v>
      </c>
      <c r="AJ242" s="76">
        <v>0</v>
      </c>
      <c r="AK242" s="76">
        <v>55</v>
      </c>
      <c r="AL242" s="76">
        <v>201</v>
      </c>
      <c r="AM242" s="202"/>
      <c r="AN242" s="77"/>
      <c r="AO242" s="202"/>
      <c r="AP242" s="202"/>
      <c r="AQ242" s="202"/>
      <c r="AR242" s="202"/>
      <c r="AS242" s="202"/>
      <c r="AT242" s="202"/>
      <c r="AU242" s="202"/>
      <c r="AV242" s="202"/>
      <c r="AW242" s="202"/>
      <c r="AX242" s="202"/>
      <c r="AY242" s="202"/>
    </row>
    <row r="243" spans="1:51" ht="25.5" x14ac:dyDescent="0.2">
      <c r="A243" s="76">
        <v>25</v>
      </c>
      <c r="B243" s="77" t="s">
        <v>460</v>
      </c>
      <c r="C243" s="76" t="s">
        <v>166</v>
      </c>
      <c r="D243" s="76">
        <v>0</v>
      </c>
      <c r="E243" s="76">
        <v>0</v>
      </c>
      <c r="F243" s="76">
        <v>12.91</v>
      </c>
      <c r="G243" s="76">
        <v>7</v>
      </c>
      <c r="H243" s="76">
        <v>0</v>
      </c>
      <c r="I243" s="76">
        <v>0</v>
      </c>
      <c r="J243" s="76">
        <v>0</v>
      </c>
      <c r="K243" s="76">
        <v>7.2</v>
      </c>
      <c r="L243" s="76">
        <v>13</v>
      </c>
      <c r="M243" s="76">
        <v>11</v>
      </c>
      <c r="N243" s="76">
        <v>11</v>
      </c>
      <c r="O243" s="76">
        <v>2</v>
      </c>
      <c r="P243" s="76">
        <v>9</v>
      </c>
      <c r="Q243" s="76">
        <v>8</v>
      </c>
      <c r="R243" s="76">
        <v>0.39400000000000002</v>
      </c>
      <c r="S243" s="76">
        <v>2.87</v>
      </c>
      <c r="T243" s="76">
        <v>25</v>
      </c>
      <c r="U243" s="77" t="s">
        <v>460</v>
      </c>
      <c r="V243" s="76" t="s">
        <v>166</v>
      </c>
      <c r="W243" s="76">
        <v>0</v>
      </c>
      <c r="X243" s="76">
        <v>0</v>
      </c>
      <c r="Y243" s="76">
        <v>0</v>
      </c>
      <c r="Z243" s="76">
        <v>0</v>
      </c>
      <c r="AA243" s="76">
        <v>4</v>
      </c>
      <c r="AB243" s="76">
        <v>0</v>
      </c>
      <c r="AC243" s="76">
        <v>1</v>
      </c>
      <c r="AD243" s="76">
        <v>4</v>
      </c>
      <c r="AE243" s="76">
        <v>10</v>
      </c>
      <c r="AF243" s="76">
        <v>1</v>
      </c>
      <c r="AG243" s="76">
        <v>0</v>
      </c>
      <c r="AH243" s="76">
        <v>0</v>
      </c>
      <c r="AI243" s="76">
        <v>0</v>
      </c>
      <c r="AJ243" s="76">
        <v>0</v>
      </c>
      <c r="AK243" s="76">
        <v>44</v>
      </c>
      <c r="AL243" s="76">
        <v>179</v>
      </c>
      <c r="AM243" s="202"/>
      <c r="AN243" s="77"/>
      <c r="AO243" s="202"/>
      <c r="AP243" s="202"/>
      <c r="AQ243" s="202"/>
      <c r="AR243" s="202"/>
      <c r="AS243" s="202"/>
      <c r="AT243" s="202"/>
      <c r="AU243" s="202"/>
      <c r="AV243" s="202"/>
      <c r="AW243" s="202"/>
      <c r="AX243" s="202"/>
      <c r="AY243" s="202"/>
    </row>
    <row r="244" spans="1:51" ht="25.5" x14ac:dyDescent="0.2">
      <c r="A244" s="76">
        <v>26</v>
      </c>
      <c r="B244" s="77" t="s">
        <v>1460</v>
      </c>
      <c r="C244" s="76" t="s">
        <v>166</v>
      </c>
      <c r="D244" s="76">
        <v>0</v>
      </c>
      <c r="E244" s="76">
        <v>0</v>
      </c>
      <c r="F244" s="76">
        <v>15</v>
      </c>
      <c r="G244" s="76">
        <v>4</v>
      </c>
      <c r="H244" s="76">
        <v>0</v>
      </c>
      <c r="I244" s="76">
        <v>0</v>
      </c>
      <c r="J244" s="76">
        <v>0</v>
      </c>
      <c r="K244" s="76">
        <v>3</v>
      </c>
      <c r="L244" s="76">
        <v>10</v>
      </c>
      <c r="M244" s="76">
        <v>6</v>
      </c>
      <c r="N244" s="76">
        <v>5</v>
      </c>
      <c r="O244" s="76">
        <v>0</v>
      </c>
      <c r="P244" s="76">
        <v>0</v>
      </c>
      <c r="Q244" s="76">
        <v>2</v>
      </c>
      <c r="R244" s="76">
        <v>0.52600000000000002</v>
      </c>
      <c r="S244" s="76">
        <v>3.33</v>
      </c>
      <c r="T244" s="76">
        <v>26</v>
      </c>
      <c r="U244" s="77" t="s">
        <v>1460</v>
      </c>
      <c r="V244" s="76" t="s">
        <v>166</v>
      </c>
      <c r="W244" s="76">
        <v>0</v>
      </c>
      <c r="X244" s="76">
        <v>0</v>
      </c>
      <c r="Y244" s="76">
        <v>0</v>
      </c>
      <c r="Z244" s="76">
        <v>0</v>
      </c>
      <c r="AA244" s="76">
        <v>1</v>
      </c>
      <c r="AB244" s="76">
        <v>0</v>
      </c>
      <c r="AC244" s="76">
        <v>1</v>
      </c>
      <c r="AD244" s="76">
        <v>3</v>
      </c>
      <c r="AE244" s="76">
        <v>4</v>
      </c>
      <c r="AF244" s="76">
        <v>0</v>
      </c>
      <c r="AG244" s="76">
        <v>0</v>
      </c>
      <c r="AH244" s="76">
        <v>0</v>
      </c>
      <c r="AI244" s="76">
        <v>0</v>
      </c>
      <c r="AJ244" s="76">
        <v>0</v>
      </c>
      <c r="AK244" s="76">
        <v>19</v>
      </c>
      <c r="AL244" s="76">
        <v>60</v>
      </c>
      <c r="AM244" s="202"/>
      <c r="AN244" s="77"/>
      <c r="AO244" s="202"/>
      <c r="AP244" s="202"/>
      <c r="AQ244" s="202"/>
      <c r="AR244" s="202"/>
      <c r="AS244" s="202"/>
      <c r="AT244" s="202"/>
      <c r="AU244" s="202"/>
      <c r="AV244" s="202"/>
      <c r="AW244" s="202"/>
      <c r="AX244" s="202"/>
      <c r="AY244" s="202"/>
    </row>
    <row r="245" spans="1:51" ht="25.5" x14ac:dyDescent="0.2">
      <c r="A245" s="76">
        <v>27</v>
      </c>
      <c r="B245" s="77" t="s">
        <v>1131</v>
      </c>
      <c r="C245" s="76" t="s">
        <v>166</v>
      </c>
      <c r="D245" s="76">
        <v>0</v>
      </c>
      <c r="E245" s="76">
        <v>0</v>
      </c>
      <c r="F245" s="76">
        <v>27</v>
      </c>
      <c r="G245" s="76">
        <v>1</v>
      </c>
      <c r="H245" s="76">
        <v>0</v>
      </c>
      <c r="I245" s="76">
        <v>0</v>
      </c>
      <c r="J245" s="76">
        <v>0</v>
      </c>
      <c r="K245" s="76">
        <v>1.2</v>
      </c>
      <c r="L245" s="76">
        <v>5</v>
      </c>
      <c r="M245" s="76">
        <v>5</v>
      </c>
      <c r="N245" s="76">
        <v>5</v>
      </c>
      <c r="O245" s="76">
        <v>3</v>
      </c>
      <c r="P245" s="76">
        <v>2</v>
      </c>
      <c r="Q245" s="76">
        <v>0</v>
      </c>
      <c r="R245" s="76">
        <v>0.55600000000000005</v>
      </c>
      <c r="S245" s="76">
        <v>4.2</v>
      </c>
      <c r="T245" s="76">
        <v>27</v>
      </c>
      <c r="U245" s="77" t="s">
        <v>1131</v>
      </c>
      <c r="V245" s="76" t="s">
        <v>166</v>
      </c>
      <c r="W245" s="76">
        <v>0</v>
      </c>
      <c r="X245" s="76">
        <v>0</v>
      </c>
      <c r="Y245" s="76">
        <v>0</v>
      </c>
      <c r="Z245" s="76">
        <v>0</v>
      </c>
      <c r="AA245" s="76">
        <v>0</v>
      </c>
      <c r="AB245" s="76">
        <v>0</v>
      </c>
      <c r="AC245" s="76">
        <v>1</v>
      </c>
      <c r="AD245" s="76">
        <v>2</v>
      </c>
      <c r="AE245" s="76">
        <v>2</v>
      </c>
      <c r="AF245" s="76">
        <v>0</v>
      </c>
      <c r="AG245" s="76">
        <v>0</v>
      </c>
      <c r="AH245" s="76">
        <v>0</v>
      </c>
      <c r="AI245" s="76">
        <v>0</v>
      </c>
      <c r="AJ245" s="76">
        <v>0</v>
      </c>
      <c r="AK245" s="76">
        <v>11</v>
      </c>
      <c r="AL245" s="76">
        <v>43</v>
      </c>
      <c r="AM245" s="202"/>
      <c r="AN245" s="77"/>
      <c r="AO245" s="202"/>
      <c r="AP245" s="202"/>
      <c r="AQ245" s="202"/>
      <c r="AR245" s="202"/>
      <c r="AS245" s="202"/>
      <c r="AT245" s="202"/>
      <c r="AU245" s="202"/>
      <c r="AV245" s="202"/>
      <c r="AW245" s="202"/>
      <c r="AX245" s="202"/>
      <c r="AY245" s="202"/>
    </row>
    <row r="246" spans="1:51" ht="25.5" x14ac:dyDescent="0.2">
      <c r="A246" s="225" t="s">
        <v>105</v>
      </c>
      <c r="B246" s="225" t="s">
        <v>106</v>
      </c>
      <c r="C246" s="225" t="s">
        <v>157</v>
      </c>
      <c r="D246" s="225" t="s">
        <v>85</v>
      </c>
      <c r="E246" s="225" t="s">
        <v>86</v>
      </c>
      <c r="F246" s="225" t="s">
        <v>107</v>
      </c>
      <c r="G246" s="225" t="s">
        <v>108</v>
      </c>
      <c r="H246" s="225" t="s">
        <v>88</v>
      </c>
      <c r="I246" s="225" t="s">
        <v>90</v>
      </c>
      <c r="J246" s="225" t="s">
        <v>158</v>
      </c>
      <c r="K246" s="225" t="s">
        <v>91</v>
      </c>
      <c r="L246" s="225" t="s">
        <v>92</v>
      </c>
      <c r="M246" s="225" t="s">
        <v>93</v>
      </c>
      <c r="N246" s="225" t="s">
        <v>94</v>
      </c>
      <c r="O246" s="225" t="s">
        <v>95</v>
      </c>
      <c r="P246" s="225" t="s">
        <v>96</v>
      </c>
      <c r="Q246" s="225" t="s">
        <v>97</v>
      </c>
      <c r="R246" s="225" t="s">
        <v>1071</v>
      </c>
      <c r="S246" s="225" t="s">
        <v>1072</v>
      </c>
      <c r="T246" s="225" t="s">
        <v>105</v>
      </c>
      <c r="U246" s="225" t="s">
        <v>106</v>
      </c>
      <c r="V246" s="225" t="s">
        <v>157</v>
      </c>
      <c r="W246" s="225" t="s">
        <v>89</v>
      </c>
      <c r="X246" s="225" t="s">
        <v>1073</v>
      </c>
      <c r="Y246" s="225" t="s">
        <v>1074</v>
      </c>
      <c r="Z246" s="225" t="s">
        <v>98</v>
      </c>
      <c r="AA246" s="225" t="s">
        <v>1075</v>
      </c>
      <c r="AB246" s="225" t="s">
        <v>1076</v>
      </c>
      <c r="AC246" s="225" t="s">
        <v>1077</v>
      </c>
      <c r="AD246" s="225" t="s">
        <v>1066</v>
      </c>
      <c r="AE246" s="225" t="s">
        <v>1067</v>
      </c>
      <c r="AF246" s="225" t="s">
        <v>1078</v>
      </c>
      <c r="AG246" s="225" t="s">
        <v>1079</v>
      </c>
      <c r="AH246" s="225" t="s">
        <v>1057</v>
      </c>
      <c r="AI246" s="225" t="s">
        <v>1058</v>
      </c>
      <c r="AJ246" s="225" t="s">
        <v>1080</v>
      </c>
      <c r="AK246" s="225" t="s">
        <v>109</v>
      </c>
      <c r="AL246" s="225" t="s">
        <v>1069</v>
      </c>
      <c r="AM246" s="202"/>
      <c r="AN246" s="77"/>
      <c r="AO246" s="202"/>
      <c r="AP246" s="202"/>
      <c r="AQ246" s="202"/>
      <c r="AR246" s="202"/>
      <c r="AS246" s="202"/>
      <c r="AT246" s="202"/>
      <c r="AU246" s="202"/>
      <c r="AV246" s="202"/>
      <c r="AW246" s="202"/>
      <c r="AX246" s="202"/>
      <c r="AY246" s="202"/>
    </row>
    <row r="247" spans="1:51" ht="25.5" x14ac:dyDescent="0.2">
      <c r="A247" s="76">
        <v>1</v>
      </c>
      <c r="B247" s="77" t="s">
        <v>516</v>
      </c>
      <c r="C247" s="76" t="s">
        <v>167</v>
      </c>
      <c r="D247" s="76">
        <v>4</v>
      </c>
      <c r="E247" s="76">
        <v>2</v>
      </c>
      <c r="F247" s="76">
        <v>1.97</v>
      </c>
      <c r="G247" s="76">
        <v>80</v>
      </c>
      <c r="H247" s="76">
        <v>0</v>
      </c>
      <c r="I247" s="76">
        <v>1</v>
      </c>
      <c r="J247" s="76">
        <v>5</v>
      </c>
      <c r="K247" s="76">
        <v>77.2</v>
      </c>
      <c r="L247" s="76">
        <v>60</v>
      </c>
      <c r="M247" s="76">
        <v>18</v>
      </c>
      <c r="N247" s="76">
        <v>17</v>
      </c>
      <c r="O247" s="76">
        <v>4</v>
      </c>
      <c r="P247" s="76">
        <v>13</v>
      </c>
      <c r="Q247" s="76">
        <v>91</v>
      </c>
      <c r="R247" s="76">
        <v>0.21</v>
      </c>
      <c r="S247" s="76">
        <v>0.94</v>
      </c>
      <c r="T247" s="76">
        <v>1</v>
      </c>
      <c r="U247" s="77" t="s">
        <v>516</v>
      </c>
      <c r="V247" s="76" t="s">
        <v>167</v>
      </c>
      <c r="W247" s="76">
        <v>0</v>
      </c>
      <c r="X247" s="76">
        <v>0</v>
      </c>
      <c r="Y247" s="76">
        <v>0</v>
      </c>
      <c r="Z247" s="76">
        <v>4</v>
      </c>
      <c r="AA247" s="76">
        <v>13</v>
      </c>
      <c r="AB247" s="76">
        <v>40</v>
      </c>
      <c r="AC247" s="76">
        <v>2</v>
      </c>
      <c r="AD247" s="76">
        <v>61</v>
      </c>
      <c r="AE247" s="76">
        <v>79</v>
      </c>
      <c r="AF247" s="76">
        <v>4</v>
      </c>
      <c r="AG247" s="76">
        <v>0</v>
      </c>
      <c r="AH247" s="76">
        <v>0</v>
      </c>
      <c r="AI247" s="76">
        <v>1</v>
      </c>
      <c r="AJ247" s="76">
        <v>0</v>
      </c>
      <c r="AK247" s="76">
        <v>304</v>
      </c>
      <c r="AL247" s="76">
        <v>1193</v>
      </c>
      <c r="AM247" s="102"/>
      <c r="AN247" s="102"/>
      <c r="AO247" s="102"/>
      <c r="AP247" s="102"/>
      <c r="AQ247" s="102"/>
      <c r="AR247" s="102"/>
      <c r="AS247" s="102"/>
      <c r="AT247" s="102"/>
      <c r="AU247" s="102"/>
      <c r="AV247" s="102"/>
      <c r="AW247" s="102"/>
      <c r="AX247" s="102"/>
      <c r="AY247" s="102"/>
    </row>
    <row r="248" spans="1:51" ht="25.5" x14ac:dyDescent="0.2">
      <c r="A248" s="76">
        <v>2</v>
      </c>
      <c r="B248" s="77" t="s">
        <v>469</v>
      </c>
      <c r="C248" s="76" t="s">
        <v>167</v>
      </c>
      <c r="D248" s="76">
        <v>0</v>
      </c>
      <c r="E248" s="76">
        <v>1</v>
      </c>
      <c r="F248" s="76">
        <v>2.08</v>
      </c>
      <c r="G248" s="76">
        <v>17</v>
      </c>
      <c r="H248" s="76">
        <v>0</v>
      </c>
      <c r="I248" s="76">
        <v>0</v>
      </c>
      <c r="J248" s="76">
        <v>0</v>
      </c>
      <c r="K248" s="76">
        <v>17.100000000000001</v>
      </c>
      <c r="L248" s="76">
        <v>11</v>
      </c>
      <c r="M248" s="76">
        <v>4</v>
      </c>
      <c r="N248" s="76">
        <v>4</v>
      </c>
      <c r="O248" s="76">
        <v>3</v>
      </c>
      <c r="P248" s="76">
        <v>0</v>
      </c>
      <c r="Q248" s="76">
        <v>19</v>
      </c>
      <c r="R248" s="76">
        <v>0.17699999999999999</v>
      </c>
      <c r="S248" s="76">
        <v>0.63</v>
      </c>
      <c r="T248" s="76">
        <v>2</v>
      </c>
      <c r="U248" s="77" t="s">
        <v>469</v>
      </c>
      <c r="V248" s="76" t="s">
        <v>167</v>
      </c>
      <c r="W248" s="76">
        <v>0</v>
      </c>
      <c r="X248" s="76">
        <v>0</v>
      </c>
      <c r="Y248" s="76">
        <v>0</v>
      </c>
      <c r="Z248" s="76">
        <v>0</v>
      </c>
      <c r="AA248" s="76">
        <v>2</v>
      </c>
      <c r="AB248" s="76">
        <v>7</v>
      </c>
      <c r="AC248" s="76">
        <v>1</v>
      </c>
      <c r="AD248" s="76">
        <v>9</v>
      </c>
      <c r="AE248" s="76">
        <v>23</v>
      </c>
      <c r="AF248" s="76">
        <v>1</v>
      </c>
      <c r="AG248" s="76">
        <v>0</v>
      </c>
      <c r="AH248" s="76">
        <v>1</v>
      </c>
      <c r="AI248" s="76">
        <v>0</v>
      </c>
      <c r="AJ248" s="76">
        <v>0</v>
      </c>
      <c r="AK248" s="76">
        <v>62</v>
      </c>
      <c r="AL248" s="76">
        <v>246</v>
      </c>
      <c r="AM248" s="202"/>
      <c r="AN248" s="77"/>
      <c r="AO248" s="202"/>
      <c r="AP248" s="202"/>
      <c r="AQ248" s="202"/>
      <c r="AR248" s="202"/>
      <c r="AS248" s="202"/>
      <c r="AT248" s="202"/>
      <c r="AU248" s="202"/>
      <c r="AV248" s="202"/>
      <c r="AW248" s="202"/>
      <c r="AX248" s="202"/>
      <c r="AY248" s="202"/>
    </row>
    <row r="249" spans="1:51" ht="25.5" x14ac:dyDescent="0.2">
      <c r="A249" s="76">
        <v>3</v>
      </c>
      <c r="B249" s="77" t="s">
        <v>1461</v>
      </c>
      <c r="C249" s="76" t="s">
        <v>167</v>
      </c>
      <c r="D249" s="76">
        <v>4</v>
      </c>
      <c r="E249" s="76">
        <v>2</v>
      </c>
      <c r="F249" s="76">
        <v>2.42</v>
      </c>
      <c r="G249" s="76">
        <v>8</v>
      </c>
      <c r="H249" s="76">
        <v>7</v>
      </c>
      <c r="I249" s="76">
        <v>0</v>
      </c>
      <c r="J249" s="76">
        <v>0</v>
      </c>
      <c r="K249" s="76">
        <v>44.2</v>
      </c>
      <c r="L249" s="76">
        <v>42</v>
      </c>
      <c r="M249" s="76">
        <v>12</v>
      </c>
      <c r="N249" s="76">
        <v>12</v>
      </c>
      <c r="O249" s="76">
        <v>1</v>
      </c>
      <c r="P249" s="76">
        <v>15</v>
      </c>
      <c r="Q249" s="76">
        <v>42</v>
      </c>
      <c r="R249" s="76">
        <v>0.25800000000000001</v>
      </c>
      <c r="S249" s="76">
        <v>1.28</v>
      </c>
      <c r="T249" s="76">
        <v>3</v>
      </c>
      <c r="U249" s="77" t="s">
        <v>1461</v>
      </c>
      <c r="V249" s="76" t="s">
        <v>167</v>
      </c>
      <c r="W249" s="76">
        <v>0</v>
      </c>
      <c r="X249" s="76">
        <v>0</v>
      </c>
      <c r="Y249" s="76">
        <v>1</v>
      </c>
      <c r="Z249" s="76">
        <v>2</v>
      </c>
      <c r="AA249" s="76">
        <v>0</v>
      </c>
      <c r="AB249" s="76">
        <v>0</v>
      </c>
      <c r="AC249" s="76">
        <v>3</v>
      </c>
      <c r="AD249" s="76">
        <v>54</v>
      </c>
      <c r="AE249" s="76">
        <v>31</v>
      </c>
      <c r="AF249" s="76">
        <v>1</v>
      </c>
      <c r="AG249" s="76">
        <v>0</v>
      </c>
      <c r="AH249" s="76">
        <v>1</v>
      </c>
      <c r="AI249" s="76">
        <v>3</v>
      </c>
      <c r="AJ249" s="76">
        <v>1</v>
      </c>
      <c r="AK249" s="76">
        <v>185</v>
      </c>
      <c r="AL249" s="76">
        <v>713</v>
      </c>
      <c r="AM249" s="202"/>
      <c r="AN249" s="77"/>
      <c r="AO249" s="202"/>
      <c r="AP249" s="202"/>
      <c r="AQ249" s="202"/>
      <c r="AR249" s="202"/>
      <c r="AS249" s="202"/>
      <c r="AT249" s="202"/>
      <c r="AU249" s="202"/>
      <c r="AV249" s="202"/>
      <c r="AW249" s="202"/>
      <c r="AX249" s="202"/>
      <c r="AY249" s="202"/>
    </row>
    <row r="250" spans="1:51" ht="25.5" x14ac:dyDescent="0.2">
      <c r="A250" s="76">
        <v>4</v>
      </c>
      <c r="B250" s="77" t="s">
        <v>417</v>
      </c>
      <c r="C250" s="76" t="s">
        <v>167</v>
      </c>
      <c r="D250" s="76">
        <v>3</v>
      </c>
      <c r="E250" s="76">
        <v>4</v>
      </c>
      <c r="F250" s="76">
        <v>2.5499999999999998</v>
      </c>
      <c r="G250" s="76">
        <v>78</v>
      </c>
      <c r="H250" s="76">
        <v>0</v>
      </c>
      <c r="I250" s="76">
        <v>51</v>
      </c>
      <c r="J250" s="76">
        <v>56</v>
      </c>
      <c r="K250" s="76">
        <v>77.2</v>
      </c>
      <c r="L250" s="76">
        <v>63</v>
      </c>
      <c r="M250" s="76">
        <v>25</v>
      </c>
      <c r="N250" s="76">
        <v>22</v>
      </c>
      <c r="O250" s="76">
        <v>1</v>
      </c>
      <c r="P250" s="76">
        <v>31</v>
      </c>
      <c r="Q250" s="76">
        <v>84</v>
      </c>
      <c r="R250" s="76">
        <v>0.22</v>
      </c>
      <c r="S250" s="76">
        <v>1.21</v>
      </c>
      <c r="T250" s="76">
        <v>4</v>
      </c>
      <c r="U250" s="77" t="s">
        <v>417</v>
      </c>
      <c r="V250" s="76" t="s">
        <v>167</v>
      </c>
      <c r="W250" s="76">
        <v>0</v>
      </c>
      <c r="X250" s="76">
        <v>0</v>
      </c>
      <c r="Y250" s="76">
        <v>1</v>
      </c>
      <c r="Z250" s="76">
        <v>6</v>
      </c>
      <c r="AA250" s="76">
        <v>67</v>
      </c>
      <c r="AB250" s="76">
        <v>0</v>
      </c>
      <c r="AC250" s="76">
        <v>10</v>
      </c>
      <c r="AD250" s="76">
        <v>108</v>
      </c>
      <c r="AE250" s="76">
        <v>34</v>
      </c>
      <c r="AF250" s="76">
        <v>3</v>
      </c>
      <c r="AG250" s="76">
        <v>0</v>
      </c>
      <c r="AH250" s="76">
        <v>8</v>
      </c>
      <c r="AI250" s="76">
        <v>0</v>
      </c>
      <c r="AJ250" s="76">
        <v>0</v>
      </c>
      <c r="AK250" s="76">
        <v>321</v>
      </c>
      <c r="AL250" s="76">
        <v>1262</v>
      </c>
      <c r="AM250" s="202"/>
      <c r="AN250" s="77"/>
      <c r="AO250" s="202"/>
      <c r="AP250" s="202"/>
      <c r="AQ250" s="202"/>
      <c r="AR250" s="202"/>
      <c r="AS250" s="202"/>
      <c r="AT250" s="202"/>
      <c r="AU250" s="202"/>
      <c r="AV250" s="202"/>
      <c r="AW250" s="202"/>
      <c r="AX250" s="202"/>
      <c r="AY250" s="202"/>
    </row>
    <row r="251" spans="1:51" ht="38.25" x14ac:dyDescent="0.2">
      <c r="A251" s="76">
        <v>5</v>
      </c>
      <c r="B251" s="77" t="s">
        <v>1138</v>
      </c>
      <c r="C251" s="76" t="s">
        <v>167</v>
      </c>
      <c r="D251" s="76">
        <v>14</v>
      </c>
      <c r="E251" s="76">
        <v>9</v>
      </c>
      <c r="F251" s="76">
        <v>2.6</v>
      </c>
      <c r="G251" s="76">
        <v>31</v>
      </c>
      <c r="H251" s="76">
        <v>30</v>
      </c>
      <c r="I251" s="76">
        <v>0</v>
      </c>
      <c r="J251" s="76">
        <v>0</v>
      </c>
      <c r="K251" s="76">
        <v>183.2</v>
      </c>
      <c r="L251" s="76">
        <v>168</v>
      </c>
      <c r="M251" s="76">
        <v>61</v>
      </c>
      <c r="N251" s="76">
        <v>53</v>
      </c>
      <c r="O251" s="76">
        <v>11</v>
      </c>
      <c r="P251" s="76">
        <v>43</v>
      </c>
      <c r="Q251" s="76">
        <v>218</v>
      </c>
      <c r="R251" s="76">
        <v>0.24299999999999999</v>
      </c>
      <c r="S251" s="76">
        <v>1.1499999999999999</v>
      </c>
      <c r="T251" s="76">
        <v>5</v>
      </c>
      <c r="U251" s="77" t="s">
        <v>1138</v>
      </c>
      <c r="V251" s="76" t="s">
        <v>167</v>
      </c>
      <c r="W251" s="76">
        <v>0</v>
      </c>
      <c r="X251" s="76">
        <v>0</v>
      </c>
      <c r="Y251" s="76">
        <v>2</v>
      </c>
      <c r="Z251" s="76">
        <v>2</v>
      </c>
      <c r="AA251" s="76">
        <v>0</v>
      </c>
      <c r="AB251" s="76">
        <v>1</v>
      </c>
      <c r="AC251" s="76">
        <v>14</v>
      </c>
      <c r="AD251" s="76">
        <v>189</v>
      </c>
      <c r="AE251" s="76">
        <v>124</v>
      </c>
      <c r="AF251" s="76">
        <v>10</v>
      </c>
      <c r="AG251" s="76">
        <v>1</v>
      </c>
      <c r="AH251" s="76">
        <v>48</v>
      </c>
      <c r="AI251" s="76">
        <v>9</v>
      </c>
      <c r="AJ251" s="76">
        <v>1</v>
      </c>
      <c r="AK251" s="76">
        <v>744</v>
      </c>
      <c r="AL251" s="76">
        <v>2935</v>
      </c>
      <c r="AM251" s="202"/>
      <c r="AN251" s="77"/>
      <c r="AO251" s="202"/>
      <c r="AP251" s="202"/>
      <c r="AQ251" s="202"/>
      <c r="AR251" s="202"/>
      <c r="AS251" s="202"/>
      <c r="AT251" s="202"/>
      <c r="AU251" s="202"/>
      <c r="AV251" s="202"/>
      <c r="AW251" s="202"/>
      <c r="AX251" s="202"/>
      <c r="AY251" s="202"/>
    </row>
    <row r="252" spans="1:51" ht="25.5" x14ac:dyDescent="0.2">
      <c r="A252" s="76">
        <v>6</v>
      </c>
      <c r="B252" s="77" t="s">
        <v>1462</v>
      </c>
      <c r="C252" s="76" t="s">
        <v>167</v>
      </c>
      <c r="D252" s="76">
        <v>5</v>
      </c>
      <c r="E252" s="76">
        <v>2</v>
      </c>
      <c r="F252" s="76">
        <v>2.67</v>
      </c>
      <c r="G252" s="76">
        <v>17</v>
      </c>
      <c r="H252" s="76">
        <v>8</v>
      </c>
      <c r="I252" s="76">
        <v>0</v>
      </c>
      <c r="J252" s="76">
        <v>0</v>
      </c>
      <c r="K252" s="76">
        <v>64</v>
      </c>
      <c r="L252" s="76">
        <v>49</v>
      </c>
      <c r="M252" s="76">
        <v>19</v>
      </c>
      <c r="N252" s="76">
        <v>19</v>
      </c>
      <c r="O252" s="76">
        <v>7</v>
      </c>
      <c r="P252" s="76">
        <v>21</v>
      </c>
      <c r="Q252" s="76">
        <v>45</v>
      </c>
      <c r="R252" s="76">
        <v>0.22</v>
      </c>
      <c r="S252" s="76">
        <v>1.0900000000000001</v>
      </c>
      <c r="T252" s="76">
        <v>6</v>
      </c>
      <c r="U252" s="77" t="s">
        <v>1462</v>
      </c>
      <c r="V252" s="76" t="s">
        <v>167</v>
      </c>
      <c r="W252" s="76">
        <v>0</v>
      </c>
      <c r="X252" s="76">
        <v>0</v>
      </c>
      <c r="Y252" s="76">
        <v>4</v>
      </c>
      <c r="Z252" s="76">
        <v>3</v>
      </c>
      <c r="AA252" s="76">
        <v>2</v>
      </c>
      <c r="AB252" s="76">
        <v>0</v>
      </c>
      <c r="AC252" s="76">
        <v>6</v>
      </c>
      <c r="AD252" s="76">
        <v>73</v>
      </c>
      <c r="AE252" s="76">
        <v>68</v>
      </c>
      <c r="AF252" s="76">
        <v>1</v>
      </c>
      <c r="AG252" s="76">
        <v>1</v>
      </c>
      <c r="AH252" s="76">
        <v>2</v>
      </c>
      <c r="AI252" s="76">
        <v>1</v>
      </c>
      <c r="AJ252" s="76">
        <v>0</v>
      </c>
      <c r="AK252" s="76">
        <v>260</v>
      </c>
      <c r="AL252" s="76">
        <v>961</v>
      </c>
      <c r="AM252" s="202"/>
      <c r="AN252" s="77"/>
      <c r="AO252" s="202"/>
      <c r="AP252" s="202"/>
      <c r="AQ252" s="202"/>
      <c r="AR252" s="202"/>
      <c r="AS252" s="202"/>
      <c r="AT252" s="202"/>
      <c r="AU252" s="202"/>
      <c r="AV252" s="202"/>
      <c r="AW252" s="202"/>
      <c r="AX252" s="202"/>
      <c r="AY252" s="202"/>
    </row>
    <row r="253" spans="1:51" ht="25.5" x14ac:dyDescent="0.2">
      <c r="A253" s="76">
        <v>7</v>
      </c>
      <c r="B253" s="77" t="s">
        <v>598</v>
      </c>
      <c r="C253" s="76" t="s">
        <v>167</v>
      </c>
      <c r="D253" s="76">
        <v>4</v>
      </c>
      <c r="E253" s="76">
        <v>2</v>
      </c>
      <c r="F253" s="76">
        <v>2.79</v>
      </c>
      <c r="G253" s="76">
        <v>73</v>
      </c>
      <c r="H253" s="76">
        <v>0</v>
      </c>
      <c r="I253" s="76">
        <v>2</v>
      </c>
      <c r="J253" s="76">
        <v>3</v>
      </c>
      <c r="K253" s="76">
        <v>42</v>
      </c>
      <c r="L253" s="76">
        <v>36</v>
      </c>
      <c r="M253" s="76">
        <v>14</v>
      </c>
      <c r="N253" s="76">
        <v>13</v>
      </c>
      <c r="O253" s="76">
        <v>4</v>
      </c>
      <c r="P253" s="76">
        <v>15</v>
      </c>
      <c r="Q253" s="76">
        <v>52</v>
      </c>
      <c r="R253" s="76">
        <v>0.22900000000000001</v>
      </c>
      <c r="S253" s="76">
        <v>1.21</v>
      </c>
      <c r="T253" s="76">
        <v>7</v>
      </c>
      <c r="U253" s="77" t="s">
        <v>598</v>
      </c>
      <c r="V253" s="76" t="s">
        <v>167</v>
      </c>
      <c r="W253" s="76">
        <v>0</v>
      </c>
      <c r="X253" s="76">
        <v>0</v>
      </c>
      <c r="Y253" s="76">
        <v>1</v>
      </c>
      <c r="Z253" s="76">
        <v>3</v>
      </c>
      <c r="AA253" s="76">
        <v>8</v>
      </c>
      <c r="AB253" s="76">
        <v>16</v>
      </c>
      <c r="AC253" s="76">
        <v>1</v>
      </c>
      <c r="AD253" s="76">
        <v>31</v>
      </c>
      <c r="AE253" s="76">
        <v>43</v>
      </c>
      <c r="AF253" s="76">
        <v>1</v>
      </c>
      <c r="AG253" s="76">
        <v>0</v>
      </c>
      <c r="AH253" s="76">
        <v>3</v>
      </c>
      <c r="AI253" s="76">
        <v>0</v>
      </c>
      <c r="AJ253" s="76">
        <v>0</v>
      </c>
      <c r="AK253" s="76">
        <v>178</v>
      </c>
      <c r="AL253" s="76">
        <v>728</v>
      </c>
      <c r="AM253" s="202"/>
      <c r="AN253" s="77"/>
      <c r="AO253" s="202"/>
      <c r="AP253" s="202"/>
      <c r="AQ253" s="202"/>
      <c r="AR253" s="202"/>
      <c r="AS253" s="202"/>
      <c r="AT253" s="202"/>
      <c r="AU253" s="202"/>
      <c r="AV253" s="202"/>
      <c r="AW253" s="202"/>
      <c r="AX253" s="202"/>
      <c r="AY253" s="202"/>
    </row>
    <row r="254" spans="1:51" ht="25.5" x14ac:dyDescent="0.2">
      <c r="A254" s="76">
        <v>8</v>
      </c>
      <c r="B254" s="77" t="s">
        <v>769</v>
      </c>
      <c r="C254" s="76" t="s">
        <v>167</v>
      </c>
      <c r="D254" s="76">
        <v>7</v>
      </c>
      <c r="E254" s="76">
        <v>8</v>
      </c>
      <c r="F254" s="76">
        <v>3.04</v>
      </c>
      <c r="G254" s="76">
        <v>24</v>
      </c>
      <c r="H254" s="76">
        <v>24</v>
      </c>
      <c r="I254" s="76">
        <v>0</v>
      </c>
      <c r="J254" s="76">
        <v>0</v>
      </c>
      <c r="K254" s="76">
        <v>148</v>
      </c>
      <c r="L254" s="76">
        <v>142</v>
      </c>
      <c r="M254" s="76">
        <v>53</v>
      </c>
      <c r="N254" s="76">
        <v>50</v>
      </c>
      <c r="O254" s="76">
        <v>15</v>
      </c>
      <c r="P254" s="76">
        <v>36</v>
      </c>
      <c r="Q254" s="76">
        <v>143</v>
      </c>
      <c r="R254" s="76">
        <v>0.255</v>
      </c>
      <c r="S254" s="76">
        <v>1.2</v>
      </c>
      <c r="T254" s="76">
        <v>8</v>
      </c>
      <c r="U254" s="77" t="s">
        <v>769</v>
      </c>
      <c r="V254" s="76" t="s">
        <v>167</v>
      </c>
      <c r="W254" s="76">
        <v>1</v>
      </c>
      <c r="X254" s="76">
        <v>1</v>
      </c>
      <c r="Y254" s="76">
        <v>3</v>
      </c>
      <c r="Z254" s="76">
        <v>0</v>
      </c>
      <c r="AA254" s="76">
        <v>0</v>
      </c>
      <c r="AB254" s="76">
        <v>0</v>
      </c>
      <c r="AC254" s="76">
        <v>15</v>
      </c>
      <c r="AD254" s="76">
        <v>148</v>
      </c>
      <c r="AE254" s="76">
        <v>132</v>
      </c>
      <c r="AF254" s="76">
        <v>4</v>
      </c>
      <c r="AG254" s="76">
        <v>0</v>
      </c>
      <c r="AH254" s="76">
        <v>5</v>
      </c>
      <c r="AI254" s="76">
        <v>4</v>
      </c>
      <c r="AJ254" s="76">
        <v>0</v>
      </c>
      <c r="AK254" s="76">
        <v>604</v>
      </c>
      <c r="AL254" s="76">
        <v>2354</v>
      </c>
      <c r="AM254" s="202"/>
      <c r="AN254" s="77"/>
      <c r="AO254" s="202"/>
      <c r="AP254" s="202"/>
      <c r="AQ254" s="202"/>
      <c r="AR254" s="202"/>
      <c r="AS254" s="202"/>
      <c r="AT254" s="202"/>
      <c r="AU254" s="202"/>
      <c r="AV254" s="202"/>
      <c r="AW254" s="202"/>
      <c r="AX254" s="202"/>
      <c r="AY254" s="202"/>
    </row>
    <row r="255" spans="1:51" ht="25.5" x14ac:dyDescent="0.2">
      <c r="A255" s="76">
        <v>9</v>
      </c>
      <c r="B255" s="77" t="s">
        <v>1134</v>
      </c>
      <c r="C255" s="76" t="s">
        <v>167</v>
      </c>
      <c r="D255" s="76">
        <v>9</v>
      </c>
      <c r="E255" s="76">
        <v>8</v>
      </c>
      <c r="F255" s="76">
        <v>3.4</v>
      </c>
      <c r="G255" s="76">
        <v>22</v>
      </c>
      <c r="H255" s="76">
        <v>22</v>
      </c>
      <c r="I255" s="76">
        <v>0</v>
      </c>
      <c r="J255" s="76">
        <v>0</v>
      </c>
      <c r="K255" s="76">
        <v>132.1</v>
      </c>
      <c r="L255" s="76">
        <v>129</v>
      </c>
      <c r="M255" s="76">
        <v>53</v>
      </c>
      <c r="N255" s="76">
        <v>50</v>
      </c>
      <c r="O255" s="76">
        <v>14</v>
      </c>
      <c r="P255" s="76">
        <v>31</v>
      </c>
      <c r="Q255" s="76">
        <v>129</v>
      </c>
      <c r="R255" s="76">
        <v>0.25700000000000001</v>
      </c>
      <c r="S255" s="76">
        <v>1.21</v>
      </c>
      <c r="T255" s="76">
        <v>9</v>
      </c>
      <c r="U255" s="77" t="s">
        <v>1134</v>
      </c>
      <c r="V255" s="76" t="s">
        <v>167</v>
      </c>
      <c r="W255" s="76">
        <v>0</v>
      </c>
      <c r="X255" s="76">
        <v>0</v>
      </c>
      <c r="Y255" s="76">
        <v>5</v>
      </c>
      <c r="Z255" s="76">
        <v>2</v>
      </c>
      <c r="AA255" s="76">
        <v>0</v>
      </c>
      <c r="AB255" s="76">
        <v>0</v>
      </c>
      <c r="AC255" s="76">
        <v>8</v>
      </c>
      <c r="AD255" s="76">
        <v>149</v>
      </c>
      <c r="AE255" s="76">
        <v>104</v>
      </c>
      <c r="AF255" s="76">
        <v>3</v>
      </c>
      <c r="AG255" s="76">
        <v>1</v>
      </c>
      <c r="AH255" s="76">
        <v>20</v>
      </c>
      <c r="AI255" s="76">
        <v>6</v>
      </c>
      <c r="AJ255" s="76">
        <v>2</v>
      </c>
      <c r="AK255" s="76">
        <v>547</v>
      </c>
      <c r="AL255" s="76">
        <v>2153</v>
      </c>
      <c r="AM255" s="202"/>
      <c r="AN255" s="77"/>
      <c r="AO255" s="202"/>
      <c r="AP255" s="202"/>
      <c r="AQ255" s="202"/>
      <c r="AR255" s="202"/>
      <c r="AS255" s="202"/>
      <c r="AT255" s="202"/>
      <c r="AU255" s="202"/>
      <c r="AV255" s="202"/>
      <c r="AW255" s="202"/>
      <c r="AX255" s="202"/>
      <c r="AY255" s="202"/>
    </row>
    <row r="256" spans="1:51" ht="25.5" x14ac:dyDescent="0.2">
      <c r="A256" s="76">
        <v>10</v>
      </c>
      <c r="B256" s="77" t="s">
        <v>595</v>
      </c>
      <c r="C256" s="76" t="s">
        <v>167</v>
      </c>
      <c r="D256" s="76">
        <v>15</v>
      </c>
      <c r="E256" s="76">
        <v>8</v>
      </c>
      <c r="F256" s="76">
        <v>3.43</v>
      </c>
      <c r="G256" s="76">
        <v>34</v>
      </c>
      <c r="H256" s="76">
        <v>33</v>
      </c>
      <c r="I256" s="76">
        <v>0</v>
      </c>
      <c r="J256" s="76">
        <v>0</v>
      </c>
      <c r="K256" s="76">
        <v>191.2</v>
      </c>
      <c r="L256" s="76">
        <v>200</v>
      </c>
      <c r="M256" s="76">
        <v>81</v>
      </c>
      <c r="N256" s="76">
        <v>73</v>
      </c>
      <c r="O256" s="76">
        <v>24</v>
      </c>
      <c r="P256" s="76">
        <v>32</v>
      </c>
      <c r="Q256" s="76">
        <v>128</v>
      </c>
      <c r="R256" s="76">
        <v>0.26800000000000002</v>
      </c>
      <c r="S256" s="76">
        <v>1.21</v>
      </c>
      <c r="T256" s="76">
        <v>10</v>
      </c>
      <c r="U256" s="77" t="s">
        <v>595</v>
      </c>
      <c r="V256" s="76" t="s">
        <v>167</v>
      </c>
      <c r="W256" s="76">
        <v>0</v>
      </c>
      <c r="X256" s="76">
        <v>0</v>
      </c>
      <c r="Y256" s="76">
        <v>3</v>
      </c>
      <c r="Z256" s="76">
        <v>2</v>
      </c>
      <c r="AA256" s="76">
        <v>0</v>
      </c>
      <c r="AB256" s="76">
        <v>0</v>
      </c>
      <c r="AC256" s="76">
        <v>19</v>
      </c>
      <c r="AD256" s="76">
        <v>207</v>
      </c>
      <c r="AE256" s="76">
        <v>221</v>
      </c>
      <c r="AF256" s="76">
        <v>0</v>
      </c>
      <c r="AG256" s="76">
        <v>0</v>
      </c>
      <c r="AH256" s="76">
        <v>8</v>
      </c>
      <c r="AI256" s="76">
        <v>7</v>
      </c>
      <c r="AJ256" s="76">
        <v>4</v>
      </c>
      <c r="AK256" s="76">
        <v>791</v>
      </c>
      <c r="AL256" s="76">
        <v>2853</v>
      </c>
      <c r="AM256" s="202"/>
      <c r="AN256" s="77"/>
      <c r="AO256" s="202"/>
      <c r="AP256" s="202"/>
      <c r="AQ256" s="202"/>
      <c r="AR256" s="202"/>
      <c r="AS256" s="202"/>
      <c r="AT256" s="202"/>
      <c r="AU256" s="202"/>
      <c r="AV256" s="202"/>
      <c r="AW256" s="202"/>
      <c r="AX256" s="202"/>
      <c r="AY256" s="202"/>
    </row>
    <row r="257" spans="1:51" ht="25.5" x14ac:dyDescent="0.2">
      <c r="A257" s="76">
        <v>11</v>
      </c>
      <c r="B257" s="77" t="s">
        <v>1139</v>
      </c>
      <c r="C257" s="76" t="s">
        <v>167</v>
      </c>
      <c r="D257" s="76">
        <v>6</v>
      </c>
      <c r="E257" s="76">
        <v>4</v>
      </c>
      <c r="F257" s="76">
        <v>3.48</v>
      </c>
      <c r="G257" s="76">
        <v>68</v>
      </c>
      <c r="H257" s="76">
        <v>0</v>
      </c>
      <c r="I257" s="76">
        <v>1</v>
      </c>
      <c r="J257" s="76">
        <v>3</v>
      </c>
      <c r="K257" s="76">
        <v>77.2</v>
      </c>
      <c r="L257" s="76">
        <v>69</v>
      </c>
      <c r="M257" s="76">
        <v>32</v>
      </c>
      <c r="N257" s="76">
        <v>30</v>
      </c>
      <c r="O257" s="76">
        <v>7</v>
      </c>
      <c r="P257" s="76">
        <v>36</v>
      </c>
      <c r="Q257" s="76">
        <v>85</v>
      </c>
      <c r="R257" s="76">
        <v>0.24</v>
      </c>
      <c r="S257" s="76">
        <v>1.35</v>
      </c>
      <c r="T257" s="76">
        <v>11</v>
      </c>
      <c r="U257" s="77" t="s">
        <v>1139</v>
      </c>
      <c r="V257" s="76" t="s">
        <v>167</v>
      </c>
      <c r="W257" s="76">
        <v>0</v>
      </c>
      <c r="X257" s="76">
        <v>0</v>
      </c>
      <c r="Y257" s="76">
        <v>1</v>
      </c>
      <c r="Z257" s="76">
        <v>4</v>
      </c>
      <c r="AA257" s="76">
        <v>15</v>
      </c>
      <c r="AB257" s="76">
        <v>13</v>
      </c>
      <c r="AC257" s="76">
        <v>6</v>
      </c>
      <c r="AD257" s="76">
        <v>47</v>
      </c>
      <c r="AE257" s="76">
        <v>93</v>
      </c>
      <c r="AF257" s="76">
        <v>3</v>
      </c>
      <c r="AG257" s="76">
        <v>0</v>
      </c>
      <c r="AH257" s="76">
        <v>8</v>
      </c>
      <c r="AI257" s="76">
        <v>3</v>
      </c>
      <c r="AJ257" s="76">
        <v>0</v>
      </c>
      <c r="AK257" s="76">
        <v>331</v>
      </c>
      <c r="AL257" s="76">
        <v>1376</v>
      </c>
      <c r="AM257" s="202"/>
      <c r="AN257" s="77"/>
      <c r="AO257" s="202"/>
      <c r="AP257" s="202"/>
      <c r="AQ257" s="202"/>
      <c r="AR257" s="202"/>
      <c r="AS257" s="202"/>
      <c r="AT257" s="202"/>
      <c r="AU257" s="202"/>
      <c r="AV257" s="202"/>
      <c r="AW257" s="202"/>
      <c r="AX257" s="202"/>
      <c r="AY257" s="202"/>
    </row>
    <row r="258" spans="1:51" ht="25.5" x14ac:dyDescent="0.2">
      <c r="A258" s="76">
        <v>12</v>
      </c>
      <c r="B258" s="77" t="s">
        <v>1463</v>
      </c>
      <c r="C258" s="76" t="s">
        <v>167</v>
      </c>
      <c r="D258" s="76">
        <v>2</v>
      </c>
      <c r="E258" s="76">
        <v>2</v>
      </c>
      <c r="F258" s="76">
        <v>4.1100000000000003</v>
      </c>
      <c r="G258" s="76">
        <v>44</v>
      </c>
      <c r="H258" s="76">
        <v>0</v>
      </c>
      <c r="I258" s="76">
        <v>0</v>
      </c>
      <c r="J258" s="76">
        <v>2</v>
      </c>
      <c r="K258" s="76">
        <v>35</v>
      </c>
      <c r="L258" s="76">
        <v>34</v>
      </c>
      <c r="M258" s="76">
        <v>17</v>
      </c>
      <c r="N258" s="76">
        <v>16</v>
      </c>
      <c r="O258" s="76">
        <v>7</v>
      </c>
      <c r="P258" s="76">
        <v>14</v>
      </c>
      <c r="Q258" s="76">
        <v>40</v>
      </c>
      <c r="R258" s="76">
        <v>0.248</v>
      </c>
      <c r="S258" s="76">
        <v>1.37</v>
      </c>
      <c r="T258" s="76">
        <v>12</v>
      </c>
      <c r="U258" s="77" t="s">
        <v>1463</v>
      </c>
      <c r="V258" s="76" t="s">
        <v>167</v>
      </c>
      <c r="W258" s="76">
        <v>0</v>
      </c>
      <c r="X258" s="76">
        <v>0</v>
      </c>
      <c r="Y258" s="76">
        <v>2</v>
      </c>
      <c r="Z258" s="76">
        <v>0</v>
      </c>
      <c r="AA258" s="76">
        <v>8</v>
      </c>
      <c r="AB258" s="76">
        <v>11</v>
      </c>
      <c r="AC258" s="76">
        <v>1</v>
      </c>
      <c r="AD258" s="76">
        <v>18</v>
      </c>
      <c r="AE258" s="76">
        <v>47</v>
      </c>
      <c r="AF258" s="76">
        <v>0</v>
      </c>
      <c r="AG258" s="76">
        <v>1</v>
      </c>
      <c r="AH258" s="76">
        <v>4</v>
      </c>
      <c r="AI258" s="76">
        <v>0</v>
      </c>
      <c r="AJ258" s="76">
        <v>0</v>
      </c>
      <c r="AK258" s="76">
        <v>155</v>
      </c>
      <c r="AL258" s="76">
        <v>648</v>
      </c>
      <c r="AM258" s="202"/>
      <c r="AN258" s="77"/>
      <c r="AO258" s="202"/>
      <c r="AP258" s="202"/>
      <c r="AQ258" s="202"/>
      <c r="AR258" s="202"/>
      <c r="AS258" s="202"/>
      <c r="AT258" s="202"/>
      <c r="AU258" s="202"/>
      <c r="AV258" s="202"/>
      <c r="AW258" s="202"/>
      <c r="AX258" s="202"/>
      <c r="AY258" s="202"/>
    </row>
    <row r="259" spans="1:51" ht="25.5" x14ac:dyDescent="0.2">
      <c r="A259" s="76">
        <v>13</v>
      </c>
      <c r="B259" s="77" t="s">
        <v>770</v>
      </c>
      <c r="C259" s="76" t="s">
        <v>167</v>
      </c>
      <c r="D259" s="76">
        <v>2</v>
      </c>
      <c r="E259" s="76">
        <v>2</v>
      </c>
      <c r="F259" s="76">
        <v>4.54</v>
      </c>
      <c r="G259" s="76">
        <v>36</v>
      </c>
      <c r="H259" s="76">
        <v>0</v>
      </c>
      <c r="I259" s="76">
        <v>0</v>
      </c>
      <c r="J259" s="76">
        <v>1</v>
      </c>
      <c r="K259" s="76">
        <v>35.200000000000003</v>
      </c>
      <c r="L259" s="76">
        <v>33</v>
      </c>
      <c r="M259" s="76">
        <v>20</v>
      </c>
      <c r="N259" s="76">
        <v>18</v>
      </c>
      <c r="O259" s="76">
        <v>5</v>
      </c>
      <c r="P259" s="76">
        <v>14</v>
      </c>
      <c r="Q259" s="76">
        <v>36</v>
      </c>
      <c r="R259" s="76">
        <v>0.23400000000000001</v>
      </c>
      <c r="S259" s="76">
        <v>1.32</v>
      </c>
      <c r="T259" s="76">
        <v>13</v>
      </c>
      <c r="U259" s="77" t="s">
        <v>770</v>
      </c>
      <c r="V259" s="76" t="s">
        <v>167</v>
      </c>
      <c r="W259" s="76">
        <v>0</v>
      </c>
      <c r="X259" s="76">
        <v>0</v>
      </c>
      <c r="Y259" s="76">
        <v>1</v>
      </c>
      <c r="Z259" s="76">
        <v>1</v>
      </c>
      <c r="AA259" s="76">
        <v>10</v>
      </c>
      <c r="AB259" s="76">
        <v>3</v>
      </c>
      <c r="AC259" s="76">
        <v>0</v>
      </c>
      <c r="AD259" s="76">
        <v>23</v>
      </c>
      <c r="AE259" s="76">
        <v>50</v>
      </c>
      <c r="AF259" s="76">
        <v>5</v>
      </c>
      <c r="AG259" s="76">
        <v>0</v>
      </c>
      <c r="AH259" s="76">
        <v>1</v>
      </c>
      <c r="AI259" s="76">
        <v>1</v>
      </c>
      <c r="AJ259" s="76">
        <v>0</v>
      </c>
      <c r="AK259" s="76">
        <v>157</v>
      </c>
      <c r="AL259" s="76">
        <v>630</v>
      </c>
      <c r="AM259" s="202"/>
      <c r="AN259" s="77"/>
      <c r="AO259" s="202"/>
      <c r="AP259" s="202"/>
      <c r="AQ259" s="202"/>
      <c r="AR259" s="202"/>
      <c r="AS259" s="202"/>
      <c r="AT259" s="202"/>
      <c r="AU259" s="202"/>
      <c r="AV259" s="202"/>
      <c r="AW259" s="202"/>
      <c r="AX259" s="202"/>
      <c r="AY259" s="202"/>
    </row>
    <row r="260" spans="1:51" ht="25.5" x14ac:dyDescent="0.2">
      <c r="A260" s="76">
        <v>14</v>
      </c>
      <c r="B260" s="77" t="s">
        <v>1464</v>
      </c>
      <c r="C260" s="76" t="s">
        <v>167</v>
      </c>
      <c r="D260" s="76">
        <v>3</v>
      </c>
      <c r="E260" s="76">
        <v>0</v>
      </c>
      <c r="F260" s="76">
        <v>4.7</v>
      </c>
      <c r="G260" s="76">
        <v>20</v>
      </c>
      <c r="H260" s="76">
        <v>0</v>
      </c>
      <c r="I260" s="76">
        <v>0</v>
      </c>
      <c r="J260" s="76">
        <v>0</v>
      </c>
      <c r="K260" s="76">
        <v>15.1</v>
      </c>
      <c r="L260" s="76">
        <v>16</v>
      </c>
      <c r="M260" s="76">
        <v>10</v>
      </c>
      <c r="N260" s="76">
        <v>8</v>
      </c>
      <c r="O260" s="76">
        <v>4</v>
      </c>
      <c r="P260" s="76">
        <v>4</v>
      </c>
      <c r="Q260" s="76">
        <v>25</v>
      </c>
      <c r="R260" s="76">
        <v>0.26700000000000002</v>
      </c>
      <c r="S260" s="76">
        <v>1.3</v>
      </c>
      <c r="T260" s="76">
        <v>14</v>
      </c>
      <c r="U260" s="77" t="s">
        <v>1464</v>
      </c>
      <c r="V260" s="76" t="s">
        <v>167</v>
      </c>
      <c r="W260" s="76">
        <v>0</v>
      </c>
      <c r="X260" s="76">
        <v>0</v>
      </c>
      <c r="Y260" s="76">
        <v>1</v>
      </c>
      <c r="Z260" s="76">
        <v>1</v>
      </c>
      <c r="AA260" s="76">
        <v>4</v>
      </c>
      <c r="AB260" s="76">
        <v>3</v>
      </c>
      <c r="AC260" s="76">
        <v>2</v>
      </c>
      <c r="AD260" s="76">
        <v>7</v>
      </c>
      <c r="AE260" s="76">
        <v>12</v>
      </c>
      <c r="AF260" s="76">
        <v>0</v>
      </c>
      <c r="AG260" s="76">
        <v>0</v>
      </c>
      <c r="AH260" s="76">
        <v>1</v>
      </c>
      <c r="AI260" s="76">
        <v>0</v>
      </c>
      <c r="AJ260" s="76">
        <v>0</v>
      </c>
      <c r="AK260" s="76">
        <v>65</v>
      </c>
      <c r="AL260" s="76">
        <v>258</v>
      </c>
      <c r="AM260" s="202"/>
      <c r="AN260" s="77"/>
      <c r="AO260" s="202"/>
      <c r="AP260" s="202"/>
      <c r="AQ260" s="202"/>
      <c r="AR260" s="202"/>
      <c r="AS260" s="202"/>
      <c r="AT260" s="202"/>
      <c r="AU260" s="202"/>
      <c r="AV260" s="202"/>
      <c r="AW260" s="202"/>
      <c r="AX260" s="202"/>
      <c r="AY260" s="202"/>
    </row>
    <row r="261" spans="1:51" ht="25.5" x14ac:dyDescent="0.2">
      <c r="A261" s="76">
        <v>15</v>
      </c>
      <c r="B261" s="77" t="s">
        <v>418</v>
      </c>
      <c r="C261" s="76" t="s">
        <v>167</v>
      </c>
      <c r="D261" s="76">
        <v>0</v>
      </c>
      <c r="E261" s="76">
        <v>0</v>
      </c>
      <c r="F261" s="76">
        <v>4.74</v>
      </c>
      <c r="G261" s="76">
        <v>41</v>
      </c>
      <c r="H261" s="76">
        <v>0</v>
      </c>
      <c r="I261" s="76">
        <v>0</v>
      </c>
      <c r="J261" s="76">
        <v>1</v>
      </c>
      <c r="K261" s="76">
        <v>43.2</v>
      </c>
      <c r="L261" s="76">
        <v>41</v>
      </c>
      <c r="M261" s="76">
        <v>24</v>
      </c>
      <c r="N261" s="76">
        <v>23</v>
      </c>
      <c r="O261" s="76">
        <v>8</v>
      </c>
      <c r="P261" s="76">
        <v>21</v>
      </c>
      <c r="Q261" s="76">
        <v>46</v>
      </c>
      <c r="R261" s="76">
        <v>0.24399999999999999</v>
      </c>
      <c r="S261" s="76">
        <v>1.42</v>
      </c>
      <c r="T261" s="76">
        <v>15</v>
      </c>
      <c r="U261" s="77" t="s">
        <v>418</v>
      </c>
      <c r="V261" s="76" t="s">
        <v>167</v>
      </c>
      <c r="W261" s="76">
        <v>0</v>
      </c>
      <c r="X261" s="76">
        <v>0</v>
      </c>
      <c r="Y261" s="76">
        <v>3</v>
      </c>
      <c r="Z261" s="76">
        <v>2</v>
      </c>
      <c r="AA261" s="76">
        <v>11</v>
      </c>
      <c r="AB261" s="76">
        <v>7</v>
      </c>
      <c r="AC261" s="76">
        <v>2</v>
      </c>
      <c r="AD261" s="76">
        <v>36</v>
      </c>
      <c r="AE261" s="76">
        <v>48</v>
      </c>
      <c r="AF261" s="76">
        <v>1</v>
      </c>
      <c r="AG261" s="76">
        <v>2</v>
      </c>
      <c r="AH261" s="76">
        <v>8</v>
      </c>
      <c r="AI261" s="76">
        <v>1</v>
      </c>
      <c r="AJ261" s="76">
        <v>1</v>
      </c>
      <c r="AK261" s="76">
        <v>195</v>
      </c>
      <c r="AL261" s="76">
        <v>804</v>
      </c>
      <c r="AM261" s="202"/>
      <c r="AN261" s="77"/>
      <c r="AO261" s="202"/>
      <c r="AP261" s="202"/>
      <c r="AQ261" s="202"/>
      <c r="AR261" s="202"/>
      <c r="AS261" s="202"/>
      <c r="AT261" s="202"/>
      <c r="AU261" s="202"/>
      <c r="AV261" s="202"/>
      <c r="AW261" s="202"/>
      <c r="AX261" s="202"/>
      <c r="AY261" s="202"/>
    </row>
    <row r="262" spans="1:51" ht="25.5" x14ac:dyDescent="0.2">
      <c r="A262" s="76">
        <v>16</v>
      </c>
      <c r="B262" s="77" t="s">
        <v>1136</v>
      </c>
      <c r="C262" s="76" t="s">
        <v>167</v>
      </c>
      <c r="D262" s="76">
        <v>4</v>
      </c>
      <c r="E262" s="76">
        <v>10</v>
      </c>
      <c r="F262" s="76">
        <v>4.8600000000000003</v>
      </c>
      <c r="G262" s="76">
        <v>17</v>
      </c>
      <c r="H262" s="76">
        <v>17</v>
      </c>
      <c r="I262" s="76">
        <v>0</v>
      </c>
      <c r="J262" s="76">
        <v>0</v>
      </c>
      <c r="K262" s="76">
        <v>92.2</v>
      </c>
      <c r="L262" s="76">
        <v>111</v>
      </c>
      <c r="M262" s="76">
        <v>55</v>
      </c>
      <c r="N262" s="76">
        <v>50</v>
      </c>
      <c r="O262" s="76">
        <v>8</v>
      </c>
      <c r="P262" s="76">
        <v>25</v>
      </c>
      <c r="Q262" s="76">
        <v>76</v>
      </c>
      <c r="R262" s="76">
        <v>0.30199999999999999</v>
      </c>
      <c r="S262" s="76">
        <v>1.47</v>
      </c>
      <c r="T262" s="76">
        <v>16</v>
      </c>
      <c r="U262" s="77" t="s">
        <v>1136</v>
      </c>
      <c r="V262" s="76" t="s">
        <v>167</v>
      </c>
      <c r="W262" s="76">
        <v>0</v>
      </c>
      <c r="X262" s="76">
        <v>0</v>
      </c>
      <c r="Y262" s="76">
        <v>1</v>
      </c>
      <c r="Z262" s="76">
        <v>1</v>
      </c>
      <c r="AA262" s="76">
        <v>0</v>
      </c>
      <c r="AB262" s="76">
        <v>0</v>
      </c>
      <c r="AC262" s="76">
        <v>10</v>
      </c>
      <c r="AD262" s="76">
        <v>93</v>
      </c>
      <c r="AE262" s="76">
        <v>96</v>
      </c>
      <c r="AF262" s="76">
        <v>4</v>
      </c>
      <c r="AG262" s="76">
        <v>0</v>
      </c>
      <c r="AH262" s="76">
        <v>7</v>
      </c>
      <c r="AI262" s="76">
        <v>3</v>
      </c>
      <c r="AJ262" s="76">
        <v>1</v>
      </c>
      <c r="AK262" s="76">
        <v>402</v>
      </c>
      <c r="AL262" s="76">
        <v>1514</v>
      </c>
      <c r="AM262" s="202"/>
      <c r="AN262" s="77"/>
      <c r="AO262" s="202"/>
      <c r="AP262" s="202"/>
      <c r="AQ262" s="202"/>
      <c r="AR262" s="202"/>
      <c r="AS262" s="202"/>
      <c r="AT262" s="202"/>
      <c r="AU262" s="202"/>
      <c r="AV262" s="202"/>
      <c r="AW262" s="202"/>
      <c r="AX262" s="202"/>
      <c r="AY262" s="202"/>
    </row>
    <row r="263" spans="1:51" ht="25.5" x14ac:dyDescent="0.2">
      <c r="A263" s="76">
        <v>17</v>
      </c>
      <c r="B263" s="77" t="s">
        <v>1137</v>
      </c>
      <c r="C263" s="76" t="s">
        <v>167</v>
      </c>
      <c r="D263" s="76">
        <v>3</v>
      </c>
      <c r="E263" s="76">
        <v>8</v>
      </c>
      <c r="F263" s="76">
        <v>5.2</v>
      </c>
      <c r="G263" s="76">
        <v>35</v>
      </c>
      <c r="H263" s="76">
        <v>12</v>
      </c>
      <c r="I263" s="76">
        <v>0</v>
      </c>
      <c r="J263" s="76">
        <v>0</v>
      </c>
      <c r="K263" s="76">
        <v>91.2</v>
      </c>
      <c r="L263" s="76">
        <v>100</v>
      </c>
      <c r="M263" s="76">
        <v>55</v>
      </c>
      <c r="N263" s="76">
        <v>53</v>
      </c>
      <c r="O263" s="76">
        <v>16</v>
      </c>
      <c r="P263" s="76">
        <v>43</v>
      </c>
      <c r="Q263" s="76">
        <v>66</v>
      </c>
      <c r="R263" s="76">
        <v>0.28299999999999997</v>
      </c>
      <c r="S263" s="76">
        <v>1.56</v>
      </c>
      <c r="T263" s="76">
        <v>17</v>
      </c>
      <c r="U263" s="77" t="s">
        <v>1137</v>
      </c>
      <c r="V263" s="76" t="s">
        <v>167</v>
      </c>
      <c r="W263" s="76">
        <v>0</v>
      </c>
      <c r="X263" s="76">
        <v>0</v>
      </c>
      <c r="Y263" s="76">
        <v>4</v>
      </c>
      <c r="Z263" s="76">
        <v>3</v>
      </c>
      <c r="AA263" s="76">
        <v>10</v>
      </c>
      <c r="AB263" s="76">
        <v>0</v>
      </c>
      <c r="AC263" s="76">
        <v>10</v>
      </c>
      <c r="AD263" s="76">
        <v>110</v>
      </c>
      <c r="AE263" s="76">
        <v>83</v>
      </c>
      <c r="AF263" s="76">
        <v>4</v>
      </c>
      <c r="AG263" s="76">
        <v>1</v>
      </c>
      <c r="AH263" s="76">
        <v>3</v>
      </c>
      <c r="AI263" s="76">
        <v>5</v>
      </c>
      <c r="AJ263" s="76">
        <v>0</v>
      </c>
      <c r="AK263" s="76">
        <v>406</v>
      </c>
      <c r="AL263" s="76">
        <v>1570</v>
      </c>
      <c r="AM263" s="202"/>
      <c r="AN263" s="77"/>
      <c r="AO263" s="202"/>
      <c r="AP263" s="202"/>
      <c r="AQ263" s="202"/>
      <c r="AR263" s="202"/>
      <c r="AS263" s="202"/>
      <c r="AT263" s="202"/>
      <c r="AU263" s="202"/>
      <c r="AV263" s="202"/>
      <c r="AW263" s="202"/>
      <c r="AX263" s="202"/>
      <c r="AY263" s="202"/>
    </row>
    <row r="264" spans="1:51" ht="25.5" x14ac:dyDescent="0.2">
      <c r="A264" s="76">
        <v>18</v>
      </c>
      <c r="B264" s="77" t="s">
        <v>1465</v>
      </c>
      <c r="C264" s="76" t="s">
        <v>167</v>
      </c>
      <c r="D264" s="76">
        <v>1</v>
      </c>
      <c r="E264" s="76">
        <v>0</v>
      </c>
      <c r="F264" s="76">
        <v>5.23</v>
      </c>
      <c r="G264" s="76">
        <v>16</v>
      </c>
      <c r="H264" s="76">
        <v>0</v>
      </c>
      <c r="I264" s="76">
        <v>0</v>
      </c>
      <c r="J264" s="76">
        <v>0</v>
      </c>
      <c r="K264" s="76">
        <v>10.1</v>
      </c>
      <c r="L264" s="76">
        <v>10</v>
      </c>
      <c r="M264" s="76">
        <v>6</v>
      </c>
      <c r="N264" s="76">
        <v>6</v>
      </c>
      <c r="O264" s="76">
        <v>1</v>
      </c>
      <c r="P264" s="76">
        <v>6</v>
      </c>
      <c r="Q264" s="76">
        <v>11</v>
      </c>
      <c r="R264" s="76">
        <v>0.27</v>
      </c>
      <c r="S264" s="76">
        <v>1.55</v>
      </c>
      <c r="T264" s="76">
        <v>18</v>
      </c>
      <c r="U264" s="77" t="s">
        <v>1465</v>
      </c>
      <c r="V264" s="76" t="s">
        <v>167</v>
      </c>
      <c r="W264" s="76">
        <v>0</v>
      </c>
      <c r="X264" s="76">
        <v>0</v>
      </c>
      <c r="Y264" s="76">
        <v>0</v>
      </c>
      <c r="Z264" s="76">
        <v>0</v>
      </c>
      <c r="AA264" s="76">
        <v>4</v>
      </c>
      <c r="AB264" s="76">
        <v>0</v>
      </c>
      <c r="AC264" s="76">
        <v>2</v>
      </c>
      <c r="AD264" s="76">
        <v>8</v>
      </c>
      <c r="AE264" s="76">
        <v>10</v>
      </c>
      <c r="AF264" s="76">
        <v>1</v>
      </c>
      <c r="AG264" s="76">
        <v>0</v>
      </c>
      <c r="AH264" s="76">
        <v>0</v>
      </c>
      <c r="AI264" s="76">
        <v>0</v>
      </c>
      <c r="AJ264" s="76">
        <v>0</v>
      </c>
      <c r="AK264" s="76">
        <v>45</v>
      </c>
      <c r="AL264" s="76">
        <v>166</v>
      </c>
      <c r="AM264" s="202"/>
      <c r="AN264" s="77"/>
      <c r="AO264" s="202"/>
      <c r="AP264" s="202"/>
      <c r="AQ264" s="202"/>
      <c r="AR264" s="202"/>
      <c r="AS264" s="202"/>
      <c r="AT264" s="202"/>
      <c r="AU264" s="202"/>
      <c r="AV264" s="202"/>
      <c r="AW264" s="202"/>
      <c r="AX264" s="202"/>
      <c r="AY264" s="202"/>
    </row>
    <row r="265" spans="1:51" ht="25.5" x14ac:dyDescent="0.2">
      <c r="A265" s="76">
        <v>19</v>
      </c>
      <c r="B265" s="77" t="s">
        <v>1466</v>
      </c>
      <c r="C265" s="76" t="s">
        <v>167</v>
      </c>
      <c r="D265" s="76">
        <v>1</v>
      </c>
      <c r="E265" s="76">
        <v>0</v>
      </c>
      <c r="F265" s="76">
        <v>6.38</v>
      </c>
      <c r="G265" s="76">
        <v>10</v>
      </c>
      <c r="H265" s="76">
        <v>3</v>
      </c>
      <c r="I265" s="76">
        <v>0</v>
      </c>
      <c r="J265" s="76">
        <v>0</v>
      </c>
      <c r="K265" s="76">
        <v>18.100000000000001</v>
      </c>
      <c r="L265" s="76">
        <v>26</v>
      </c>
      <c r="M265" s="76">
        <v>13</v>
      </c>
      <c r="N265" s="76">
        <v>13</v>
      </c>
      <c r="O265" s="76">
        <v>0</v>
      </c>
      <c r="P265" s="76">
        <v>7</v>
      </c>
      <c r="Q265" s="76">
        <v>17</v>
      </c>
      <c r="R265" s="76">
        <v>0.33300000000000002</v>
      </c>
      <c r="S265" s="76">
        <v>1.8</v>
      </c>
      <c r="T265" s="76">
        <v>19</v>
      </c>
      <c r="U265" s="77" t="s">
        <v>1466</v>
      </c>
      <c r="V265" s="76" t="s">
        <v>167</v>
      </c>
      <c r="W265" s="76">
        <v>0</v>
      </c>
      <c r="X265" s="76">
        <v>0</v>
      </c>
      <c r="Y265" s="76">
        <v>1</v>
      </c>
      <c r="Z265" s="76">
        <v>0</v>
      </c>
      <c r="AA265" s="76">
        <v>2</v>
      </c>
      <c r="AB265" s="76">
        <v>0</v>
      </c>
      <c r="AC265" s="76">
        <v>1</v>
      </c>
      <c r="AD265" s="76">
        <v>20</v>
      </c>
      <c r="AE265" s="76">
        <v>17</v>
      </c>
      <c r="AF265" s="76">
        <v>0</v>
      </c>
      <c r="AG265" s="76">
        <v>0</v>
      </c>
      <c r="AH265" s="76">
        <v>3</v>
      </c>
      <c r="AI265" s="76">
        <v>0</v>
      </c>
      <c r="AJ265" s="76">
        <v>0</v>
      </c>
      <c r="AK265" s="76">
        <v>88</v>
      </c>
      <c r="AL265" s="76">
        <v>323</v>
      </c>
      <c r="AM265" s="202"/>
      <c r="AN265" s="77"/>
      <c r="AO265" s="202"/>
      <c r="AP265" s="202"/>
      <c r="AQ265" s="202"/>
      <c r="AR265" s="202"/>
      <c r="AS265" s="202"/>
      <c r="AT265" s="202"/>
      <c r="AU265" s="202"/>
      <c r="AV265" s="202"/>
      <c r="AW265" s="202"/>
      <c r="AX265" s="202"/>
      <c r="AY265" s="202"/>
    </row>
    <row r="266" spans="1:51" ht="25.5" x14ac:dyDescent="0.2">
      <c r="A266" s="76">
        <v>20</v>
      </c>
      <c r="B266" s="77" t="s">
        <v>1135</v>
      </c>
      <c r="C266" s="76" t="s">
        <v>167</v>
      </c>
      <c r="D266" s="76">
        <v>0</v>
      </c>
      <c r="E266" s="76">
        <v>1</v>
      </c>
      <c r="F266" s="76">
        <v>7.13</v>
      </c>
      <c r="G266" s="76">
        <v>14</v>
      </c>
      <c r="H266" s="76">
        <v>1</v>
      </c>
      <c r="I266" s="76">
        <v>0</v>
      </c>
      <c r="J266" s="76">
        <v>0</v>
      </c>
      <c r="K266" s="76">
        <v>17.2</v>
      </c>
      <c r="L266" s="76">
        <v>21</v>
      </c>
      <c r="M266" s="76">
        <v>14</v>
      </c>
      <c r="N266" s="76">
        <v>14</v>
      </c>
      <c r="O266" s="76">
        <v>4</v>
      </c>
      <c r="P266" s="76">
        <v>7</v>
      </c>
      <c r="Q266" s="76">
        <v>11</v>
      </c>
      <c r="R266" s="76">
        <v>0.3</v>
      </c>
      <c r="S266" s="76">
        <v>1.58</v>
      </c>
      <c r="T266" s="76">
        <v>20</v>
      </c>
      <c r="U266" s="77" t="s">
        <v>1135</v>
      </c>
      <c r="V266" s="76" t="s">
        <v>167</v>
      </c>
      <c r="W266" s="76">
        <v>0</v>
      </c>
      <c r="X266" s="76">
        <v>0</v>
      </c>
      <c r="Y266" s="76">
        <v>1</v>
      </c>
      <c r="Z266" s="76">
        <v>1</v>
      </c>
      <c r="AA266" s="76">
        <v>3</v>
      </c>
      <c r="AB266" s="76">
        <v>1</v>
      </c>
      <c r="AC266" s="76">
        <v>2</v>
      </c>
      <c r="AD266" s="76">
        <v>22</v>
      </c>
      <c r="AE266" s="76">
        <v>17</v>
      </c>
      <c r="AF266" s="76">
        <v>0</v>
      </c>
      <c r="AG266" s="76">
        <v>0</v>
      </c>
      <c r="AH266" s="76">
        <v>1</v>
      </c>
      <c r="AI266" s="76">
        <v>0</v>
      </c>
      <c r="AJ266" s="76">
        <v>0</v>
      </c>
      <c r="AK266" s="76">
        <v>79</v>
      </c>
      <c r="AL266" s="76">
        <v>309</v>
      </c>
      <c r="AM266" s="202"/>
      <c r="AN266" s="77"/>
      <c r="AO266" s="202"/>
      <c r="AP266" s="202"/>
      <c r="AQ266" s="202"/>
      <c r="AR266" s="202"/>
      <c r="AS266" s="202"/>
      <c r="AT266" s="202"/>
      <c r="AU266" s="202"/>
      <c r="AV266" s="202"/>
      <c r="AW266" s="202"/>
      <c r="AX266" s="202"/>
      <c r="AY266" s="202"/>
    </row>
    <row r="267" spans="1:51" ht="25.5" x14ac:dyDescent="0.2">
      <c r="A267" s="76">
        <v>21</v>
      </c>
      <c r="B267" s="77" t="s">
        <v>771</v>
      </c>
      <c r="C267" s="76" t="s">
        <v>167</v>
      </c>
      <c r="D267" s="76">
        <v>0</v>
      </c>
      <c r="E267" s="76">
        <v>1</v>
      </c>
      <c r="F267" s="76">
        <v>8.0500000000000007</v>
      </c>
      <c r="G267" s="76">
        <v>9</v>
      </c>
      <c r="H267" s="76">
        <v>3</v>
      </c>
      <c r="I267" s="76">
        <v>0</v>
      </c>
      <c r="J267" s="76">
        <v>0</v>
      </c>
      <c r="K267" s="76">
        <v>19</v>
      </c>
      <c r="L267" s="76">
        <v>23</v>
      </c>
      <c r="M267" s="76">
        <v>17</v>
      </c>
      <c r="N267" s="76">
        <v>17</v>
      </c>
      <c r="O267" s="76">
        <v>4</v>
      </c>
      <c r="P267" s="76">
        <v>16</v>
      </c>
      <c r="Q267" s="76">
        <v>20</v>
      </c>
      <c r="R267" s="76">
        <v>0.29899999999999999</v>
      </c>
      <c r="S267" s="76">
        <v>2.0499999999999998</v>
      </c>
      <c r="T267" s="76">
        <v>21</v>
      </c>
      <c r="U267" s="77" t="s">
        <v>771</v>
      </c>
      <c r="V267" s="76" t="s">
        <v>167</v>
      </c>
      <c r="W267" s="76">
        <v>0</v>
      </c>
      <c r="X267" s="76">
        <v>0</v>
      </c>
      <c r="Y267" s="76">
        <v>0</v>
      </c>
      <c r="Z267" s="76">
        <v>1</v>
      </c>
      <c r="AA267" s="76">
        <v>1</v>
      </c>
      <c r="AB267" s="76">
        <v>0</v>
      </c>
      <c r="AC267" s="76">
        <v>2</v>
      </c>
      <c r="AD267" s="76">
        <v>16</v>
      </c>
      <c r="AE267" s="76">
        <v>18</v>
      </c>
      <c r="AF267" s="76">
        <v>2</v>
      </c>
      <c r="AG267" s="76">
        <v>0</v>
      </c>
      <c r="AH267" s="76">
        <v>3</v>
      </c>
      <c r="AI267" s="76">
        <v>1</v>
      </c>
      <c r="AJ267" s="76">
        <v>0</v>
      </c>
      <c r="AK267" s="76">
        <v>93</v>
      </c>
      <c r="AL267" s="76">
        <v>388</v>
      </c>
      <c r="AM267" s="202"/>
      <c r="AN267" s="77"/>
      <c r="AO267" s="202"/>
      <c r="AP267" s="202"/>
      <c r="AQ267" s="202"/>
      <c r="AR267" s="202"/>
      <c r="AS267" s="202"/>
      <c r="AT267" s="202"/>
      <c r="AU267" s="202"/>
      <c r="AV267" s="202"/>
      <c r="AW267" s="202"/>
      <c r="AX267" s="202"/>
      <c r="AY267" s="202"/>
    </row>
    <row r="268" spans="1:51" ht="25.5" x14ac:dyDescent="0.2">
      <c r="A268" s="76">
        <v>22</v>
      </c>
      <c r="B268" s="77" t="s">
        <v>415</v>
      </c>
      <c r="C268" s="76" t="s">
        <v>167</v>
      </c>
      <c r="D268" s="76">
        <v>0</v>
      </c>
      <c r="E268" s="76">
        <v>1</v>
      </c>
      <c r="F268" s="76">
        <v>11.45</v>
      </c>
      <c r="G268" s="76">
        <v>6</v>
      </c>
      <c r="H268" s="76">
        <v>2</v>
      </c>
      <c r="I268" s="76">
        <v>0</v>
      </c>
      <c r="J268" s="76">
        <v>0</v>
      </c>
      <c r="K268" s="76">
        <v>11</v>
      </c>
      <c r="L268" s="76">
        <v>13</v>
      </c>
      <c r="M268" s="76">
        <v>14</v>
      </c>
      <c r="N268" s="76">
        <v>14</v>
      </c>
      <c r="O268" s="76">
        <v>4</v>
      </c>
      <c r="P268" s="76">
        <v>9</v>
      </c>
      <c r="Q268" s="76">
        <v>12</v>
      </c>
      <c r="R268" s="76">
        <v>0.28899999999999998</v>
      </c>
      <c r="S268" s="76">
        <v>2</v>
      </c>
      <c r="T268" s="76">
        <v>22</v>
      </c>
      <c r="U268" s="77" t="s">
        <v>415</v>
      </c>
      <c r="V268" s="76" t="s">
        <v>167</v>
      </c>
      <c r="W268" s="76">
        <v>0</v>
      </c>
      <c r="X268" s="76">
        <v>0</v>
      </c>
      <c r="Y268" s="76">
        <v>0</v>
      </c>
      <c r="Z268" s="76">
        <v>1</v>
      </c>
      <c r="AA268" s="76">
        <v>1</v>
      </c>
      <c r="AB268" s="76">
        <v>0</v>
      </c>
      <c r="AC268" s="76">
        <v>0</v>
      </c>
      <c r="AD268" s="76">
        <v>7</v>
      </c>
      <c r="AE268" s="76">
        <v>14</v>
      </c>
      <c r="AF268" s="76">
        <v>2</v>
      </c>
      <c r="AG268" s="76">
        <v>0</v>
      </c>
      <c r="AH268" s="76">
        <v>0</v>
      </c>
      <c r="AI268" s="76">
        <v>0</v>
      </c>
      <c r="AJ268" s="76">
        <v>0</v>
      </c>
      <c r="AK268" s="76">
        <v>55</v>
      </c>
      <c r="AL268" s="76">
        <v>225</v>
      </c>
      <c r="AM268" s="202"/>
      <c r="AN268" s="77"/>
      <c r="AO268" s="202"/>
      <c r="AP268" s="202"/>
      <c r="AQ268" s="202"/>
      <c r="AR268" s="202"/>
      <c r="AS268" s="202"/>
      <c r="AT268" s="202"/>
      <c r="AU268" s="202"/>
      <c r="AV268" s="202"/>
      <c r="AW268" s="202"/>
      <c r="AX268" s="202"/>
      <c r="AY268" s="202"/>
    </row>
    <row r="269" spans="1:51" ht="25.5" x14ac:dyDescent="0.2">
      <c r="A269" s="225" t="s">
        <v>105</v>
      </c>
      <c r="B269" s="225" t="s">
        <v>106</v>
      </c>
      <c r="C269" s="225" t="s">
        <v>157</v>
      </c>
      <c r="D269" s="225" t="s">
        <v>85</v>
      </c>
      <c r="E269" s="225" t="s">
        <v>86</v>
      </c>
      <c r="F269" s="225" t="s">
        <v>107</v>
      </c>
      <c r="G269" s="225" t="s">
        <v>108</v>
      </c>
      <c r="H269" s="225" t="s">
        <v>88</v>
      </c>
      <c r="I269" s="225" t="s">
        <v>90</v>
      </c>
      <c r="J269" s="225" t="s">
        <v>158</v>
      </c>
      <c r="K269" s="225" t="s">
        <v>91</v>
      </c>
      <c r="L269" s="225" t="s">
        <v>92</v>
      </c>
      <c r="M269" s="225" t="s">
        <v>93</v>
      </c>
      <c r="N269" s="225" t="s">
        <v>94</v>
      </c>
      <c r="O269" s="225" t="s">
        <v>95</v>
      </c>
      <c r="P269" s="225" t="s">
        <v>96</v>
      </c>
      <c r="Q269" s="225" t="s">
        <v>97</v>
      </c>
      <c r="R269" s="225" t="s">
        <v>1071</v>
      </c>
      <c r="S269" s="225" t="s">
        <v>1072</v>
      </c>
      <c r="T269" s="225" t="s">
        <v>105</v>
      </c>
      <c r="U269" s="225" t="s">
        <v>106</v>
      </c>
      <c r="V269" s="225" t="s">
        <v>157</v>
      </c>
      <c r="W269" s="225" t="s">
        <v>89</v>
      </c>
      <c r="X269" s="225" t="s">
        <v>1073</v>
      </c>
      <c r="Y269" s="225" t="s">
        <v>1074</v>
      </c>
      <c r="Z269" s="225" t="s">
        <v>98</v>
      </c>
      <c r="AA269" s="225" t="s">
        <v>1075</v>
      </c>
      <c r="AB269" s="225" t="s">
        <v>1076</v>
      </c>
      <c r="AC269" s="225" t="s">
        <v>1077</v>
      </c>
      <c r="AD269" s="225" t="s">
        <v>1066</v>
      </c>
      <c r="AE269" s="225" t="s">
        <v>1067</v>
      </c>
      <c r="AF269" s="225" t="s">
        <v>1078</v>
      </c>
      <c r="AG269" s="225" t="s">
        <v>1079</v>
      </c>
      <c r="AH269" s="225" t="s">
        <v>1057</v>
      </c>
      <c r="AI269" s="225" t="s">
        <v>1058</v>
      </c>
      <c r="AJ269" s="225" t="s">
        <v>1080</v>
      </c>
      <c r="AK269" s="225" t="s">
        <v>109</v>
      </c>
      <c r="AL269" s="225" t="s">
        <v>1069</v>
      </c>
      <c r="AM269" s="202"/>
      <c r="AN269" s="77"/>
      <c r="AO269" s="202"/>
      <c r="AP269" s="202"/>
      <c r="AQ269" s="202"/>
      <c r="AR269" s="202"/>
      <c r="AS269" s="202"/>
      <c r="AT269" s="202"/>
      <c r="AU269" s="202"/>
      <c r="AV269" s="202"/>
      <c r="AW269" s="202"/>
      <c r="AX269" s="202"/>
      <c r="AY269" s="202"/>
    </row>
    <row r="270" spans="1:51" ht="25.5" x14ac:dyDescent="0.2">
      <c r="A270" s="76">
        <v>1</v>
      </c>
      <c r="B270" s="77" t="s">
        <v>1150</v>
      </c>
      <c r="C270" s="76" t="s">
        <v>168</v>
      </c>
      <c r="D270" s="76">
        <v>2</v>
      </c>
      <c r="E270" s="76">
        <v>1</v>
      </c>
      <c r="F270" s="76">
        <v>2.2799999999999998</v>
      </c>
      <c r="G270" s="76">
        <v>5</v>
      </c>
      <c r="H270" s="76">
        <v>5</v>
      </c>
      <c r="I270" s="76">
        <v>0</v>
      </c>
      <c r="J270" s="76">
        <v>0</v>
      </c>
      <c r="K270" s="76">
        <v>27.2</v>
      </c>
      <c r="L270" s="76">
        <v>22</v>
      </c>
      <c r="M270" s="76">
        <v>11</v>
      </c>
      <c r="N270" s="76">
        <v>7</v>
      </c>
      <c r="O270" s="76">
        <v>1</v>
      </c>
      <c r="P270" s="76">
        <v>4</v>
      </c>
      <c r="Q270" s="76">
        <v>13</v>
      </c>
      <c r="R270" s="76">
        <v>0.216</v>
      </c>
      <c r="S270" s="76">
        <v>0.94</v>
      </c>
      <c r="T270" s="76">
        <v>1</v>
      </c>
      <c r="U270" s="77" t="s">
        <v>1150</v>
      </c>
      <c r="V270" s="76" t="s">
        <v>168</v>
      </c>
      <c r="W270" s="76">
        <v>0</v>
      </c>
      <c r="X270" s="76">
        <v>0</v>
      </c>
      <c r="Y270" s="76">
        <v>2</v>
      </c>
      <c r="Z270" s="76">
        <v>0</v>
      </c>
      <c r="AA270" s="76">
        <v>0</v>
      </c>
      <c r="AB270" s="76">
        <v>0</v>
      </c>
      <c r="AC270" s="76">
        <v>2</v>
      </c>
      <c r="AD270" s="76">
        <v>29</v>
      </c>
      <c r="AE270" s="76">
        <v>41</v>
      </c>
      <c r="AF270" s="76">
        <v>0</v>
      </c>
      <c r="AG270" s="76">
        <v>0</v>
      </c>
      <c r="AH270" s="76">
        <v>0</v>
      </c>
      <c r="AI270" s="76">
        <v>1</v>
      </c>
      <c r="AJ270" s="76">
        <v>1</v>
      </c>
      <c r="AK270" s="76">
        <v>111</v>
      </c>
      <c r="AL270" s="76">
        <v>424</v>
      </c>
      <c r="AM270" s="202"/>
      <c r="AN270" s="77"/>
      <c r="AO270" s="202"/>
      <c r="AP270" s="202"/>
      <c r="AQ270" s="202"/>
      <c r="AR270" s="202"/>
      <c r="AS270" s="202"/>
      <c r="AT270" s="202"/>
      <c r="AU270" s="202"/>
      <c r="AV270" s="202"/>
      <c r="AW270" s="202"/>
      <c r="AX270" s="202"/>
      <c r="AY270" s="202"/>
    </row>
    <row r="271" spans="1:51" ht="25.5" x14ac:dyDescent="0.2">
      <c r="A271" s="76">
        <v>2</v>
      </c>
      <c r="B271" s="77" t="s">
        <v>773</v>
      </c>
      <c r="C271" s="76" t="s">
        <v>168</v>
      </c>
      <c r="D271" s="76">
        <v>4</v>
      </c>
      <c r="E271" s="76">
        <v>4</v>
      </c>
      <c r="F271" s="76">
        <v>2.58</v>
      </c>
      <c r="G271" s="76">
        <v>79</v>
      </c>
      <c r="H271" s="76">
        <v>0</v>
      </c>
      <c r="I271" s="76">
        <v>2</v>
      </c>
      <c r="J271" s="76">
        <v>6</v>
      </c>
      <c r="K271" s="76">
        <v>80.099999999999994</v>
      </c>
      <c r="L271" s="76">
        <v>59</v>
      </c>
      <c r="M271" s="76">
        <v>26</v>
      </c>
      <c r="N271" s="76">
        <v>23</v>
      </c>
      <c r="O271" s="76">
        <v>9</v>
      </c>
      <c r="P271" s="76">
        <v>30</v>
      </c>
      <c r="Q271" s="76">
        <v>102</v>
      </c>
      <c r="R271" s="76">
        <v>0.20200000000000001</v>
      </c>
      <c r="S271" s="76">
        <v>1.1100000000000001</v>
      </c>
      <c r="T271" s="76">
        <v>2</v>
      </c>
      <c r="U271" s="77" t="s">
        <v>773</v>
      </c>
      <c r="V271" s="76" t="s">
        <v>168</v>
      </c>
      <c r="W271" s="76">
        <v>0</v>
      </c>
      <c r="X271" s="76">
        <v>0</v>
      </c>
      <c r="Y271" s="76">
        <v>3</v>
      </c>
      <c r="Z271" s="76">
        <v>3</v>
      </c>
      <c r="AA271" s="76">
        <v>13</v>
      </c>
      <c r="AB271" s="76">
        <v>28</v>
      </c>
      <c r="AC271" s="76">
        <v>4</v>
      </c>
      <c r="AD271" s="76">
        <v>66</v>
      </c>
      <c r="AE271" s="76">
        <v>68</v>
      </c>
      <c r="AF271" s="76">
        <v>4</v>
      </c>
      <c r="AG271" s="76">
        <v>1</v>
      </c>
      <c r="AH271" s="76">
        <v>6</v>
      </c>
      <c r="AI271" s="76">
        <v>0</v>
      </c>
      <c r="AJ271" s="76">
        <v>0</v>
      </c>
      <c r="AK271" s="76">
        <v>328</v>
      </c>
      <c r="AL271" s="76">
        <v>1358</v>
      </c>
      <c r="AM271" s="202"/>
      <c r="AN271" s="77"/>
      <c r="AO271" s="202"/>
      <c r="AP271" s="202"/>
      <c r="AQ271" s="202"/>
      <c r="AR271" s="202"/>
      <c r="AS271" s="202"/>
      <c r="AT271" s="202"/>
      <c r="AU271" s="202"/>
      <c r="AV271" s="202"/>
      <c r="AW271" s="202"/>
      <c r="AX271" s="202"/>
      <c r="AY271" s="202"/>
    </row>
    <row r="272" spans="1:51" ht="25.5" x14ac:dyDescent="0.2">
      <c r="A272" s="76">
        <v>3</v>
      </c>
      <c r="B272" s="77" t="s">
        <v>1467</v>
      </c>
      <c r="C272" s="76" t="s">
        <v>168</v>
      </c>
      <c r="D272" s="76">
        <v>0</v>
      </c>
      <c r="E272" s="76">
        <v>0</v>
      </c>
      <c r="F272" s="76">
        <v>2.79</v>
      </c>
      <c r="G272" s="76">
        <v>12</v>
      </c>
      <c r="H272" s="76">
        <v>0</v>
      </c>
      <c r="I272" s="76">
        <v>0</v>
      </c>
      <c r="J272" s="76">
        <v>0</v>
      </c>
      <c r="K272" s="76">
        <v>9.1999999999999993</v>
      </c>
      <c r="L272" s="76">
        <v>8</v>
      </c>
      <c r="M272" s="76">
        <v>3</v>
      </c>
      <c r="N272" s="76">
        <v>3</v>
      </c>
      <c r="O272" s="76">
        <v>0</v>
      </c>
      <c r="P272" s="76">
        <v>4</v>
      </c>
      <c r="Q272" s="76">
        <v>7</v>
      </c>
      <c r="R272" s="76">
        <v>0.23499999999999999</v>
      </c>
      <c r="S272" s="76">
        <v>1.24</v>
      </c>
      <c r="T272" s="76">
        <v>3</v>
      </c>
      <c r="U272" s="77" t="s">
        <v>1467</v>
      </c>
      <c r="V272" s="76" t="s">
        <v>168</v>
      </c>
      <c r="W272" s="76">
        <v>0</v>
      </c>
      <c r="X272" s="76">
        <v>0</v>
      </c>
      <c r="Y272" s="76">
        <v>1</v>
      </c>
      <c r="Z272" s="76">
        <v>1</v>
      </c>
      <c r="AA272" s="76">
        <v>1</v>
      </c>
      <c r="AB272" s="76">
        <v>3</v>
      </c>
      <c r="AC272" s="76">
        <v>3</v>
      </c>
      <c r="AD272" s="76">
        <v>11</v>
      </c>
      <c r="AE272" s="76">
        <v>8</v>
      </c>
      <c r="AF272" s="76">
        <v>0</v>
      </c>
      <c r="AG272" s="76">
        <v>0</v>
      </c>
      <c r="AH272" s="76">
        <v>1</v>
      </c>
      <c r="AI272" s="76">
        <v>0</v>
      </c>
      <c r="AJ272" s="76">
        <v>0</v>
      </c>
      <c r="AK272" s="76">
        <v>39</v>
      </c>
      <c r="AL272" s="76">
        <v>151</v>
      </c>
      <c r="AM272" s="202"/>
      <c r="AN272" s="77"/>
      <c r="AO272" s="202"/>
      <c r="AP272" s="202"/>
      <c r="AQ272" s="202"/>
      <c r="AR272" s="202"/>
      <c r="AS272" s="202"/>
      <c r="AT272" s="202"/>
      <c r="AU272" s="202"/>
      <c r="AV272" s="202"/>
      <c r="AW272" s="202"/>
      <c r="AX272" s="202"/>
      <c r="AY272" s="202"/>
    </row>
    <row r="273" spans="1:51" ht="25.5" x14ac:dyDescent="0.2">
      <c r="A273" s="76">
        <v>4</v>
      </c>
      <c r="B273" s="77" t="s">
        <v>1141</v>
      </c>
      <c r="C273" s="76" t="s">
        <v>168</v>
      </c>
      <c r="D273" s="76">
        <v>0</v>
      </c>
      <c r="E273" s="76">
        <v>1</v>
      </c>
      <c r="F273" s="76">
        <v>3.27</v>
      </c>
      <c r="G273" s="76">
        <v>10</v>
      </c>
      <c r="H273" s="76">
        <v>0</v>
      </c>
      <c r="I273" s="76">
        <v>0</v>
      </c>
      <c r="J273" s="76">
        <v>1</v>
      </c>
      <c r="K273" s="76">
        <v>11</v>
      </c>
      <c r="L273" s="76">
        <v>10</v>
      </c>
      <c r="M273" s="76">
        <v>4</v>
      </c>
      <c r="N273" s="76">
        <v>4</v>
      </c>
      <c r="O273" s="76">
        <v>1</v>
      </c>
      <c r="P273" s="76">
        <v>3</v>
      </c>
      <c r="Q273" s="76">
        <v>8</v>
      </c>
      <c r="R273" s="76">
        <v>0.25</v>
      </c>
      <c r="S273" s="76">
        <v>1.18</v>
      </c>
      <c r="T273" s="76">
        <v>4</v>
      </c>
      <c r="U273" s="77" t="s">
        <v>1141</v>
      </c>
      <c r="V273" s="76" t="s">
        <v>168</v>
      </c>
      <c r="W273" s="76">
        <v>0</v>
      </c>
      <c r="X273" s="76">
        <v>0</v>
      </c>
      <c r="Y273" s="76">
        <v>0</v>
      </c>
      <c r="Z273" s="76">
        <v>0</v>
      </c>
      <c r="AA273" s="76">
        <v>4</v>
      </c>
      <c r="AB273" s="76">
        <v>1</v>
      </c>
      <c r="AC273" s="76">
        <v>1</v>
      </c>
      <c r="AD273" s="76">
        <v>12</v>
      </c>
      <c r="AE273" s="76">
        <v>11</v>
      </c>
      <c r="AF273" s="76">
        <v>0</v>
      </c>
      <c r="AG273" s="76">
        <v>0</v>
      </c>
      <c r="AH273" s="76">
        <v>0</v>
      </c>
      <c r="AI273" s="76">
        <v>0</v>
      </c>
      <c r="AJ273" s="76">
        <v>1</v>
      </c>
      <c r="AK273" s="76">
        <v>44</v>
      </c>
      <c r="AL273" s="76">
        <v>177</v>
      </c>
      <c r="AM273" s="202"/>
      <c r="AN273" s="77"/>
      <c r="AO273" s="202"/>
      <c r="AP273" s="202"/>
      <c r="AQ273" s="202"/>
      <c r="AR273" s="202"/>
      <c r="AS273" s="202"/>
      <c r="AT273" s="202"/>
      <c r="AU273" s="202"/>
      <c r="AV273" s="202"/>
      <c r="AW273" s="202"/>
      <c r="AX273" s="202"/>
      <c r="AY273" s="202"/>
    </row>
    <row r="274" spans="1:51" ht="25.5" x14ac:dyDescent="0.2">
      <c r="A274" s="76">
        <v>5</v>
      </c>
      <c r="B274" s="77" t="s">
        <v>1142</v>
      </c>
      <c r="C274" s="76" t="s">
        <v>168</v>
      </c>
      <c r="D274" s="76">
        <v>11</v>
      </c>
      <c r="E274" s="76">
        <v>14</v>
      </c>
      <c r="F274" s="76">
        <v>3.65</v>
      </c>
      <c r="G274" s="76">
        <v>33</v>
      </c>
      <c r="H274" s="76">
        <v>33</v>
      </c>
      <c r="I274" s="76">
        <v>0</v>
      </c>
      <c r="J274" s="76">
        <v>0</v>
      </c>
      <c r="K274" s="76">
        <v>197.1</v>
      </c>
      <c r="L274" s="76">
        <v>187</v>
      </c>
      <c r="M274" s="76">
        <v>88</v>
      </c>
      <c r="N274" s="76">
        <v>80</v>
      </c>
      <c r="O274" s="76">
        <v>30</v>
      </c>
      <c r="P274" s="76">
        <v>42</v>
      </c>
      <c r="Q274" s="76">
        <v>167</v>
      </c>
      <c r="R274" s="76">
        <v>0.251</v>
      </c>
      <c r="S274" s="76">
        <v>1.1599999999999999</v>
      </c>
      <c r="T274" s="76">
        <v>5</v>
      </c>
      <c r="U274" s="77" t="s">
        <v>1142</v>
      </c>
      <c r="V274" s="76" t="s">
        <v>168</v>
      </c>
      <c r="W274" s="76">
        <v>0</v>
      </c>
      <c r="X274" s="76">
        <v>0</v>
      </c>
      <c r="Y274" s="76">
        <v>8</v>
      </c>
      <c r="Z274" s="76">
        <v>2</v>
      </c>
      <c r="AA274" s="76">
        <v>0</v>
      </c>
      <c r="AB274" s="76">
        <v>0</v>
      </c>
      <c r="AC274" s="76">
        <v>14</v>
      </c>
      <c r="AD274" s="76">
        <v>194</v>
      </c>
      <c r="AE274" s="76">
        <v>213</v>
      </c>
      <c r="AF274" s="76">
        <v>6</v>
      </c>
      <c r="AG274" s="76">
        <v>2</v>
      </c>
      <c r="AH274" s="76">
        <v>9</v>
      </c>
      <c r="AI274" s="76">
        <v>5</v>
      </c>
      <c r="AJ274" s="76">
        <v>1</v>
      </c>
      <c r="AK274" s="76">
        <v>811</v>
      </c>
      <c r="AL274" s="76">
        <v>3028</v>
      </c>
      <c r="AM274" s="102"/>
      <c r="AN274" s="102"/>
      <c r="AO274" s="102"/>
      <c r="AP274" s="102"/>
      <c r="AQ274" s="102"/>
      <c r="AR274" s="102"/>
      <c r="AS274" s="102"/>
      <c r="AT274" s="102"/>
      <c r="AU274" s="102"/>
      <c r="AV274" s="102"/>
      <c r="AW274" s="102"/>
      <c r="AX274" s="102"/>
      <c r="AY274" s="102"/>
    </row>
    <row r="275" spans="1:51" ht="25.5" x14ac:dyDescent="0.2">
      <c r="A275" s="76">
        <v>6</v>
      </c>
      <c r="B275" s="77" t="s">
        <v>635</v>
      </c>
      <c r="C275" s="76" t="s">
        <v>168</v>
      </c>
      <c r="D275" s="76">
        <v>12</v>
      </c>
      <c r="E275" s="76">
        <v>10</v>
      </c>
      <c r="F275" s="76">
        <v>3.71</v>
      </c>
      <c r="G275" s="76">
        <v>32</v>
      </c>
      <c r="H275" s="76">
        <v>32</v>
      </c>
      <c r="I275" s="76">
        <v>0</v>
      </c>
      <c r="J275" s="76">
        <v>0</v>
      </c>
      <c r="K275" s="76">
        <v>189</v>
      </c>
      <c r="L275" s="76">
        <v>173</v>
      </c>
      <c r="M275" s="76">
        <v>86</v>
      </c>
      <c r="N275" s="76">
        <v>78</v>
      </c>
      <c r="O275" s="76">
        <v>24</v>
      </c>
      <c r="P275" s="76">
        <v>45</v>
      </c>
      <c r="Q275" s="76">
        <v>154</v>
      </c>
      <c r="R275" s="76">
        <v>0.24299999999999999</v>
      </c>
      <c r="S275" s="76">
        <v>1.1499999999999999</v>
      </c>
      <c r="T275" s="76">
        <v>6</v>
      </c>
      <c r="U275" s="77" t="s">
        <v>635</v>
      </c>
      <c r="V275" s="76" t="s">
        <v>168</v>
      </c>
      <c r="W275" s="76">
        <v>1</v>
      </c>
      <c r="X275" s="76">
        <v>1</v>
      </c>
      <c r="Y275" s="76">
        <v>6</v>
      </c>
      <c r="Z275" s="76">
        <v>0</v>
      </c>
      <c r="AA275" s="76">
        <v>0</v>
      </c>
      <c r="AB275" s="76">
        <v>0</v>
      </c>
      <c r="AC275" s="76">
        <v>21</v>
      </c>
      <c r="AD275" s="76">
        <v>202</v>
      </c>
      <c r="AE275" s="76">
        <v>192</v>
      </c>
      <c r="AF275" s="76">
        <v>6</v>
      </c>
      <c r="AG275" s="76">
        <v>1</v>
      </c>
      <c r="AH275" s="76">
        <v>10</v>
      </c>
      <c r="AI275" s="76">
        <v>3</v>
      </c>
      <c r="AJ275" s="76">
        <v>0</v>
      </c>
      <c r="AK275" s="76">
        <v>772</v>
      </c>
      <c r="AL275" s="76">
        <v>2925</v>
      </c>
      <c r="AM275" s="202"/>
      <c r="AN275" s="77"/>
      <c r="AO275" s="202"/>
      <c r="AP275" s="202"/>
      <c r="AQ275" s="202"/>
      <c r="AR275" s="202"/>
      <c r="AS275" s="202"/>
      <c r="AT275" s="202"/>
      <c r="AU275" s="202"/>
      <c r="AV275" s="202"/>
      <c r="AW275" s="202"/>
      <c r="AX275" s="202"/>
      <c r="AY275" s="202"/>
    </row>
    <row r="276" spans="1:51" ht="25.5" x14ac:dyDescent="0.2">
      <c r="A276" s="76">
        <v>7</v>
      </c>
      <c r="B276" s="77" t="s">
        <v>1468</v>
      </c>
      <c r="C276" s="76" t="s">
        <v>168</v>
      </c>
      <c r="D276" s="76">
        <v>1</v>
      </c>
      <c r="E276" s="76">
        <v>3</v>
      </c>
      <c r="F276" s="76">
        <v>3.83</v>
      </c>
      <c r="G276" s="76">
        <v>42</v>
      </c>
      <c r="H276" s="76">
        <v>0</v>
      </c>
      <c r="I276" s="76">
        <v>0</v>
      </c>
      <c r="J276" s="76">
        <v>2</v>
      </c>
      <c r="K276" s="76">
        <v>40</v>
      </c>
      <c r="L276" s="76">
        <v>36</v>
      </c>
      <c r="M276" s="76">
        <v>18</v>
      </c>
      <c r="N276" s="76">
        <v>17</v>
      </c>
      <c r="O276" s="76">
        <v>5</v>
      </c>
      <c r="P276" s="76">
        <v>11</v>
      </c>
      <c r="Q276" s="76">
        <v>40</v>
      </c>
      <c r="R276" s="76">
        <v>0.24299999999999999</v>
      </c>
      <c r="S276" s="76">
        <v>1.18</v>
      </c>
      <c r="T276" s="76">
        <v>7</v>
      </c>
      <c r="U276" s="77" t="s">
        <v>1468</v>
      </c>
      <c r="V276" s="76" t="s">
        <v>168</v>
      </c>
      <c r="W276" s="76">
        <v>0</v>
      </c>
      <c r="X276" s="76">
        <v>0</v>
      </c>
      <c r="Y276" s="76">
        <v>0</v>
      </c>
      <c r="Z276" s="76">
        <v>1</v>
      </c>
      <c r="AA276" s="76">
        <v>6</v>
      </c>
      <c r="AB276" s="76">
        <v>15</v>
      </c>
      <c r="AC276" s="76">
        <v>2</v>
      </c>
      <c r="AD276" s="76">
        <v>33</v>
      </c>
      <c r="AE276" s="76">
        <v>42</v>
      </c>
      <c r="AF276" s="76">
        <v>1</v>
      </c>
      <c r="AG276" s="76">
        <v>1</v>
      </c>
      <c r="AH276" s="76">
        <v>2</v>
      </c>
      <c r="AI276" s="76">
        <v>3</v>
      </c>
      <c r="AJ276" s="76">
        <v>0</v>
      </c>
      <c r="AK276" s="76">
        <v>160</v>
      </c>
      <c r="AL276" s="76">
        <v>612</v>
      </c>
      <c r="AM276" s="202"/>
      <c r="AN276" s="77"/>
      <c r="AO276" s="202"/>
      <c r="AP276" s="202"/>
      <c r="AQ276" s="202"/>
      <c r="AR276" s="202"/>
      <c r="AS276" s="202"/>
      <c r="AT276" s="202"/>
      <c r="AU276" s="202"/>
      <c r="AV276" s="202"/>
      <c r="AW276" s="202"/>
      <c r="AX276" s="202"/>
      <c r="AY276" s="202"/>
    </row>
    <row r="277" spans="1:51" ht="38.25" x14ac:dyDescent="0.2">
      <c r="A277" s="76">
        <v>8</v>
      </c>
      <c r="B277" s="77" t="s">
        <v>1086</v>
      </c>
      <c r="C277" s="76" t="s">
        <v>168</v>
      </c>
      <c r="D277" s="76">
        <v>3</v>
      </c>
      <c r="E277" s="76">
        <v>4</v>
      </c>
      <c r="F277" s="76">
        <v>3.84</v>
      </c>
      <c r="G277" s="76">
        <v>70</v>
      </c>
      <c r="H277" s="76">
        <v>0</v>
      </c>
      <c r="I277" s="76">
        <v>1</v>
      </c>
      <c r="J277" s="76">
        <v>3</v>
      </c>
      <c r="K277" s="76">
        <v>72.2</v>
      </c>
      <c r="L277" s="76">
        <v>77</v>
      </c>
      <c r="M277" s="76">
        <v>31</v>
      </c>
      <c r="N277" s="76">
        <v>31</v>
      </c>
      <c r="O277" s="76">
        <v>11</v>
      </c>
      <c r="P277" s="76">
        <v>32</v>
      </c>
      <c r="Q277" s="76">
        <v>80</v>
      </c>
      <c r="R277" s="76">
        <v>0.27</v>
      </c>
      <c r="S277" s="76">
        <v>1.5</v>
      </c>
      <c r="T277" s="76">
        <v>8</v>
      </c>
      <c r="U277" s="77" t="s">
        <v>1086</v>
      </c>
      <c r="V277" s="76" t="s">
        <v>168</v>
      </c>
      <c r="W277" s="76">
        <v>0</v>
      </c>
      <c r="X277" s="76">
        <v>0</v>
      </c>
      <c r="Y277" s="76">
        <v>2</v>
      </c>
      <c r="Z277" s="76">
        <v>5</v>
      </c>
      <c r="AA277" s="76">
        <v>16</v>
      </c>
      <c r="AB277" s="76">
        <v>15</v>
      </c>
      <c r="AC277" s="76">
        <v>5</v>
      </c>
      <c r="AD277" s="76">
        <v>59</v>
      </c>
      <c r="AE277" s="76">
        <v>71</v>
      </c>
      <c r="AF277" s="76">
        <v>6</v>
      </c>
      <c r="AG277" s="76">
        <v>0</v>
      </c>
      <c r="AH277" s="76">
        <v>5</v>
      </c>
      <c r="AI277" s="76">
        <v>1</v>
      </c>
      <c r="AJ277" s="76">
        <v>1</v>
      </c>
      <c r="AK277" s="76">
        <v>322</v>
      </c>
      <c r="AL277" s="76">
        <v>1276</v>
      </c>
      <c r="AM277" s="202"/>
      <c r="AN277" s="77"/>
      <c r="AO277" s="202"/>
      <c r="AP277" s="202"/>
      <c r="AQ277" s="202"/>
      <c r="AR277" s="202"/>
      <c r="AS277" s="202"/>
      <c r="AT277" s="202"/>
      <c r="AU277" s="202"/>
      <c r="AV277" s="202"/>
      <c r="AW277" s="202"/>
      <c r="AX277" s="202"/>
      <c r="AY277" s="202"/>
    </row>
    <row r="278" spans="1:51" ht="38.25" x14ac:dyDescent="0.2">
      <c r="A278" s="76">
        <v>9</v>
      </c>
      <c r="B278" s="77" t="s">
        <v>1184</v>
      </c>
      <c r="C278" s="76" t="s">
        <v>168</v>
      </c>
      <c r="D278" s="76">
        <v>8</v>
      </c>
      <c r="E278" s="76">
        <v>6</v>
      </c>
      <c r="F278" s="76">
        <v>4.12</v>
      </c>
      <c r="G278" s="76">
        <v>24</v>
      </c>
      <c r="H278" s="76">
        <v>24</v>
      </c>
      <c r="I278" s="76">
        <v>0</v>
      </c>
      <c r="J278" s="76">
        <v>0</v>
      </c>
      <c r="K278" s="76">
        <v>131</v>
      </c>
      <c r="L278" s="76">
        <v>129</v>
      </c>
      <c r="M278" s="76">
        <v>64</v>
      </c>
      <c r="N278" s="76">
        <v>60</v>
      </c>
      <c r="O278" s="76">
        <v>21</v>
      </c>
      <c r="P278" s="76">
        <v>45</v>
      </c>
      <c r="Q278" s="76">
        <v>152</v>
      </c>
      <c r="R278" s="76">
        <v>0.26300000000000001</v>
      </c>
      <c r="S278" s="76">
        <v>1.33</v>
      </c>
      <c r="T278" s="76">
        <v>9</v>
      </c>
      <c r="U278" s="77" t="s">
        <v>1184</v>
      </c>
      <c r="V278" s="76" t="s">
        <v>168</v>
      </c>
      <c r="W278" s="76">
        <v>1</v>
      </c>
      <c r="X278" s="76">
        <v>1</v>
      </c>
      <c r="Y278" s="76">
        <v>1</v>
      </c>
      <c r="Z278" s="76">
        <v>1</v>
      </c>
      <c r="AA278" s="76">
        <v>0</v>
      </c>
      <c r="AB278" s="76">
        <v>0</v>
      </c>
      <c r="AC278" s="76">
        <v>12</v>
      </c>
      <c r="AD278" s="76">
        <v>101</v>
      </c>
      <c r="AE278" s="76">
        <v>123</v>
      </c>
      <c r="AF278" s="76">
        <v>3</v>
      </c>
      <c r="AG278" s="76">
        <v>0</v>
      </c>
      <c r="AH278" s="76">
        <v>2</v>
      </c>
      <c r="AI278" s="76">
        <v>4</v>
      </c>
      <c r="AJ278" s="76">
        <v>0</v>
      </c>
      <c r="AK278" s="76">
        <v>551</v>
      </c>
      <c r="AL278" s="76">
        <v>2213</v>
      </c>
      <c r="AM278" s="202"/>
      <c r="AN278" s="77"/>
      <c r="AO278" s="202"/>
      <c r="AP278" s="202"/>
      <c r="AQ278" s="202"/>
      <c r="AR278" s="202"/>
      <c r="AS278" s="202"/>
      <c r="AT278" s="202"/>
      <c r="AU278" s="202"/>
      <c r="AV278" s="202"/>
      <c r="AW278" s="202"/>
      <c r="AX278" s="202"/>
      <c r="AY278" s="202"/>
    </row>
    <row r="279" spans="1:51" ht="25.5" x14ac:dyDescent="0.2">
      <c r="A279" s="76">
        <v>10</v>
      </c>
      <c r="B279" s="77" t="s">
        <v>432</v>
      </c>
      <c r="C279" s="76" t="s">
        <v>168</v>
      </c>
      <c r="D279" s="76">
        <v>1</v>
      </c>
      <c r="E279" s="76">
        <v>1</v>
      </c>
      <c r="F279" s="76">
        <v>4.1500000000000004</v>
      </c>
      <c r="G279" s="76">
        <v>4</v>
      </c>
      <c r="H279" s="76">
        <v>4</v>
      </c>
      <c r="I279" s="76">
        <v>0</v>
      </c>
      <c r="J279" s="76">
        <v>0</v>
      </c>
      <c r="K279" s="76">
        <v>17.100000000000001</v>
      </c>
      <c r="L279" s="76">
        <v>15</v>
      </c>
      <c r="M279" s="76">
        <v>8</v>
      </c>
      <c r="N279" s="76">
        <v>8</v>
      </c>
      <c r="O279" s="76">
        <v>1</v>
      </c>
      <c r="P279" s="76">
        <v>8</v>
      </c>
      <c r="Q279" s="76">
        <v>19</v>
      </c>
      <c r="R279" s="76">
        <v>0.24199999999999999</v>
      </c>
      <c r="S279" s="76">
        <v>1.33</v>
      </c>
      <c r="T279" s="76">
        <v>10</v>
      </c>
      <c r="U279" s="77" t="s">
        <v>432</v>
      </c>
      <c r="V279" s="76" t="s">
        <v>168</v>
      </c>
      <c r="W279" s="76">
        <v>0</v>
      </c>
      <c r="X279" s="76">
        <v>0</v>
      </c>
      <c r="Y279" s="76">
        <v>0</v>
      </c>
      <c r="Z279" s="76">
        <v>0</v>
      </c>
      <c r="AA279" s="76">
        <v>0</v>
      </c>
      <c r="AB279" s="76">
        <v>0</v>
      </c>
      <c r="AC279" s="76">
        <v>2</v>
      </c>
      <c r="AD279" s="76">
        <v>22</v>
      </c>
      <c r="AE279" s="76">
        <v>7</v>
      </c>
      <c r="AF279" s="76">
        <v>1</v>
      </c>
      <c r="AG279" s="76">
        <v>1</v>
      </c>
      <c r="AH279" s="76">
        <v>1</v>
      </c>
      <c r="AI279" s="76">
        <v>1</v>
      </c>
      <c r="AJ279" s="76">
        <v>0</v>
      </c>
      <c r="AK279" s="76">
        <v>71</v>
      </c>
      <c r="AL279" s="76">
        <v>276</v>
      </c>
      <c r="AM279" s="202"/>
      <c r="AN279" s="77"/>
      <c r="AO279" s="202"/>
      <c r="AP279" s="202"/>
      <c r="AQ279" s="202"/>
      <c r="AR279" s="202"/>
      <c r="AS279" s="202"/>
      <c r="AT279" s="202"/>
      <c r="AU279" s="202"/>
      <c r="AV279" s="202"/>
      <c r="AW279" s="202"/>
      <c r="AX279" s="202"/>
      <c r="AY279" s="202"/>
    </row>
    <row r="280" spans="1:51" ht="25.5" x14ac:dyDescent="0.2">
      <c r="A280" s="76">
        <v>11</v>
      </c>
      <c r="B280" s="77" t="s">
        <v>1144</v>
      </c>
      <c r="C280" s="76" t="s">
        <v>168</v>
      </c>
      <c r="D280" s="76">
        <v>6</v>
      </c>
      <c r="E280" s="76">
        <v>9</v>
      </c>
      <c r="F280" s="76">
        <v>4.78</v>
      </c>
      <c r="G280" s="76">
        <v>20</v>
      </c>
      <c r="H280" s="76">
        <v>20</v>
      </c>
      <c r="I280" s="76">
        <v>0</v>
      </c>
      <c r="J280" s="76">
        <v>0</v>
      </c>
      <c r="K280" s="76">
        <v>111</v>
      </c>
      <c r="L280" s="76">
        <v>116</v>
      </c>
      <c r="M280" s="76">
        <v>68</v>
      </c>
      <c r="N280" s="76">
        <v>59</v>
      </c>
      <c r="O280" s="76">
        <v>10</v>
      </c>
      <c r="P280" s="76">
        <v>29</v>
      </c>
      <c r="Q280" s="76">
        <v>121</v>
      </c>
      <c r="R280" s="76">
        <v>0.26400000000000001</v>
      </c>
      <c r="S280" s="76">
        <v>1.31</v>
      </c>
      <c r="T280" s="76">
        <v>11</v>
      </c>
      <c r="U280" s="77" t="s">
        <v>1144</v>
      </c>
      <c r="V280" s="76" t="s">
        <v>168</v>
      </c>
      <c r="W280" s="76">
        <v>0</v>
      </c>
      <c r="X280" s="76">
        <v>0</v>
      </c>
      <c r="Y280" s="76">
        <v>6</v>
      </c>
      <c r="Z280" s="76">
        <v>3</v>
      </c>
      <c r="AA280" s="76">
        <v>0</v>
      </c>
      <c r="AB280" s="76">
        <v>0</v>
      </c>
      <c r="AC280" s="76">
        <v>5</v>
      </c>
      <c r="AD280" s="76">
        <v>135</v>
      </c>
      <c r="AE280" s="76">
        <v>76</v>
      </c>
      <c r="AF280" s="76">
        <v>2</v>
      </c>
      <c r="AG280" s="76">
        <v>0</v>
      </c>
      <c r="AH280" s="76">
        <v>5</v>
      </c>
      <c r="AI280" s="76">
        <v>1</v>
      </c>
      <c r="AJ280" s="76">
        <v>1</v>
      </c>
      <c r="AK280" s="76">
        <v>483</v>
      </c>
      <c r="AL280" s="76">
        <v>1796</v>
      </c>
      <c r="AM280" s="202"/>
      <c r="AN280" s="77"/>
      <c r="AO280" s="202"/>
      <c r="AP280" s="202"/>
      <c r="AQ280" s="202"/>
      <c r="AR280" s="202"/>
      <c r="AS280" s="202"/>
      <c r="AT280" s="202"/>
      <c r="AU280" s="202"/>
      <c r="AV280" s="202"/>
      <c r="AW280" s="202"/>
      <c r="AX280" s="202"/>
      <c r="AY280" s="202"/>
    </row>
    <row r="281" spans="1:51" ht="38.25" x14ac:dyDescent="0.2">
      <c r="A281" s="76">
        <v>12</v>
      </c>
      <c r="B281" s="77" t="s">
        <v>548</v>
      </c>
      <c r="C281" s="76" t="s">
        <v>168</v>
      </c>
      <c r="D281" s="76">
        <v>2</v>
      </c>
      <c r="E281" s="76">
        <v>2</v>
      </c>
      <c r="F281" s="76">
        <v>4.83</v>
      </c>
      <c r="G281" s="76">
        <v>26</v>
      </c>
      <c r="H281" s="76">
        <v>0</v>
      </c>
      <c r="I281" s="76">
        <v>1</v>
      </c>
      <c r="J281" s="76">
        <v>1</v>
      </c>
      <c r="K281" s="76">
        <v>50.1</v>
      </c>
      <c r="L281" s="76">
        <v>58</v>
      </c>
      <c r="M281" s="76">
        <v>28</v>
      </c>
      <c r="N281" s="76">
        <v>27</v>
      </c>
      <c r="O281" s="76">
        <v>11</v>
      </c>
      <c r="P281" s="76">
        <v>20</v>
      </c>
      <c r="Q281" s="76">
        <v>38</v>
      </c>
      <c r="R281" s="76">
        <v>0.28399999999999997</v>
      </c>
      <c r="S281" s="76">
        <v>1.55</v>
      </c>
      <c r="T281" s="76">
        <v>12</v>
      </c>
      <c r="U281" s="77" t="s">
        <v>548</v>
      </c>
      <c r="V281" s="76" t="s">
        <v>168</v>
      </c>
      <c r="W281" s="76">
        <v>0</v>
      </c>
      <c r="X281" s="76">
        <v>0</v>
      </c>
      <c r="Y281" s="76">
        <v>0</v>
      </c>
      <c r="Z281" s="76">
        <v>0</v>
      </c>
      <c r="AA281" s="76">
        <v>10</v>
      </c>
      <c r="AB281" s="76">
        <v>0</v>
      </c>
      <c r="AC281" s="76">
        <v>4</v>
      </c>
      <c r="AD281" s="76">
        <v>58</v>
      </c>
      <c r="AE281" s="76">
        <v>52</v>
      </c>
      <c r="AF281" s="76">
        <v>1</v>
      </c>
      <c r="AG281" s="76">
        <v>0</v>
      </c>
      <c r="AH281" s="76">
        <v>2</v>
      </c>
      <c r="AI281" s="76">
        <v>1</v>
      </c>
      <c r="AJ281" s="76">
        <v>0</v>
      </c>
      <c r="AK281" s="76">
        <v>226</v>
      </c>
      <c r="AL281" s="76">
        <v>843</v>
      </c>
      <c r="AM281" s="202"/>
      <c r="AN281" s="77"/>
      <c r="AO281" s="202"/>
      <c r="AP281" s="202"/>
      <c r="AQ281" s="202"/>
      <c r="AR281" s="202"/>
      <c r="AS281" s="202"/>
      <c r="AT281" s="202"/>
      <c r="AU281" s="202"/>
      <c r="AV281" s="202"/>
      <c r="AW281" s="202"/>
      <c r="AX281" s="202"/>
      <c r="AY281" s="202"/>
    </row>
    <row r="282" spans="1:51" ht="25.5" x14ac:dyDescent="0.2">
      <c r="A282" s="76">
        <v>13</v>
      </c>
      <c r="B282" s="77" t="s">
        <v>433</v>
      </c>
      <c r="C282" s="76" t="s">
        <v>168</v>
      </c>
      <c r="D282" s="76">
        <v>3</v>
      </c>
      <c r="E282" s="76">
        <v>5</v>
      </c>
      <c r="F282" s="76">
        <v>4.8499999999999996</v>
      </c>
      <c r="G282" s="76">
        <v>70</v>
      </c>
      <c r="H282" s="76">
        <v>0</v>
      </c>
      <c r="I282" s="76">
        <v>37</v>
      </c>
      <c r="J282" s="76">
        <v>43</v>
      </c>
      <c r="K282" s="76">
        <v>68.2</v>
      </c>
      <c r="L282" s="76">
        <v>78</v>
      </c>
      <c r="M282" s="76">
        <v>38</v>
      </c>
      <c r="N282" s="76">
        <v>37</v>
      </c>
      <c r="O282" s="76">
        <v>6</v>
      </c>
      <c r="P282" s="76">
        <v>22</v>
      </c>
      <c r="Q282" s="76">
        <v>47</v>
      </c>
      <c r="R282" s="76">
        <v>0.28899999999999998</v>
      </c>
      <c r="S282" s="76">
        <v>1.46</v>
      </c>
      <c r="T282" s="76">
        <v>13</v>
      </c>
      <c r="U282" s="77" t="s">
        <v>433</v>
      </c>
      <c r="V282" s="76" t="s">
        <v>168</v>
      </c>
      <c r="W282" s="76">
        <v>0</v>
      </c>
      <c r="X282" s="76">
        <v>0</v>
      </c>
      <c r="Y282" s="76">
        <v>2</v>
      </c>
      <c r="Z282" s="76">
        <v>2</v>
      </c>
      <c r="AA282" s="76">
        <v>59</v>
      </c>
      <c r="AB282" s="76">
        <v>1</v>
      </c>
      <c r="AC282" s="76">
        <v>10</v>
      </c>
      <c r="AD282" s="76">
        <v>87</v>
      </c>
      <c r="AE282" s="76">
        <v>61</v>
      </c>
      <c r="AF282" s="76">
        <v>3</v>
      </c>
      <c r="AG282" s="76">
        <v>0</v>
      </c>
      <c r="AH282" s="76">
        <v>1</v>
      </c>
      <c r="AI282" s="76">
        <v>0</v>
      </c>
      <c r="AJ282" s="76">
        <v>0</v>
      </c>
      <c r="AK282" s="76">
        <v>297</v>
      </c>
      <c r="AL282" s="76">
        <v>1154</v>
      </c>
      <c r="AM282" s="202"/>
      <c r="AN282" s="77"/>
      <c r="AO282" s="202"/>
      <c r="AP282" s="202"/>
      <c r="AQ282" s="202"/>
      <c r="AR282" s="202"/>
      <c r="AS282" s="202"/>
      <c r="AT282" s="202"/>
      <c r="AU282" s="202"/>
      <c r="AV282" s="202"/>
      <c r="AW282" s="202"/>
      <c r="AX282" s="202"/>
      <c r="AY282" s="202"/>
    </row>
    <row r="283" spans="1:51" ht="25.5" x14ac:dyDescent="0.2">
      <c r="A283" s="76">
        <v>14</v>
      </c>
      <c r="B283" s="77" t="s">
        <v>1469</v>
      </c>
      <c r="C283" s="76" t="s">
        <v>168</v>
      </c>
      <c r="D283" s="76">
        <v>3</v>
      </c>
      <c r="E283" s="76">
        <v>5</v>
      </c>
      <c r="F283" s="76">
        <v>5.54</v>
      </c>
      <c r="G283" s="76">
        <v>11</v>
      </c>
      <c r="H283" s="76">
        <v>11</v>
      </c>
      <c r="I283" s="76">
        <v>0</v>
      </c>
      <c r="J283" s="76">
        <v>0</v>
      </c>
      <c r="K283" s="76">
        <v>63.1</v>
      </c>
      <c r="L283" s="76">
        <v>67</v>
      </c>
      <c r="M283" s="76">
        <v>42</v>
      </c>
      <c r="N283" s="76">
        <v>39</v>
      </c>
      <c r="O283" s="76">
        <v>12</v>
      </c>
      <c r="P283" s="76">
        <v>17</v>
      </c>
      <c r="Q283" s="76">
        <v>31</v>
      </c>
      <c r="R283" s="76">
        <v>0.26900000000000002</v>
      </c>
      <c r="S283" s="76">
        <v>1.33</v>
      </c>
      <c r="T283" s="76">
        <v>14</v>
      </c>
      <c r="U283" s="77" t="s">
        <v>1469</v>
      </c>
      <c r="V283" s="76" t="s">
        <v>168</v>
      </c>
      <c r="W283" s="76">
        <v>2</v>
      </c>
      <c r="X283" s="76">
        <v>1</v>
      </c>
      <c r="Y283" s="76">
        <v>1</v>
      </c>
      <c r="Z283" s="76">
        <v>1</v>
      </c>
      <c r="AA283" s="76">
        <v>0</v>
      </c>
      <c r="AB283" s="76">
        <v>0</v>
      </c>
      <c r="AC283" s="76">
        <v>5</v>
      </c>
      <c r="AD283" s="76">
        <v>66</v>
      </c>
      <c r="AE283" s="76">
        <v>90</v>
      </c>
      <c r="AF283" s="76">
        <v>1</v>
      </c>
      <c r="AG283" s="76">
        <v>0</v>
      </c>
      <c r="AH283" s="76">
        <v>7</v>
      </c>
      <c r="AI283" s="76">
        <v>2</v>
      </c>
      <c r="AJ283" s="76">
        <v>0</v>
      </c>
      <c r="AK283" s="76">
        <v>272</v>
      </c>
      <c r="AL283" s="76">
        <v>992</v>
      </c>
      <c r="AM283" s="202"/>
      <c r="AN283" s="77"/>
      <c r="AO283" s="202"/>
      <c r="AP283" s="202"/>
      <c r="AQ283" s="202"/>
      <c r="AR283" s="202"/>
      <c r="AS283" s="202"/>
      <c r="AT283" s="202"/>
      <c r="AU283" s="202"/>
      <c r="AV283" s="202"/>
      <c r="AW283" s="202"/>
      <c r="AX283" s="202"/>
      <c r="AY283" s="202"/>
    </row>
    <row r="284" spans="1:51" ht="25.5" x14ac:dyDescent="0.2">
      <c r="A284" s="76">
        <v>15</v>
      </c>
      <c r="B284" s="77" t="s">
        <v>1143</v>
      </c>
      <c r="C284" s="76" t="s">
        <v>168</v>
      </c>
      <c r="D284" s="76">
        <v>2</v>
      </c>
      <c r="E284" s="76">
        <v>1</v>
      </c>
      <c r="F284" s="76">
        <v>5.6</v>
      </c>
      <c r="G284" s="76">
        <v>32</v>
      </c>
      <c r="H284" s="76">
        <v>0</v>
      </c>
      <c r="I284" s="76">
        <v>0</v>
      </c>
      <c r="J284" s="76">
        <v>1</v>
      </c>
      <c r="K284" s="76">
        <v>27.1</v>
      </c>
      <c r="L284" s="76">
        <v>35</v>
      </c>
      <c r="M284" s="76">
        <v>22</v>
      </c>
      <c r="N284" s="76">
        <v>17</v>
      </c>
      <c r="O284" s="76">
        <v>4</v>
      </c>
      <c r="P284" s="76">
        <v>17</v>
      </c>
      <c r="Q284" s="76">
        <v>29</v>
      </c>
      <c r="R284" s="76">
        <v>0.313</v>
      </c>
      <c r="S284" s="76">
        <v>1.9</v>
      </c>
      <c r="T284" s="76">
        <v>15</v>
      </c>
      <c r="U284" s="77" t="s">
        <v>1143</v>
      </c>
      <c r="V284" s="76" t="s">
        <v>168</v>
      </c>
      <c r="W284" s="76">
        <v>0</v>
      </c>
      <c r="X284" s="76">
        <v>0</v>
      </c>
      <c r="Y284" s="76">
        <v>2</v>
      </c>
      <c r="Z284" s="76">
        <v>2</v>
      </c>
      <c r="AA284" s="76">
        <v>9</v>
      </c>
      <c r="AB284" s="76">
        <v>4</v>
      </c>
      <c r="AC284" s="76">
        <v>2</v>
      </c>
      <c r="AD284" s="76">
        <v>20</v>
      </c>
      <c r="AE284" s="76">
        <v>31</v>
      </c>
      <c r="AF284" s="76">
        <v>0</v>
      </c>
      <c r="AG284" s="76">
        <v>1</v>
      </c>
      <c r="AH284" s="76">
        <v>1</v>
      </c>
      <c r="AI284" s="76">
        <v>1</v>
      </c>
      <c r="AJ284" s="76">
        <v>0</v>
      </c>
      <c r="AK284" s="76">
        <v>134</v>
      </c>
      <c r="AL284" s="76">
        <v>543</v>
      </c>
      <c r="AM284" s="202"/>
      <c r="AN284" s="77"/>
      <c r="AO284" s="202"/>
      <c r="AP284" s="202"/>
      <c r="AQ284" s="202"/>
      <c r="AR284" s="202"/>
      <c r="AS284" s="202"/>
      <c r="AT284" s="202"/>
      <c r="AU284" s="202"/>
      <c r="AV284" s="202"/>
      <c r="AW284" s="202"/>
      <c r="AX284" s="202"/>
      <c r="AY284" s="202"/>
    </row>
    <row r="285" spans="1:51" ht="25.5" x14ac:dyDescent="0.2">
      <c r="A285" s="76">
        <v>16</v>
      </c>
      <c r="B285" s="77" t="s">
        <v>1148</v>
      </c>
      <c r="C285" s="76" t="s">
        <v>168</v>
      </c>
      <c r="D285" s="76">
        <v>1</v>
      </c>
      <c r="E285" s="76">
        <v>2</v>
      </c>
      <c r="F285" s="76">
        <v>5.6</v>
      </c>
      <c r="G285" s="76">
        <v>27</v>
      </c>
      <c r="H285" s="76">
        <v>0</v>
      </c>
      <c r="I285" s="76">
        <v>0</v>
      </c>
      <c r="J285" s="76">
        <v>0</v>
      </c>
      <c r="K285" s="76">
        <v>35.1</v>
      </c>
      <c r="L285" s="76">
        <v>40</v>
      </c>
      <c r="M285" s="76">
        <v>22</v>
      </c>
      <c r="N285" s="76">
        <v>22</v>
      </c>
      <c r="O285" s="76">
        <v>4</v>
      </c>
      <c r="P285" s="76">
        <v>7</v>
      </c>
      <c r="Q285" s="76">
        <v>34</v>
      </c>
      <c r="R285" s="76">
        <v>0.28599999999999998</v>
      </c>
      <c r="S285" s="76">
        <v>1.33</v>
      </c>
      <c r="T285" s="76">
        <v>16</v>
      </c>
      <c r="U285" s="77" t="s">
        <v>1148</v>
      </c>
      <c r="V285" s="76" t="s">
        <v>168</v>
      </c>
      <c r="W285" s="76">
        <v>0</v>
      </c>
      <c r="X285" s="76">
        <v>0</v>
      </c>
      <c r="Y285" s="76">
        <v>1</v>
      </c>
      <c r="Z285" s="76">
        <v>1</v>
      </c>
      <c r="AA285" s="76">
        <v>12</v>
      </c>
      <c r="AB285" s="76">
        <v>1</v>
      </c>
      <c r="AC285" s="76">
        <v>1</v>
      </c>
      <c r="AD285" s="76">
        <v>21</v>
      </c>
      <c r="AE285" s="76">
        <v>48</v>
      </c>
      <c r="AF285" s="76">
        <v>0</v>
      </c>
      <c r="AG285" s="76">
        <v>1</v>
      </c>
      <c r="AH285" s="76">
        <v>0</v>
      </c>
      <c r="AI285" s="76">
        <v>1</v>
      </c>
      <c r="AJ285" s="76">
        <v>0</v>
      </c>
      <c r="AK285" s="76">
        <v>151</v>
      </c>
      <c r="AL285" s="76">
        <v>613</v>
      </c>
      <c r="AM285" s="202"/>
      <c r="AN285" s="77"/>
      <c r="AO285" s="202"/>
      <c r="AP285" s="202"/>
      <c r="AQ285" s="202"/>
      <c r="AR285" s="202"/>
      <c r="AS285" s="202"/>
      <c r="AT285" s="202"/>
      <c r="AU285" s="202"/>
      <c r="AV285" s="202"/>
      <c r="AW285" s="202"/>
      <c r="AX285" s="202"/>
      <c r="AY285" s="202"/>
    </row>
    <row r="286" spans="1:51" ht="25.5" x14ac:dyDescent="0.2">
      <c r="A286" s="76">
        <v>17</v>
      </c>
      <c r="B286" s="77" t="s">
        <v>1470</v>
      </c>
      <c r="C286" s="76" t="s">
        <v>168</v>
      </c>
      <c r="D286" s="76">
        <v>3</v>
      </c>
      <c r="E286" s="76">
        <v>6</v>
      </c>
      <c r="F286" s="76">
        <v>5.7</v>
      </c>
      <c r="G286" s="76">
        <v>10</v>
      </c>
      <c r="H286" s="76">
        <v>10</v>
      </c>
      <c r="I286" s="76">
        <v>0</v>
      </c>
      <c r="J286" s="76">
        <v>0</v>
      </c>
      <c r="K286" s="76">
        <v>53.2</v>
      </c>
      <c r="L286" s="76">
        <v>53</v>
      </c>
      <c r="M286" s="76">
        <v>34</v>
      </c>
      <c r="N286" s="76">
        <v>34</v>
      </c>
      <c r="O286" s="76">
        <v>10</v>
      </c>
      <c r="P286" s="76">
        <v>28</v>
      </c>
      <c r="Q286" s="76">
        <v>32</v>
      </c>
      <c r="R286" s="76">
        <v>0.26500000000000001</v>
      </c>
      <c r="S286" s="76">
        <v>1.51</v>
      </c>
      <c r="T286" s="76">
        <v>17</v>
      </c>
      <c r="U286" s="77" t="s">
        <v>1470</v>
      </c>
      <c r="V286" s="76" t="s">
        <v>168</v>
      </c>
      <c r="W286" s="76">
        <v>0</v>
      </c>
      <c r="X286" s="76">
        <v>0</v>
      </c>
      <c r="Y286" s="76">
        <v>4</v>
      </c>
      <c r="Z286" s="76">
        <v>1</v>
      </c>
      <c r="AA286" s="76">
        <v>0</v>
      </c>
      <c r="AB286" s="76">
        <v>0</v>
      </c>
      <c r="AC286" s="76">
        <v>9</v>
      </c>
      <c r="AD286" s="76">
        <v>63</v>
      </c>
      <c r="AE286" s="76">
        <v>57</v>
      </c>
      <c r="AF286" s="76">
        <v>4</v>
      </c>
      <c r="AG286" s="76">
        <v>0</v>
      </c>
      <c r="AH286" s="76">
        <v>1</v>
      </c>
      <c r="AI286" s="76">
        <v>1</v>
      </c>
      <c r="AJ286" s="76">
        <v>1</v>
      </c>
      <c r="AK286" s="76">
        <v>237</v>
      </c>
      <c r="AL286" s="76">
        <v>919</v>
      </c>
      <c r="AM286" s="202"/>
      <c r="AN286" s="77"/>
      <c r="AO286" s="202"/>
      <c r="AP286" s="202"/>
      <c r="AQ286" s="202"/>
      <c r="AR286" s="202"/>
      <c r="AS286" s="202"/>
      <c r="AT286" s="202"/>
      <c r="AU286" s="202"/>
      <c r="AV286" s="202"/>
      <c r="AW286" s="202"/>
      <c r="AX286" s="202"/>
      <c r="AY286" s="202"/>
    </row>
    <row r="287" spans="1:51" ht="25.5" x14ac:dyDescent="0.2">
      <c r="A287" s="76">
        <v>18</v>
      </c>
      <c r="B287" s="77" t="s">
        <v>807</v>
      </c>
      <c r="C287" s="76" t="s">
        <v>168</v>
      </c>
      <c r="D287" s="76">
        <v>1</v>
      </c>
      <c r="E287" s="76">
        <v>0</v>
      </c>
      <c r="F287" s="76">
        <v>5.82</v>
      </c>
      <c r="G287" s="76">
        <v>25</v>
      </c>
      <c r="H287" s="76">
        <v>0</v>
      </c>
      <c r="I287" s="76">
        <v>2</v>
      </c>
      <c r="J287" s="76">
        <v>3</v>
      </c>
      <c r="K287" s="76">
        <v>21.2</v>
      </c>
      <c r="L287" s="76">
        <v>18</v>
      </c>
      <c r="M287" s="76">
        <v>14</v>
      </c>
      <c r="N287" s="76">
        <v>14</v>
      </c>
      <c r="O287" s="76">
        <v>5</v>
      </c>
      <c r="P287" s="76">
        <v>14</v>
      </c>
      <c r="Q287" s="76">
        <v>23</v>
      </c>
      <c r="R287" s="76">
        <v>0.222</v>
      </c>
      <c r="S287" s="76">
        <v>1.48</v>
      </c>
      <c r="T287" s="76">
        <v>18</v>
      </c>
      <c r="U287" s="77" t="s">
        <v>807</v>
      </c>
      <c r="V287" s="76" t="s">
        <v>168</v>
      </c>
      <c r="W287" s="76">
        <v>0</v>
      </c>
      <c r="X287" s="76">
        <v>0</v>
      </c>
      <c r="Y287" s="76">
        <v>0</v>
      </c>
      <c r="Z287" s="76">
        <v>1</v>
      </c>
      <c r="AA287" s="76">
        <v>4</v>
      </c>
      <c r="AB287" s="76">
        <v>4</v>
      </c>
      <c r="AC287" s="76">
        <v>0</v>
      </c>
      <c r="AD287" s="76">
        <v>13</v>
      </c>
      <c r="AE287" s="76">
        <v>27</v>
      </c>
      <c r="AF287" s="76">
        <v>2</v>
      </c>
      <c r="AG287" s="76">
        <v>0</v>
      </c>
      <c r="AH287" s="76">
        <v>2</v>
      </c>
      <c r="AI287" s="76">
        <v>1</v>
      </c>
      <c r="AJ287" s="76">
        <v>0</v>
      </c>
      <c r="AK287" s="76">
        <v>95</v>
      </c>
      <c r="AL287" s="76">
        <v>380</v>
      </c>
      <c r="AM287" s="202"/>
      <c r="AN287" s="77"/>
      <c r="AO287" s="202"/>
      <c r="AP287" s="202"/>
      <c r="AQ287" s="202"/>
      <c r="AR287" s="202"/>
      <c r="AS287" s="202"/>
      <c r="AT287" s="202"/>
      <c r="AU287" s="202"/>
      <c r="AV287" s="202"/>
      <c r="AW287" s="202"/>
      <c r="AX287" s="202"/>
      <c r="AY287" s="202"/>
    </row>
    <row r="288" spans="1:51" ht="25.5" x14ac:dyDescent="0.2">
      <c r="A288" s="76">
        <v>19</v>
      </c>
      <c r="B288" s="77" t="s">
        <v>1145</v>
      </c>
      <c r="C288" s="76" t="s">
        <v>168</v>
      </c>
      <c r="D288" s="76">
        <v>2</v>
      </c>
      <c r="E288" s="76">
        <v>11</v>
      </c>
      <c r="F288" s="76">
        <v>6.04</v>
      </c>
      <c r="G288" s="76">
        <v>23</v>
      </c>
      <c r="H288" s="76">
        <v>21</v>
      </c>
      <c r="I288" s="76">
        <v>0</v>
      </c>
      <c r="J288" s="76">
        <v>0</v>
      </c>
      <c r="K288" s="76">
        <v>113.1</v>
      </c>
      <c r="L288" s="76">
        <v>141</v>
      </c>
      <c r="M288" s="76">
        <v>81</v>
      </c>
      <c r="N288" s="76">
        <v>76</v>
      </c>
      <c r="O288" s="76">
        <v>23</v>
      </c>
      <c r="P288" s="76">
        <v>29</v>
      </c>
      <c r="Q288" s="76">
        <v>95</v>
      </c>
      <c r="R288" s="76">
        <v>0.30199999999999999</v>
      </c>
      <c r="S288" s="76">
        <v>1.5</v>
      </c>
      <c r="T288" s="76">
        <v>19</v>
      </c>
      <c r="U288" s="77" t="s">
        <v>1145</v>
      </c>
      <c r="V288" s="76" t="s">
        <v>168</v>
      </c>
      <c r="W288" s="76">
        <v>0</v>
      </c>
      <c r="X288" s="76">
        <v>0</v>
      </c>
      <c r="Y288" s="76">
        <v>4</v>
      </c>
      <c r="Z288" s="76">
        <v>3</v>
      </c>
      <c r="AA288" s="76">
        <v>1</v>
      </c>
      <c r="AB288" s="76">
        <v>0</v>
      </c>
      <c r="AC288" s="76">
        <v>8</v>
      </c>
      <c r="AD288" s="76">
        <v>110</v>
      </c>
      <c r="AE288" s="76">
        <v>128</v>
      </c>
      <c r="AF288" s="76">
        <v>2</v>
      </c>
      <c r="AG288" s="76">
        <v>0</v>
      </c>
      <c r="AH288" s="76">
        <v>8</v>
      </c>
      <c r="AI288" s="76">
        <v>4</v>
      </c>
      <c r="AJ288" s="76">
        <v>1</v>
      </c>
      <c r="AK288" s="76">
        <v>507</v>
      </c>
      <c r="AL288" s="76">
        <v>1947</v>
      </c>
      <c r="AM288" s="202"/>
      <c r="AN288" s="77"/>
      <c r="AO288" s="202"/>
      <c r="AP288" s="202"/>
      <c r="AQ288" s="202"/>
      <c r="AR288" s="202"/>
      <c r="AS288" s="202"/>
      <c r="AT288" s="202"/>
      <c r="AU288" s="202"/>
      <c r="AV288" s="202"/>
      <c r="AW288" s="202"/>
      <c r="AX288" s="202"/>
      <c r="AY288" s="202"/>
    </row>
    <row r="289" spans="1:51" ht="25.5" x14ac:dyDescent="0.2">
      <c r="A289" s="76">
        <v>20</v>
      </c>
      <c r="B289" s="77" t="s">
        <v>1146</v>
      </c>
      <c r="C289" s="76" t="s">
        <v>168</v>
      </c>
      <c r="D289" s="76">
        <v>1</v>
      </c>
      <c r="E289" s="76">
        <v>1</v>
      </c>
      <c r="F289" s="76">
        <v>6.25</v>
      </c>
      <c r="G289" s="76">
        <v>24</v>
      </c>
      <c r="H289" s="76">
        <v>0</v>
      </c>
      <c r="I289" s="76">
        <v>0</v>
      </c>
      <c r="J289" s="76">
        <v>0</v>
      </c>
      <c r="K289" s="76">
        <v>31.2</v>
      </c>
      <c r="L289" s="76">
        <v>34</v>
      </c>
      <c r="M289" s="76">
        <v>22</v>
      </c>
      <c r="N289" s="76">
        <v>22</v>
      </c>
      <c r="O289" s="76">
        <v>6</v>
      </c>
      <c r="P289" s="76">
        <v>13</v>
      </c>
      <c r="Q289" s="76">
        <v>31</v>
      </c>
      <c r="R289" s="76">
        <v>0.27600000000000002</v>
      </c>
      <c r="S289" s="76">
        <v>1.48</v>
      </c>
      <c r="T289" s="76">
        <v>20</v>
      </c>
      <c r="U289" s="77" t="s">
        <v>1146</v>
      </c>
      <c r="V289" s="76" t="s">
        <v>168</v>
      </c>
      <c r="W289" s="76">
        <v>0</v>
      </c>
      <c r="X289" s="76">
        <v>0</v>
      </c>
      <c r="Y289" s="76">
        <v>2</v>
      </c>
      <c r="Z289" s="76">
        <v>1</v>
      </c>
      <c r="AA289" s="76">
        <v>4</v>
      </c>
      <c r="AB289" s="76">
        <v>1</v>
      </c>
      <c r="AC289" s="76">
        <v>3</v>
      </c>
      <c r="AD289" s="76">
        <v>27</v>
      </c>
      <c r="AE289" s="76">
        <v>34</v>
      </c>
      <c r="AF289" s="76">
        <v>5</v>
      </c>
      <c r="AG289" s="76">
        <v>0</v>
      </c>
      <c r="AH289" s="76">
        <v>2</v>
      </c>
      <c r="AI289" s="76">
        <v>0</v>
      </c>
      <c r="AJ289" s="76">
        <v>0</v>
      </c>
      <c r="AK289" s="76">
        <v>142</v>
      </c>
      <c r="AL289" s="76">
        <v>536</v>
      </c>
      <c r="AM289" s="202"/>
      <c r="AN289" s="77"/>
      <c r="AO289" s="202"/>
      <c r="AP289" s="202"/>
      <c r="AQ289" s="202"/>
      <c r="AR289" s="202"/>
      <c r="AS289" s="202"/>
      <c r="AT289" s="202"/>
      <c r="AU289" s="202"/>
      <c r="AV289" s="202"/>
      <c r="AW289" s="202"/>
      <c r="AX289" s="202"/>
      <c r="AY289" s="202"/>
    </row>
    <row r="290" spans="1:51" ht="25.5" x14ac:dyDescent="0.2">
      <c r="A290" s="76">
        <v>21</v>
      </c>
      <c r="B290" s="77" t="s">
        <v>1201</v>
      </c>
      <c r="C290" s="76" t="s">
        <v>168</v>
      </c>
      <c r="D290" s="76">
        <v>3</v>
      </c>
      <c r="E290" s="76">
        <v>1</v>
      </c>
      <c r="F290" s="76">
        <v>6.4</v>
      </c>
      <c r="G290" s="76">
        <v>33</v>
      </c>
      <c r="H290" s="76">
        <v>0</v>
      </c>
      <c r="I290" s="76">
        <v>0</v>
      </c>
      <c r="J290" s="76">
        <v>1</v>
      </c>
      <c r="K290" s="76">
        <v>32.1</v>
      </c>
      <c r="L290" s="76">
        <v>32</v>
      </c>
      <c r="M290" s="76">
        <v>23</v>
      </c>
      <c r="N290" s="76">
        <v>23</v>
      </c>
      <c r="O290" s="76">
        <v>6</v>
      </c>
      <c r="P290" s="76">
        <v>15</v>
      </c>
      <c r="Q290" s="76">
        <v>33</v>
      </c>
      <c r="R290" s="76">
        <v>0.26</v>
      </c>
      <c r="S290" s="76">
        <v>1.45</v>
      </c>
      <c r="T290" s="76">
        <v>21</v>
      </c>
      <c r="U290" s="77" t="s">
        <v>1201</v>
      </c>
      <c r="V290" s="76" t="s">
        <v>168</v>
      </c>
      <c r="W290" s="76">
        <v>0</v>
      </c>
      <c r="X290" s="76">
        <v>0</v>
      </c>
      <c r="Y290" s="76">
        <v>1</v>
      </c>
      <c r="Z290" s="76">
        <v>0</v>
      </c>
      <c r="AA290" s="76">
        <v>4</v>
      </c>
      <c r="AB290" s="76">
        <v>5</v>
      </c>
      <c r="AC290" s="76">
        <v>1</v>
      </c>
      <c r="AD290" s="76">
        <v>30</v>
      </c>
      <c r="AE290" s="76">
        <v>33</v>
      </c>
      <c r="AF290" s="76">
        <v>2</v>
      </c>
      <c r="AG290" s="76">
        <v>1</v>
      </c>
      <c r="AH290" s="76">
        <v>2</v>
      </c>
      <c r="AI290" s="76">
        <v>1</v>
      </c>
      <c r="AJ290" s="76">
        <v>0</v>
      </c>
      <c r="AK290" s="76">
        <v>144</v>
      </c>
      <c r="AL290" s="76">
        <v>607</v>
      </c>
      <c r="AM290" s="202"/>
      <c r="AN290" s="77"/>
      <c r="AO290" s="202"/>
      <c r="AP290" s="202"/>
      <c r="AQ290" s="202"/>
      <c r="AR290" s="202"/>
      <c r="AS290" s="202"/>
      <c r="AT290" s="202"/>
      <c r="AU290" s="202"/>
      <c r="AV290" s="202"/>
      <c r="AW290" s="202"/>
      <c r="AX290" s="202"/>
      <c r="AY290" s="202"/>
    </row>
    <row r="291" spans="1:51" ht="25.5" x14ac:dyDescent="0.2">
      <c r="A291" s="76">
        <v>22</v>
      </c>
      <c r="B291" s="77" t="s">
        <v>423</v>
      </c>
      <c r="C291" s="76" t="s">
        <v>168</v>
      </c>
      <c r="D291" s="76">
        <v>1</v>
      </c>
      <c r="E291" s="76">
        <v>1</v>
      </c>
      <c r="F291" s="76">
        <v>6.46</v>
      </c>
      <c r="G291" s="76">
        <v>17</v>
      </c>
      <c r="H291" s="76">
        <v>0</v>
      </c>
      <c r="I291" s="76">
        <v>0</v>
      </c>
      <c r="J291" s="76">
        <v>1</v>
      </c>
      <c r="K291" s="76">
        <v>15.1</v>
      </c>
      <c r="L291" s="76">
        <v>21</v>
      </c>
      <c r="M291" s="76">
        <v>11</v>
      </c>
      <c r="N291" s="76">
        <v>11</v>
      </c>
      <c r="O291" s="76">
        <v>2</v>
      </c>
      <c r="P291" s="76">
        <v>8</v>
      </c>
      <c r="Q291" s="76">
        <v>14</v>
      </c>
      <c r="R291" s="76">
        <v>0.318</v>
      </c>
      <c r="S291" s="76">
        <v>1.89</v>
      </c>
      <c r="T291" s="76">
        <v>22</v>
      </c>
      <c r="U291" s="77" t="s">
        <v>423</v>
      </c>
      <c r="V291" s="76" t="s">
        <v>168</v>
      </c>
      <c r="W291" s="76">
        <v>0</v>
      </c>
      <c r="X291" s="76">
        <v>0</v>
      </c>
      <c r="Y291" s="76">
        <v>1</v>
      </c>
      <c r="Z291" s="76">
        <v>1</v>
      </c>
      <c r="AA291" s="76">
        <v>7</v>
      </c>
      <c r="AB291" s="76">
        <v>1</v>
      </c>
      <c r="AC291" s="76">
        <v>0</v>
      </c>
      <c r="AD291" s="76">
        <v>19</v>
      </c>
      <c r="AE291" s="76">
        <v>13</v>
      </c>
      <c r="AF291" s="76">
        <v>2</v>
      </c>
      <c r="AG291" s="76">
        <v>0</v>
      </c>
      <c r="AH291" s="76">
        <v>1</v>
      </c>
      <c r="AI291" s="76">
        <v>0</v>
      </c>
      <c r="AJ291" s="76">
        <v>0</v>
      </c>
      <c r="AK291" s="76">
        <v>76</v>
      </c>
      <c r="AL291" s="76">
        <v>292</v>
      </c>
      <c r="AM291" s="202"/>
      <c r="AN291" s="77"/>
      <c r="AO291" s="202"/>
      <c r="AP291" s="202"/>
      <c r="AQ291" s="202"/>
      <c r="AR291" s="202"/>
      <c r="AS291" s="202"/>
      <c r="AT291" s="202"/>
      <c r="AU291" s="202"/>
      <c r="AV291" s="202"/>
      <c r="AW291" s="202"/>
      <c r="AX291" s="202"/>
      <c r="AY291" s="202"/>
    </row>
    <row r="292" spans="1:51" ht="25.5" x14ac:dyDescent="0.2">
      <c r="A292" s="76">
        <v>23</v>
      </c>
      <c r="B292" s="77" t="s">
        <v>1471</v>
      </c>
      <c r="C292" s="76" t="s">
        <v>168</v>
      </c>
      <c r="D292" s="76">
        <v>1</v>
      </c>
      <c r="E292" s="76">
        <v>2</v>
      </c>
      <c r="F292" s="76">
        <v>8.4</v>
      </c>
      <c r="G292" s="76">
        <v>14</v>
      </c>
      <c r="H292" s="76">
        <v>0</v>
      </c>
      <c r="I292" s="76">
        <v>0</v>
      </c>
      <c r="J292" s="76">
        <v>0</v>
      </c>
      <c r="K292" s="76">
        <v>15</v>
      </c>
      <c r="L292" s="76">
        <v>20</v>
      </c>
      <c r="M292" s="76">
        <v>16</v>
      </c>
      <c r="N292" s="76">
        <v>14</v>
      </c>
      <c r="O292" s="76">
        <v>7</v>
      </c>
      <c r="P292" s="76">
        <v>5</v>
      </c>
      <c r="Q292" s="76">
        <v>14</v>
      </c>
      <c r="R292" s="76">
        <v>0.32300000000000001</v>
      </c>
      <c r="S292" s="76">
        <v>1.67</v>
      </c>
      <c r="T292" s="76">
        <v>23</v>
      </c>
      <c r="U292" s="77" t="s">
        <v>1471</v>
      </c>
      <c r="V292" s="76" t="s">
        <v>168</v>
      </c>
      <c r="W292" s="76">
        <v>0</v>
      </c>
      <c r="X292" s="76">
        <v>0</v>
      </c>
      <c r="Y292" s="76">
        <v>1</v>
      </c>
      <c r="Z292" s="76">
        <v>0</v>
      </c>
      <c r="AA292" s="76">
        <v>4</v>
      </c>
      <c r="AB292" s="76">
        <v>0</v>
      </c>
      <c r="AC292" s="76">
        <v>2</v>
      </c>
      <c r="AD292" s="76">
        <v>11</v>
      </c>
      <c r="AE292" s="76">
        <v>18</v>
      </c>
      <c r="AF292" s="76">
        <v>3</v>
      </c>
      <c r="AG292" s="76">
        <v>0</v>
      </c>
      <c r="AH292" s="76">
        <v>0</v>
      </c>
      <c r="AI292" s="76">
        <v>0</v>
      </c>
      <c r="AJ292" s="76">
        <v>0</v>
      </c>
      <c r="AK292" s="76">
        <v>69</v>
      </c>
      <c r="AL292" s="76">
        <v>280</v>
      </c>
      <c r="AM292" s="202"/>
      <c r="AN292" s="77"/>
      <c r="AO292" s="202"/>
      <c r="AP292" s="202"/>
      <c r="AQ292" s="202"/>
      <c r="AR292" s="202"/>
      <c r="AS292" s="202"/>
      <c r="AT292" s="202"/>
      <c r="AU292" s="202"/>
      <c r="AV292" s="202"/>
      <c r="AW292" s="202"/>
      <c r="AX292" s="202"/>
      <c r="AY292" s="202"/>
    </row>
    <row r="293" spans="1:51" ht="25.5" x14ac:dyDescent="0.2">
      <c r="A293" s="76">
        <v>24</v>
      </c>
      <c r="B293" s="77" t="s">
        <v>824</v>
      </c>
      <c r="C293" s="76" t="s">
        <v>168</v>
      </c>
      <c r="D293" s="76">
        <v>0</v>
      </c>
      <c r="E293" s="76">
        <v>0</v>
      </c>
      <c r="F293" s="76">
        <v>8.44</v>
      </c>
      <c r="G293" s="76">
        <v>4</v>
      </c>
      <c r="H293" s="76">
        <v>2</v>
      </c>
      <c r="I293" s="76">
        <v>0</v>
      </c>
      <c r="J293" s="76">
        <v>0</v>
      </c>
      <c r="K293" s="76">
        <v>10.199999999999999</v>
      </c>
      <c r="L293" s="76">
        <v>15</v>
      </c>
      <c r="M293" s="76">
        <v>10</v>
      </c>
      <c r="N293" s="76">
        <v>10</v>
      </c>
      <c r="O293" s="76">
        <v>0</v>
      </c>
      <c r="P293" s="76">
        <v>7</v>
      </c>
      <c r="Q293" s="76">
        <v>7</v>
      </c>
      <c r="R293" s="76">
        <v>0.375</v>
      </c>
      <c r="S293" s="76">
        <v>2.06</v>
      </c>
      <c r="T293" s="76">
        <v>24</v>
      </c>
      <c r="U293" s="77" t="s">
        <v>824</v>
      </c>
      <c r="V293" s="76" t="s">
        <v>168</v>
      </c>
      <c r="W293" s="76">
        <v>0</v>
      </c>
      <c r="X293" s="76">
        <v>0</v>
      </c>
      <c r="Y293" s="76">
        <v>1</v>
      </c>
      <c r="Z293" s="76">
        <v>1</v>
      </c>
      <c r="AA293" s="76">
        <v>0</v>
      </c>
      <c r="AB293" s="76">
        <v>0</v>
      </c>
      <c r="AC293" s="76">
        <v>4</v>
      </c>
      <c r="AD293" s="76">
        <v>11</v>
      </c>
      <c r="AE293" s="76">
        <v>10</v>
      </c>
      <c r="AF293" s="76">
        <v>0</v>
      </c>
      <c r="AG293" s="76">
        <v>0</v>
      </c>
      <c r="AH293" s="76">
        <v>1</v>
      </c>
      <c r="AI293" s="76">
        <v>0</v>
      </c>
      <c r="AJ293" s="76">
        <v>0</v>
      </c>
      <c r="AK293" s="76">
        <v>51</v>
      </c>
      <c r="AL293" s="76">
        <v>209</v>
      </c>
      <c r="AM293" s="202"/>
      <c r="AN293" s="77"/>
      <c r="AO293" s="202"/>
      <c r="AP293" s="202"/>
      <c r="AQ293" s="202"/>
      <c r="AR293" s="202"/>
      <c r="AS293" s="202"/>
      <c r="AT293" s="202"/>
      <c r="AU293" s="202"/>
      <c r="AV293" s="202"/>
      <c r="AW293" s="202"/>
      <c r="AX293" s="202"/>
      <c r="AY293" s="202"/>
    </row>
    <row r="294" spans="1:51" ht="25.5" x14ac:dyDescent="0.2">
      <c r="A294" s="76">
        <v>25</v>
      </c>
      <c r="B294" s="77" t="s">
        <v>1472</v>
      </c>
      <c r="C294" s="76" t="s">
        <v>168</v>
      </c>
      <c r="D294" s="76">
        <v>0</v>
      </c>
      <c r="E294" s="76">
        <v>0</v>
      </c>
      <c r="F294" s="76">
        <v>10.8</v>
      </c>
      <c r="G294" s="76">
        <v>7</v>
      </c>
      <c r="H294" s="76">
        <v>0</v>
      </c>
      <c r="I294" s="76">
        <v>0</v>
      </c>
      <c r="J294" s="76">
        <v>0</v>
      </c>
      <c r="K294" s="76">
        <v>5</v>
      </c>
      <c r="L294" s="76">
        <v>9</v>
      </c>
      <c r="M294" s="76">
        <v>6</v>
      </c>
      <c r="N294" s="76">
        <v>6</v>
      </c>
      <c r="O294" s="76">
        <v>1</v>
      </c>
      <c r="P294" s="76">
        <v>2</v>
      </c>
      <c r="Q294" s="76">
        <v>2</v>
      </c>
      <c r="R294" s="76">
        <v>0.40899999999999997</v>
      </c>
      <c r="S294" s="76">
        <v>2.2000000000000002</v>
      </c>
      <c r="T294" s="76">
        <v>25</v>
      </c>
      <c r="U294" s="77" t="s">
        <v>1472</v>
      </c>
      <c r="V294" s="76" t="s">
        <v>168</v>
      </c>
      <c r="W294" s="76">
        <v>0</v>
      </c>
      <c r="X294" s="76">
        <v>0</v>
      </c>
      <c r="Y294" s="76">
        <v>0</v>
      </c>
      <c r="Z294" s="76">
        <v>0</v>
      </c>
      <c r="AA294" s="76">
        <v>3</v>
      </c>
      <c r="AB294" s="76">
        <v>1</v>
      </c>
      <c r="AC294" s="76">
        <v>0</v>
      </c>
      <c r="AD294" s="76">
        <v>6</v>
      </c>
      <c r="AE294" s="76">
        <v>6</v>
      </c>
      <c r="AF294" s="76">
        <v>1</v>
      </c>
      <c r="AG294" s="76">
        <v>0</v>
      </c>
      <c r="AH294" s="76">
        <v>1</v>
      </c>
      <c r="AI294" s="76">
        <v>1</v>
      </c>
      <c r="AJ294" s="76">
        <v>1</v>
      </c>
      <c r="AK294" s="76">
        <v>25</v>
      </c>
      <c r="AL294" s="76">
        <v>101</v>
      </c>
      <c r="AM294" s="202"/>
      <c r="AN294" s="77"/>
      <c r="AO294" s="202"/>
      <c r="AP294" s="202"/>
      <c r="AQ294" s="202"/>
      <c r="AR294" s="202"/>
      <c r="AS294" s="202"/>
      <c r="AT294" s="202"/>
      <c r="AU294" s="202"/>
      <c r="AV294" s="202"/>
      <c r="AW294" s="202"/>
      <c r="AX294" s="202"/>
      <c r="AY294" s="202"/>
    </row>
    <row r="295" spans="1:51" ht="25.5" x14ac:dyDescent="0.2">
      <c r="A295" s="76">
        <v>26</v>
      </c>
      <c r="B295" s="77" t="s">
        <v>346</v>
      </c>
      <c r="C295" s="76" t="s">
        <v>168</v>
      </c>
      <c r="D295" s="76">
        <v>0</v>
      </c>
      <c r="E295" s="76">
        <v>0</v>
      </c>
      <c r="F295" s="76">
        <v>18.690000000000001</v>
      </c>
      <c r="G295" s="76">
        <v>7</v>
      </c>
      <c r="H295" s="76">
        <v>0</v>
      </c>
      <c r="I295" s="76">
        <v>0</v>
      </c>
      <c r="J295" s="76">
        <v>1</v>
      </c>
      <c r="K295" s="76">
        <v>4.0999999999999996</v>
      </c>
      <c r="L295" s="76">
        <v>9</v>
      </c>
      <c r="M295" s="76">
        <v>9</v>
      </c>
      <c r="N295" s="76">
        <v>9</v>
      </c>
      <c r="O295" s="76">
        <v>2</v>
      </c>
      <c r="P295" s="76">
        <v>5</v>
      </c>
      <c r="Q295" s="76">
        <v>4</v>
      </c>
      <c r="R295" s="76">
        <v>0.42899999999999999</v>
      </c>
      <c r="S295" s="76">
        <v>3.23</v>
      </c>
      <c r="T295" s="76">
        <v>26</v>
      </c>
      <c r="U295" s="77" t="s">
        <v>346</v>
      </c>
      <c r="V295" s="76" t="s">
        <v>168</v>
      </c>
      <c r="W295" s="76">
        <v>0</v>
      </c>
      <c r="X295" s="76">
        <v>0</v>
      </c>
      <c r="Y295" s="76">
        <v>0</v>
      </c>
      <c r="Z295" s="76">
        <v>0</v>
      </c>
      <c r="AA295" s="76">
        <v>1</v>
      </c>
      <c r="AB295" s="76">
        <v>1</v>
      </c>
      <c r="AC295" s="76">
        <v>0</v>
      </c>
      <c r="AD295" s="76">
        <v>3</v>
      </c>
      <c r="AE295" s="76">
        <v>6</v>
      </c>
      <c r="AF295" s="76">
        <v>0</v>
      </c>
      <c r="AG295" s="76">
        <v>0</v>
      </c>
      <c r="AH295" s="76">
        <v>0</v>
      </c>
      <c r="AI295" s="76">
        <v>0</v>
      </c>
      <c r="AJ295" s="76">
        <v>0</v>
      </c>
      <c r="AK295" s="76">
        <v>27</v>
      </c>
      <c r="AL295" s="76">
        <v>116</v>
      </c>
      <c r="AM295" s="202"/>
      <c r="AN295" s="77"/>
      <c r="AO295" s="202"/>
      <c r="AP295" s="202"/>
      <c r="AQ295" s="202"/>
      <c r="AR295" s="202"/>
      <c r="AS295" s="202"/>
      <c r="AT295" s="202"/>
      <c r="AU295" s="202"/>
      <c r="AV295" s="202"/>
      <c r="AW295" s="202"/>
      <c r="AX295" s="202"/>
      <c r="AY295" s="202"/>
    </row>
    <row r="296" spans="1:51" ht="25.5" x14ac:dyDescent="0.2">
      <c r="A296" s="76">
        <v>27</v>
      </c>
      <c r="B296" s="77" t="s">
        <v>1372</v>
      </c>
      <c r="C296" s="76" t="s">
        <v>168</v>
      </c>
      <c r="D296" s="76">
        <v>0</v>
      </c>
      <c r="E296" s="76">
        <v>1</v>
      </c>
      <c r="F296" s="76">
        <v>45</v>
      </c>
      <c r="G296" s="76">
        <v>6</v>
      </c>
      <c r="H296" s="76">
        <v>0</v>
      </c>
      <c r="I296" s="76">
        <v>0</v>
      </c>
      <c r="J296" s="76">
        <v>0</v>
      </c>
      <c r="K296" s="76">
        <v>2</v>
      </c>
      <c r="L296" s="76">
        <v>6</v>
      </c>
      <c r="M296" s="76">
        <v>11</v>
      </c>
      <c r="N296" s="76">
        <v>10</v>
      </c>
      <c r="O296" s="76">
        <v>1</v>
      </c>
      <c r="P296" s="76">
        <v>4</v>
      </c>
      <c r="Q296" s="76">
        <v>2</v>
      </c>
      <c r="R296" s="76">
        <v>0.5</v>
      </c>
      <c r="S296" s="76">
        <v>5</v>
      </c>
      <c r="T296" s="76">
        <v>27</v>
      </c>
      <c r="U296" s="77" t="s">
        <v>1372</v>
      </c>
      <c r="V296" s="76" t="s">
        <v>168</v>
      </c>
      <c r="W296" s="76">
        <v>0</v>
      </c>
      <c r="X296" s="76">
        <v>0</v>
      </c>
      <c r="Y296" s="76">
        <v>2</v>
      </c>
      <c r="Z296" s="76">
        <v>0</v>
      </c>
      <c r="AA296" s="76">
        <v>0</v>
      </c>
      <c r="AB296" s="76">
        <v>0</v>
      </c>
      <c r="AC296" s="76">
        <v>0</v>
      </c>
      <c r="AD296" s="76">
        <v>3</v>
      </c>
      <c r="AE296" s="76">
        <v>2</v>
      </c>
      <c r="AF296" s="76">
        <v>2</v>
      </c>
      <c r="AG296" s="76">
        <v>0</v>
      </c>
      <c r="AH296" s="76">
        <v>0</v>
      </c>
      <c r="AI296" s="76">
        <v>0</v>
      </c>
      <c r="AJ296" s="76">
        <v>0</v>
      </c>
      <c r="AK296" s="76">
        <v>19</v>
      </c>
      <c r="AL296" s="76">
        <v>68</v>
      </c>
      <c r="AM296" s="202"/>
      <c r="AN296" s="77"/>
      <c r="AO296" s="202"/>
      <c r="AP296" s="202"/>
      <c r="AQ296" s="202"/>
      <c r="AR296" s="202"/>
      <c r="AS296" s="202"/>
      <c r="AT296" s="202"/>
      <c r="AU296" s="202"/>
      <c r="AV296" s="202"/>
      <c r="AW296" s="202"/>
      <c r="AX296" s="202"/>
      <c r="AY296" s="202"/>
    </row>
    <row r="297" spans="1:51" ht="25.5" x14ac:dyDescent="0.2">
      <c r="A297" s="225" t="s">
        <v>105</v>
      </c>
      <c r="B297" s="225" t="s">
        <v>106</v>
      </c>
      <c r="C297" s="225" t="s">
        <v>157</v>
      </c>
      <c r="D297" s="225" t="s">
        <v>85</v>
      </c>
      <c r="E297" s="225" t="s">
        <v>86</v>
      </c>
      <c r="F297" s="225" t="s">
        <v>107</v>
      </c>
      <c r="G297" s="225" t="s">
        <v>108</v>
      </c>
      <c r="H297" s="225" t="s">
        <v>88</v>
      </c>
      <c r="I297" s="225" t="s">
        <v>90</v>
      </c>
      <c r="J297" s="225" t="s">
        <v>158</v>
      </c>
      <c r="K297" s="225" t="s">
        <v>91</v>
      </c>
      <c r="L297" s="225" t="s">
        <v>92</v>
      </c>
      <c r="M297" s="225" t="s">
        <v>93</v>
      </c>
      <c r="N297" s="225" t="s">
        <v>94</v>
      </c>
      <c r="O297" s="225" t="s">
        <v>95</v>
      </c>
      <c r="P297" s="225" t="s">
        <v>96</v>
      </c>
      <c r="Q297" s="225" t="s">
        <v>97</v>
      </c>
      <c r="R297" s="225" t="s">
        <v>1071</v>
      </c>
      <c r="S297" s="225" t="s">
        <v>1072</v>
      </c>
      <c r="T297" s="225" t="s">
        <v>105</v>
      </c>
      <c r="U297" s="225" t="s">
        <v>106</v>
      </c>
      <c r="V297" s="225" t="s">
        <v>157</v>
      </c>
      <c r="W297" s="225" t="s">
        <v>89</v>
      </c>
      <c r="X297" s="225" t="s">
        <v>1073</v>
      </c>
      <c r="Y297" s="225" t="s">
        <v>1074</v>
      </c>
      <c r="Z297" s="225" t="s">
        <v>98</v>
      </c>
      <c r="AA297" s="225" t="s">
        <v>1075</v>
      </c>
      <c r="AB297" s="225" t="s">
        <v>1076</v>
      </c>
      <c r="AC297" s="225" t="s">
        <v>1077</v>
      </c>
      <c r="AD297" s="225" t="s">
        <v>1066</v>
      </c>
      <c r="AE297" s="225" t="s">
        <v>1067</v>
      </c>
      <c r="AF297" s="225" t="s">
        <v>1078</v>
      </c>
      <c r="AG297" s="225" t="s">
        <v>1079</v>
      </c>
      <c r="AH297" s="225" t="s">
        <v>1057</v>
      </c>
      <c r="AI297" s="225" t="s">
        <v>1058</v>
      </c>
      <c r="AJ297" s="225" t="s">
        <v>1080</v>
      </c>
      <c r="AK297" s="225" t="s">
        <v>109</v>
      </c>
      <c r="AL297" s="225" t="s">
        <v>1069</v>
      </c>
      <c r="AM297" s="202"/>
      <c r="AN297" s="77"/>
      <c r="AO297" s="202"/>
      <c r="AP297" s="202"/>
      <c r="AQ297" s="202"/>
      <c r="AR297" s="202"/>
      <c r="AS297" s="202"/>
      <c r="AT297" s="202"/>
      <c r="AU297" s="202"/>
      <c r="AV297" s="202"/>
      <c r="AW297" s="202"/>
      <c r="AX297" s="202"/>
      <c r="AY297" s="202"/>
    </row>
    <row r="298" spans="1:51" ht="25.5" x14ac:dyDescent="0.2">
      <c r="A298" s="76">
        <v>1</v>
      </c>
      <c r="B298" s="77" t="s">
        <v>544</v>
      </c>
      <c r="C298" s="76" t="s">
        <v>169</v>
      </c>
      <c r="D298" s="76">
        <v>0</v>
      </c>
      <c r="E298" s="76">
        <v>0</v>
      </c>
      <c r="F298" s="76">
        <v>0</v>
      </c>
      <c r="G298" s="76">
        <v>3</v>
      </c>
      <c r="H298" s="76">
        <v>0</v>
      </c>
      <c r="I298" s="76">
        <v>0</v>
      </c>
      <c r="J298" s="76">
        <v>0</v>
      </c>
      <c r="K298" s="76">
        <v>4</v>
      </c>
      <c r="L298" s="76">
        <v>3</v>
      </c>
      <c r="M298" s="76">
        <v>0</v>
      </c>
      <c r="N298" s="76">
        <v>0</v>
      </c>
      <c r="O298" s="76">
        <v>0</v>
      </c>
      <c r="P298" s="76">
        <v>3</v>
      </c>
      <c r="Q298" s="76">
        <v>3</v>
      </c>
      <c r="R298" s="76">
        <v>0.23100000000000001</v>
      </c>
      <c r="S298" s="76">
        <v>1.5</v>
      </c>
      <c r="T298" s="76">
        <v>1</v>
      </c>
      <c r="U298" s="77" t="s">
        <v>544</v>
      </c>
      <c r="V298" s="76" t="s">
        <v>169</v>
      </c>
      <c r="W298" s="76">
        <v>0</v>
      </c>
      <c r="X298" s="76">
        <v>0</v>
      </c>
      <c r="Y298" s="76">
        <v>0</v>
      </c>
      <c r="Z298" s="76">
        <v>1</v>
      </c>
      <c r="AA298" s="76">
        <v>1</v>
      </c>
      <c r="AB298" s="76">
        <v>0</v>
      </c>
      <c r="AC298" s="76">
        <v>2</v>
      </c>
      <c r="AD298" s="76">
        <v>4</v>
      </c>
      <c r="AE298" s="76">
        <v>3</v>
      </c>
      <c r="AF298" s="76">
        <v>0</v>
      </c>
      <c r="AG298" s="76">
        <v>0</v>
      </c>
      <c r="AH298" s="76">
        <v>0</v>
      </c>
      <c r="AI298" s="76">
        <v>0</v>
      </c>
      <c r="AJ298" s="76">
        <v>0</v>
      </c>
      <c r="AK298" s="76">
        <v>16</v>
      </c>
      <c r="AL298" s="76">
        <v>66</v>
      </c>
      <c r="AM298" s="202"/>
      <c r="AN298" s="77"/>
      <c r="AO298" s="202"/>
      <c r="AP298" s="202"/>
      <c r="AQ298" s="202"/>
      <c r="AR298" s="202"/>
      <c r="AS298" s="202"/>
      <c r="AT298" s="202"/>
      <c r="AU298" s="202"/>
      <c r="AV298" s="202"/>
      <c r="AW298" s="202"/>
      <c r="AX298" s="202"/>
      <c r="AY298" s="202"/>
    </row>
    <row r="299" spans="1:51" ht="25.5" x14ac:dyDescent="0.2">
      <c r="A299" s="76">
        <v>1</v>
      </c>
      <c r="B299" s="77" t="s">
        <v>1333</v>
      </c>
      <c r="C299" s="76" t="s">
        <v>169</v>
      </c>
      <c r="D299" s="76">
        <v>0</v>
      </c>
      <c r="E299" s="76">
        <v>0</v>
      </c>
      <c r="F299" s="76">
        <v>0</v>
      </c>
      <c r="G299" s="76">
        <v>1</v>
      </c>
      <c r="H299" s="76">
        <v>0</v>
      </c>
      <c r="I299" s="76">
        <v>0</v>
      </c>
      <c r="J299" s="76">
        <v>0</v>
      </c>
      <c r="K299" s="76">
        <v>1</v>
      </c>
      <c r="L299" s="76">
        <v>2</v>
      </c>
      <c r="M299" s="76">
        <v>0</v>
      </c>
      <c r="N299" s="76">
        <v>0</v>
      </c>
      <c r="O299" s="76">
        <v>0</v>
      </c>
      <c r="P299" s="76">
        <v>0</v>
      </c>
      <c r="Q299" s="76">
        <v>1</v>
      </c>
      <c r="R299" s="76">
        <v>0.4</v>
      </c>
      <c r="S299" s="76">
        <v>2</v>
      </c>
      <c r="T299" s="76">
        <v>1</v>
      </c>
      <c r="U299" s="77" t="s">
        <v>1333</v>
      </c>
      <c r="V299" s="76" t="s">
        <v>169</v>
      </c>
      <c r="W299" s="76">
        <v>0</v>
      </c>
      <c r="X299" s="76">
        <v>0</v>
      </c>
      <c r="Y299" s="76">
        <v>0</v>
      </c>
      <c r="Z299" s="76">
        <v>0</v>
      </c>
      <c r="AA299" s="76">
        <v>1</v>
      </c>
      <c r="AB299" s="76">
        <v>0</v>
      </c>
      <c r="AC299" s="76">
        <v>0</v>
      </c>
      <c r="AD299" s="76">
        <v>1</v>
      </c>
      <c r="AE299" s="76">
        <v>1</v>
      </c>
      <c r="AF299" s="76">
        <v>0</v>
      </c>
      <c r="AG299" s="76">
        <v>0</v>
      </c>
      <c r="AH299" s="76">
        <v>0</v>
      </c>
      <c r="AI299" s="76">
        <v>0</v>
      </c>
      <c r="AJ299" s="76">
        <v>0</v>
      </c>
      <c r="AK299" s="76">
        <v>5</v>
      </c>
      <c r="AL299" s="76">
        <v>17</v>
      </c>
      <c r="AM299" s="202"/>
      <c r="AN299" s="77"/>
      <c r="AO299" s="202"/>
      <c r="AP299" s="202"/>
      <c r="AQ299" s="202"/>
      <c r="AR299" s="202"/>
      <c r="AS299" s="202"/>
      <c r="AT299" s="202"/>
      <c r="AU299" s="202"/>
      <c r="AV299" s="202"/>
      <c r="AW299" s="202"/>
      <c r="AX299" s="202"/>
      <c r="AY299" s="202"/>
    </row>
    <row r="300" spans="1:51" ht="25.5" x14ac:dyDescent="0.2">
      <c r="A300" s="76">
        <v>1</v>
      </c>
      <c r="B300" s="77" t="s">
        <v>1473</v>
      </c>
      <c r="C300" s="76" t="s">
        <v>169</v>
      </c>
      <c r="D300" s="76">
        <v>0</v>
      </c>
      <c r="E300" s="76">
        <v>0</v>
      </c>
      <c r="F300" s="76">
        <v>0</v>
      </c>
      <c r="G300" s="76">
        <v>2</v>
      </c>
      <c r="H300" s="76">
        <v>0</v>
      </c>
      <c r="I300" s="76">
        <v>0</v>
      </c>
      <c r="J300" s="76">
        <v>0</v>
      </c>
      <c r="K300" s="76">
        <v>3.1</v>
      </c>
      <c r="L300" s="76">
        <v>5</v>
      </c>
      <c r="M300" s="76">
        <v>5</v>
      </c>
      <c r="N300" s="76">
        <v>0</v>
      </c>
      <c r="O300" s="76">
        <v>2</v>
      </c>
      <c r="P300" s="76">
        <v>2</v>
      </c>
      <c r="Q300" s="76">
        <v>1</v>
      </c>
      <c r="R300" s="76">
        <v>0.33300000000000002</v>
      </c>
      <c r="S300" s="76">
        <v>2.1</v>
      </c>
      <c r="T300" s="76">
        <v>1</v>
      </c>
      <c r="U300" s="77" t="s">
        <v>1473</v>
      </c>
      <c r="V300" s="76" t="s">
        <v>169</v>
      </c>
      <c r="W300" s="76">
        <v>0</v>
      </c>
      <c r="X300" s="76">
        <v>0</v>
      </c>
      <c r="Y300" s="76">
        <v>0</v>
      </c>
      <c r="Z300" s="76">
        <v>0</v>
      </c>
      <c r="AA300" s="76">
        <v>1</v>
      </c>
      <c r="AB300" s="76">
        <v>0</v>
      </c>
      <c r="AC300" s="76">
        <v>1</v>
      </c>
      <c r="AD300" s="76">
        <v>6</v>
      </c>
      <c r="AE300" s="76">
        <v>3</v>
      </c>
      <c r="AF300" s="76">
        <v>0</v>
      </c>
      <c r="AG300" s="76">
        <v>0</v>
      </c>
      <c r="AH300" s="76">
        <v>0</v>
      </c>
      <c r="AI300" s="76">
        <v>0</v>
      </c>
      <c r="AJ300" s="76">
        <v>0</v>
      </c>
      <c r="AK300" s="76">
        <v>17</v>
      </c>
      <c r="AL300" s="76">
        <v>58</v>
      </c>
      <c r="AM300" s="202"/>
      <c r="AN300" s="77"/>
      <c r="AO300" s="202"/>
      <c r="AP300" s="202"/>
      <c r="AQ300" s="202"/>
      <c r="AR300" s="202"/>
      <c r="AS300" s="202"/>
      <c r="AT300" s="202"/>
      <c r="AU300" s="202"/>
      <c r="AV300" s="202"/>
      <c r="AW300" s="202"/>
      <c r="AX300" s="202"/>
      <c r="AY300" s="202"/>
    </row>
    <row r="301" spans="1:51" ht="25.5" x14ac:dyDescent="0.2">
      <c r="A301" s="76">
        <v>4</v>
      </c>
      <c r="B301" s="77" t="s">
        <v>1377</v>
      </c>
      <c r="C301" s="76" t="s">
        <v>169</v>
      </c>
      <c r="D301" s="76">
        <v>1</v>
      </c>
      <c r="E301" s="76">
        <v>0</v>
      </c>
      <c r="F301" s="76">
        <v>0.75</v>
      </c>
      <c r="G301" s="76">
        <v>8</v>
      </c>
      <c r="H301" s="76">
        <v>0</v>
      </c>
      <c r="I301" s="76">
        <v>1</v>
      </c>
      <c r="J301" s="76">
        <v>1</v>
      </c>
      <c r="K301" s="76">
        <v>12</v>
      </c>
      <c r="L301" s="76">
        <v>7</v>
      </c>
      <c r="M301" s="76">
        <v>3</v>
      </c>
      <c r="N301" s="76">
        <v>1</v>
      </c>
      <c r="O301" s="76">
        <v>0</v>
      </c>
      <c r="P301" s="76">
        <v>2</v>
      </c>
      <c r="Q301" s="76">
        <v>10</v>
      </c>
      <c r="R301" s="76">
        <v>0.17499999999999999</v>
      </c>
      <c r="S301" s="76">
        <v>0.75</v>
      </c>
      <c r="T301" s="76">
        <v>4</v>
      </c>
      <c r="U301" s="77" t="s">
        <v>1377</v>
      </c>
      <c r="V301" s="76" t="s">
        <v>169</v>
      </c>
      <c r="W301" s="76">
        <v>0</v>
      </c>
      <c r="X301" s="76">
        <v>0</v>
      </c>
      <c r="Y301" s="76">
        <v>0</v>
      </c>
      <c r="Z301" s="76">
        <v>0</v>
      </c>
      <c r="AA301" s="76">
        <v>4</v>
      </c>
      <c r="AB301" s="76">
        <v>1</v>
      </c>
      <c r="AC301" s="76">
        <v>1</v>
      </c>
      <c r="AD301" s="76">
        <v>10</v>
      </c>
      <c r="AE301" s="76">
        <v>15</v>
      </c>
      <c r="AF301" s="76">
        <v>0</v>
      </c>
      <c r="AG301" s="76">
        <v>0</v>
      </c>
      <c r="AH301" s="76">
        <v>0</v>
      </c>
      <c r="AI301" s="76">
        <v>1</v>
      </c>
      <c r="AJ301" s="76">
        <v>0</v>
      </c>
      <c r="AK301" s="76">
        <v>44</v>
      </c>
      <c r="AL301" s="76">
        <v>174</v>
      </c>
      <c r="AM301" s="202"/>
      <c r="AN301" s="77"/>
      <c r="AO301" s="202"/>
      <c r="AP301" s="202"/>
      <c r="AQ301" s="202"/>
      <c r="AR301" s="202"/>
      <c r="AS301" s="202"/>
      <c r="AT301" s="202"/>
      <c r="AU301" s="202"/>
      <c r="AV301" s="202"/>
      <c r="AW301" s="202"/>
      <c r="AX301" s="202"/>
      <c r="AY301" s="202"/>
    </row>
    <row r="302" spans="1:51" ht="25.5" x14ac:dyDescent="0.2">
      <c r="A302" s="76">
        <v>5</v>
      </c>
      <c r="B302" s="77" t="s">
        <v>425</v>
      </c>
      <c r="C302" s="76" t="s">
        <v>169</v>
      </c>
      <c r="D302" s="76">
        <v>1</v>
      </c>
      <c r="E302" s="76">
        <v>1</v>
      </c>
      <c r="F302" s="76">
        <v>1.51</v>
      </c>
      <c r="G302" s="76">
        <v>45</v>
      </c>
      <c r="H302" s="76">
        <v>0</v>
      </c>
      <c r="I302" s="76">
        <v>30</v>
      </c>
      <c r="J302" s="76">
        <v>33</v>
      </c>
      <c r="K302" s="76">
        <v>41.2</v>
      </c>
      <c r="L302" s="76">
        <v>31</v>
      </c>
      <c r="M302" s="76">
        <v>10</v>
      </c>
      <c r="N302" s="76">
        <v>7</v>
      </c>
      <c r="O302" s="76">
        <v>2</v>
      </c>
      <c r="P302" s="76">
        <v>9</v>
      </c>
      <c r="Q302" s="76">
        <v>38</v>
      </c>
      <c r="R302" s="76">
        <v>0.20499999999999999</v>
      </c>
      <c r="S302" s="76">
        <v>0.96</v>
      </c>
      <c r="T302" s="76">
        <v>5</v>
      </c>
      <c r="U302" s="77" t="s">
        <v>425</v>
      </c>
      <c r="V302" s="76" t="s">
        <v>169</v>
      </c>
      <c r="W302" s="76">
        <v>0</v>
      </c>
      <c r="X302" s="76">
        <v>0</v>
      </c>
      <c r="Y302" s="76">
        <v>1</v>
      </c>
      <c r="Z302" s="76">
        <v>0</v>
      </c>
      <c r="AA302" s="76">
        <v>39</v>
      </c>
      <c r="AB302" s="76">
        <v>0</v>
      </c>
      <c r="AC302" s="76">
        <v>2</v>
      </c>
      <c r="AD302" s="76">
        <v>42</v>
      </c>
      <c r="AE302" s="76">
        <v>42</v>
      </c>
      <c r="AF302" s="76">
        <v>1</v>
      </c>
      <c r="AG302" s="76">
        <v>0</v>
      </c>
      <c r="AH302" s="76">
        <v>2</v>
      </c>
      <c r="AI302" s="76">
        <v>0</v>
      </c>
      <c r="AJ302" s="76">
        <v>0</v>
      </c>
      <c r="AK302" s="76">
        <v>163</v>
      </c>
      <c r="AL302" s="76">
        <v>605</v>
      </c>
      <c r="AM302" s="202"/>
      <c r="AN302" s="77"/>
      <c r="AO302" s="202"/>
      <c r="AP302" s="202"/>
      <c r="AQ302" s="202"/>
      <c r="AR302" s="202"/>
      <c r="AS302" s="202"/>
      <c r="AT302" s="202"/>
      <c r="AU302" s="202"/>
      <c r="AV302" s="202"/>
      <c r="AW302" s="202"/>
      <c r="AX302" s="202"/>
      <c r="AY302" s="202"/>
    </row>
    <row r="303" spans="1:51" ht="25.5" x14ac:dyDescent="0.2">
      <c r="A303" s="76">
        <v>6</v>
      </c>
      <c r="B303" s="77" t="s">
        <v>1474</v>
      </c>
      <c r="C303" s="76" t="s">
        <v>169</v>
      </c>
      <c r="D303" s="76">
        <v>0</v>
      </c>
      <c r="E303" s="76">
        <v>0</v>
      </c>
      <c r="F303" s="76">
        <v>2.7</v>
      </c>
      <c r="G303" s="76">
        <v>8</v>
      </c>
      <c r="H303" s="76">
        <v>0</v>
      </c>
      <c r="I303" s="76">
        <v>0</v>
      </c>
      <c r="J303" s="76">
        <v>0</v>
      </c>
      <c r="K303" s="76">
        <v>6.2</v>
      </c>
      <c r="L303" s="76">
        <v>8</v>
      </c>
      <c r="M303" s="76">
        <v>2</v>
      </c>
      <c r="N303" s="76">
        <v>2</v>
      </c>
      <c r="O303" s="76">
        <v>1</v>
      </c>
      <c r="P303" s="76">
        <v>1</v>
      </c>
      <c r="Q303" s="76">
        <v>6</v>
      </c>
      <c r="R303" s="76">
        <v>0.29599999999999999</v>
      </c>
      <c r="S303" s="76">
        <v>1.35</v>
      </c>
      <c r="T303" s="76">
        <v>6</v>
      </c>
      <c r="U303" s="77" t="s">
        <v>1474</v>
      </c>
      <c r="V303" s="76" t="s">
        <v>169</v>
      </c>
      <c r="W303" s="76">
        <v>0</v>
      </c>
      <c r="X303" s="76">
        <v>0</v>
      </c>
      <c r="Y303" s="76">
        <v>0</v>
      </c>
      <c r="Z303" s="76">
        <v>0</v>
      </c>
      <c r="AA303" s="76">
        <v>0</v>
      </c>
      <c r="AB303" s="76">
        <v>1</v>
      </c>
      <c r="AC303" s="76">
        <v>2</v>
      </c>
      <c r="AD303" s="76">
        <v>6</v>
      </c>
      <c r="AE303" s="76">
        <v>7</v>
      </c>
      <c r="AF303" s="76">
        <v>1</v>
      </c>
      <c r="AG303" s="76">
        <v>0</v>
      </c>
      <c r="AH303" s="76">
        <v>0</v>
      </c>
      <c r="AI303" s="76">
        <v>0</v>
      </c>
      <c r="AJ303" s="76">
        <v>0</v>
      </c>
      <c r="AK303" s="76">
        <v>28</v>
      </c>
      <c r="AL303" s="76">
        <v>113</v>
      </c>
      <c r="AM303" s="202"/>
      <c r="AN303" s="77"/>
      <c r="AO303" s="202"/>
      <c r="AP303" s="202"/>
      <c r="AQ303" s="202"/>
      <c r="AR303" s="202"/>
      <c r="AS303" s="202"/>
      <c r="AT303" s="202"/>
      <c r="AU303" s="202"/>
      <c r="AV303" s="202"/>
      <c r="AW303" s="202"/>
      <c r="AX303" s="202"/>
      <c r="AY303" s="202"/>
    </row>
    <row r="304" spans="1:51" ht="25.5" x14ac:dyDescent="0.2">
      <c r="A304" s="76">
        <v>7</v>
      </c>
      <c r="B304" s="77" t="s">
        <v>436</v>
      </c>
      <c r="C304" s="76" t="s">
        <v>169</v>
      </c>
      <c r="D304" s="76">
        <v>1</v>
      </c>
      <c r="E304" s="76">
        <v>1</v>
      </c>
      <c r="F304" s="76">
        <v>3.03</v>
      </c>
      <c r="G304" s="76">
        <v>67</v>
      </c>
      <c r="H304" s="76">
        <v>0</v>
      </c>
      <c r="I304" s="76">
        <v>1</v>
      </c>
      <c r="J304" s="76">
        <v>3</v>
      </c>
      <c r="K304" s="76">
        <v>59.1</v>
      </c>
      <c r="L304" s="76">
        <v>62</v>
      </c>
      <c r="M304" s="76">
        <v>24</v>
      </c>
      <c r="N304" s="76">
        <v>20</v>
      </c>
      <c r="O304" s="76">
        <v>6</v>
      </c>
      <c r="P304" s="76">
        <v>22</v>
      </c>
      <c r="Q304" s="76">
        <v>34</v>
      </c>
      <c r="R304" s="76">
        <v>0.27700000000000002</v>
      </c>
      <c r="S304" s="76">
        <v>1.42</v>
      </c>
      <c r="T304" s="76">
        <v>7</v>
      </c>
      <c r="U304" s="77" t="s">
        <v>436</v>
      </c>
      <c r="V304" s="76" t="s">
        <v>169</v>
      </c>
      <c r="W304" s="76">
        <v>0</v>
      </c>
      <c r="X304" s="76">
        <v>0</v>
      </c>
      <c r="Y304" s="76">
        <v>5</v>
      </c>
      <c r="Z304" s="76">
        <v>3</v>
      </c>
      <c r="AA304" s="76">
        <v>18</v>
      </c>
      <c r="AB304" s="76">
        <v>4</v>
      </c>
      <c r="AC304" s="76">
        <v>8</v>
      </c>
      <c r="AD304" s="76">
        <v>87</v>
      </c>
      <c r="AE304" s="76">
        <v>47</v>
      </c>
      <c r="AF304" s="76">
        <v>5</v>
      </c>
      <c r="AG304" s="76">
        <v>0</v>
      </c>
      <c r="AH304" s="76">
        <v>7</v>
      </c>
      <c r="AI304" s="76">
        <v>2</v>
      </c>
      <c r="AJ304" s="76">
        <v>0</v>
      </c>
      <c r="AK304" s="76">
        <v>257</v>
      </c>
      <c r="AL304" s="76">
        <v>908</v>
      </c>
      <c r="AM304" s="202"/>
      <c r="AN304" s="77"/>
      <c r="AO304" s="202"/>
      <c r="AP304" s="202"/>
      <c r="AQ304" s="202"/>
      <c r="AR304" s="202"/>
      <c r="AS304" s="202"/>
      <c r="AT304" s="202"/>
      <c r="AU304" s="202"/>
      <c r="AV304" s="202"/>
      <c r="AW304" s="202"/>
      <c r="AX304" s="202"/>
      <c r="AY304" s="202"/>
    </row>
    <row r="305" spans="1:51" ht="25.5" x14ac:dyDescent="0.2">
      <c r="A305" s="76">
        <v>8</v>
      </c>
      <c r="B305" s="77" t="s">
        <v>427</v>
      </c>
      <c r="C305" s="76" t="s">
        <v>169</v>
      </c>
      <c r="D305" s="76">
        <v>2</v>
      </c>
      <c r="E305" s="76">
        <v>5</v>
      </c>
      <c r="F305" s="76">
        <v>3.06</v>
      </c>
      <c r="G305" s="76">
        <v>70</v>
      </c>
      <c r="H305" s="76">
        <v>0</v>
      </c>
      <c r="I305" s="76">
        <v>15</v>
      </c>
      <c r="J305" s="76">
        <v>20</v>
      </c>
      <c r="K305" s="76">
        <v>67.2</v>
      </c>
      <c r="L305" s="76">
        <v>52</v>
      </c>
      <c r="M305" s="76">
        <v>26</v>
      </c>
      <c r="N305" s="76">
        <v>23</v>
      </c>
      <c r="O305" s="76">
        <v>10</v>
      </c>
      <c r="P305" s="76">
        <v>20</v>
      </c>
      <c r="Q305" s="76">
        <v>58</v>
      </c>
      <c r="R305" s="76">
        <v>0.215</v>
      </c>
      <c r="S305" s="76">
        <v>1.06</v>
      </c>
      <c r="T305" s="76">
        <v>8</v>
      </c>
      <c r="U305" s="77" t="s">
        <v>427</v>
      </c>
      <c r="V305" s="76" t="s">
        <v>169</v>
      </c>
      <c r="W305" s="76">
        <v>0</v>
      </c>
      <c r="X305" s="76">
        <v>0</v>
      </c>
      <c r="Y305" s="76">
        <v>3</v>
      </c>
      <c r="Z305" s="76">
        <v>1</v>
      </c>
      <c r="AA305" s="76">
        <v>27</v>
      </c>
      <c r="AB305" s="76">
        <v>23</v>
      </c>
      <c r="AC305" s="76">
        <v>9</v>
      </c>
      <c r="AD305" s="76">
        <v>70</v>
      </c>
      <c r="AE305" s="76">
        <v>69</v>
      </c>
      <c r="AF305" s="76">
        <v>0</v>
      </c>
      <c r="AG305" s="76">
        <v>0</v>
      </c>
      <c r="AH305" s="76">
        <v>5</v>
      </c>
      <c r="AI305" s="76">
        <v>0</v>
      </c>
      <c r="AJ305" s="76">
        <v>0</v>
      </c>
      <c r="AK305" s="76">
        <v>272</v>
      </c>
      <c r="AL305" s="76">
        <v>1045</v>
      </c>
      <c r="AM305" s="102"/>
      <c r="AN305" s="102"/>
      <c r="AO305" s="102"/>
      <c r="AP305" s="102"/>
      <c r="AQ305" s="102"/>
      <c r="AR305" s="102"/>
      <c r="AS305" s="102"/>
      <c r="AT305" s="102"/>
      <c r="AU305" s="102"/>
      <c r="AV305" s="102"/>
      <c r="AW305" s="102"/>
      <c r="AX305" s="102"/>
      <c r="AY305" s="102"/>
    </row>
    <row r="306" spans="1:51" ht="25.5" x14ac:dyDescent="0.2">
      <c r="A306" s="76">
        <v>9</v>
      </c>
      <c r="B306" s="77" t="s">
        <v>584</v>
      </c>
      <c r="C306" s="76" t="s">
        <v>169</v>
      </c>
      <c r="D306" s="76">
        <v>5</v>
      </c>
      <c r="E306" s="76">
        <v>2</v>
      </c>
      <c r="F306" s="76">
        <v>3.06</v>
      </c>
      <c r="G306" s="76">
        <v>11</v>
      </c>
      <c r="H306" s="76">
        <v>11</v>
      </c>
      <c r="I306" s="76">
        <v>0</v>
      </c>
      <c r="J306" s="76">
        <v>0</v>
      </c>
      <c r="K306" s="76">
        <v>64.2</v>
      </c>
      <c r="L306" s="76">
        <v>68</v>
      </c>
      <c r="M306" s="76">
        <v>27</v>
      </c>
      <c r="N306" s="76">
        <v>22</v>
      </c>
      <c r="O306" s="76">
        <v>4</v>
      </c>
      <c r="P306" s="76">
        <v>3</v>
      </c>
      <c r="Q306" s="76">
        <v>52</v>
      </c>
      <c r="R306" s="76">
        <v>0.27300000000000002</v>
      </c>
      <c r="S306" s="76">
        <v>1.1000000000000001</v>
      </c>
      <c r="T306" s="76">
        <v>9</v>
      </c>
      <c r="U306" s="77" t="s">
        <v>584</v>
      </c>
      <c r="V306" s="76" t="s">
        <v>169</v>
      </c>
      <c r="W306" s="76">
        <v>3</v>
      </c>
      <c r="X306" s="76">
        <v>0</v>
      </c>
      <c r="Y306" s="76">
        <v>3</v>
      </c>
      <c r="Z306" s="76">
        <v>0</v>
      </c>
      <c r="AA306" s="76">
        <v>0</v>
      </c>
      <c r="AB306" s="76">
        <v>0</v>
      </c>
      <c r="AC306" s="76">
        <v>8</v>
      </c>
      <c r="AD306" s="76">
        <v>89</v>
      </c>
      <c r="AE306" s="76">
        <v>48</v>
      </c>
      <c r="AF306" s="76">
        <v>3</v>
      </c>
      <c r="AG306" s="76">
        <v>0</v>
      </c>
      <c r="AH306" s="76">
        <v>2</v>
      </c>
      <c r="AI306" s="76">
        <v>0</v>
      </c>
      <c r="AJ306" s="76">
        <v>0</v>
      </c>
      <c r="AK306" s="76">
        <v>263</v>
      </c>
      <c r="AL306" s="76">
        <v>831</v>
      </c>
      <c r="AM306" s="202"/>
      <c r="AN306" s="77"/>
      <c r="AO306" s="202"/>
      <c r="AP306" s="202"/>
      <c r="AQ306" s="202"/>
      <c r="AR306" s="202"/>
      <c r="AS306" s="202"/>
      <c r="AT306" s="202"/>
      <c r="AU306" s="202"/>
      <c r="AV306" s="202"/>
      <c r="AW306" s="202"/>
      <c r="AX306" s="202"/>
      <c r="AY306" s="202"/>
    </row>
    <row r="307" spans="1:51" ht="25.5" x14ac:dyDescent="0.2">
      <c r="A307" s="76">
        <v>10</v>
      </c>
      <c r="B307" s="77" t="s">
        <v>1161</v>
      </c>
      <c r="C307" s="76" t="s">
        <v>169</v>
      </c>
      <c r="D307" s="76">
        <v>1</v>
      </c>
      <c r="E307" s="76">
        <v>3</v>
      </c>
      <c r="F307" s="76">
        <v>3.29</v>
      </c>
      <c r="G307" s="76">
        <v>28</v>
      </c>
      <c r="H307" s="76">
        <v>0</v>
      </c>
      <c r="I307" s="76">
        <v>0</v>
      </c>
      <c r="J307" s="76">
        <v>2</v>
      </c>
      <c r="K307" s="76">
        <v>27.1</v>
      </c>
      <c r="L307" s="76">
        <v>23</v>
      </c>
      <c r="M307" s="76">
        <v>13</v>
      </c>
      <c r="N307" s="76">
        <v>10</v>
      </c>
      <c r="O307" s="76">
        <v>3</v>
      </c>
      <c r="P307" s="76">
        <v>18</v>
      </c>
      <c r="Q307" s="76">
        <v>39</v>
      </c>
      <c r="R307" s="76">
        <v>0.221</v>
      </c>
      <c r="S307" s="76">
        <v>1.5</v>
      </c>
      <c r="T307" s="76">
        <v>10</v>
      </c>
      <c r="U307" s="77" t="s">
        <v>1161</v>
      </c>
      <c r="V307" s="76" t="s">
        <v>169</v>
      </c>
      <c r="W307" s="76">
        <v>0</v>
      </c>
      <c r="X307" s="76">
        <v>0</v>
      </c>
      <c r="Y307" s="76">
        <v>1</v>
      </c>
      <c r="Z307" s="76">
        <v>1</v>
      </c>
      <c r="AA307" s="76">
        <v>3</v>
      </c>
      <c r="AB307" s="76">
        <v>10</v>
      </c>
      <c r="AC307" s="76">
        <v>1</v>
      </c>
      <c r="AD307" s="76">
        <v>24</v>
      </c>
      <c r="AE307" s="76">
        <v>19</v>
      </c>
      <c r="AF307" s="76">
        <v>2</v>
      </c>
      <c r="AG307" s="76">
        <v>0</v>
      </c>
      <c r="AH307" s="76">
        <v>1</v>
      </c>
      <c r="AI307" s="76">
        <v>1</v>
      </c>
      <c r="AJ307" s="76">
        <v>0</v>
      </c>
      <c r="AK307" s="76">
        <v>124</v>
      </c>
      <c r="AL307" s="76">
        <v>498</v>
      </c>
      <c r="AM307" s="202"/>
      <c r="AN307" s="77"/>
      <c r="AO307" s="202"/>
      <c r="AP307" s="202"/>
      <c r="AQ307" s="202"/>
      <c r="AR307" s="202"/>
      <c r="AS307" s="202"/>
      <c r="AT307" s="202"/>
      <c r="AU307" s="202"/>
      <c r="AV307" s="202"/>
      <c r="AW307" s="202"/>
      <c r="AX307" s="202"/>
      <c r="AY307" s="202"/>
    </row>
    <row r="308" spans="1:51" ht="25.5" x14ac:dyDescent="0.2">
      <c r="A308" s="76">
        <v>11</v>
      </c>
      <c r="B308" s="77" t="s">
        <v>1475</v>
      </c>
      <c r="C308" s="76" t="s">
        <v>169</v>
      </c>
      <c r="D308" s="76">
        <v>5</v>
      </c>
      <c r="E308" s="76">
        <v>4</v>
      </c>
      <c r="F308" s="76">
        <v>3.38</v>
      </c>
      <c r="G308" s="76">
        <v>18</v>
      </c>
      <c r="H308" s="76">
        <v>18</v>
      </c>
      <c r="I308" s="76">
        <v>0</v>
      </c>
      <c r="J308" s="76">
        <v>0</v>
      </c>
      <c r="K308" s="76">
        <v>104</v>
      </c>
      <c r="L308" s="76">
        <v>99</v>
      </c>
      <c r="M308" s="76">
        <v>40</v>
      </c>
      <c r="N308" s="76">
        <v>39</v>
      </c>
      <c r="O308" s="76">
        <v>13</v>
      </c>
      <c r="P308" s="76">
        <v>17</v>
      </c>
      <c r="Q308" s="76">
        <v>85</v>
      </c>
      <c r="R308" s="76">
        <v>0.252</v>
      </c>
      <c r="S308" s="76">
        <v>1.1200000000000001</v>
      </c>
      <c r="T308" s="76">
        <v>11</v>
      </c>
      <c r="U308" s="77" t="s">
        <v>1475</v>
      </c>
      <c r="V308" s="76" t="s">
        <v>169</v>
      </c>
      <c r="W308" s="76">
        <v>0</v>
      </c>
      <c r="X308" s="76">
        <v>0</v>
      </c>
      <c r="Y308" s="76">
        <v>3</v>
      </c>
      <c r="Z308" s="76">
        <v>1</v>
      </c>
      <c r="AA308" s="76">
        <v>0</v>
      </c>
      <c r="AB308" s="76">
        <v>0</v>
      </c>
      <c r="AC308" s="76">
        <v>12</v>
      </c>
      <c r="AD308" s="76">
        <v>135</v>
      </c>
      <c r="AE308" s="76">
        <v>79</v>
      </c>
      <c r="AF308" s="76">
        <v>1</v>
      </c>
      <c r="AG308" s="76">
        <v>2</v>
      </c>
      <c r="AH308" s="76">
        <v>8</v>
      </c>
      <c r="AI308" s="76">
        <v>2</v>
      </c>
      <c r="AJ308" s="76">
        <v>2</v>
      </c>
      <c r="AK308" s="76">
        <v>418</v>
      </c>
      <c r="AL308" s="76">
        <v>1550</v>
      </c>
      <c r="AM308" s="202"/>
      <c r="AN308" s="77"/>
      <c r="AO308" s="202"/>
      <c r="AP308" s="202"/>
      <c r="AQ308" s="202"/>
      <c r="AR308" s="202"/>
      <c r="AS308" s="202"/>
      <c r="AT308" s="202"/>
      <c r="AU308" s="202"/>
      <c r="AV308" s="202"/>
      <c r="AW308" s="202"/>
      <c r="AX308" s="202"/>
      <c r="AY308" s="202"/>
    </row>
    <row r="309" spans="1:51" ht="25.5" x14ac:dyDescent="0.2">
      <c r="A309" s="76">
        <v>12</v>
      </c>
      <c r="B309" s="77" t="s">
        <v>389</v>
      </c>
      <c r="C309" s="76" t="s">
        <v>169</v>
      </c>
      <c r="D309" s="76">
        <v>1</v>
      </c>
      <c r="E309" s="76">
        <v>2</v>
      </c>
      <c r="F309" s="76">
        <v>3.51</v>
      </c>
      <c r="G309" s="76">
        <v>39</v>
      </c>
      <c r="H309" s="76">
        <v>0</v>
      </c>
      <c r="I309" s="76">
        <v>1</v>
      </c>
      <c r="J309" s="76">
        <v>2</v>
      </c>
      <c r="K309" s="76">
        <v>41</v>
      </c>
      <c r="L309" s="76">
        <v>46</v>
      </c>
      <c r="M309" s="76">
        <v>17</v>
      </c>
      <c r="N309" s="76">
        <v>16</v>
      </c>
      <c r="O309" s="76">
        <v>4</v>
      </c>
      <c r="P309" s="76">
        <v>22</v>
      </c>
      <c r="Q309" s="76">
        <v>32</v>
      </c>
      <c r="R309" s="76">
        <v>0.28899999999999998</v>
      </c>
      <c r="S309" s="76">
        <v>1.66</v>
      </c>
      <c r="T309" s="76">
        <v>12</v>
      </c>
      <c r="U309" s="77" t="s">
        <v>389</v>
      </c>
      <c r="V309" s="76" t="s">
        <v>169</v>
      </c>
      <c r="W309" s="76">
        <v>0</v>
      </c>
      <c r="X309" s="76">
        <v>0</v>
      </c>
      <c r="Y309" s="76">
        <v>4</v>
      </c>
      <c r="Z309" s="76">
        <v>0</v>
      </c>
      <c r="AA309" s="76">
        <v>9</v>
      </c>
      <c r="AB309" s="76">
        <v>2</v>
      </c>
      <c r="AC309" s="76">
        <v>5</v>
      </c>
      <c r="AD309" s="76">
        <v>46</v>
      </c>
      <c r="AE309" s="76">
        <v>37</v>
      </c>
      <c r="AF309" s="76">
        <v>1</v>
      </c>
      <c r="AG309" s="76">
        <v>0</v>
      </c>
      <c r="AH309" s="76">
        <v>2</v>
      </c>
      <c r="AI309" s="76">
        <v>2</v>
      </c>
      <c r="AJ309" s="76">
        <v>0</v>
      </c>
      <c r="AK309" s="76">
        <v>187</v>
      </c>
      <c r="AL309" s="76">
        <v>734</v>
      </c>
      <c r="AM309" s="202"/>
      <c r="AN309" s="77"/>
      <c r="AO309" s="202"/>
      <c r="AP309" s="202"/>
      <c r="AQ309" s="202"/>
      <c r="AR309" s="202"/>
      <c r="AS309" s="202"/>
      <c r="AT309" s="202"/>
      <c r="AU309" s="202"/>
      <c r="AV309" s="202"/>
      <c r="AW309" s="202"/>
      <c r="AX309" s="202"/>
      <c r="AY309" s="202"/>
    </row>
    <row r="310" spans="1:51" ht="25.5" x14ac:dyDescent="0.2">
      <c r="A310" s="76">
        <v>13</v>
      </c>
      <c r="B310" s="77" t="s">
        <v>636</v>
      </c>
      <c r="C310" s="76" t="s">
        <v>169</v>
      </c>
      <c r="D310" s="76">
        <v>4</v>
      </c>
      <c r="E310" s="76">
        <v>2</v>
      </c>
      <c r="F310" s="76">
        <v>3.52</v>
      </c>
      <c r="G310" s="76">
        <v>62</v>
      </c>
      <c r="H310" s="76">
        <v>0</v>
      </c>
      <c r="I310" s="76">
        <v>2</v>
      </c>
      <c r="J310" s="76">
        <v>4</v>
      </c>
      <c r="K310" s="76">
        <v>53.2</v>
      </c>
      <c r="L310" s="76">
        <v>40</v>
      </c>
      <c r="M310" s="76">
        <v>21</v>
      </c>
      <c r="N310" s="76">
        <v>21</v>
      </c>
      <c r="O310" s="76">
        <v>10</v>
      </c>
      <c r="P310" s="76">
        <v>21</v>
      </c>
      <c r="Q310" s="76">
        <v>61</v>
      </c>
      <c r="R310" s="76">
        <v>0.20699999999999999</v>
      </c>
      <c r="S310" s="76">
        <v>1.1399999999999999</v>
      </c>
      <c r="T310" s="76">
        <v>13</v>
      </c>
      <c r="U310" s="77" t="s">
        <v>636</v>
      </c>
      <c r="V310" s="76" t="s">
        <v>169</v>
      </c>
      <c r="W310" s="76">
        <v>0</v>
      </c>
      <c r="X310" s="76">
        <v>0</v>
      </c>
      <c r="Y310" s="76">
        <v>1</v>
      </c>
      <c r="Z310" s="76">
        <v>1</v>
      </c>
      <c r="AA310" s="76">
        <v>6</v>
      </c>
      <c r="AB310" s="76">
        <v>29</v>
      </c>
      <c r="AC310" s="76">
        <v>5</v>
      </c>
      <c r="AD310" s="76">
        <v>41</v>
      </c>
      <c r="AE310" s="76">
        <v>54</v>
      </c>
      <c r="AF310" s="76">
        <v>3</v>
      </c>
      <c r="AG310" s="76">
        <v>0</v>
      </c>
      <c r="AH310" s="76">
        <v>3</v>
      </c>
      <c r="AI310" s="76">
        <v>1</v>
      </c>
      <c r="AJ310" s="76">
        <v>0</v>
      </c>
      <c r="AK310" s="76">
        <v>218</v>
      </c>
      <c r="AL310" s="76">
        <v>940</v>
      </c>
      <c r="AM310" s="202"/>
      <c r="AN310" s="77"/>
      <c r="AO310" s="202"/>
      <c r="AP310" s="202"/>
      <c r="AQ310" s="202"/>
      <c r="AR310" s="202"/>
      <c r="AS310" s="202"/>
      <c r="AT310" s="202"/>
      <c r="AU310" s="202"/>
      <c r="AV310" s="202"/>
      <c r="AW310" s="202"/>
      <c r="AX310" s="202"/>
      <c r="AY310" s="202"/>
    </row>
    <row r="311" spans="1:51" ht="25.5" x14ac:dyDescent="0.2">
      <c r="A311" s="76">
        <v>14</v>
      </c>
      <c r="B311" s="77" t="s">
        <v>1089</v>
      </c>
      <c r="C311" s="76" t="s">
        <v>169</v>
      </c>
      <c r="D311" s="76">
        <v>2</v>
      </c>
      <c r="E311" s="76">
        <v>2</v>
      </c>
      <c r="F311" s="76">
        <v>3.63</v>
      </c>
      <c r="G311" s="76">
        <v>36</v>
      </c>
      <c r="H311" s="76">
        <v>0</v>
      </c>
      <c r="I311" s="76">
        <v>1</v>
      </c>
      <c r="J311" s="76">
        <v>2</v>
      </c>
      <c r="K311" s="76">
        <v>52</v>
      </c>
      <c r="L311" s="76">
        <v>41</v>
      </c>
      <c r="M311" s="76">
        <v>22</v>
      </c>
      <c r="N311" s="76">
        <v>21</v>
      </c>
      <c r="O311" s="76">
        <v>4</v>
      </c>
      <c r="P311" s="76">
        <v>13</v>
      </c>
      <c r="Q311" s="76">
        <v>46</v>
      </c>
      <c r="R311" s="76">
        <v>0.216</v>
      </c>
      <c r="S311" s="76">
        <v>1.04</v>
      </c>
      <c r="T311" s="76">
        <v>14</v>
      </c>
      <c r="U311" s="77" t="s">
        <v>1089</v>
      </c>
      <c r="V311" s="76" t="s">
        <v>169</v>
      </c>
      <c r="W311" s="76">
        <v>0</v>
      </c>
      <c r="X311" s="76">
        <v>0</v>
      </c>
      <c r="Y311" s="76">
        <v>1</v>
      </c>
      <c r="Z311" s="76">
        <v>0</v>
      </c>
      <c r="AA311" s="76">
        <v>11</v>
      </c>
      <c r="AB311" s="76">
        <v>3</v>
      </c>
      <c r="AC311" s="76">
        <v>5</v>
      </c>
      <c r="AD311" s="76">
        <v>48</v>
      </c>
      <c r="AE311" s="76">
        <v>55</v>
      </c>
      <c r="AF311" s="76">
        <v>2</v>
      </c>
      <c r="AG311" s="76">
        <v>0</v>
      </c>
      <c r="AH311" s="76">
        <v>2</v>
      </c>
      <c r="AI311" s="76">
        <v>1</v>
      </c>
      <c r="AJ311" s="76">
        <v>0</v>
      </c>
      <c r="AK311" s="76">
        <v>204</v>
      </c>
      <c r="AL311" s="76">
        <v>817</v>
      </c>
      <c r="AM311" s="202"/>
      <c r="AN311" s="77"/>
      <c r="AO311" s="202"/>
      <c r="AP311" s="202"/>
      <c r="AQ311" s="202"/>
      <c r="AR311" s="202"/>
      <c r="AS311" s="202"/>
      <c r="AT311" s="202"/>
      <c r="AU311" s="202"/>
      <c r="AV311" s="202"/>
      <c r="AW311" s="202"/>
      <c r="AX311" s="202"/>
      <c r="AY311" s="202"/>
    </row>
    <row r="312" spans="1:51" ht="25.5" x14ac:dyDescent="0.2">
      <c r="A312" s="76">
        <v>15</v>
      </c>
      <c r="B312" s="77" t="s">
        <v>431</v>
      </c>
      <c r="C312" s="76" t="s">
        <v>169</v>
      </c>
      <c r="D312" s="76">
        <v>7</v>
      </c>
      <c r="E312" s="76">
        <v>10</v>
      </c>
      <c r="F312" s="76">
        <v>3.88</v>
      </c>
      <c r="G312" s="76">
        <v>21</v>
      </c>
      <c r="H312" s="76">
        <v>21</v>
      </c>
      <c r="I312" s="76">
        <v>0</v>
      </c>
      <c r="J312" s="76">
        <v>0</v>
      </c>
      <c r="K312" s="76">
        <v>116</v>
      </c>
      <c r="L312" s="76">
        <v>131</v>
      </c>
      <c r="M312" s="76">
        <v>57</v>
      </c>
      <c r="N312" s="76">
        <v>50</v>
      </c>
      <c r="O312" s="76">
        <v>7</v>
      </c>
      <c r="P312" s="76">
        <v>36</v>
      </c>
      <c r="Q312" s="76">
        <v>98</v>
      </c>
      <c r="R312" s="76">
        <v>0.28899999999999998</v>
      </c>
      <c r="S312" s="76">
        <v>1.44</v>
      </c>
      <c r="T312" s="76">
        <v>15</v>
      </c>
      <c r="U312" s="77" t="s">
        <v>431</v>
      </c>
      <c r="V312" s="76" t="s">
        <v>169</v>
      </c>
      <c r="W312" s="76">
        <v>1</v>
      </c>
      <c r="X312" s="76">
        <v>0</v>
      </c>
      <c r="Y312" s="76">
        <v>6</v>
      </c>
      <c r="Z312" s="76">
        <v>3</v>
      </c>
      <c r="AA312" s="76">
        <v>0</v>
      </c>
      <c r="AB312" s="76">
        <v>0</v>
      </c>
      <c r="AC312" s="76">
        <v>9</v>
      </c>
      <c r="AD312" s="76">
        <v>130</v>
      </c>
      <c r="AE312" s="76">
        <v>105</v>
      </c>
      <c r="AF312" s="76">
        <v>5</v>
      </c>
      <c r="AG312" s="76">
        <v>1</v>
      </c>
      <c r="AH312" s="76">
        <v>18</v>
      </c>
      <c r="AI312" s="76">
        <v>2</v>
      </c>
      <c r="AJ312" s="76">
        <v>0</v>
      </c>
      <c r="AK312" s="76">
        <v>506</v>
      </c>
      <c r="AL312" s="76">
        <v>1938</v>
      </c>
      <c r="AM312" s="202"/>
      <c r="AN312" s="77"/>
      <c r="AO312" s="202"/>
      <c r="AP312" s="202"/>
      <c r="AQ312" s="202"/>
      <c r="AR312" s="202"/>
      <c r="AS312" s="202"/>
      <c r="AT312" s="202"/>
      <c r="AU312" s="202"/>
      <c r="AV312" s="202"/>
      <c r="AW312" s="202"/>
      <c r="AX312" s="202"/>
      <c r="AY312" s="202"/>
    </row>
    <row r="313" spans="1:51" ht="25.5" x14ac:dyDescent="0.2">
      <c r="A313" s="76">
        <v>16</v>
      </c>
      <c r="B313" s="77" t="s">
        <v>797</v>
      </c>
      <c r="C313" s="76" t="s">
        <v>169</v>
      </c>
      <c r="D313" s="76">
        <v>2</v>
      </c>
      <c r="E313" s="76">
        <v>0</v>
      </c>
      <c r="F313" s="76">
        <v>3.96</v>
      </c>
      <c r="G313" s="76">
        <v>14</v>
      </c>
      <c r="H313" s="76">
        <v>0</v>
      </c>
      <c r="I313" s="76">
        <v>0</v>
      </c>
      <c r="J313" s="76">
        <v>0</v>
      </c>
      <c r="K313" s="76">
        <v>25</v>
      </c>
      <c r="L313" s="76">
        <v>25</v>
      </c>
      <c r="M313" s="76">
        <v>11</v>
      </c>
      <c r="N313" s="76">
        <v>11</v>
      </c>
      <c r="O313" s="76">
        <v>2</v>
      </c>
      <c r="P313" s="76">
        <v>12</v>
      </c>
      <c r="Q313" s="76">
        <v>15</v>
      </c>
      <c r="R313" s="76">
        <v>0.26300000000000001</v>
      </c>
      <c r="S313" s="76">
        <v>1.48</v>
      </c>
      <c r="T313" s="76">
        <v>16</v>
      </c>
      <c r="U313" s="77" t="s">
        <v>797</v>
      </c>
      <c r="V313" s="76" t="s">
        <v>169</v>
      </c>
      <c r="W313" s="76">
        <v>0</v>
      </c>
      <c r="X313" s="76">
        <v>0</v>
      </c>
      <c r="Y313" s="76">
        <v>2</v>
      </c>
      <c r="Z313" s="76">
        <v>1</v>
      </c>
      <c r="AA313" s="76">
        <v>3</v>
      </c>
      <c r="AB313" s="76">
        <v>0</v>
      </c>
      <c r="AC313" s="76">
        <v>4</v>
      </c>
      <c r="AD313" s="76">
        <v>36</v>
      </c>
      <c r="AE313" s="76">
        <v>20</v>
      </c>
      <c r="AF313" s="76">
        <v>2</v>
      </c>
      <c r="AG313" s="76">
        <v>0</v>
      </c>
      <c r="AH313" s="76">
        <v>0</v>
      </c>
      <c r="AI313" s="76">
        <v>0</v>
      </c>
      <c r="AJ313" s="76">
        <v>0</v>
      </c>
      <c r="AK313" s="76">
        <v>110</v>
      </c>
      <c r="AL313" s="76">
        <v>412</v>
      </c>
      <c r="AM313" s="202"/>
      <c r="AN313" s="77"/>
      <c r="AO313" s="202"/>
      <c r="AP313" s="202"/>
      <c r="AQ313" s="202"/>
      <c r="AR313" s="202"/>
      <c r="AS313" s="202"/>
      <c r="AT313" s="202"/>
      <c r="AU313" s="202"/>
      <c r="AV313" s="202"/>
      <c r="AW313" s="202"/>
      <c r="AX313" s="202"/>
      <c r="AY313" s="202"/>
    </row>
    <row r="314" spans="1:51" ht="25.5" x14ac:dyDescent="0.2">
      <c r="A314" s="76">
        <v>17</v>
      </c>
      <c r="B314" s="77" t="s">
        <v>418</v>
      </c>
      <c r="C314" s="76" t="s">
        <v>169</v>
      </c>
      <c r="D314" s="76">
        <v>3</v>
      </c>
      <c r="E314" s="76">
        <v>0</v>
      </c>
      <c r="F314" s="76">
        <v>4.13</v>
      </c>
      <c r="G314" s="76">
        <v>28</v>
      </c>
      <c r="H314" s="76">
        <v>0</v>
      </c>
      <c r="I314" s="76">
        <v>0</v>
      </c>
      <c r="J314" s="76">
        <v>1</v>
      </c>
      <c r="K314" s="76">
        <v>24</v>
      </c>
      <c r="L314" s="76">
        <v>19</v>
      </c>
      <c r="M314" s="76">
        <v>13</v>
      </c>
      <c r="N314" s="76">
        <v>11</v>
      </c>
      <c r="O314" s="76">
        <v>3</v>
      </c>
      <c r="P314" s="76">
        <v>11</v>
      </c>
      <c r="Q314" s="76">
        <v>28</v>
      </c>
      <c r="R314" s="76">
        <v>0.216</v>
      </c>
      <c r="S314" s="76">
        <v>1.25</v>
      </c>
      <c r="T314" s="76">
        <v>17</v>
      </c>
      <c r="U314" s="77" t="s">
        <v>418</v>
      </c>
      <c r="V314" s="76" t="s">
        <v>169</v>
      </c>
      <c r="W314" s="76">
        <v>0</v>
      </c>
      <c r="X314" s="76">
        <v>0</v>
      </c>
      <c r="Y314" s="76">
        <v>1</v>
      </c>
      <c r="Z314" s="76">
        <v>1</v>
      </c>
      <c r="AA314" s="76">
        <v>0</v>
      </c>
      <c r="AB314" s="76">
        <v>8</v>
      </c>
      <c r="AC314" s="76">
        <v>0</v>
      </c>
      <c r="AD314" s="76">
        <v>9</v>
      </c>
      <c r="AE314" s="76">
        <v>34</v>
      </c>
      <c r="AF314" s="76">
        <v>5</v>
      </c>
      <c r="AG314" s="76">
        <v>2</v>
      </c>
      <c r="AH314" s="76">
        <v>4</v>
      </c>
      <c r="AI314" s="76">
        <v>0</v>
      </c>
      <c r="AJ314" s="76">
        <v>0</v>
      </c>
      <c r="AK314" s="76">
        <v>102</v>
      </c>
      <c r="AL314" s="76">
        <v>419</v>
      </c>
      <c r="AM314" s="202"/>
      <c r="AN314" s="77"/>
      <c r="AO314" s="202"/>
      <c r="AP314" s="202"/>
      <c r="AQ314" s="202"/>
      <c r="AR314" s="202"/>
      <c r="AS314" s="202"/>
      <c r="AT314" s="202"/>
      <c r="AU314" s="202"/>
      <c r="AV314" s="202"/>
      <c r="AW314" s="202"/>
      <c r="AX314" s="202"/>
      <c r="AY314" s="202"/>
    </row>
    <row r="315" spans="1:51" ht="25.5" x14ac:dyDescent="0.2">
      <c r="A315" s="76">
        <v>18</v>
      </c>
      <c r="B315" s="77" t="s">
        <v>1476</v>
      </c>
      <c r="C315" s="76" t="s">
        <v>169</v>
      </c>
      <c r="D315" s="76">
        <v>5</v>
      </c>
      <c r="E315" s="76">
        <v>4</v>
      </c>
      <c r="F315" s="76">
        <v>4.2</v>
      </c>
      <c r="G315" s="76">
        <v>14</v>
      </c>
      <c r="H315" s="76">
        <v>14</v>
      </c>
      <c r="I315" s="76">
        <v>0</v>
      </c>
      <c r="J315" s="76">
        <v>0</v>
      </c>
      <c r="K315" s="76">
        <v>70.2</v>
      </c>
      <c r="L315" s="76">
        <v>73</v>
      </c>
      <c r="M315" s="76">
        <v>34</v>
      </c>
      <c r="N315" s="76">
        <v>33</v>
      </c>
      <c r="O315" s="76">
        <v>7</v>
      </c>
      <c r="P315" s="76">
        <v>20</v>
      </c>
      <c r="Q315" s="76">
        <v>53</v>
      </c>
      <c r="R315" s="76">
        <v>0.26700000000000002</v>
      </c>
      <c r="S315" s="76">
        <v>1.32</v>
      </c>
      <c r="T315" s="76">
        <v>18</v>
      </c>
      <c r="U315" s="77" t="s">
        <v>1476</v>
      </c>
      <c r="V315" s="76" t="s">
        <v>169</v>
      </c>
      <c r="W315" s="76">
        <v>0</v>
      </c>
      <c r="X315" s="76">
        <v>0</v>
      </c>
      <c r="Y315" s="76">
        <v>4</v>
      </c>
      <c r="Z315" s="76">
        <v>0</v>
      </c>
      <c r="AA315" s="76">
        <v>0</v>
      </c>
      <c r="AB315" s="76">
        <v>0</v>
      </c>
      <c r="AC315" s="76">
        <v>5</v>
      </c>
      <c r="AD315" s="76">
        <v>79</v>
      </c>
      <c r="AE315" s="76">
        <v>72</v>
      </c>
      <c r="AF315" s="76">
        <v>2</v>
      </c>
      <c r="AG315" s="76">
        <v>0</v>
      </c>
      <c r="AH315" s="76">
        <v>4</v>
      </c>
      <c r="AI315" s="76">
        <v>2</v>
      </c>
      <c r="AJ315" s="76">
        <v>0</v>
      </c>
      <c r="AK315" s="76">
        <v>301</v>
      </c>
      <c r="AL315" s="76">
        <v>1141</v>
      </c>
      <c r="AM315" s="202"/>
      <c r="AN315" s="77"/>
      <c r="AO315" s="202"/>
      <c r="AP315" s="202"/>
      <c r="AQ315" s="202"/>
      <c r="AR315" s="202"/>
      <c r="AS315" s="202"/>
      <c r="AT315" s="202"/>
      <c r="AU315" s="202"/>
      <c r="AV315" s="202"/>
      <c r="AW315" s="202"/>
      <c r="AX315" s="202"/>
      <c r="AY315" s="202"/>
    </row>
    <row r="316" spans="1:51" ht="25.5" x14ac:dyDescent="0.2">
      <c r="A316" s="76">
        <v>19</v>
      </c>
      <c r="B316" s="77" t="s">
        <v>1477</v>
      </c>
      <c r="C316" s="76" t="s">
        <v>169</v>
      </c>
      <c r="D316" s="76">
        <v>0</v>
      </c>
      <c r="E316" s="76">
        <v>2</v>
      </c>
      <c r="F316" s="76">
        <v>4.24</v>
      </c>
      <c r="G316" s="76">
        <v>7</v>
      </c>
      <c r="H316" s="76">
        <v>4</v>
      </c>
      <c r="I316" s="76">
        <v>0</v>
      </c>
      <c r="J316" s="76">
        <v>0</v>
      </c>
      <c r="K316" s="76">
        <v>23.1</v>
      </c>
      <c r="L316" s="76">
        <v>22</v>
      </c>
      <c r="M316" s="76">
        <v>13</v>
      </c>
      <c r="N316" s="76">
        <v>11</v>
      </c>
      <c r="O316" s="76">
        <v>2</v>
      </c>
      <c r="P316" s="76">
        <v>13</v>
      </c>
      <c r="Q316" s="76">
        <v>24</v>
      </c>
      <c r="R316" s="76">
        <v>0.25</v>
      </c>
      <c r="S316" s="76">
        <v>1.5</v>
      </c>
      <c r="T316" s="76">
        <v>19</v>
      </c>
      <c r="U316" s="77" t="s">
        <v>1477</v>
      </c>
      <c r="V316" s="76" t="s">
        <v>169</v>
      </c>
      <c r="W316" s="76">
        <v>0</v>
      </c>
      <c r="X316" s="76">
        <v>0</v>
      </c>
      <c r="Y316" s="76">
        <v>3</v>
      </c>
      <c r="Z316" s="76">
        <v>0</v>
      </c>
      <c r="AA316" s="76">
        <v>0</v>
      </c>
      <c r="AB316" s="76">
        <v>0</v>
      </c>
      <c r="AC316" s="76">
        <v>5</v>
      </c>
      <c r="AD316" s="76">
        <v>26</v>
      </c>
      <c r="AE316" s="76">
        <v>17</v>
      </c>
      <c r="AF316" s="76">
        <v>2</v>
      </c>
      <c r="AG316" s="76">
        <v>1</v>
      </c>
      <c r="AH316" s="76">
        <v>9</v>
      </c>
      <c r="AI316" s="76">
        <v>0</v>
      </c>
      <c r="AJ316" s="76">
        <v>0</v>
      </c>
      <c r="AK316" s="76">
        <v>105</v>
      </c>
      <c r="AL316" s="76">
        <v>439</v>
      </c>
      <c r="AM316" s="202"/>
      <c r="AN316" s="77"/>
      <c r="AO316" s="202"/>
      <c r="AP316" s="202"/>
      <c r="AQ316" s="202"/>
      <c r="AR316" s="202"/>
      <c r="AS316" s="202"/>
      <c r="AT316" s="202"/>
      <c r="AU316" s="202"/>
      <c r="AV316" s="202"/>
      <c r="AW316" s="202"/>
      <c r="AX316" s="202"/>
      <c r="AY316" s="202"/>
    </row>
    <row r="317" spans="1:51" ht="25.5" x14ac:dyDescent="0.2">
      <c r="A317" s="76">
        <v>20</v>
      </c>
      <c r="B317" s="77" t="s">
        <v>369</v>
      </c>
      <c r="C317" s="76" t="s">
        <v>169</v>
      </c>
      <c r="D317" s="76">
        <v>0</v>
      </c>
      <c r="E317" s="76">
        <v>0</v>
      </c>
      <c r="F317" s="76">
        <v>4.41</v>
      </c>
      <c r="G317" s="76">
        <v>15</v>
      </c>
      <c r="H317" s="76">
        <v>0</v>
      </c>
      <c r="I317" s="76">
        <v>0</v>
      </c>
      <c r="J317" s="76">
        <v>0</v>
      </c>
      <c r="K317" s="76">
        <v>16.100000000000001</v>
      </c>
      <c r="L317" s="76">
        <v>18</v>
      </c>
      <c r="M317" s="76">
        <v>9</v>
      </c>
      <c r="N317" s="76">
        <v>8</v>
      </c>
      <c r="O317" s="76">
        <v>1</v>
      </c>
      <c r="P317" s="76">
        <v>6</v>
      </c>
      <c r="Q317" s="76">
        <v>13</v>
      </c>
      <c r="R317" s="76">
        <v>0.28999999999999998</v>
      </c>
      <c r="S317" s="76">
        <v>1.47</v>
      </c>
      <c r="T317" s="76">
        <v>20</v>
      </c>
      <c r="U317" s="77" t="s">
        <v>369</v>
      </c>
      <c r="V317" s="76" t="s">
        <v>169</v>
      </c>
      <c r="W317" s="76">
        <v>0</v>
      </c>
      <c r="X317" s="76">
        <v>0</v>
      </c>
      <c r="Y317" s="76">
        <v>2</v>
      </c>
      <c r="Z317" s="76">
        <v>0</v>
      </c>
      <c r="AA317" s="76">
        <v>5</v>
      </c>
      <c r="AB317" s="76">
        <v>1</v>
      </c>
      <c r="AC317" s="76">
        <v>2</v>
      </c>
      <c r="AD317" s="76">
        <v>23</v>
      </c>
      <c r="AE317" s="76">
        <v>9</v>
      </c>
      <c r="AF317" s="76">
        <v>1</v>
      </c>
      <c r="AG317" s="76">
        <v>0</v>
      </c>
      <c r="AH317" s="76">
        <v>2</v>
      </c>
      <c r="AI317" s="76">
        <v>0</v>
      </c>
      <c r="AJ317" s="76">
        <v>1</v>
      </c>
      <c r="AK317" s="76">
        <v>71</v>
      </c>
      <c r="AL317" s="76">
        <v>258</v>
      </c>
      <c r="AM317" s="202"/>
      <c r="AN317" s="77"/>
      <c r="AO317" s="202"/>
      <c r="AP317" s="202"/>
      <c r="AQ317" s="202"/>
      <c r="AR317" s="202"/>
      <c r="AS317" s="202"/>
      <c r="AT317" s="202"/>
      <c r="AU317" s="202"/>
      <c r="AV317" s="202"/>
      <c r="AW317" s="202"/>
      <c r="AX317" s="202"/>
      <c r="AY317" s="202"/>
    </row>
    <row r="318" spans="1:51" ht="25.5" x14ac:dyDescent="0.2">
      <c r="A318" s="76">
        <v>21</v>
      </c>
      <c r="B318" s="77" t="s">
        <v>370</v>
      </c>
      <c r="C318" s="76" t="s">
        <v>169</v>
      </c>
      <c r="D318" s="76">
        <v>10</v>
      </c>
      <c r="E318" s="76">
        <v>7</v>
      </c>
      <c r="F318" s="76">
        <v>4.5</v>
      </c>
      <c r="G318" s="76">
        <v>52</v>
      </c>
      <c r="H318" s="76">
        <v>12</v>
      </c>
      <c r="I318" s="76">
        <v>0</v>
      </c>
      <c r="J318" s="76">
        <v>2</v>
      </c>
      <c r="K318" s="76">
        <v>118</v>
      </c>
      <c r="L318" s="76">
        <v>117</v>
      </c>
      <c r="M318" s="76">
        <v>64</v>
      </c>
      <c r="N318" s="76">
        <v>59</v>
      </c>
      <c r="O318" s="76">
        <v>15</v>
      </c>
      <c r="P318" s="76">
        <v>45</v>
      </c>
      <c r="Q318" s="76">
        <v>138</v>
      </c>
      <c r="R318" s="76">
        <v>0.26100000000000001</v>
      </c>
      <c r="S318" s="76">
        <v>1.37</v>
      </c>
      <c r="T318" s="76">
        <v>21</v>
      </c>
      <c r="U318" s="77" t="s">
        <v>370</v>
      </c>
      <c r="V318" s="76" t="s">
        <v>169</v>
      </c>
      <c r="W318" s="76">
        <v>0</v>
      </c>
      <c r="X318" s="76">
        <v>0</v>
      </c>
      <c r="Y318" s="76">
        <v>7</v>
      </c>
      <c r="Z318" s="76">
        <v>3</v>
      </c>
      <c r="AA318" s="76">
        <v>9</v>
      </c>
      <c r="AB318" s="76">
        <v>6</v>
      </c>
      <c r="AC318" s="76">
        <v>8</v>
      </c>
      <c r="AD318" s="76">
        <v>108</v>
      </c>
      <c r="AE318" s="76">
        <v>98</v>
      </c>
      <c r="AF318" s="76">
        <v>3</v>
      </c>
      <c r="AG318" s="76">
        <v>0</v>
      </c>
      <c r="AH318" s="76">
        <v>4</v>
      </c>
      <c r="AI318" s="76">
        <v>4</v>
      </c>
      <c r="AJ318" s="76">
        <v>1</v>
      </c>
      <c r="AK318" s="76">
        <v>513</v>
      </c>
      <c r="AL318" s="76">
        <v>2165</v>
      </c>
      <c r="AM318" s="202"/>
      <c r="AN318" s="77"/>
      <c r="AO318" s="202"/>
      <c r="AP318" s="202"/>
      <c r="AQ318" s="202"/>
      <c r="AR318" s="202"/>
      <c r="AS318" s="202"/>
      <c r="AT318" s="202"/>
      <c r="AU318" s="202"/>
      <c r="AV318" s="202"/>
      <c r="AW318" s="202"/>
      <c r="AX318" s="202"/>
      <c r="AY318" s="202"/>
    </row>
    <row r="319" spans="1:51" ht="38.25" x14ac:dyDescent="0.2">
      <c r="A319" s="76">
        <v>22</v>
      </c>
      <c r="B319" s="77" t="s">
        <v>457</v>
      </c>
      <c r="C319" s="76" t="s">
        <v>169</v>
      </c>
      <c r="D319" s="76">
        <v>3</v>
      </c>
      <c r="E319" s="76">
        <v>7</v>
      </c>
      <c r="F319" s="76">
        <v>4.8099999999999996</v>
      </c>
      <c r="G319" s="76">
        <v>24</v>
      </c>
      <c r="H319" s="76">
        <v>14</v>
      </c>
      <c r="I319" s="76">
        <v>0</v>
      </c>
      <c r="J319" s="76">
        <v>0</v>
      </c>
      <c r="K319" s="76">
        <v>82.1</v>
      </c>
      <c r="L319" s="76">
        <v>80</v>
      </c>
      <c r="M319" s="76">
        <v>51</v>
      </c>
      <c r="N319" s="76">
        <v>44</v>
      </c>
      <c r="O319" s="76">
        <v>11</v>
      </c>
      <c r="P319" s="76">
        <v>40</v>
      </c>
      <c r="Q319" s="76">
        <v>61</v>
      </c>
      <c r="R319" s="76">
        <v>0.254</v>
      </c>
      <c r="S319" s="76">
        <v>1.46</v>
      </c>
      <c r="T319" s="76">
        <v>22</v>
      </c>
      <c r="U319" s="77" t="s">
        <v>457</v>
      </c>
      <c r="V319" s="76" t="s">
        <v>169</v>
      </c>
      <c r="W319" s="76">
        <v>0</v>
      </c>
      <c r="X319" s="76">
        <v>0</v>
      </c>
      <c r="Y319" s="76">
        <v>4</v>
      </c>
      <c r="Z319" s="76">
        <v>2</v>
      </c>
      <c r="AA319" s="76">
        <v>2</v>
      </c>
      <c r="AB319" s="76">
        <v>1</v>
      </c>
      <c r="AC319" s="76">
        <v>6</v>
      </c>
      <c r="AD319" s="76">
        <v>91</v>
      </c>
      <c r="AE319" s="76">
        <v>89</v>
      </c>
      <c r="AF319" s="76">
        <v>4</v>
      </c>
      <c r="AG319" s="76">
        <v>0</v>
      </c>
      <c r="AH319" s="76">
        <v>6</v>
      </c>
      <c r="AI319" s="76">
        <v>2</v>
      </c>
      <c r="AJ319" s="76">
        <v>0</v>
      </c>
      <c r="AK319" s="76">
        <v>366</v>
      </c>
      <c r="AL319" s="76">
        <v>1390</v>
      </c>
      <c r="AM319" s="202"/>
      <c r="AN319" s="77"/>
      <c r="AO319" s="202"/>
      <c r="AP319" s="202"/>
      <c r="AQ319" s="202"/>
      <c r="AR319" s="202"/>
      <c r="AS319" s="202"/>
      <c r="AT319" s="202"/>
      <c r="AU319" s="202"/>
      <c r="AV319" s="202"/>
      <c r="AW319" s="202"/>
      <c r="AX319" s="202"/>
      <c r="AY319" s="202"/>
    </row>
    <row r="320" spans="1:51" ht="25.5" x14ac:dyDescent="0.2">
      <c r="A320" s="76">
        <v>23</v>
      </c>
      <c r="B320" s="77" t="s">
        <v>1478</v>
      </c>
      <c r="C320" s="76" t="s">
        <v>169</v>
      </c>
      <c r="D320" s="76">
        <v>0</v>
      </c>
      <c r="E320" s="76">
        <v>3</v>
      </c>
      <c r="F320" s="76">
        <v>4.8600000000000003</v>
      </c>
      <c r="G320" s="76">
        <v>8</v>
      </c>
      <c r="H320" s="76">
        <v>7</v>
      </c>
      <c r="I320" s="76">
        <v>0</v>
      </c>
      <c r="J320" s="76">
        <v>0</v>
      </c>
      <c r="K320" s="76">
        <v>33.1</v>
      </c>
      <c r="L320" s="76">
        <v>45</v>
      </c>
      <c r="M320" s="76">
        <v>26</v>
      </c>
      <c r="N320" s="76">
        <v>18</v>
      </c>
      <c r="O320" s="76">
        <v>5</v>
      </c>
      <c r="P320" s="76">
        <v>17</v>
      </c>
      <c r="Q320" s="76">
        <v>29</v>
      </c>
      <c r="R320" s="76">
        <v>0.313</v>
      </c>
      <c r="S320" s="76">
        <v>1.86</v>
      </c>
      <c r="T320" s="76">
        <v>23</v>
      </c>
      <c r="U320" s="77" t="s">
        <v>1478</v>
      </c>
      <c r="V320" s="76" t="s">
        <v>169</v>
      </c>
      <c r="W320" s="76">
        <v>0</v>
      </c>
      <c r="X320" s="76">
        <v>0</v>
      </c>
      <c r="Y320" s="76">
        <v>2</v>
      </c>
      <c r="Z320" s="76">
        <v>1</v>
      </c>
      <c r="AA320" s="76">
        <v>0</v>
      </c>
      <c r="AB320" s="76">
        <v>0</v>
      </c>
      <c r="AC320" s="76">
        <v>2</v>
      </c>
      <c r="AD320" s="76">
        <v>41</v>
      </c>
      <c r="AE320" s="76">
        <v>32</v>
      </c>
      <c r="AF320" s="76">
        <v>1</v>
      </c>
      <c r="AG320" s="76">
        <v>0</v>
      </c>
      <c r="AH320" s="76">
        <v>4</v>
      </c>
      <c r="AI320" s="76">
        <v>1</v>
      </c>
      <c r="AJ320" s="76">
        <v>0</v>
      </c>
      <c r="AK320" s="76">
        <v>166</v>
      </c>
      <c r="AL320" s="76">
        <v>662</v>
      </c>
      <c r="AM320" s="202"/>
      <c r="AN320" s="77"/>
      <c r="AO320" s="202"/>
      <c r="AP320" s="202"/>
      <c r="AQ320" s="202"/>
      <c r="AR320" s="202"/>
      <c r="AS320" s="202"/>
      <c r="AT320" s="202"/>
      <c r="AU320" s="202"/>
      <c r="AV320" s="202"/>
      <c r="AW320" s="202"/>
      <c r="AX320" s="202"/>
      <c r="AY320" s="202"/>
    </row>
    <row r="321" spans="1:51" ht="25.5" x14ac:dyDescent="0.2">
      <c r="A321" s="76">
        <v>24</v>
      </c>
      <c r="B321" s="77" t="s">
        <v>415</v>
      </c>
      <c r="C321" s="76" t="s">
        <v>169</v>
      </c>
      <c r="D321" s="76">
        <v>8</v>
      </c>
      <c r="E321" s="76">
        <v>6</v>
      </c>
      <c r="F321" s="76">
        <v>4.91</v>
      </c>
      <c r="G321" s="76">
        <v>23</v>
      </c>
      <c r="H321" s="76">
        <v>18</v>
      </c>
      <c r="I321" s="76">
        <v>0</v>
      </c>
      <c r="J321" s="76">
        <v>0</v>
      </c>
      <c r="K321" s="76">
        <v>110</v>
      </c>
      <c r="L321" s="76">
        <v>132</v>
      </c>
      <c r="M321" s="76">
        <v>63</v>
      </c>
      <c r="N321" s="76">
        <v>60</v>
      </c>
      <c r="O321" s="76">
        <v>21</v>
      </c>
      <c r="P321" s="76">
        <v>38</v>
      </c>
      <c r="Q321" s="76">
        <v>76</v>
      </c>
      <c r="R321" s="76">
        <v>0.29699999999999999</v>
      </c>
      <c r="S321" s="76">
        <v>1.55</v>
      </c>
      <c r="T321" s="76">
        <v>24</v>
      </c>
      <c r="U321" s="77" t="s">
        <v>415</v>
      </c>
      <c r="V321" s="76" t="s">
        <v>169</v>
      </c>
      <c r="W321" s="76">
        <v>0</v>
      </c>
      <c r="X321" s="76">
        <v>0</v>
      </c>
      <c r="Y321" s="76">
        <v>3</v>
      </c>
      <c r="Z321" s="76">
        <v>2</v>
      </c>
      <c r="AA321" s="76">
        <v>2</v>
      </c>
      <c r="AB321" s="76">
        <v>0</v>
      </c>
      <c r="AC321" s="76">
        <v>13</v>
      </c>
      <c r="AD321" s="76">
        <v>155</v>
      </c>
      <c r="AE321" s="76">
        <v>87</v>
      </c>
      <c r="AF321" s="76">
        <v>9</v>
      </c>
      <c r="AG321" s="76">
        <v>0</v>
      </c>
      <c r="AH321" s="76">
        <v>2</v>
      </c>
      <c r="AI321" s="76">
        <v>2</v>
      </c>
      <c r="AJ321" s="76">
        <v>1</v>
      </c>
      <c r="AK321" s="76">
        <v>491</v>
      </c>
      <c r="AL321" s="76">
        <v>1786</v>
      </c>
      <c r="AM321" s="202"/>
      <c r="AN321" s="77"/>
      <c r="AO321" s="202"/>
      <c r="AP321" s="202"/>
      <c r="AQ321" s="202"/>
      <c r="AR321" s="202"/>
      <c r="AS321" s="202"/>
      <c r="AT321" s="202"/>
      <c r="AU321" s="202"/>
      <c r="AV321" s="202"/>
      <c r="AW321" s="202"/>
      <c r="AX321" s="202"/>
      <c r="AY321" s="202"/>
    </row>
    <row r="322" spans="1:51" ht="25.5" x14ac:dyDescent="0.2">
      <c r="A322" s="76">
        <v>25</v>
      </c>
      <c r="B322" s="77" t="s">
        <v>435</v>
      </c>
      <c r="C322" s="76" t="s">
        <v>169</v>
      </c>
      <c r="D322" s="76">
        <v>9</v>
      </c>
      <c r="E322" s="76">
        <v>8</v>
      </c>
      <c r="F322" s="76">
        <v>5.44</v>
      </c>
      <c r="G322" s="76">
        <v>30</v>
      </c>
      <c r="H322" s="76">
        <v>19</v>
      </c>
      <c r="I322" s="76">
        <v>0</v>
      </c>
      <c r="J322" s="76">
        <v>0</v>
      </c>
      <c r="K322" s="76">
        <v>127.1</v>
      </c>
      <c r="L322" s="76">
        <v>151</v>
      </c>
      <c r="M322" s="76">
        <v>81</v>
      </c>
      <c r="N322" s="76">
        <v>77</v>
      </c>
      <c r="O322" s="76">
        <v>17</v>
      </c>
      <c r="P322" s="76">
        <v>44</v>
      </c>
      <c r="Q322" s="76">
        <v>73</v>
      </c>
      <c r="R322" s="76">
        <v>0.29799999999999999</v>
      </c>
      <c r="S322" s="76">
        <v>1.53</v>
      </c>
      <c r="T322" s="76">
        <v>25</v>
      </c>
      <c r="U322" s="77" t="s">
        <v>435</v>
      </c>
      <c r="V322" s="76" t="s">
        <v>169</v>
      </c>
      <c r="W322" s="76">
        <v>1</v>
      </c>
      <c r="X322" s="76">
        <v>1</v>
      </c>
      <c r="Y322" s="76">
        <v>3</v>
      </c>
      <c r="Z322" s="76">
        <v>4</v>
      </c>
      <c r="AA322" s="76">
        <v>4</v>
      </c>
      <c r="AB322" s="76">
        <v>0</v>
      </c>
      <c r="AC322" s="76">
        <v>16</v>
      </c>
      <c r="AD322" s="76">
        <v>162</v>
      </c>
      <c r="AE322" s="76">
        <v>130</v>
      </c>
      <c r="AF322" s="76">
        <v>7</v>
      </c>
      <c r="AG322" s="76">
        <v>0</v>
      </c>
      <c r="AH322" s="76">
        <v>9</v>
      </c>
      <c r="AI322" s="76">
        <v>3</v>
      </c>
      <c r="AJ322" s="76">
        <v>1</v>
      </c>
      <c r="AK322" s="76">
        <v>564</v>
      </c>
      <c r="AL322" s="76">
        <v>2096</v>
      </c>
      <c r="AM322" s="202"/>
      <c r="AN322" s="77"/>
      <c r="AO322" s="202"/>
      <c r="AP322" s="202"/>
      <c r="AQ322" s="202"/>
      <c r="AR322" s="202"/>
      <c r="AS322" s="202"/>
      <c r="AT322" s="202"/>
      <c r="AU322" s="202"/>
      <c r="AV322" s="202"/>
      <c r="AW322" s="202"/>
      <c r="AX322" s="202"/>
      <c r="AY322" s="202"/>
    </row>
    <row r="323" spans="1:51" ht="25.5" x14ac:dyDescent="0.2">
      <c r="A323" s="76">
        <v>26</v>
      </c>
      <c r="B323" s="77" t="s">
        <v>430</v>
      </c>
      <c r="C323" s="76" t="s">
        <v>169</v>
      </c>
      <c r="D323" s="76">
        <v>6</v>
      </c>
      <c r="E323" s="76">
        <v>11</v>
      </c>
      <c r="F323" s="76">
        <v>5.46</v>
      </c>
      <c r="G323" s="76">
        <v>21</v>
      </c>
      <c r="H323" s="76">
        <v>21</v>
      </c>
      <c r="I323" s="76">
        <v>0</v>
      </c>
      <c r="J323" s="76">
        <v>0</v>
      </c>
      <c r="K323" s="76">
        <v>113.2</v>
      </c>
      <c r="L323" s="76">
        <v>115</v>
      </c>
      <c r="M323" s="76">
        <v>76</v>
      </c>
      <c r="N323" s="76">
        <v>69</v>
      </c>
      <c r="O323" s="76">
        <v>19</v>
      </c>
      <c r="P323" s="76">
        <v>69</v>
      </c>
      <c r="Q323" s="76">
        <v>116</v>
      </c>
      <c r="R323" s="76">
        <v>0.26400000000000001</v>
      </c>
      <c r="S323" s="76">
        <v>1.62</v>
      </c>
      <c r="T323" s="76">
        <v>26</v>
      </c>
      <c r="U323" s="77" t="s">
        <v>430</v>
      </c>
      <c r="V323" s="76" t="s">
        <v>169</v>
      </c>
      <c r="W323" s="76">
        <v>0</v>
      </c>
      <c r="X323" s="76">
        <v>0</v>
      </c>
      <c r="Y323" s="76">
        <v>7</v>
      </c>
      <c r="Z323" s="76">
        <v>1</v>
      </c>
      <c r="AA323" s="76">
        <v>0</v>
      </c>
      <c r="AB323" s="76">
        <v>0</v>
      </c>
      <c r="AC323" s="76">
        <v>13</v>
      </c>
      <c r="AD323" s="76">
        <v>134</v>
      </c>
      <c r="AE323" s="76">
        <v>82</v>
      </c>
      <c r="AF323" s="76">
        <v>8</v>
      </c>
      <c r="AG323" s="76">
        <v>0</v>
      </c>
      <c r="AH323" s="76">
        <v>7</v>
      </c>
      <c r="AI323" s="76">
        <v>0</v>
      </c>
      <c r="AJ323" s="76">
        <v>1</v>
      </c>
      <c r="AK323" s="76">
        <v>523</v>
      </c>
      <c r="AL323" s="76">
        <v>2000</v>
      </c>
      <c r="AM323" s="202"/>
      <c r="AN323" s="77"/>
      <c r="AO323" s="202"/>
      <c r="AP323" s="202"/>
      <c r="AQ323" s="202"/>
      <c r="AR323" s="202"/>
      <c r="AS323" s="202"/>
      <c r="AT323" s="202"/>
      <c r="AU323" s="202"/>
      <c r="AV323" s="202"/>
      <c r="AW323" s="202"/>
      <c r="AX323" s="202"/>
      <c r="AY323" s="202"/>
    </row>
    <row r="324" spans="1:51" ht="25.5" x14ac:dyDescent="0.2">
      <c r="A324" s="76">
        <v>27</v>
      </c>
      <c r="B324" s="77" t="s">
        <v>830</v>
      </c>
      <c r="C324" s="76" t="s">
        <v>169</v>
      </c>
      <c r="D324" s="76">
        <v>0</v>
      </c>
      <c r="E324" s="76">
        <v>0</v>
      </c>
      <c r="F324" s="76">
        <v>5.56</v>
      </c>
      <c r="G324" s="76">
        <v>6</v>
      </c>
      <c r="H324" s="76">
        <v>1</v>
      </c>
      <c r="I324" s="76">
        <v>0</v>
      </c>
      <c r="J324" s="76">
        <v>0</v>
      </c>
      <c r="K324" s="76">
        <v>11.1</v>
      </c>
      <c r="L324" s="76">
        <v>15</v>
      </c>
      <c r="M324" s="76">
        <v>7</v>
      </c>
      <c r="N324" s="76">
        <v>7</v>
      </c>
      <c r="O324" s="76">
        <v>2</v>
      </c>
      <c r="P324" s="76">
        <v>3</v>
      </c>
      <c r="Q324" s="76">
        <v>10</v>
      </c>
      <c r="R324" s="76">
        <v>0.34100000000000003</v>
      </c>
      <c r="S324" s="76">
        <v>1.59</v>
      </c>
      <c r="T324" s="76">
        <v>27</v>
      </c>
      <c r="U324" s="77" t="s">
        <v>830</v>
      </c>
      <c r="V324" s="76" t="s">
        <v>169</v>
      </c>
      <c r="W324" s="76">
        <v>0</v>
      </c>
      <c r="X324" s="76">
        <v>0</v>
      </c>
      <c r="Y324" s="76">
        <v>1</v>
      </c>
      <c r="Z324" s="76">
        <v>0</v>
      </c>
      <c r="AA324" s="76">
        <v>3</v>
      </c>
      <c r="AB324" s="76">
        <v>0</v>
      </c>
      <c r="AC324" s="76">
        <v>0</v>
      </c>
      <c r="AD324" s="76">
        <v>7</v>
      </c>
      <c r="AE324" s="76">
        <v>15</v>
      </c>
      <c r="AF324" s="76">
        <v>0</v>
      </c>
      <c r="AG324" s="76">
        <v>0</v>
      </c>
      <c r="AH324" s="76">
        <v>0</v>
      </c>
      <c r="AI324" s="76">
        <v>1</v>
      </c>
      <c r="AJ324" s="76">
        <v>0</v>
      </c>
      <c r="AK324" s="76">
        <v>51</v>
      </c>
      <c r="AL324" s="76">
        <v>195</v>
      </c>
      <c r="AM324" s="202"/>
      <c r="AN324" s="77"/>
      <c r="AO324" s="202"/>
      <c r="AP324" s="202"/>
      <c r="AQ324" s="202"/>
      <c r="AR324" s="202"/>
      <c r="AS324" s="202"/>
      <c r="AT324" s="202"/>
      <c r="AU324" s="202"/>
      <c r="AV324" s="202"/>
      <c r="AW324" s="202"/>
      <c r="AX324" s="202"/>
      <c r="AY324" s="202"/>
    </row>
    <row r="325" spans="1:51" ht="25.5" x14ac:dyDescent="0.2">
      <c r="A325" s="76">
        <v>28</v>
      </c>
      <c r="B325" s="77" t="s">
        <v>1479</v>
      </c>
      <c r="C325" s="76" t="s">
        <v>169</v>
      </c>
      <c r="D325" s="76">
        <v>1</v>
      </c>
      <c r="E325" s="76">
        <v>1</v>
      </c>
      <c r="F325" s="76">
        <v>6.46</v>
      </c>
      <c r="G325" s="76">
        <v>6</v>
      </c>
      <c r="H325" s="76">
        <v>1</v>
      </c>
      <c r="I325" s="76">
        <v>0</v>
      </c>
      <c r="J325" s="76">
        <v>0</v>
      </c>
      <c r="K325" s="76">
        <v>15.1</v>
      </c>
      <c r="L325" s="76">
        <v>15</v>
      </c>
      <c r="M325" s="76">
        <v>11</v>
      </c>
      <c r="N325" s="76">
        <v>11</v>
      </c>
      <c r="O325" s="76">
        <v>2</v>
      </c>
      <c r="P325" s="76">
        <v>7</v>
      </c>
      <c r="Q325" s="76">
        <v>8</v>
      </c>
      <c r="R325" s="76">
        <v>0.254</v>
      </c>
      <c r="S325" s="76">
        <v>1.43</v>
      </c>
      <c r="T325" s="76">
        <v>28</v>
      </c>
      <c r="U325" s="77" t="s">
        <v>1479</v>
      </c>
      <c r="V325" s="76" t="s">
        <v>169</v>
      </c>
      <c r="W325" s="76">
        <v>0</v>
      </c>
      <c r="X325" s="76">
        <v>0</v>
      </c>
      <c r="Y325" s="76">
        <v>0</v>
      </c>
      <c r="Z325" s="76">
        <v>0</v>
      </c>
      <c r="AA325" s="76">
        <v>2</v>
      </c>
      <c r="AB325" s="76">
        <v>0</v>
      </c>
      <c r="AC325" s="76">
        <v>1</v>
      </c>
      <c r="AD325" s="76">
        <v>20</v>
      </c>
      <c r="AE325" s="76">
        <v>17</v>
      </c>
      <c r="AF325" s="76">
        <v>1</v>
      </c>
      <c r="AG325" s="76">
        <v>1</v>
      </c>
      <c r="AH325" s="76">
        <v>0</v>
      </c>
      <c r="AI325" s="76">
        <v>0</v>
      </c>
      <c r="AJ325" s="76">
        <v>0</v>
      </c>
      <c r="AK325" s="76">
        <v>67</v>
      </c>
      <c r="AL325" s="76">
        <v>263</v>
      </c>
      <c r="AM325" s="202"/>
      <c r="AN325" s="77"/>
      <c r="AO325" s="202"/>
      <c r="AP325" s="202"/>
      <c r="AQ325" s="202"/>
      <c r="AR325" s="202"/>
      <c r="AS325" s="202"/>
      <c r="AT325" s="202"/>
      <c r="AU325" s="202"/>
      <c r="AV325" s="202"/>
      <c r="AW325" s="202"/>
      <c r="AX325" s="202"/>
      <c r="AY325" s="202"/>
    </row>
    <row r="326" spans="1:51" ht="25.5" x14ac:dyDescent="0.2">
      <c r="A326" s="76">
        <v>29</v>
      </c>
      <c r="B326" s="77" t="s">
        <v>1480</v>
      </c>
      <c r="C326" s="76" t="s">
        <v>169</v>
      </c>
      <c r="D326" s="76">
        <v>1</v>
      </c>
      <c r="E326" s="76">
        <v>1</v>
      </c>
      <c r="F326" s="76">
        <v>7.82</v>
      </c>
      <c r="G326" s="76">
        <v>7</v>
      </c>
      <c r="H326" s="76">
        <v>1</v>
      </c>
      <c r="I326" s="76">
        <v>0</v>
      </c>
      <c r="J326" s="76">
        <v>1</v>
      </c>
      <c r="K326" s="76">
        <v>12.2</v>
      </c>
      <c r="L326" s="76">
        <v>19</v>
      </c>
      <c r="M326" s="76">
        <v>13</v>
      </c>
      <c r="N326" s="76">
        <v>11</v>
      </c>
      <c r="O326" s="76">
        <v>4</v>
      </c>
      <c r="P326" s="76">
        <v>5</v>
      </c>
      <c r="Q326" s="76">
        <v>11</v>
      </c>
      <c r="R326" s="76">
        <v>0.33900000000000002</v>
      </c>
      <c r="S326" s="76">
        <v>1.89</v>
      </c>
      <c r="T326" s="76">
        <v>29</v>
      </c>
      <c r="U326" s="77" t="s">
        <v>1480</v>
      </c>
      <c r="V326" s="76" t="s">
        <v>169</v>
      </c>
      <c r="W326" s="76">
        <v>0</v>
      </c>
      <c r="X326" s="76">
        <v>0</v>
      </c>
      <c r="Y326" s="76">
        <v>0</v>
      </c>
      <c r="Z326" s="76">
        <v>0</v>
      </c>
      <c r="AA326" s="76">
        <v>1</v>
      </c>
      <c r="AB326" s="76">
        <v>0</v>
      </c>
      <c r="AC326" s="76">
        <v>2</v>
      </c>
      <c r="AD326" s="76">
        <v>16</v>
      </c>
      <c r="AE326" s="76">
        <v>10</v>
      </c>
      <c r="AF326" s="76">
        <v>0</v>
      </c>
      <c r="AG326" s="76">
        <v>0</v>
      </c>
      <c r="AH326" s="76">
        <v>0</v>
      </c>
      <c r="AI326" s="76">
        <v>1</v>
      </c>
      <c r="AJ326" s="76">
        <v>0</v>
      </c>
      <c r="AK326" s="76">
        <v>61</v>
      </c>
      <c r="AL326" s="76">
        <v>224</v>
      </c>
      <c r="AM326" s="202"/>
      <c r="AN326" s="77"/>
      <c r="AO326" s="202"/>
      <c r="AP326" s="202"/>
      <c r="AQ326" s="202"/>
      <c r="AR326" s="202"/>
      <c r="AS326" s="202"/>
      <c r="AT326" s="202"/>
      <c r="AU326" s="202"/>
      <c r="AV326" s="202"/>
      <c r="AW326" s="202"/>
      <c r="AX326" s="202"/>
      <c r="AY326" s="202"/>
    </row>
    <row r="327" spans="1:51" ht="25.5" x14ac:dyDescent="0.2">
      <c r="A327" s="76">
        <v>30</v>
      </c>
      <c r="B327" s="77" t="s">
        <v>1481</v>
      </c>
      <c r="C327" s="76" t="s">
        <v>169</v>
      </c>
      <c r="D327" s="76">
        <v>0</v>
      </c>
      <c r="E327" s="76">
        <v>1</v>
      </c>
      <c r="F327" s="76">
        <v>9.35</v>
      </c>
      <c r="G327" s="76">
        <v>9</v>
      </c>
      <c r="H327" s="76">
        <v>0</v>
      </c>
      <c r="I327" s="76">
        <v>0</v>
      </c>
      <c r="J327" s="76">
        <v>0</v>
      </c>
      <c r="K327" s="76">
        <v>8.1999999999999993</v>
      </c>
      <c r="L327" s="76">
        <v>15</v>
      </c>
      <c r="M327" s="76">
        <v>9</v>
      </c>
      <c r="N327" s="76">
        <v>9</v>
      </c>
      <c r="O327" s="76">
        <v>2</v>
      </c>
      <c r="P327" s="76">
        <v>11</v>
      </c>
      <c r="Q327" s="76">
        <v>9</v>
      </c>
      <c r="R327" s="76">
        <v>0.38500000000000001</v>
      </c>
      <c r="S327" s="76">
        <v>3</v>
      </c>
      <c r="T327" s="76">
        <v>30</v>
      </c>
      <c r="U327" s="77" t="s">
        <v>1481</v>
      </c>
      <c r="V327" s="76" t="s">
        <v>169</v>
      </c>
      <c r="W327" s="76">
        <v>0</v>
      </c>
      <c r="X327" s="76">
        <v>0</v>
      </c>
      <c r="Y327" s="76">
        <v>1</v>
      </c>
      <c r="Z327" s="76">
        <v>2</v>
      </c>
      <c r="AA327" s="76">
        <v>5</v>
      </c>
      <c r="AB327" s="76">
        <v>0</v>
      </c>
      <c r="AC327" s="76">
        <v>0</v>
      </c>
      <c r="AD327" s="76">
        <v>6</v>
      </c>
      <c r="AE327" s="76">
        <v>11</v>
      </c>
      <c r="AF327" s="76">
        <v>0</v>
      </c>
      <c r="AG327" s="76">
        <v>0</v>
      </c>
      <c r="AH327" s="76">
        <v>0</v>
      </c>
      <c r="AI327" s="76">
        <v>0</v>
      </c>
      <c r="AJ327" s="76">
        <v>0</v>
      </c>
      <c r="AK327" s="76">
        <v>53</v>
      </c>
      <c r="AL327" s="76">
        <v>221</v>
      </c>
      <c r="AM327" s="102"/>
      <c r="AN327" s="102"/>
      <c r="AO327" s="102"/>
      <c r="AP327" s="102"/>
      <c r="AQ327" s="102"/>
      <c r="AR327" s="102"/>
      <c r="AS327" s="102"/>
      <c r="AT327" s="102"/>
      <c r="AU327" s="102"/>
      <c r="AV327" s="102"/>
      <c r="AW327" s="102"/>
      <c r="AX327" s="102"/>
      <c r="AY327" s="102"/>
    </row>
    <row r="328" spans="1:51" ht="25.5" x14ac:dyDescent="0.2">
      <c r="A328" s="76">
        <v>31</v>
      </c>
      <c r="B328" s="77" t="s">
        <v>784</v>
      </c>
      <c r="C328" s="76" t="s">
        <v>169</v>
      </c>
      <c r="D328" s="76">
        <v>0</v>
      </c>
      <c r="E328" s="76">
        <v>0</v>
      </c>
      <c r="F328" s="76">
        <v>17.18</v>
      </c>
      <c r="G328" s="76">
        <v>2</v>
      </c>
      <c r="H328" s="76">
        <v>0</v>
      </c>
      <c r="I328" s="76">
        <v>0</v>
      </c>
      <c r="J328" s="76">
        <v>0</v>
      </c>
      <c r="K328" s="76">
        <v>3.2</v>
      </c>
      <c r="L328" s="76">
        <v>9</v>
      </c>
      <c r="M328" s="76">
        <v>7</v>
      </c>
      <c r="N328" s="76">
        <v>7</v>
      </c>
      <c r="O328" s="76">
        <v>1</v>
      </c>
      <c r="P328" s="76">
        <v>1</v>
      </c>
      <c r="Q328" s="76">
        <v>4</v>
      </c>
      <c r="R328" s="76">
        <v>0.47399999999999998</v>
      </c>
      <c r="S328" s="76">
        <v>2.73</v>
      </c>
      <c r="T328" s="76">
        <v>31</v>
      </c>
      <c r="U328" s="77" t="s">
        <v>784</v>
      </c>
      <c r="V328" s="76" t="s">
        <v>169</v>
      </c>
      <c r="W328" s="76">
        <v>0</v>
      </c>
      <c r="X328" s="76">
        <v>0</v>
      </c>
      <c r="Y328" s="76">
        <v>0</v>
      </c>
      <c r="Z328" s="76">
        <v>0</v>
      </c>
      <c r="AA328" s="76">
        <v>1</v>
      </c>
      <c r="AB328" s="76">
        <v>0</v>
      </c>
      <c r="AC328" s="76">
        <v>2</v>
      </c>
      <c r="AD328" s="76">
        <v>5</v>
      </c>
      <c r="AE328" s="76">
        <v>1</v>
      </c>
      <c r="AF328" s="76">
        <v>1</v>
      </c>
      <c r="AG328" s="76">
        <v>0</v>
      </c>
      <c r="AH328" s="76">
        <v>0</v>
      </c>
      <c r="AI328" s="76">
        <v>0</v>
      </c>
      <c r="AJ328" s="76">
        <v>0</v>
      </c>
      <c r="AK328" s="76">
        <v>20</v>
      </c>
      <c r="AL328" s="76">
        <v>79</v>
      </c>
      <c r="AM328" s="202"/>
      <c r="AN328" s="77"/>
      <c r="AO328" s="202"/>
      <c r="AP328" s="202"/>
      <c r="AQ328" s="202"/>
      <c r="AR328" s="202"/>
      <c r="AS328" s="202"/>
      <c r="AT328" s="202"/>
      <c r="AU328" s="202"/>
      <c r="AV328" s="202"/>
      <c r="AW328" s="202"/>
      <c r="AX328" s="202"/>
      <c r="AY328" s="202"/>
    </row>
    <row r="329" spans="1:51" ht="25.5" x14ac:dyDescent="0.2">
      <c r="A329" s="76">
        <v>32</v>
      </c>
      <c r="B329" s="77" t="s">
        <v>1482</v>
      </c>
      <c r="C329" s="76" t="s">
        <v>169</v>
      </c>
      <c r="D329" s="76">
        <v>0</v>
      </c>
      <c r="E329" s="76">
        <v>0</v>
      </c>
      <c r="F329" s="76">
        <v>40.5</v>
      </c>
      <c r="G329" s="76">
        <v>2</v>
      </c>
      <c r="H329" s="76">
        <v>0</v>
      </c>
      <c r="I329" s="76">
        <v>0</v>
      </c>
      <c r="J329" s="76">
        <v>0</v>
      </c>
      <c r="K329" s="76">
        <v>0.2</v>
      </c>
      <c r="L329" s="76">
        <v>2</v>
      </c>
      <c r="M329" s="76">
        <v>3</v>
      </c>
      <c r="N329" s="76">
        <v>3</v>
      </c>
      <c r="O329" s="76">
        <v>0</v>
      </c>
      <c r="P329" s="76">
        <v>2</v>
      </c>
      <c r="Q329" s="76">
        <v>0</v>
      </c>
      <c r="R329" s="76">
        <v>0.5</v>
      </c>
      <c r="S329" s="76">
        <v>6</v>
      </c>
      <c r="T329" s="76">
        <v>32</v>
      </c>
      <c r="U329" s="77" t="s">
        <v>1482</v>
      </c>
      <c r="V329" s="76" t="s">
        <v>169</v>
      </c>
      <c r="W329" s="76">
        <v>0</v>
      </c>
      <c r="X329" s="76">
        <v>0</v>
      </c>
      <c r="Y329" s="76">
        <v>0</v>
      </c>
      <c r="Z329" s="76">
        <v>0</v>
      </c>
      <c r="AA329" s="76">
        <v>0</v>
      </c>
      <c r="AB329" s="76">
        <v>0</v>
      </c>
      <c r="AC329" s="76">
        <v>1</v>
      </c>
      <c r="AD329" s="76">
        <v>2</v>
      </c>
      <c r="AE329" s="76">
        <v>0</v>
      </c>
      <c r="AF329" s="76">
        <v>1</v>
      </c>
      <c r="AG329" s="76">
        <v>0</v>
      </c>
      <c r="AH329" s="76">
        <v>1</v>
      </c>
      <c r="AI329" s="76">
        <v>0</v>
      </c>
      <c r="AJ329" s="76">
        <v>0</v>
      </c>
      <c r="AK329" s="76">
        <v>6</v>
      </c>
      <c r="AL329" s="76">
        <v>24</v>
      </c>
      <c r="AM329" s="202"/>
      <c r="AN329" s="77"/>
      <c r="AO329" s="202"/>
      <c r="AP329" s="202"/>
      <c r="AQ329" s="202"/>
      <c r="AR329" s="202"/>
      <c r="AS329" s="202"/>
      <c r="AT329" s="202"/>
      <c r="AU329" s="202"/>
      <c r="AV329" s="202"/>
      <c r="AW329" s="202"/>
      <c r="AX329" s="202"/>
      <c r="AY329" s="202"/>
    </row>
    <row r="330" spans="1:51" ht="25.5" x14ac:dyDescent="0.2">
      <c r="A330" s="225" t="s">
        <v>105</v>
      </c>
      <c r="B330" s="225" t="s">
        <v>106</v>
      </c>
      <c r="C330" s="225" t="s">
        <v>157</v>
      </c>
      <c r="D330" s="225" t="s">
        <v>85</v>
      </c>
      <c r="E330" s="225" t="s">
        <v>86</v>
      </c>
      <c r="F330" s="225" t="s">
        <v>107</v>
      </c>
      <c r="G330" s="225" t="s">
        <v>108</v>
      </c>
      <c r="H330" s="225" t="s">
        <v>88</v>
      </c>
      <c r="I330" s="225" t="s">
        <v>90</v>
      </c>
      <c r="J330" s="225" t="s">
        <v>158</v>
      </c>
      <c r="K330" s="225" t="s">
        <v>91</v>
      </c>
      <c r="L330" s="225" t="s">
        <v>92</v>
      </c>
      <c r="M330" s="225" t="s">
        <v>93</v>
      </c>
      <c r="N330" s="225" t="s">
        <v>94</v>
      </c>
      <c r="O330" s="225" t="s">
        <v>95</v>
      </c>
      <c r="P330" s="225" t="s">
        <v>96</v>
      </c>
      <c r="Q330" s="225" t="s">
        <v>97</v>
      </c>
      <c r="R330" s="225" t="s">
        <v>1071</v>
      </c>
      <c r="S330" s="225" t="s">
        <v>1072</v>
      </c>
      <c r="T330" s="225" t="s">
        <v>105</v>
      </c>
      <c r="U330" s="225" t="s">
        <v>106</v>
      </c>
      <c r="V330" s="225" t="s">
        <v>157</v>
      </c>
      <c r="W330" s="225" t="s">
        <v>89</v>
      </c>
      <c r="X330" s="225" t="s">
        <v>1073</v>
      </c>
      <c r="Y330" s="225" t="s">
        <v>1074</v>
      </c>
      <c r="Z330" s="225" t="s">
        <v>98</v>
      </c>
      <c r="AA330" s="225" t="s">
        <v>1075</v>
      </c>
      <c r="AB330" s="225" t="s">
        <v>1076</v>
      </c>
      <c r="AC330" s="225" t="s">
        <v>1077</v>
      </c>
      <c r="AD330" s="225" t="s">
        <v>1066</v>
      </c>
      <c r="AE330" s="225" t="s">
        <v>1067</v>
      </c>
      <c r="AF330" s="225" t="s">
        <v>1078</v>
      </c>
      <c r="AG330" s="225" t="s">
        <v>1079</v>
      </c>
      <c r="AH330" s="225" t="s">
        <v>1057</v>
      </c>
      <c r="AI330" s="225" t="s">
        <v>1058</v>
      </c>
      <c r="AJ330" s="225" t="s">
        <v>1080</v>
      </c>
      <c r="AK330" s="225" t="s">
        <v>109</v>
      </c>
      <c r="AL330" s="225" t="s">
        <v>1069</v>
      </c>
      <c r="AM330" s="202"/>
      <c r="AN330" s="77"/>
      <c r="AO330" s="202"/>
      <c r="AP330" s="202"/>
      <c r="AQ330" s="202"/>
      <c r="AR330" s="202"/>
      <c r="AS330" s="202"/>
      <c r="AT330" s="202"/>
      <c r="AU330" s="202"/>
      <c r="AV330" s="202"/>
      <c r="AW330" s="202"/>
      <c r="AX330" s="202"/>
      <c r="AY330" s="202"/>
    </row>
    <row r="331" spans="1:51" ht="25.5" x14ac:dyDescent="0.2">
      <c r="A331" s="76">
        <v>1</v>
      </c>
      <c r="B331" s="77" t="s">
        <v>1153</v>
      </c>
      <c r="C331" s="76" t="s">
        <v>170</v>
      </c>
      <c r="D331" s="76">
        <v>0</v>
      </c>
      <c r="E331" s="76">
        <v>0</v>
      </c>
      <c r="F331" s="76">
        <v>0</v>
      </c>
      <c r="G331" s="76">
        <v>1</v>
      </c>
      <c r="H331" s="76">
        <v>0</v>
      </c>
      <c r="I331" s="76">
        <v>0</v>
      </c>
      <c r="J331" s="76">
        <v>0</v>
      </c>
      <c r="K331" s="76">
        <v>0.1</v>
      </c>
      <c r="L331" s="76">
        <v>0</v>
      </c>
      <c r="M331" s="76">
        <v>0</v>
      </c>
      <c r="N331" s="76">
        <v>0</v>
      </c>
      <c r="O331" s="76">
        <v>0</v>
      </c>
      <c r="P331" s="76">
        <v>0</v>
      </c>
      <c r="Q331" s="76">
        <v>0</v>
      </c>
      <c r="R331" s="76">
        <v>0</v>
      </c>
      <c r="S331" s="76">
        <v>0</v>
      </c>
      <c r="T331" s="76">
        <v>1</v>
      </c>
      <c r="U331" s="77" t="s">
        <v>1153</v>
      </c>
      <c r="V331" s="76" t="s">
        <v>170</v>
      </c>
      <c r="W331" s="76">
        <v>0</v>
      </c>
      <c r="X331" s="76">
        <v>0</v>
      </c>
      <c r="Y331" s="76">
        <v>0</v>
      </c>
      <c r="Z331" s="76">
        <v>0</v>
      </c>
      <c r="AA331" s="76">
        <v>1</v>
      </c>
      <c r="AB331" s="76">
        <v>0</v>
      </c>
      <c r="AC331" s="76">
        <v>0</v>
      </c>
      <c r="AD331" s="76">
        <v>1</v>
      </c>
      <c r="AE331" s="76">
        <v>0</v>
      </c>
      <c r="AF331" s="76">
        <v>0</v>
      </c>
      <c r="AG331" s="76">
        <v>0</v>
      </c>
      <c r="AH331" s="76">
        <v>0</v>
      </c>
      <c r="AI331" s="76">
        <v>0</v>
      </c>
      <c r="AJ331" s="76">
        <v>0</v>
      </c>
      <c r="AK331" s="76">
        <v>1</v>
      </c>
      <c r="AL331" s="76">
        <v>1</v>
      </c>
      <c r="AM331" s="202"/>
      <c r="AN331" s="77"/>
      <c r="AO331" s="202"/>
      <c r="AP331" s="202"/>
      <c r="AQ331" s="202"/>
      <c r="AR331" s="202"/>
      <c r="AS331" s="202"/>
      <c r="AT331" s="202"/>
      <c r="AU331" s="202"/>
      <c r="AV331" s="202"/>
      <c r="AW331" s="202"/>
      <c r="AX331" s="202"/>
      <c r="AY331" s="202"/>
    </row>
    <row r="332" spans="1:51" ht="38.25" x14ac:dyDescent="0.2">
      <c r="A332" s="76">
        <v>1</v>
      </c>
      <c r="B332" s="77" t="s">
        <v>1483</v>
      </c>
      <c r="C332" s="76" t="s">
        <v>170</v>
      </c>
      <c r="D332" s="76">
        <v>0</v>
      </c>
      <c r="E332" s="76">
        <v>0</v>
      </c>
      <c r="F332" s="76">
        <v>0</v>
      </c>
      <c r="G332" s="76">
        <v>2</v>
      </c>
      <c r="H332" s="76">
        <v>0</v>
      </c>
      <c r="I332" s="76">
        <v>0</v>
      </c>
      <c r="J332" s="76">
        <v>0</v>
      </c>
      <c r="K332" s="76">
        <v>1.2</v>
      </c>
      <c r="L332" s="76">
        <v>1</v>
      </c>
      <c r="M332" s="76">
        <v>0</v>
      </c>
      <c r="N332" s="76">
        <v>0</v>
      </c>
      <c r="O332" s="76">
        <v>0</v>
      </c>
      <c r="P332" s="76">
        <v>3</v>
      </c>
      <c r="Q332" s="76">
        <v>1</v>
      </c>
      <c r="R332" s="76">
        <v>0.16700000000000001</v>
      </c>
      <c r="S332" s="76">
        <v>2.4</v>
      </c>
      <c r="T332" s="76">
        <v>1</v>
      </c>
      <c r="U332" s="77" t="s">
        <v>1483</v>
      </c>
      <c r="V332" s="76" t="s">
        <v>170</v>
      </c>
      <c r="W332" s="76">
        <v>0</v>
      </c>
      <c r="X332" s="76">
        <v>0</v>
      </c>
      <c r="Y332" s="76">
        <v>1</v>
      </c>
      <c r="Z332" s="76">
        <v>0</v>
      </c>
      <c r="AA332" s="76">
        <v>1</v>
      </c>
      <c r="AB332" s="76">
        <v>0</v>
      </c>
      <c r="AC332" s="76">
        <v>0</v>
      </c>
      <c r="AD332" s="76">
        <v>0</v>
      </c>
      <c r="AE332" s="76">
        <v>4</v>
      </c>
      <c r="AF332" s="76">
        <v>0</v>
      </c>
      <c r="AG332" s="76">
        <v>0</v>
      </c>
      <c r="AH332" s="76">
        <v>0</v>
      </c>
      <c r="AI332" s="76">
        <v>0</v>
      </c>
      <c r="AJ332" s="76">
        <v>0</v>
      </c>
      <c r="AK332" s="76">
        <v>10</v>
      </c>
      <c r="AL332" s="76">
        <v>44</v>
      </c>
      <c r="AM332" s="202"/>
      <c r="AN332" s="77"/>
      <c r="AO332" s="202"/>
      <c r="AP332" s="202"/>
      <c r="AQ332" s="202"/>
      <c r="AR332" s="202"/>
      <c r="AS332" s="202"/>
      <c r="AT332" s="202"/>
      <c r="AU332" s="202"/>
      <c r="AV332" s="202"/>
      <c r="AW332" s="202"/>
      <c r="AX332" s="202"/>
      <c r="AY332" s="202"/>
    </row>
    <row r="333" spans="1:51" ht="25.5" x14ac:dyDescent="0.2">
      <c r="A333" s="76">
        <v>1</v>
      </c>
      <c r="B333" s="77" t="s">
        <v>1484</v>
      </c>
      <c r="C333" s="76" t="s">
        <v>170</v>
      </c>
      <c r="D333" s="76">
        <v>0</v>
      </c>
      <c r="E333" s="76">
        <v>0</v>
      </c>
      <c r="F333" s="76">
        <v>0</v>
      </c>
      <c r="G333" s="76">
        <v>4</v>
      </c>
      <c r="H333" s="76">
        <v>0</v>
      </c>
      <c r="I333" s="76">
        <v>0</v>
      </c>
      <c r="J333" s="76">
        <v>0</v>
      </c>
      <c r="K333" s="76">
        <v>3</v>
      </c>
      <c r="L333" s="76">
        <v>3</v>
      </c>
      <c r="M333" s="76">
        <v>0</v>
      </c>
      <c r="N333" s="76">
        <v>0</v>
      </c>
      <c r="O333" s="76">
        <v>0</v>
      </c>
      <c r="P333" s="76">
        <v>2</v>
      </c>
      <c r="Q333" s="76">
        <v>3</v>
      </c>
      <c r="R333" s="76">
        <v>0.25</v>
      </c>
      <c r="S333" s="76">
        <v>1.67</v>
      </c>
      <c r="T333" s="76">
        <v>1</v>
      </c>
      <c r="U333" s="77" t="s">
        <v>1484</v>
      </c>
      <c r="V333" s="76" t="s">
        <v>170</v>
      </c>
      <c r="W333" s="76">
        <v>0</v>
      </c>
      <c r="X333" s="76">
        <v>0</v>
      </c>
      <c r="Y333" s="76">
        <v>0</v>
      </c>
      <c r="Z333" s="76">
        <v>0</v>
      </c>
      <c r="AA333" s="76">
        <v>1</v>
      </c>
      <c r="AB333" s="76">
        <v>1</v>
      </c>
      <c r="AC333" s="76">
        <v>0</v>
      </c>
      <c r="AD333" s="76">
        <v>1</v>
      </c>
      <c r="AE333" s="76">
        <v>5</v>
      </c>
      <c r="AF333" s="76">
        <v>1</v>
      </c>
      <c r="AG333" s="76">
        <v>0</v>
      </c>
      <c r="AH333" s="76">
        <v>0</v>
      </c>
      <c r="AI333" s="76">
        <v>0</v>
      </c>
      <c r="AJ333" s="76">
        <v>0</v>
      </c>
      <c r="AK333" s="76">
        <v>14</v>
      </c>
      <c r="AL333" s="76">
        <v>58</v>
      </c>
      <c r="AM333" s="202"/>
      <c r="AN333" s="77"/>
      <c r="AO333" s="202"/>
      <c r="AP333" s="202"/>
      <c r="AQ333" s="202"/>
      <c r="AR333" s="202"/>
      <c r="AS333" s="202"/>
      <c r="AT333" s="202"/>
      <c r="AU333" s="202"/>
      <c r="AV333" s="202"/>
      <c r="AW333" s="202"/>
      <c r="AX333" s="202"/>
      <c r="AY333" s="202"/>
    </row>
    <row r="334" spans="1:51" ht="25.5" x14ac:dyDescent="0.2">
      <c r="A334" s="76">
        <v>4</v>
      </c>
      <c r="B334" s="77" t="s">
        <v>629</v>
      </c>
      <c r="C334" s="76" t="s">
        <v>170</v>
      </c>
      <c r="D334" s="76">
        <v>0</v>
      </c>
      <c r="E334" s="76">
        <v>1</v>
      </c>
      <c r="F334" s="76">
        <v>0.31</v>
      </c>
      <c r="G334" s="76">
        <v>28</v>
      </c>
      <c r="H334" s="76">
        <v>0</v>
      </c>
      <c r="I334" s="76">
        <v>17</v>
      </c>
      <c r="J334" s="76">
        <v>17</v>
      </c>
      <c r="K334" s="76">
        <v>28.2</v>
      </c>
      <c r="L334" s="76">
        <v>13</v>
      </c>
      <c r="M334" s="76">
        <v>2</v>
      </c>
      <c r="N334" s="76">
        <v>1</v>
      </c>
      <c r="O334" s="76">
        <v>0</v>
      </c>
      <c r="P334" s="76">
        <v>12</v>
      </c>
      <c r="Q334" s="76">
        <v>33</v>
      </c>
      <c r="R334" s="76">
        <v>0.13700000000000001</v>
      </c>
      <c r="S334" s="76">
        <v>0.87</v>
      </c>
      <c r="T334" s="76">
        <v>4</v>
      </c>
      <c r="U334" s="77" t="s">
        <v>629</v>
      </c>
      <c r="V334" s="76" t="s">
        <v>170</v>
      </c>
      <c r="W334" s="76">
        <v>0</v>
      </c>
      <c r="X334" s="76">
        <v>0</v>
      </c>
      <c r="Y334" s="76">
        <v>2</v>
      </c>
      <c r="Z334" s="76">
        <v>0</v>
      </c>
      <c r="AA334" s="76">
        <v>24</v>
      </c>
      <c r="AB334" s="76">
        <v>0</v>
      </c>
      <c r="AC334" s="76">
        <v>3</v>
      </c>
      <c r="AD334" s="76">
        <v>29</v>
      </c>
      <c r="AE334" s="76">
        <v>20</v>
      </c>
      <c r="AF334" s="76">
        <v>1</v>
      </c>
      <c r="AG334" s="76">
        <v>1</v>
      </c>
      <c r="AH334" s="76">
        <v>3</v>
      </c>
      <c r="AI334" s="76">
        <v>2</v>
      </c>
      <c r="AJ334" s="76">
        <v>1</v>
      </c>
      <c r="AK334" s="76">
        <v>109</v>
      </c>
      <c r="AL334" s="76">
        <v>437</v>
      </c>
      <c r="AM334" s="202"/>
      <c r="AN334" s="77"/>
      <c r="AO334" s="202"/>
      <c r="AP334" s="202"/>
      <c r="AQ334" s="202"/>
      <c r="AR334" s="202"/>
      <c r="AS334" s="202"/>
      <c r="AT334" s="202"/>
      <c r="AU334" s="202"/>
      <c r="AV334" s="202"/>
      <c r="AW334" s="202"/>
      <c r="AX334" s="202"/>
      <c r="AY334" s="202"/>
    </row>
    <row r="335" spans="1:51" ht="25.5" x14ac:dyDescent="0.2">
      <c r="A335" s="76">
        <v>5</v>
      </c>
      <c r="B335" s="77" t="s">
        <v>623</v>
      </c>
      <c r="C335" s="76" t="s">
        <v>170</v>
      </c>
      <c r="D335" s="76">
        <v>1</v>
      </c>
      <c r="E335" s="76">
        <v>0</v>
      </c>
      <c r="F335" s="76">
        <v>1.69</v>
      </c>
      <c r="G335" s="76">
        <v>18</v>
      </c>
      <c r="H335" s="76">
        <v>0</v>
      </c>
      <c r="I335" s="76">
        <v>0</v>
      </c>
      <c r="J335" s="76">
        <v>1</v>
      </c>
      <c r="K335" s="76">
        <v>16</v>
      </c>
      <c r="L335" s="76">
        <v>19</v>
      </c>
      <c r="M335" s="76">
        <v>4</v>
      </c>
      <c r="N335" s="76">
        <v>3</v>
      </c>
      <c r="O335" s="76">
        <v>2</v>
      </c>
      <c r="P335" s="76">
        <v>3</v>
      </c>
      <c r="Q335" s="76">
        <v>8</v>
      </c>
      <c r="R335" s="76">
        <v>0.30599999999999999</v>
      </c>
      <c r="S335" s="76">
        <v>1.38</v>
      </c>
      <c r="T335" s="76">
        <v>5</v>
      </c>
      <c r="U335" s="77" t="s">
        <v>623</v>
      </c>
      <c r="V335" s="76" t="s">
        <v>170</v>
      </c>
      <c r="W335" s="76">
        <v>0</v>
      </c>
      <c r="X335" s="76">
        <v>0</v>
      </c>
      <c r="Y335" s="76">
        <v>0</v>
      </c>
      <c r="Z335" s="76">
        <v>1</v>
      </c>
      <c r="AA335" s="76">
        <v>2</v>
      </c>
      <c r="AB335" s="76">
        <v>2</v>
      </c>
      <c r="AC335" s="76">
        <v>2</v>
      </c>
      <c r="AD335" s="76">
        <v>20</v>
      </c>
      <c r="AE335" s="76">
        <v>18</v>
      </c>
      <c r="AF335" s="76">
        <v>0</v>
      </c>
      <c r="AG335" s="76">
        <v>0</v>
      </c>
      <c r="AH335" s="76">
        <v>1</v>
      </c>
      <c r="AI335" s="76">
        <v>0</v>
      </c>
      <c r="AJ335" s="76">
        <v>0</v>
      </c>
      <c r="AK335" s="76">
        <v>68</v>
      </c>
      <c r="AL335" s="76">
        <v>232</v>
      </c>
      <c r="AM335" s="202"/>
      <c r="AN335" s="77"/>
      <c r="AO335" s="202"/>
      <c r="AP335" s="202"/>
      <c r="AQ335" s="202"/>
      <c r="AR335" s="202"/>
      <c r="AS335" s="202"/>
      <c r="AT335" s="202"/>
      <c r="AU335" s="202"/>
      <c r="AV335" s="202"/>
      <c r="AW335" s="202"/>
      <c r="AX335" s="202"/>
      <c r="AY335" s="202"/>
    </row>
    <row r="336" spans="1:51" ht="25.5" x14ac:dyDescent="0.2">
      <c r="A336" s="76">
        <v>6</v>
      </c>
      <c r="B336" s="77" t="s">
        <v>372</v>
      </c>
      <c r="C336" s="76" t="s">
        <v>170</v>
      </c>
      <c r="D336" s="76">
        <v>8</v>
      </c>
      <c r="E336" s="76">
        <v>7</v>
      </c>
      <c r="F336" s="76">
        <v>2.4700000000000002</v>
      </c>
      <c r="G336" s="76">
        <v>17</v>
      </c>
      <c r="H336" s="76">
        <v>17</v>
      </c>
      <c r="I336" s="76">
        <v>0</v>
      </c>
      <c r="J336" s="76">
        <v>0</v>
      </c>
      <c r="K336" s="76">
        <v>102</v>
      </c>
      <c r="L336" s="76">
        <v>67</v>
      </c>
      <c r="M336" s="76">
        <v>30</v>
      </c>
      <c r="N336" s="76">
        <v>28</v>
      </c>
      <c r="O336" s="76">
        <v>8</v>
      </c>
      <c r="P336" s="76">
        <v>41</v>
      </c>
      <c r="Q336" s="76">
        <v>115</v>
      </c>
      <c r="R336" s="76">
        <v>0.184</v>
      </c>
      <c r="S336" s="76">
        <v>1.06</v>
      </c>
      <c r="T336" s="76">
        <v>6</v>
      </c>
      <c r="U336" s="77" t="s">
        <v>372</v>
      </c>
      <c r="V336" s="76" t="s">
        <v>170</v>
      </c>
      <c r="W336" s="76">
        <v>0</v>
      </c>
      <c r="X336" s="76">
        <v>0</v>
      </c>
      <c r="Y336" s="76">
        <v>1</v>
      </c>
      <c r="Z336" s="76">
        <v>2</v>
      </c>
      <c r="AA336" s="76">
        <v>0</v>
      </c>
      <c r="AB336" s="76">
        <v>0</v>
      </c>
      <c r="AC336" s="76">
        <v>4</v>
      </c>
      <c r="AD336" s="76">
        <v>94</v>
      </c>
      <c r="AE336" s="76">
        <v>93</v>
      </c>
      <c r="AF336" s="76">
        <v>7</v>
      </c>
      <c r="AG336" s="76">
        <v>0</v>
      </c>
      <c r="AH336" s="76">
        <v>3</v>
      </c>
      <c r="AI336" s="76">
        <v>5</v>
      </c>
      <c r="AJ336" s="76">
        <v>1</v>
      </c>
      <c r="AK336" s="76">
        <v>411</v>
      </c>
      <c r="AL336" s="76">
        <v>1698</v>
      </c>
      <c r="AM336" s="202"/>
      <c r="AN336" s="77"/>
      <c r="AO336" s="202"/>
      <c r="AP336" s="202"/>
      <c r="AQ336" s="202"/>
      <c r="AR336" s="202"/>
      <c r="AS336" s="202"/>
      <c r="AT336" s="202"/>
      <c r="AU336" s="202"/>
      <c r="AV336" s="202"/>
      <c r="AW336" s="202"/>
      <c r="AX336" s="202"/>
      <c r="AY336" s="202"/>
    </row>
    <row r="337" spans="1:51" ht="25.5" x14ac:dyDescent="0.2">
      <c r="A337" s="76">
        <v>7</v>
      </c>
      <c r="B337" s="77" t="s">
        <v>1104</v>
      </c>
      <c r="C337" s="76" t="s">
        <v>170</v>
      </c>
      <c r="D337" s="76">
        <v>3</v>
      </c>
      <c r="E337" s="76">
        <v>3</v>
      </c>
      <c r="F337" s="76">
        <v>2.52</v>
      </c>
      <c r="G337" s="76">
        <v>11</v>
      </c>
      <c r="H337" s="76">
        <v>9</v>
      </c>
      <c r="I337" s="76">
        <v>0</v>
      </c>
      <c r="J337" s="76">
        <v>0</v>
      </c>
      <c r="K337" s="76">
        <v>53.2</v>
      </c>
      <c r="L337" s="76">
        <v>58</v>
      </c>
      <c r="M337" s="76">
        <v>21</v>
      </c>
      <c r="N337" s="76">
        <v>15</v>
      </c>
      <c r="O337" s="76">
        <v>4</v>
      </c>
      <c r="P337" s="76">
        <v>24</v>
      </c>
      <c r="Q337" s="76">
        <v>34</v>
      </c>
      <c r="R337" s="76">
        <v>0.27800000000000002</v>
      </c>
      <c r="S337" s="76">
        <v>1.53</v>
      </c>
      <c r="T337" s="76">
        <v>7</v>
      </c>
      <c r="U337" s="77" t="s">
        <v>1104</v>
      </c>
      <c r="V337" s="76" t="s">
        <v>170</v>
      </c>
      <c r="W337" s="76">
        <v>0</v>
      </c>
      <c r="X337" s="76">
        <v>0</v>
      </c>
      <c r="Y337" s="76">
        <v>0</v>
      </c>
      <c r="Z337" s="76">
        <v>0</v>
      </c>
      <c r="AA337" s="76">
        <v>0</v>
      </c>
      <c r="AB337" s="76">
        <v>0</v>
      </c>
      <c r="AC337" s="76">
        <v>12</v>
      </c>
      <c r="AD337" s="76">
        <v>85</v>
      </c>
      <c r="AE337" s="76">
        <v>33</v>
      </c>
      <c r="AF337" s="76">
        <v>2</v>
      </c>
      <c r="AG337" s="76">
        <v>0</v>
      </c>
      <c r="AH337" s="76">
        <v>6</v>
      </c>
      <c r="AI337" s="76">
        <v>1</v>
      </c>
      <c r="AJ337" s="76">
        <v>2</v>
      </c>
      <c r="AK337" s="76">
        <v>234</v>
      </c>
      <c r="AL337" s="76">
        <v>843</v>
      </c>
      <c r="AM337" s="202"/>
      <c r="AN337" s="77"/>
      <c r="AO337" s="202"/>
      <c r="AP337" s="202"/>
      <c r="AQ337" s="202"/>
      <c r="AR337" s="202"/>
      <c r="AS337" s="202"/>
      <c r="AT337" s="202"/>
      <c r="AU337" s="202"/>
      <c r="AV337" s="202"/>
      <c r="AW337" s="202"/>
      <c r="AX337" s="202"/>
      <c r="AY337" s="202"/>
    </row>
    <row r="338" spans="1:51" ht="25.5" x14ac:dyDescent="0.2">
      <c r="A338" s="76">
        <v>8</v>
      </c>
      <c r="B338" s="77" t="s">
        <v>1485</v>
      </c>
      <c r="C338" s="76" t="s">
        <v>170</v>
      </c>
      <c r="D338" s="76">
        <v>3</v>
      </c>
      <c r="E338" s="76">
        <v>0</v>
      </c>
      <c r="F338" s="76">
        <v>2.86</v>
      </c>
      <c r="G338" s="76">
        <v>67</v>
      </c>
      <c r="H338" s="76">
        <v>0</v>
      </c>
      <c r="I338" s="76">
        <v>1</v>
      </c>
      <c r="J338" s="76">
        <v>2</v>
      </c>
      <c r="K338" s="76">
        <v>63</v>
      </c>
      <c r="L338" s="76">
        <v>34</v>
      </c>
      <c r="M338" s="76">
        <v>20</v>
      </c>
      <c r="N338" s="76">
        <v>20</v>
      </c>
      <c r="O338" s="76">
        <v>4</v>
      </c>
      <c r="P338" s="76">
        <v>31</v>
      </c>
      <c r="Q338" s="76">
        <v>78</v>
      </c>
      <c r="R338" s="76">
        <v>0.16</v>
      </c>
      <c r="S338" s="76">
        <v>1.03</v>
      </c>
      <c r="T338" s="76">
        <v>8</v>
      </c>
      <c r="U338" s="77" t="s">
        <v>1485</v>
      </c>
      <c r="V338" s="76" t="s">
        <v>170</v>
      </c>
      <c r="W338" s="76">
        <v>0</v>
      </c>
      <c r="X338" s="76">
        <v>0</v>
      </c>
      <c r="Y338" s="76">
        <v>2</v>
      </c>
      <c r="Z338" s="76">
        <v>3</v>
      </c>
      <c r="AA338" s="76">
        <v>10</v>
      </c>
      <c r="AB338" s="76">
        <v>20</v>
      </c>
      <c r="AC338" s="76">
        <v>4</v>
      </c>
      <c r="AD338" s="76">
        <v>20</v>
      </c>
      <c r="AE338" s="76">
        <v>82</v>
      </c>
      <c r="AF338" s="76">
        <v>3</v>
      </c>
      <c r="AG338" s="76">
        <v>0</v>
      </c>
      <c r="AH338" s="76">
        <v>2</v>
      </c>
      <c r="AI338" s="76">
        <v>2</v>
      </c>
      <c r="AJ338" s="76">
        <v>3</v>
      </c>
      <c r="AK338" s="76">
        <v>247</v>
      </c>
      <c r="AL338" s="76">
        <v>1127</v>
      </c>
      <c r="AM338" s="202"/>
      <c r="AN338" s="77"/>
      <c r="AO338" s="202"/>
      <c r="AP338" s="202"/>
      <c r="AQ338" s="202"/>
      <c r="AR338" s="202"/>
      <c r="AS338" s="202"/>
      <c r="AT338" s="202"/>
      <c r="AU338" s="202"/>
      <c r="AV338" s="202"/>
      <c r="AW338" s="202"/>
      <c r="AX338" s="202"/>
      <c r="AY338" s="202"/>
    </row>
    <row r="339" spans="1:51" ht="25.5" x14ac:dyDescent="0.2">
      <c r="A339" s="76">
        <v>9</v>
      </c>
      <c r="B339" s="77" t="s">
        <v>391</v>
      </c>
      <c r="C339" s="76" t="s">
        <v>170</v>
      </c>
      <c r="D339" s="76">
        <v>4</v>
      </c>
      <c r="E339" s="76">
        <v>4</v>
      </c>
      <c r="F339" s="76">
        <v>2.92</v>
      </c>
      <c r="G339" s="76">
        <v>82</v>
      </c>
      <c r="H339" s="76">
        <v>0</v>
      </c>
      <c r="I339" s="76">
        <v>1</v>
      </c>
      <c r="J339" s="76">
        <v>7</v>
      </c>
      <c r="K339" s="76">
        <v>89.1</v>
      </c>
      <c r="L339" s="76">
        <v>63</v>
      </c>
      <c r="M339" s="76">
        <v>32</v>
      </c>
      <c r="N339" s="76">
        <v>29</v>
      </c>
      <c r="O339" s="76">
        <v>8</v>
      </c>
      <c r="P339" s="76">
        <v>36</v>
      </c>
      <c r="Q339" s="76">
        <v>111</v>
      </c>
      <c r="R339" s="76">
        <v>0.19500000000000001</v>
      </c>
      <c r="S339" s="76">
        <v>1.1100000000000001</v>
      </c>
      <c r="T339" s="76">
        <v>9</v>
      </c>
      <c r="U339" s="77" t="s">
        <v>391</v>
      </c>
      <c r="V339" s="76" t="s">
        <v>170</v>
      </c>
      <c r="W339" s="76">
        <v>0</v>
      </c>
      <c r="X339" s="76">
        <v>0</v>
      </c>
      <c r="Y339" s="76">
        <v>1</v>
      </c>
      <c r="Z339" s="76">
        <v>4</v>
      </c>
      <c r="AA339" s="76">
        <v>16</v>
      </c>
      <c r="AB339" s="76">
        <v>21</v>
      </c>
      <c r="AC339" s="76">
        <v>6</v>
      </c>
      <c r="AD339" s="76">
        <v>82</v>
      </c>
      <c r="AE339" s="76">
        <v>71</v>
      </c>
      <c r="AF339" s="76">
        <v>7</v>
      </c>
      <c r="AG339" s="76">
        <v>0</v>
      </c>
      <c r="AH339" s="76">
        <v>11</v>
      </c>
      <c r="AI339" s="76">
        <v>2</v>
      </c>
      <c r="AJ339" s="76">
        <v>1</v>
      </c>
      <c r="AK339" s="76">
        <v>364</v>
      </c>
      <c r="AL339" s="76">
        <v>1447</v>
      </c>
      <c r="AM339" s="202"/>
      <c r="AN339" s="77"/>
      <c r="AO339" s="202"/>
      <c r="AP339" s="202"/>
      <c r="AQ339" s="202"/>
      <c r="AR339" s="202"/>
      <c r="AS339" s="202"/>
      <c r="AT339" s="202"/>
      <c r="AU339" s="202"/>
      <c r="AV339" s="202"/>
      <c r="AW339" s="202"/>
      <c r="AX339" s="202"/>
      <c r="AY339" s="202"/>
    </row>
    <row r="340" spans="1:51" ht="25.5" x14ac:dyDescent="0.2">
      <c r="A340" s="76">
        <v>10</v>
      </c>
      <c r="B340" s="77" t="s">
        <v>1091</v>
      </c>
      <c r="C340" s="76" t="s">
        <v>170</v>
      </c>
      <c r="D340" s="76">
        <v>1</v>
      </c>
      <c r="E340" s="76">
        <v>0</v>
      </c>
      <c r="F340" s="76">
        <v>3.38</v>
      </c>
      <c r="G340" s="76">
        <v>15</v>
      </c>
      <c r="H340" s="76">
        <v>0</v>
      </c>
      <c r="I340" s="76">
        <v>0</v>
      </c>
      <c r="J340" s="76">
        <v>0</v>
      </c>
      <c r="K340" s="76">
        <v>18.2</v>
      </c>
      <c r="L340" s="76">
        <v>19</v>
      </c>
      <c r="M340" s="76">
        <v>7</v>
      </c>
      <c r="N340" s="76">
        <v>7</v>
      </c>
      <c r="O340" s="76">
        <v>2</v>
      </c>
      <c r="P340" s="76">
        <v>11</v>
      </c>
      <c r="Q340" s="76">
        <v>9</v>
      </c>
      <c r="R340" s="76">
        <v>0.25700000000000001</v>
      </c>
      <c r="S340" s="76">
        <v>1.61</v>
      </c>
      <c r="T340" s="76">
        <v>10</v>
      </c>
      <c r="U340" s="77" t="s">
        <v>1091</v>
      </c>
      <c r="V340" s="76" t="s">
        <v>170</v>
      </c>
      <c r="W340" s="76">
        <v>0</v>
      </c>
      <c r="X340" s="76">
        <v>0</v>
      </c>
      <c r="Y340" s="76">
        <v>0</v>
      </c>
      <c r="Z340" s="76">
        <v>2</v>
      </c>
      <c r="AA340" s="76">
        <v>4</v>
      </c>
      <c r="AB340" s="76">
        <v>1</v>
      </c>
      <c r="AC340" s="76">
        <v>1</v>
      </c>
      <c r="AD340" s="76">
        <v>19</v>
      </c>
      <c r="AE340" s="76">
        <v>28</v>
      </c>
      <c r="AF340" s="76">
        <v>0</v>
      </c>
      <c r="AG340" s="76">
        <v>0</v>
      </c>
      <c r="AH340" s="76">
        <v>0</v>
      </c>
      <c r="AI340" s="76">
        <v>0</v>
      </c>
      <c r="AJ340" s="76">
        <v>0</v>
      </c>
      <c r="AK340" s="76">
        <v>86</v>
      </c>
      <c r="AL340" s="76">
        <v>354</v>
      </c>
      <c r="AM340" s="202"/>
      <c r="AN340" s="77"/>
      <c r="AO340" s="202"/>
      <c r="AP340" s="202"/>
      <c r="AQ340" s="202"/>
      <c r="AR340" s="202"/>
      <c r="AS340" s="202"/>
      <c r="AT340" s="202"/>
      <c r="AU340" s="202"/>
      <c r="AV340" s="202"/>
      <c r="AW340" s="202"/>
      <c r="AX340" s="202"/>
      <c r="AY340" s="202"/>
    </row>
    <row r="341" spans="1:51" ht="25.5" x14ac:dyDescent="0.2">
      <c r="A341" s="76">
        <v>11</v>
      </c>
      <c r="B341" s="77" t="s">
        <v>1454</v>
      </c>
      <c r="C341" s="76" t="s">
        <v>170</v>
      </c>
      <c r="D341" s="76">
        <v>3</v>
      </c>
      <c r="E341" s="76">
        <v>5</v>
      </c>
      <c r="F341" s="76">
        <v>3.67</v>
      </c>
      <c r="G341" s="76">
        <v>16</v>
      </c>
      <c r="H341" s="76">
        <v>12</v>
      </c>
      <c r="I341" s="76">
        <v>0</v>
      </c>
      <c r="J341" s="76">
        <v>1</v>
      </c>
      <c r="K341" s="76">
        <v>61.1</v>
      </c>
      <c r="L341" s="76">
        <v>61</v>
      </c>
      <c r="M341" s="76">
        <v>32</v>
      </c>
      <c r="N341" s="76">
        <v>25</v>
      </c>
      <c r="O341" s="76">
        <v>9</v>
      </c>
      <c r="P341" s="76">
        <v>23</v>
      </c>
      <c r="Q341" s="76">
        <v>47</v>
      </c>
      <c r="R341" s="76">
        <v>0.25700000000000001</v>
      </c>
      <c r="S341" s="76">
        <v>1.37</v>
      </c>
      <c r="T341" s="76">
        <v>11</v>
      </c>
      <c r="U341" s="77" t="s">
        <v>1454</v>
      </c>
      <c r="V341" s="76" t="s">
        <v>170</v>
      </c>
      <c r="W341" s="76">
        <v>0</v>
      </c>
      <c r="X341" s="76">
        <v>0</v>
      </c>
      <c r="Y341" s="76">
        <v>3</v>
      </c>
      <c r="Z341" s="76">
        <v>0</v>
      </c>
      <c r="AA341" s="76">
        <v>2</v>
      </c>
      <c r="AB341" s="76">
        <v>0</v>
      </c>
      <c r="AC341" s="76">
        <v>6</v>
      </c>
      <c r="AD341" s="76">
        <v>59</v>
      </c>
      <c r="AE341" s="76">
        <v>74</v>
      </c>
      <c r="AF341" s="76">
        <v>4</v>
      </c>
      <c r="AG341" s="76">
        <v>1</v>
      </c>
      <c r="AH341" s="76">
        <v>5</v>
      </c>
      <c r="AI341" s="76">
        <v>1</v>
      </c>
      <c r="AJ341" s="76">
        <v>0</v>
      </c>
      <c r="AK341" s="76">
        <v>267</v>
      </c>
      <c r="AL341" s="76">
        <v>1015</v>
      </c>
      <c r="AM341" s="202"/>
      <c r="AN341" s="77"/>
      <c r="AO341" s="202"/>
      <c r="AP341" s="202"/>
      <c r="AQ341" s="202"/>
      <c r="AR341" s="202"/>
      <c r="AS341" s="202"/>
      <c r="AT341" s="202"/>
      <c r="AU341" s="202"/>
      <c r="AV341" s="202"/>
      <c r="AW341" s="202"/>
      <c r="AX341" s="202"/>
      <c r="AY341" s="202"/>
    </row>
    <row r="342" spans="1:51" ht="25.5" x14ac:dyDescent="0.2">
      <c r="A342" s="76">
        <v>12</v>
      </c>
      <c r="B342" s="77" t="s">
        <v>1486</v>
      </c>
      <c r="C342" s="76" t="s">
        <v>170</v>
      </c>
      <c r="D342" s="76">
        <v>1</v>
      </c>
      <c r="E342" s="76">
        <v>0</v>
      </c>
      <c r="F342" s="76">
        <v>3.72</v>
      </c>
      <c r="G342" s="76">
        <v>11</v>
      </c>
      <c r="H342" s="76">
        <v>0</v>
      </c>
      <c r="I342" s="76">
        <v>0</v>
      </c>
      <c r="J342" s="76">
        <v>0</v>
      </c>
      <c r="K342" s="76">
        <v>9.1999999999999993</v>
      </c>
      <c r="L342" s="76">
        <v>7</v>
      </c>
      <c r="M342" s="76">
        <v>4</v>
      </c>
      <c r="N342" s="76">
        <v>4</v>
      </c>
      <c r="O342" s="76">
        <v>0</v>
      </c>
      <c r="P342" s="76">
        <v>4</v>
      </c>
      <c r="Q342" s="76">
        <v>10</v>
      </c>
      <c r="R342" s="76">
        <v>0.2</v>
      </c>
      <c r="S342" s="76">
        <v>1.1399999999999999</v>
      </c>
      <c r="T342" s="76">
        <v>12</v>
      </c>
      <c r="U342" s="77" t="s">
        <v>1486</v>
      </c>
      <c r="V342" s="76" t="s">
        <v>170</v>
      </c>
      <c r="W342" s="76">
        <v>0</v>
      </c>
      <c r="X342" s="76">
        <v>0</v>
      </c>
      <c r="Y342" s="76">
        <v>1</v>
      </c>
      <c r="Z342" s="76">
        <v>0</v>
      </c>
      <c r="AA342" s="76">
        <v>2</v>
      </c>
      <c r="AB342" s="76">
        <v>2</v>
      </c>
      <c r="AC342" s="76">
        <v>0</v>
      </c>
      <c r="AD342" s="76">
        <v>6</v>
      </c>
      <c r="AE342" s="76">
        <v>12</v>
      </c>
      <c r="AF342" s="76">
        <v>0</v>
      </c>
      <c r="AG342" s="76">
        <v>0</v>
      </c>
      <c r="AH342" s="76">
        <v>1</v>
      </c>
      <c r="AI342" s="76">
        <v>1</v>
      </c>
      <c r="AJ342" s="76">
        <v>0</v>
      </c>
      <c r="AK342" s="76">
        <v>40</v>
      </c>
      <c r="AL342" s="76">
        <v>170</v>
      </c>
      <c r="AM342" s="202"/>
      <c r="AN342" s="77"/>
      <c r="AO342" s="202"/>
      <c r="AP342" s="202"/>
      <c r="AQ342" s="202"/>
      <c r="AR342" s="202"/>
      <c r="AS342" s="202"/>
      <c r="AT342" s="202"/>
      <c r="AU342" s="202"/>
      <c r="AV342" s="202"/>
      <c r="AW342" s="202"/>
      <c r="AX342" s="202"/>
      <c r="AY342" s="202"/>
    </row>
    <row r="343" spans="1:51" ht="38.25" x14ac:dyDescent="0.2">
      <c r="A343" s="76">
        <v>13</v>
      </c>
      <c r="B343" s="77" t="s">
        <v>775</v>
      </c>
      <c r="C343" s="76" t="s">
        <v>170</v>
      </c>
      <c r="D343" s="76">
        <v>7</v>
      </c>
      <c r="E343" s="76">
        <v>7</v>
      </c>
      <c r="F343" s="76">
        <v>3.92</v>
      </c>
      <c r="G343" s="76">
        <v>60</v>
      </c>
      <c r="H343" s="76">
        <v>0</v>
      </c>
      <c r="I343" s="76">
        <v>2</v>
      </c>
      <c r="J343" s="76">
        <v>3</v>
      </c>
      <c r="K343" s="76">
        <v>59.2</v>
      </c>
      <c r="L343" s="76">
        <v>55</v>
      </c>
      <c r="M343" s="76">
        <v>27</v>
      </c>
      <c r="N343" s="76">
        <v>26</v>
      </c>
      <c r="O343" s="76">
        <v>8</v>
      </c>
      <c r="P343" s="76">
        <v>22</v>
      </c>
      <c r="Q343" s="76">
        <v>42</v>
      </c>
      <c r="R343" s="76">
        <v>0.24199999999999999</v>
      </c>
      <c r="S343" s="76">
        <v>1.29</v>
      </c>
      <c r="T343" s="76">
        <v>13</v>
      </c>
      <c r="U343" s="77" t="s">
        <v>775</v>
      </c>
      <c r="V343" s="76" t="s">
        <v>170</v>
      </c>
      <c r="W343" s="76">
        <v>0</v>
      </c>
      <c r="X343" s="76">
        <v>0</v>
      </c>
      <c r="Y343" s="76">
        <v>0</v>
      </c>
      <c r="Z343" s="76">
        <v>2</v>
      </c>
      <c r="AA343" s="76">
        <v>17</v>
      </c>
      <c r="AB343" s="76">
        <v>9</v>
      </c>
      <c r="AC343" s="76">
        <v>2</v>
      </c>
      <c r="AD343" s="76">
        <v>56</v>
      </c>
      <c r="AE343" s="76">
        <v>78</v>
      </c>
      <c r="AF343" s="76">
        <v>2</v>
      </c>
      <c r="AG343" s="76">
        <v>0</v>
      </c>
      <c r="AH343" s="76">
        <v>7</v>
      </c>
      <c r="AI343" s="76">
        <v>1</v>
      </c>
      <c r="AJ343" s="76">
        <v>0</v>
      </c>
      <c r="AK343" s="76">
        <v>253</v>
      </c>
      <c r="AL343" s="76">
        <v>1025</v>
      </c>
      <c r="AM343" s="202"/>
      <c r="AN343" s="77"/>
      <c r="AO343" s="202"/>
      <c r="AP343" s="202"/>
      <c r="AQ343" s="202"/>
      <c r="AR343" s="202"/>
      <c r="AS343" s="202"/>
      <c r="AT343" s="202"/>
      <c r="AU343" s="202"/>
      <c r="AV343" s="202"/>
      <c r="AW343" s="202"/>
      <c r="AX343" s="202"/>
      <c r="AY343" s="202"/>
    </row>
    <row r="344" spans="1:51" ht="25.5" x14ac:dyDescent="0.2">
      <c r="A344" s="76">
        <v>14</v>
      </c>
      <c r="B344" s="77" t="s">
        <v>446</v>
      </c>
      <c r="C344" s="76" t="s">
        <v>170</v>
      </c>
      <c r="D344" s="76">
        <v>1</v>
      </c>
      <c r="E344" s="76">
        <v>2</v>
      </c>
      <c r="F344" s="76">
        <v>4.0199999999999996</v>
      </c>
      <c r="G344" s="76">
        <v>3</v>
      </c>
      <c r="H344" s="76">
        <v>2</v>
      </c>
      <c r="I344" s="76">
        <v>0</v>
      </c>
      <c r="J344" s="76">
        <v>0</v>
      </c>
      <c r="K344" s="76">
        <v>15.2</v>
      </c>
      <c r="L344" s="76">
        <v>12</v>
      </c>
      <c r="M344" s="76">
        <v>7</v>
      </c>
      <c r="N344" s="76">
        <v>7</v>
      </c>
      <c r="O344" s="76">
        <v>3</v>
      </c>
      <c r="P344" s="76">
        <v>3</v>
      </c>
      <c r="Q344" s="76">
        <v>13</v>
      </c>
      <c r="R344" s="76">
        <v>0.218</v>
      </c>
      <c r="S344" s="76">
        <v>0.96</v>
      </c>
      <c r="T344" s="76">
        <v>14</v>
      </c>
      <c r="U344" s="77" t="s">
        <v>446</v>
      </c>
      <c r="V344" s="76" t="s">
        <v>170</v>
      </c>
      <c r="W344" s="76">
        <v>0</v>
      </c>
      <c r="X344" s="76">
        <v>0</v>
      </c>
      <c r="Y344" s="76">
        <v>0</v>
      </c>
      <c r="Z344" s="76">
        <v>0</v>
      </c>
      <c r="AA344" s="76">
        <v>0</v>
      </c>
      <c r="AB344" s="76">
        <v>0</v>
      </c>
      <c r="AC344" s="76">
        <v>5</v>
      </c>
      <c r="AD344" s="76">
        <v>16</v>
      </c>
      <c r="AE344" s="76">
        <v>14</v>
      </c>
      <c r="AF344" s="76">
        <v>2</v>
      </c>
      <c r="AG344" s="76">
        <v>0</v>
      </c>
      <c r="AH344" s="76">
        <v>1</v>
      </c>
      <c r="AI344" s="76">
        <v>0</v>
      </c>
      <c r="AJ344" s="76">
        <v>0</v>
      </c>
      <c r="AK344" s="76">
        <v>58</v>
      </c>
      <c r="AL344" s="76">
        <v>204</v>
      </c>
      <c r="AM344" s="202"/>
      <c r="AN344" s="77"/>
      <c r="AO344" s="202"/>
      <c r="AP344" s="202"/>
      <c r="AQ344" s="202"/>
      <c r="AR344" s="202"/>
      <c r="AS344" s="202"/>
      <c r="AT344" s="202"/>
      <c r="AU344" s="202"/>
      <c r="AV344" s="202"/>
      <c r="AW344" s="202"/>
      <c r="AX344" s="202"/>
      <c r="AY344" s="202"/>
    </row>
    <row r="345" spans="1:51" ht="25.5" x14ac:dyDescent="0.2">
      <c r="A345" s="76">
        <v>15</v>
      </c>
      <c r="B345" s="77" t="s">
        <v>556</v>
      </c>
      <c r="C345" s="76" t="s">
        <v>170</v>
      </c>
      <c r="D345" s="76">
        <v>2</v>
      </c>
      <c r="E345" s="76">
        <v>7</v>
      </c>
      <c r="F345" s="76">
        <v>4.28</v>
      </c>
      <c r="G345" s="76">
        <v>11</v>
      </c>
      <c r="H345" s="76">
        <v>11</v>
      </c>
      <c r="I345" s="76">
        <v>0</v>
      </c>
      <c r="J345" s="76">
        <v>0</v>
      </c>
      <c r="K345" s="76">
        <v>67.099999999999994</v>
      </c>
      <c r="L345" s="76">
        <v>69</v>
      </c>
      <c r="M345" s="76">
        <v>33</v>
      </c>
      <c r="N345" s="76">
        <v>32</v>
      </c>
      <c r="O345" s="76">
        <v>9</v>
      </c>
      <c r="P345" s="76">
        <v>27</v>
      </c>
      <c r="Q345" s="76">
        <v>57</v>
      </c>
      <c r="R345" s="76">
        <v>0.27200000000000002</v>
      </c>
      <c r="S345" s="76">
        <v>1.43</v>
      </c>
      <c r="T345" s="76">
        <v>15</v>
      </c>
      <c r="U345" s="77" t="s">
        <v>556</v>
      </c>
      <c r="V345" s="76" t="s">
        <v>170</v>
      </c>
      <c r="W345" s="76">
        <v>0</v>
      </c>
      <c r="X345" s="76">
        <v>0</v>
      </c>
      <c r="Y345" s="76">
        <v>1</v>
      </c>
      <c r="Z345" s="76">
        <v>2</v>
      </c>
      <c r="AA345" s="76">
        <v>0</v>
      </c>
      <c r="AB345" s="76">
        <v>0</v>
      </c>
      <c r="AC345" s="76">
        <v>11</v>
      </c>
      <c r="AD345" s="76">
        <v>71</v>
      </c>
      <c r="AE345" s="76">
        <v>59</v>
      </c>
      <c r="AF345" s="76">
        <v>3</v>
      </c>
      <c r="AG345" s="76">
        <v>0</v>
      </c>
      <c r="AH345" s="76">
        <v>8</v>
      </c>
      <c r="AI345" s="76">
        <v>2</v>
      </c>
      <c r="AJ345" s="76">
        <v>0</v>
      </c>
      <c r="AK345" s="76">
        <v>284</v>
      </c>
      <c r="AL345" s="76">
        <v>1081</v>
      </c>
      <c r="AM345" s="202"/>
      <c r="AN345" s="77"/>
      <c r="AO345" s="202"/>
      <c r="AP345" s="202"/>
      <c r="AQ345" s="202"/>
      <c r="AR345" s="202"/>
      <c r="AS345" s="202"/>
      <c r="AT345" s="202"/>
      <c r="AU345" s="202"/>
      <c r="AV345" s="202"/>
      <c r="AW345" s="202"/>
      <c r="AX345" s="202"/>
      <c r="AY345" s="202"/>
    </row>
    <row r="346" spans="1:51" ht="25.5" x14ac:dyDescent="0.2">
      <c r="A346" s="76">
        <v>16</v>
      </c>
      <c r="B346" s="77" t="s">
        <v>1487</v>
      </c>
      <c r="C346" s="76" t="s">
        <v>170</v>
      </c>
      <c r="D346" s="76">
        <v>0</v>
      </c>
      <c r="E346" s="76">
        <v>0</v>
      </c>
      <c r="F346" s="76">
        <v>4.5</v>
      </c>
      <c r="G346" s="76">
        <v>1</v>
      </c>
      <c r="H346" s="76">
        <v>0</v>
      </c>
      <c r="I346" s="76">
        <v>0</v>
      </c>
      <c r="J346" s="76">
        <v>0</v>
      </c>
      <c r="K346" s="76">
        <v>2</v>
      </c>
      <c r="L346" s="76">
        <v>3</v>
      </c>
      <c r="M346" s="76">
        <v>1</v>
      </c>
      <c r="N346" s="76">
        <v>1</v>
      </c>
      <c r="O346" s="76">
        <v>0</v>
      </c>
      <c r="P346" s="76">
        <v>1</v>
      </c>
      <c r="Q346" s="76">
        <v>0</v>
      </c>
      <c r="R346" s="76">
        <v>0.375</v>
      </c>
      <c r="S346" s="76">
        <v>2</v>
      </c>
      <c r="T346" s="76">
        <v>16</v>
      </c>
      <c r="U346" s="77" t="s">
        <v>1487</v>
      </c>
      <c r="V346" s="76" t="s">
        <v>170</v>
      </c>
      <c r="W346" s="76">
        <v>0</v>
      </c>
      <c r="X346" s="76">
        <v>0</v>
      </c>
      <c r="Y346" s="76">
        <v>0</v>
      </c>
      <c r="Z346" s="76">
        <v>0</v>
      </c>
      <c r="AA346" s="76">
        <v>1</v>
      </c>
      <c r="AB346" s="76">
        <v>0</v>
      </c>
      <c r="AC346" s="76">
        <v>0</v>
      </c>
      <c r="AD346" s="76">
        <v>2</v>
      </c>
      <c r="AE346" s="76">
        <v>3</v>
      </c>
      <c r="AF346" s="76">
        <v>0</v>
      </c>
      <c r="AG346" s="76">
        <v>0</v>
      </c>
      <c r="AH346" s="76">
        <v>0</v>
      </c>
      <c r="AI346" s="76">
        <v>0</v>
      </c>
      <c r="AJ346" s="76">
        <v>0</v>
      </c>
      <c r="AK346" s="76">
        <v>9</v>
      </c>
      <c r="AL346" s="76">
        <v>22</v>
      </c>
      <c r="AM346" s="202"/>
      <c r="AN346" s="77"/>
      <c r="AO346" s="202"/>
      <c r="AP346" s="202"/>
      <c r="AQ346" s="202"/>
      <c r="AR346" s="202"/>
      <c r="AS346" s="202"/>
      <c r="AT346" s="202"/>
      <c r="AU346" s="202"/>
      <c r="AV346" s="202"/>
      <c r="AW346" s="202"/>
      <c r="AX346" s="202"/>
      <c r="AY346" s="202"/>
    </row>
    <row r="347" spans="1:51" ht="25.5" x14ac:dyDescent="0.2">
      <c r="A347" s="76">
        <v>16</v>
      </c>
      <c r="B347" s="77" t="s">
        <v>521</v>
      </c>
      <c r="C347" s="76" t="s">
        <v>170</v>
      </c>
      <c r="D347" s="76">
        <v>1</v>
      </c>
      <c r="E347" s="76">
        <v>0</v>
      </c>
      <c r="F347" s="76">
        <v>4.5</v>
      </c>
      <c r="G347" s="76">
        <v>4</v>
      </c>
      <c r="H347" s="76">
        <v>0</v>
      </c>
      <c r="I347" s="76">
        <v>0</v>
      </c>
      <c r="J347" s="76">
        <v>0</v>
      </c>
      <c r="K347" s="76">
        <v>4</v>
      </c>
      <c r="L347" s="76">
        <v>5</v>
      </c>
      <c r="M347" s="76">
        <v>2</v>
      </c>
      <c r="N347" s="76">
        <v>2</v>
      </c>
      <c r="O347" s="76">
        <v>1</v>
      </c>
      <c r="P347" s="76">
        <v>1</v>
      </c>
      <c r="Q347" s="76">
        <v>3</v>
      </c>
      <c r="R347" s="76">
        <v>0.33300000000000002</v>
      </c>
      <c r="S347" s="76">
        <v>1.5</v>
      </c>
      <c r="T347" s="76">
        <v>16</v>
      </c>
      <c r="U347" s="77" t="s">
        <v>521</v>
      </c>
      <c r="V347" s="76" t="s">
        <v>170</v>
      </c>
      <c r="W347" s="76">
        <v>0</v>
      </c>
      <c r="X347" s="76">
        <v>0</v>
      </c>
      <c r="Y347" s="76">
        <v>1</v>
      </c>
      <c r="Z347" s="76">
        <v>0</v>
      </c>
      <c r="AA347" s="76">
        <v>1</v>
      </c>
      <c r="AB347" s="76">
        <v>0</v>
      </c>
      <c r="AC347" s="76">
        <v>1</v>
      </c>
      <c r="AD347" s="76">
        <v>2</v>
      </c>
      <c r="AE347" s="76">
        <v>5</v>
      </c>
      <c r="AF347" s="76">
        <v>0</v>
      </c>
      <c r="AG347" s="76">
        <v>0</v>
      </c>
      <c r="AH347" s="76">
        <v>0</v>
      </c>
      <c r="AI347" s="76">
        <v>0</v>
      </c>
      <c r="AJ347" s="76">
        <v>0</v>
      </c>
      <c r="AK347" s="76">
        <v>17</v>
      </c>
      <c r="AL347" s="76">
        <v>56</v>
      </c>
      <c r="AM347" s="202"/>
      <c r="AN347" s="77"/>
      <c r="AO347" s="202"/>
      <c r="AP347" s="202"/>
      <c r="AQ347" s="202"/>
      <c r="AR347" s="202"/>
      <c r="AS347" s="202"/>
      <c r="AT347" s="202"/>
      <c r="AU347" s="202"/>
      <c r="AV347" s="202"/>
      <c r="AW347" s="202"/>
      <c r="AX347" s="202"/>
      <c r="AY347" s="202"/>
    </row>
    <row r="348" spans="1:51" ht="25.5" x14ac:dyDescent="0.2">
      <c r="A348" s="76">
        <v>18</v>
      </c>
      <c r="B348" s="77" t="s">
        <v>613</v>
      </c>
      <c r="C348" s="76" t="s">
        <v>170</v>
      </c>
      <c r="D348" s="76">
        <v>0</v>
      </c>
      <c r="E348" s="76">
        <v>5</v>
      </c>
      <c r="F348" s="76">
        <v>4.5199999999999996</v>
      </c>
      <c r="G348" s="76">
        <v>71</v>
      </c>
      <c r="H348" s="76">
        <v>0</v>
      </c>
      <c r="I348" s="76">
        <v>13</v>
      </c>
      <c r="J348" s="76">
        <v>19</v>
      </c>
      <c r="K348" s="76">
        <v>69.2</v>
      </c>
      <c r="L348" s="76">
        <v>65</v>
      </c>
      <c r="M348" s="76">
        <v>37</v>
      </c>
      <c r="N348" s="76">
        <v>35</v>
      </c>
      <c r="O348" s="76">
        <v>7</v>
      </c>
      <c r="P348" s="76">
        <v>23</v>
      </c>
      <c r="Q348" s="76">
        <v>72</v>
      </c>
      <c r="R348" s="76">
        <v>0.23799999999999999</v>
      </c>
      <c r="S348" s="76">
        <v>1.26</v>
      </c>
      <c r="T348" s="76">
        <v>18</v>
      </c>
      <c r="U348" s="77" t="s">
        <v>613</v>
      </c>
      <c r="V348" s="76" t="s">
        <v>170</v>
      </c>
      <c r="W348" s="76">
        <v>0</v>
      </c>
      <c r="X348" s="76">
        <v>0</v>
      </c>
      <c r="Y348" s="76">
        <v>2</v>
      </c>
      <c r="Z348" s="76">
        <v>5</v>
      </c>
      <c r="AA348" s="76">
        <v>36</v>
      </c>
      <c r="AB348" s="76">
        <v>13</v>
      </c>
      <c r="AC348" s="76">
        <v>2</v>
      </c>
      <c r="AD348" s="76">
        <v>57</v>
      </c>
      <c r="AE348" s="76">
        <v>80</v>
      </c>
      <c r="AF348" s="76">
        <v>3</v>
      </c>
      <c r="AG348" s="76">
        <v>0</v>
      </c>
      <c r="AH348" s="76">
        <v>3</v>
      </c>
      <c r="AI348" s="76">
        <v>1</v>
      </c>
      <c r="AJ348" s="76">
        <v>0</v>
      </c>
      <c r="AK348" s="76">
        <v>300</v>
      </c>
      <c r="AL348" s="76">
        <v>1229</v>
      </c>
      <c r="AM348" s="202"/>
      <c r="AN348" s="77"/>
      <c r="AO348" s="202"/>
      <c r="AP348" s="202"/>
      <c r="AQ348" s="202"/>
      <c r="AR348" s="202"/>
      <c r="AS348" s="202"/>
      <c r="AT348" s="202"/>
      <c r="AU348" s="202"/>
      <c r="AV348" s="202"/>
      <c r="AW348" s="202"/>
      <c r="AX348" s="202"/>
      <c r="AY348" s="202"/>
    </row>
    <row r="349" spans="1:51" ht="25.5" x14ac:dyDescent="0.2">
      <c r="A349" s="76">
        <v>19</v>
      </c>
      <c r="B349" s="77" t="s">
        <v>442</v>
      </c>
      <c r="C349" s="76" t="s">
        <v>170</v>
      </c>
      <c r="D349" s="76">
        <v>4</v>
      </c>
      <c r="E349" s="76">
        <v>7</v>
      </c>
      <c r="F349" s="76">
        <v>4.76</v>
      </c>
      <c r="G349" s="76">
        <v>16</v>
      </c>
      <c r="H349" s="76">
        <v>16</v>
      </c>
      <c r="I349" s="76">
        <v>0</v>
      </c>
      <c r="J349" s="76">
        <v>0</v>
      </c>
      <c r="K349" s="76">
        <v>79.099999999999994</v>
      </c>
      <c r="L349" s="76">
        <v>80</v>
      </c>
      <c r="M349" s="76">
        <v>47</v>
      </c>
      <c r="N349" s="76">
        <v>42</v>
      </c>
      <c r="O349" s="76">
        <v>13</v>
      </c>
      <c r="P349" s="76">
        <v>30</v>
      </c>
      <c r="Q349" s="76">
        <v>67</v>
      </c>
      <c r="R349" s="76">
        <v>0.26400000000000001</v>
      </c>
      <c r="S349" s="76">
        <v>1.39</v>
      </c>
      <c r="T349" s="76">
        <v>19</v>
      </c>
      <c r="U349" s="77" t="s">
        <v>442</v>
      </c>
      <c r="V349" s="76" t="s">
        <v>170</v>
      </c>
      <c r="W349" s="76">
        <v>0</v>
      </c>
      <c r="X349" s="76">
        <v>0</v>
      </c>
      <c r="Y349" s="76">
        <v>6</v>
      </c>
      <c r="Z349" s="76">
        <v>0</v>
      </c>
      <c r="AA349" s="76">
        <v>0</v>
      </c>
      <c r="AB349" s="76">
        <v>0</v>
      </c>
      <c r="AC349" s="76">
        <v>10</v>
      </c>
      <c r="AD349" s="76">
        <v>94</v>
      </c>
      <c r="AE349" s="76">
        <v>69</v>
      </c>
      <c r="AF349" s="76">
        <v>1</v>
      </c>
      <c r="AG349" s="76">
        <v>0</v>
      </c>
      <c r="AH349" s="76">
        <v>4</v>
      </c>
      <c r="AI349" s="76">
        <v>2</v>
      </c>
      <c r="AJ349" s="76">
        <v>0</v>
      </c>
      <c r="AK349" s="76">
        <v>347</v>
      </c>
      <c r="AL349" s="76">
        <v>1399</v>
      </c>
      <c r="AM349" s="202"/>
      <c r="AN349" s="77"/>
      <c r="AO349" s="202"/>
      <c r="AP349" s="202"/>
      <c r="AQ349" s="202"/>
      <c r="AR349" s="202"/>
      <c r="AS349" s="202"/>
      <c r="AT349" s="202"/>
      <c r="AU349" s="202"/>
      <c r="AV349" s="202"/>
      <c r="AW349" s="202"/>
      <c r="AX349" s="202"/>
      <c r="AY349" s="202"/>
    </row>
    <row r="350" spans="1:51" ht="25.5" x14ac:dyDescent="0.2">
      <c r="A350" s="76">
        <v>20</v>
      </c>
      <c r="B350" s="77" t="s">
        <v>758</v>
      </c>
      <c r="C350" s="76" t="s">
        <v>170</v>
      </c>
      <c r="D350" s="76">
        <v>5</v>
      </c>
      <c r="E350" s="76">
        <v>12</v>
      </c>
      <c r="F350" s="76">
        <v>4.8</v>
      </c>
      <c r="G350" s="76">
        <v>24</v>
      </c>
      <c r="H350" s="76">
        <v>23</v>
      </c>
      <c r="I350" s="76">
        <v>0</v>
      </c>
      <c r="J350" s="76">
        <v>0</v>
      </c>
      <c r="K350" s="76">
        <v>129.1</v>
      </c>
      <c r="L350" s="76">
        <v>131</v>
      </c>
      <c r="M350" s="76">
        <v>74</v>
      </c>
      <c r="N350" s="76">
        <v>69</v>
      </c>
      <c r="O350" s="76">
        <v>13</v>
      </c>
      <c r="P350" s="76">
        <v>52</v>
      </c>
      <c r="Q350" s="76">
        <v>100</v>
      </c>
      <c r="R350" s="76">
        <v>0.25900000000000001</v>
      </c>
      <c r="S350" s="76">
        <v>1.41</v>
      </c>
      <c r="T350" s="76">
        <v>20</v>
      </c>
      <c r="U350" s="77" t="s">
        <v>758</v>
      </c>
      <c r="V350" s="76" t="s">
        <v>170</v>
      </c>
      <c r="W350" s="76">
        <v>0</v>
      </c>
      <c r="X350" s="76">
        <v>0</v>
      </c>
      <c r="Y350" s="76">
        <v>2</v>
      </c>
      <c r="Z350" s="76">
        <v>2</v>
      </c>
      <c r="AA350" s="76">
        <v>0</v>
      </c>
      <c r="AB350" s="76">
        <v>0</v>
      </c>
      <c r="AC350" s="76">
        <v>7</v>
      </c>
      <c r="AD350" s="76">
        <v>140</v>
      </c>
      <c r="AE350" s="76">
        <v>142</v>
      </c>
      <c r="AF350" s="76">
        <v>7</v>
      </c>
      <c r="AG350" s="76">
        <v>0</v>
      </c>
      <c r="AH350" s="76">
        <v>1</v>
      </c>
      <c r="AI350" s="76">
        <v>1</v>
      </c>
      <c r="AJ350" s="76">
        <v>0</v>
      </c>
      <c r="AK350" s="76">
        <v>567</v>
      </c>
      <c r="AL350" s="76">
        <v>2139</v>
      </c>
      <c r="AM350" s="202"/>
      <c r="AN350" s="77"/>
      <c r="AO350" s="202"/>
      <c r="AP350" s="202"/>
      <c r="AQ350" s="202"/>
      <c r="AR350" s="202"/>
      <c r="AS350" s="202"/>
      <c r="AT350" s="202"/>
      <c r="AU350" s="202"/>
      <c r="AV350" s="202"/>
      <c r="AW350" s="202"/>
      <c r="AX350" s="202"/>
      <c r="AY350" s="202"/>
    </row>
    <row r="351" spans="1:51" ht="25.5" x14ac:dyDescent="0.2">
      <c r="A351" s="76">
        <v>21</v>
      </c>
      <c r="B351" s="77" t="s">
        <v>1154</v>
      </c>
      <c r="C351" s="76" t="s">
        <v>170</v>
      </c>
      <c r="D351" s="76">
        <v>5</v>
      </c>
      <c r="E351" s="76">
        <v>5</v>
      </c>
      <c r="F351" s="76">
        <v>4.9800000000000004</v>
      </c>
      <c r="G351" s="76">
        <v>19</v>
      </c>
      <c r="H351" s="76">
        <v>18</v>
      </c>
      <c r="I351" s="76">
        <v>0</v>
      </c>
      <c r="J351" s="76">
        <v>0</v>
      </c>
      <c r="K351" s="76">
        <v>99.1</v>
      </c>
      <c r="L351" s="76">
        <v>101</v>
      </c>
      <c r="M351" s="76">
        <v>63</v>
      </c>
      <c r="N351" s="76">
        <v>55</v>
      </c>
      <c r="O351" s="76">
        <v>12</v>
      </c>
      <c r="P351" s="76">
        <v>44</v>
      </c>
      <c r="Q351" s="76">
        <v>76</v>
      </c>
      <c r="R351" s="76">
        <v>0.26200000000000001</v>
      </c>
      <c r="S351" s="76">
        <v>1.46</v>
      </c>
      <c r="T351" s="76">
        <v>21</v>
      </c>
      <c r="U351" s="77" t="s">
        <v>1154</v>
      </c>
      <c r="V351" s="76" t="s">
        <v>170</v>
      </c>
      <c r="W351" s="76">
        <v>0</v>
      </c>
      <c r="X351" s="76">
        <v>0</v>
      </c>
      <c r="Y351" s="76">
        <v>8</v>
      </c>
      <c r="Z351" s="76">
        <v>4</v>
      </c>
      <c r="AA351" s="76">
        <v>0</v>
      </c>
      <c r="AB351" s="76">
        <v>0</v>
      </c>
      <c r="AC351" s="76">
        <v>10</v>
      </c>
      <c r="AD351" s="76">
        <v>113</v>
      </c>
      <c r="AE351" s="76">
        <v>100</v>
      </c>
      <c r="AF351" s="76">
        <v>0</v>
      </c>
      <c r="AG351" s="76">
        <v>1</v>
      </c>
      <c r="AH351" s="76">
        <v>13</v>
      </c>
      <c r="AI351" s="76">
        <v>2</v>
      </c>
      <c r="AJ351" s="76">
        <v>0</v>
      </c>
      <c r="AK351" s="76">
        <v>443</v>
      </c>
      <c r="AL351" s="76">
        <v>1717</v>
      </c>
      <c r="AM351" s="202"/>
      <c r="AN351" s="77"/>
      <c r="AO351" s="202"/>
      <c r="AP351" s="202"/>
      <c r="AQ351" s="202"/>
      <c r="AR351" s="202"/>
      <c r="AS351" s="202"/>
      <c r="AT351" s="202"/>
      <c r="AU351" s="202"/>
      <c r="AV351" s="202"/>
      <c r="AW351" s="202"/>
      <c r="AX351" s="202"/>
      <c r="AY351" s="202"/>
    </row>
    <row r="352" spans="1:51" ht="25.5" x14ac:dyDescent="0.2">
      <c r="A352" s="76">
        <v>22</v>
      </c>
      <c r="B352" s="77" t="s">
        <v>1488</v>
      </c>
      <c r="C352" s="76" t="s">
        <v>170</v>
      </c>
      <c r="D352" s="76">
        <v>0</v>
      </c>
      <c r="E352" s="76">
        <v>3</v>
      </c>
      <c r="F352" s="76">
        <v>5.03</v>
      </c>
      <c r="G352" s="76">
        <v>7</v>
      </c>
      <c r="H352" s="76">
        <v>7</v>
      </c>
      <c r="I352" s="76">
        <v>0</v>
      </c>
      <c r="J352" s="76">
        <v>0</v>
      </c>
      <c r="K352" s="76">
        <v>34</v>
      </c>
      <c r="L352" s="76">
        <v>41</v>
      </c>
      <c r="M352" s="76">
        <v>19</v>
      </c>
      <c r="N352" s="76">
        <v>19</v>
      </c>
      <c r="O352" s="76">
        <v>5</v>
      </c>
      <c r="P352" s="76">
        <v>15</v>
      </c>
      <c r="Q352" s="76">
        <v>28</v>
      </c>
      <c r="R352" s="76">
        <v>0.30099999999999999</v>
      </c>
      <c r="S352" s="76">
        <v>1.65</v>
      </c>
      <c r="T352" s="76">
        <v>22</v>
      </c>
      <c r="U352" s="77" t="s">
        <v>1488</v>
      </c>
      <c r="V352" s="76" t="s">
        <v>170</v>
      </c>
      <c r="W352" s="76">
        <v>0</v>
      </c>
      <c r="X352" s="76">
        <v>0</v>
      </c>
      <c r="Y352" s="76">
        <v>1</v>
      </c>
      <c r="Z352" s="76">
        <v>1</v>
      </c>
      <c r="AA352" s="76">
        <v>0</v>
      </c>
      <c r="AB352" s="76">
        <v>0</v>
      </c>
      <c r="AC352" s="76">
        <v>3</v>
      </c>
      <c r="AD352" s="76">
        <v>45</v>
      </c>
      <c r="AE352" s="76">
        <v>24</v>
      </c>
      <c r="AF352" s="76">
        <v>0</v>
      </c>
      <c r="AG352" s="76">
        <v>0</v>
      </c>
      <c r="AH352" s="76">
        <v>0</v>
      </c>
      <c r="AI352" s="76">
        <v>1</v>
      </c>
      <c r="AJ352" s="76">
        <v>0</v>
      </c>
      <c r="AK352" s="76">
        <v>154</v>
      </c>
      <c r="AL352" s="76">
        <v>607</v>
      </c>
      <c r="AM352" s="202"/>
      <c r="AN352" s="77"/>
      <c r="AO352" s="202"/>
      <c r="AP352" s="202"/>
      <c r="AQ352" s="202"/>
      <c r="AR352" s="202"/>
      <c r="AS352" s="202"/>
      <c r="AT352" s="202"/>
      <c r="AU352" s="202"/>
      <c r="AV352" s="202"/>
      <c r="AW352" s="202"/>
      <c r="AX352" s="202"/>
      <c r="AY352" s="202"/>
    </row>
    <row r="353" spans="1:51" ht="25.5" x14ac:dyDescent="0.2">
      <c r="A353" s="76">
        <v>23</v>
      </c>
      <c r="B353" s="77" t="s">
        <v>378</v>
      </c>
      <c r="C353" s="76" t="s">
        <v>170</v>
      </c>
      <c r="D353" s="76">
        <v>1</v>
      </c>
      <c r="E353" s="76">
        <v>0</v>
      </c>
      <c r="F353" s="76">
        <v>5.05</v>
      </c>
      <c r="G353" s="76">
        <v>34</v>
      </c>
      <c r="H353" s="76">
        <v>0</v>
      </c>
      <c r="I353" s="76">
        <v>0</v>
      </c>
      <c r="J353" s="76">
        <v>1</v>
      </c>
      <c r="K353" s="76">
        <v>35.200000000000003</v>
      </c>
      <c r="L353" s="76">
        <v>34</v>
      </c>
      <c r="M353" s="76">
        <v>23</v>
      </c>
      <c r="N353" s="76">
        <v>20</v>
      </c>
      <c r="O353" s="76">
        <v>5</v>
      </c>
      <c r="P353" s="76">
        <v>17</v>
      </c>
      <c r="Q353" s="76">
        <v>20</v>
      </c>
      <c r="R353" s="76">
        <v>0.25800000000000001</v>
      </c>
      <c r="S353" s="76">
        <v>1.43</v>
      </c>
      <c r="T353" s="76">
        <v>23</v>
      </c>
      <c r="U353" s="77" t="s">
        <v>378</v>
      </c>
      <c r="V353" s="76" t="s">
        <v>170</v>
      </c>
      <c r="W353" s="76">
        <v>0</v>
      </c>
      <c r="X353" s="76">
        <v>0</v>
      </c>
      <c r="Y353" s="76">
        <v>4</v>
      </c>
      <c r="Z353" s="76">
        <v>1</v>
      </c>
      <c r="AA353" s="76">
        <v>6</v>
      </c>
      <c r="AB353" s="76">
        <v>1</v>
      </c>
      <c r="AC353" s="76">
        <v>8</v>
      </c>
      <c r="AD353" s="76">
        <v>39</v>
      </c>
      <c r="AE353" s="76">
        <v>41</v>
      </c>
      <c r="AF353" s="76">
        <v>2</v>
      </c>
      <c r="AG353" s="76">
        <v>0</v>
      </c>
      <c r="AH353" s="76">
        <v>6</v>
      </c>
      <c r="AI353" s="76">
        <v>1</v>
      </c>
      <c r="AJ353" s="76">
        <v>0</v>
      </c>
      <c r="AK353" s="76">
        <v>155</v>
      </c>
      <c r="AL353" s="76">
        <v>597</v>
      </c>
      <c r="AM353" s="202"/>
      <c r="AN353" s="77"/>
      <c r="AO353" s="202"/>
      <c r="AP353" s="202"/>
      <c r="AQ353" s="202"/>
      <c r="AR353" s="202"/>
      <c r="AS353" s="202"/>
      <c r="AT353" s="202"/>
      <c r="AU353" s="202"/>
      <c r="AV353" s="202"/>
      <c r="AW353" s="202"/>
      <c r="AX353" s="202"/>
      <c r="AY353" s="202"/>
    </row>
    <row r="354" spans="1:51" ht="25.5" x14ac:dyDescent="0.2">
      <c r="A354" s="76">
        <v>24</v>
      </c>
      <c r="B354" s="77" t="s">
        <v>1489</v>
      </c>
      <c r="C354" s="76" t="s">
        <v>170</v>
      </c>
      <c r="D354" s="76">
        <v>9</v>
      </c>
      <c r="E354" s="76">
        <v>10</v>
      </c>
      <c r="F354" s="76">
        <v>5.71</v>
      </c>
      <c r="G354" s="76">
        <v>35</v>
      </c>
      <c r="H354" s="76">
        <v>20</v>
      </c>
      <c r="I354" s="76">
        <v>0</v>
      </c>
      <c r="J354" s="76">
        <v>0</v>
      </c>
      <c r="K354" s="76">
        <v>146.19999999999999</v>
      </c>
      <c r="L354" s="76">
        <v>187</v>
      </c>
      <c r="M354" s="76">
        <v>99</v>
      </c>
      <c r="N354" s="76">
        <v>93</v>
      </c>
      <c r="O354" s="76">
        <v>23</v>
      </c>
      <c r="P354" s="76">
        <v>46</v>
      </c>
      <c r="Q354" s="76">
        <v>105</v>
      </c>
      <c r="R354" s="76">
        <v>0.31</v>
      </c>
      <c r="S354" s="76">
        <v>1.59</v>
      </c>
      <c r="T354" s="76">
        <v>24</v>
      </c>
      <c r="U354" s="77" t="s">
        <v>1489</v>
      </c>
      <c r="V354" s="76" t="s">
        <v>170</v>
      </c>
      <c r="W354" s="76">
        <v>1</v>
      </c>
      <c r="X354" s="76">
        <v>0</v>
      </c>
      <c r="Y354" s="76">
        <v>7</v>
      </c>
      <c r="Z354" s="76">
        <v>7</v>
      </c>
      <c r="AA354" s="76">
        <v>8</v>
      </c>
      <c r="AB354" s="76">
        <v>0</v>
      </c>
      <c r="AC354" s="76">
        <v>20</v>
      </c>
      <c r="AD354" s="76">
        <v>216</v>
      </c>
      <c r="AE354" s="76">
        <v>100</v>
      </c>
      <c r="AF354" s="76">
        <v>10</v>
      </c>
      <c r="AG354" s="76">
        <v>0</v>
      </c>
      <c r="AH354" s="76">
        <v>12</v>
      </c>
      <c r="AI354" s="76">
        <v>0</v>
      </c>
      <c r="AJ354" s="76">
        <v>1</v>
      </c>
      <c r="AK354" s="76">
        <v>662</v>
      </c>
      <c r="AL354" s="76">
        <v>2371</v>
      </c>
      <c r="AM354" s="102"/>
      <c r="AN354" s="102"/>
      <c r="AO354" s="102"/>
      <c r="AP354" s="102"/>
      <c r="AQ354" s="102"/>
      <c r="AR354" s="102"/>
      <c r="AS354" s="102"/>
      <c r="AT354" s="102"/>
      <c r="AU354" s="102"/>
      <c r="AV354" s="102"/>
      <c r="AW354" s="102"/>
      <c r="AX354" s="102"/>
      <c r="AY354" s="102"/>
    </row>
    <row r="355" spans="1:51" ht="25.5" x14ac:dyDescent="0.2">
      <c r="A355" s="76">
        <v>25</v>
      </c>
      <c r="B355" s="77" t="s">
        <v>780</v>
      </c>
      <c r="C355" s="76" t="s">
        <v>170</v>
      </c>
      <c r="D355" s="76">
        <v>1</v>
      </c>
      <c r="E355" s="76">
        <v>0</v>
      </c>
      <c r="F355" s="76">
        <v>5.73</v>
      </c>
      <c r="G355" s="76">
        <v>18</v>
      </c>
      <c r="H355" s="76">
        <v>0</v>
      </c>
      <c r="I355" s="76">
        <v>0</v>
      </c>
      <c r="J355" s="76">
        <v>0</v>
      </c>
      <c r="K355" s="76">
        <v>22</v>
      </c>
      <c r="L355" s="76">
        <v>18</v>
      </c>
      <c r="M355" s="76">
        <v>16</v>
      </c>
      <c r="N355" s="76">
        <v>14</v>
      </c>
      <c r="O355" s="76">
        <v>3</v>
      </c>
      <c r="P355" s="76">
        <v>14</v>
      </c>
      <c r="Q355" s="76">
        <v>24</v>
      </c>
      <c r="R355" s="76">
        <v>0.222</v>
      </c>
      <c r="S355" s="76">
        <v>1.45</v>
      </c>
      <c r="T355" s="76">
        <v>25</v>
      </c>
      <c r="U355" s="77" t="s">
        <v>780</v>
      </c>
      <c r="V355" s="76" t="s">
        <v>170</v>
      </c>
      <c r="W355" s="76">
        <v>0</v>
      </c>
      <c r="X355" s="76">
        <v>0</v>
      </c>
      <c r="Y355" s="76">
        <v>1</v>
      </c>
      <c r="Z355" s="76">
        <v>2</v>
      </c>
      <c r="AA355" s="76">
        <v>10</v>
      </c>
      <c r="AB355" s="76">
        <v>0</v>
      </c>
      <c r="AC355" s="76">
        <v>2</v>
      </c>
      <c r="AD355" s="76">
        <v>21</v>
      </c>
      <c r="AE355" s="76">
        <v>20</v>
      </c>
      <c r="AF355" s="76">
        <v>1</v>
      </c>
      <c r="AG355" s="76">
        <v>0</v>
      </c>
      <c r="AH355" s="76">
        <v>1</v>
      </c>
      <c r="AI355" s="76">
        <v>0</v>
      </c>
      <c r="AJ355" s="76">
        <v>0</v>
      </c>
      <c r="AK355" s="76">
        <v>98</v>
      </c>
      <c r="AL355" s="76">
        <v>388</v>
      </c>
      <c r="AM355" s="202"/>
      <c r="AN355" s="77"/>
      <c r="AO355" s="202"/>
      <c r="AP355" s="202"/>
      <c r="AQ355" s="202"/>
      <c r="AR355" s="202"/>
      <c r="AS355" s="202"/>
      <c r="AT355" s="202"/>
      <c r="AU355" s="202"/>
      <c r="AV355" s="202"/>
      <c r="AW355" s="202"/>
      <c r="AX355" s="202"/>
      <c r="AY355" s="202"/>
    </row>
    <row r="356" spans="1:51" ht="25.5" x14ac:dyDescent="0.2">
      <c r="A356" s="76">
        <v>26</v>
      </c>
      <c r="B356" s="77" t="s">
        <v>502</v>
      </c>
      <c r="C356" s="76" t="s">
        <v>170</v>
      </c>
      <c r="D356" s="76">
        <v>1</v>
      </c>
      <c r="E356" s="76">
        <v>0</v>
      </c>
      <c r="F356" s="76">
        <v>5.82</v>
      </c>
      <c r="G356" s="76">
        <v>18</v>
      </c>
      <c r="H356" s="76">
        <v>0</v>
      </c>
      <c r="I356" s="76">
        <v>0</v>
      </c>
      <c r="J356" s="76">
        <v>0</v>
      </c>
      <c r="K356" s="76">
        <v>17</v>
      </c>
      <c r="L356" s="76">
        <v>22</v>
      </c>
      <c r="M356" s="76">
        <v>12</v>
      </c>
      <c r="N356" s="76">
        <v>11</v>
      </c>
      <c r="O356" s="76">
        <v>2</v>
      </c>
      <c r="P356" s="76">
        <v>6</v>
      </c>
      <c r="Q356" s="76">
        <v>9</v>
      </c>
      <c r="R356" s="76">
        <v>0.314</v>
      </c>
      <c r="S356" s="76">
        <v>1.65</v>
      </c>
      <c r="T356" s="76">
        <v>26</v>
      </c>
      <c r="U356" s="77" t="s">
        <v>502</v>
      </c>
      <c r="V356" s="76" t="s">
        <v>170</v>
      </c>
      <c r="W356" s="76">
        <v>0</v>
      </c>
      <c r="X356" s="76">
        <v>0</v>
      </c>
      <c r="Y356" s="76">
        <v>1</v>
      </c>
      <c r="Z356" s="76">
        <v>0</v>
      </c>
      <c r="AA356" s="76">
        <v>8</v>
      </c>
      <c r="AB356" s="76">
        <v>0</v>
      </c>
      <c r="AC356" s="76">
        <v>4</v>
      </c>
      <c r="AD356" s="76">
        <v>26</v>
      </c>
      <c r="AE356" s="76">
        <v>13</v>
      </c>
      <c r="AF356" s="76">
        <v>0</v>
      </c>
      <c r="AG356" s="76">
        <v>0</v>
      </c>
      <c r="AH356" s="76">
        <v>3</v>
      </c>
      <c r="AI356" s="76">
        <v>0</v>
      </c>
      <c r="AJ356" s="76">
        <v>0</v>
      </c>
      <c r="AK356" s="76">
        <v>77</v>
      </c>
      <c r="AL356" s="76">
        <v>280</v>
      </c>
      <c r="AM356" s="202"/>
      <c r="AN356" s="77"/>
      <c r="AO356" s="202"/>
      <c r="AP356" s="202"/>
      <c r="AQ356" s="202"/>
      <c r="AR356" s="202"/>
      <c r="AS356" s="202"/>
      <c r="AT356" s="202"/>
      <c r="AU356" s="202"/>
      <c r="AV356" s="202"/>
      <c r="AW356" s="202"/>
      <c r="AX356" s="202"/>
      <c r="AY356" s="202"/>
    </row>
    <row r="357" spans="1:51" ht="25.5" x14ac:dyDescent="0.2">
      <c r="A357" s="76">
        <v>27</v>
      </c>
      <c r="B357" s="77" t="s">
        <v>352</v>
      </c>
      <c r="C357" s="76" t="s">
        <v>170</v>
      </c>
      <c r="D357" s="76">
        <v>5</v>
      </c>
      <c r="E357" s="76">
        <v>6</v>
      </c>
      <c r="F357" s="76">
        <v>5.89</v>
      </c>
      <c r="G357" s="76">
        <v>13</v>
      </c>
      <c r="H357" s="76">
        <v>13</v>
      </c>
      <c r="I357" s="76">
        <v>0</v>
      </c>
      <c r="J357" s="76">
        <v>0</v>
      </c>
      <c r="K357" s="76">
        <v>73.099999999999994</v>
      </c>
      <c r="L357" s="76">
        <v>79</v>
      </c>
      <c r="M357" s="76">
        <v>49</v>
      </c>
      <c r="N357" s="76">
        <v>48</v>
      </c>
      <c r="O357" s="76">
        <v>12</v>
      </c>
      <c r="P357" s="76">
        <v>35</v>
      </c>
      <c r="Q357" s="76">
        <v>54</v>
      </c>
      <c r="R357" s="76">
        <v>0.27800000000000002</v>
      </c>
      <c r="S357" s="76">
        <v>1.55</v>
      </c>
      <c r="T357" s="76">
        <v>27</v>
      </c>
      <c r="U357" s="77" t="s">
        <v>352</v>
      </c>
      <c r="V357" s="76" t="s">
        <v>170</v>
      </c>
      <c r="W357" s="76">
        <v>0</v>
      </c>
      <c r="X357" s="76">
        <v>0</v>
      </c>
      <c r="Y357" s="76">
        <v>1</v>
      </c>
      <c r="Z357" s="76">
        <v>2</v>
      </c>
      <c r="AA357" s="76">
        <v>0</v>
      </c>
      <c r="AB357" s="76">
        <v>0</v>
      </c>
      <c r="AC357" s="76">
        <v>9</v>
      </c>
      <c r="AD357" s="76">
        <v>75</v>
      </c>
      <c r="AE357" s="76">
        <v>82</v>
      </c>
      <c r="AF357" s="76">
        <v>5</v>
      </c>
      <c r="AG357" s="76">
        <v>0</v>
      </c>
      <c r="AH357" s="76">
        <v>3</v>
      </c>
      <c r="AI357" s="76">
        <v>1</v>
      </c>
      <c r="AJ357" s="76">
        <v>0</v>
      </c>
      <c r="AK357" s="76">
        <v>326</v>
      </c>
      <c r="AL357" s="76">
        <v>1209</v>
      </c>
      <c r="AM357" s="202"/>
      <c r="AN357" s="77"/>
      <c r="AO357" s="202"/>
      <c r="AP357" s="202"/>
      <c r="AQ357" s="202"/>
      <c r="AR357" s="202"/>
      <c r="AS357" s="202"/>
      <c r="AT357" s="202"/>
      <c r="AU357" s="202"/>
      <c r="AV357" s="202"/>
      <c r="AW357" s="202"/>
      <c r="AX357" s="202"/>
      <c r="AY357" s="202"/>
    </row>
    <row r="358" spans="1:51" ht="38.25" x14ac:dyDescent="0.2">
      <c r="A358" s="76">
        <v>28</v>
      </c>
      <c r="B358" s="77" t="s">
        <v>349</v>
      </c>
      <c r="C358" s="76" t="s">
        <v>170</v>
      </c>
      <c r="D358" s="76">
        <v>2</v>
      </c>
      <c r="E358" s="76">
        <v>2</v>
      </c>
      <c r="F358" s="76">
        <v>5.96</v>
      </c>
      <c r="G358" s="76">
        <v>51</v>
      </c>
      <c r="H358" s="76">
        <v>0</v>
      </c>
      <c r="I358" s="76">
        <v>1</v>
      </c>
      <c r="J358" s="76">
        <v>2</v>
      </c>
      <c r="K358" s="76">
        <v>74</v>
      </c>
      <c r="L358" s="76">
        <v>89</v>
      </c>
      <c r="M358" s="76">
        <v>50</v>
      </c>
      <c r="N358" s="76">
        <v>49</v>
      </c>
      <c r="O358" s="76">
        <v>17</v>
      </c>
      <c r="P358" s="76">
        <v>14</v>
      </c>
      <c r="Q358" s="76">
        <v>61</v>
      </c>
      <c r="R358" s="76">
        <v>0.29699999999999999</v>
      </c>
      <c r="S358" s="76">
        <v>1.39</v>
      </c>
      <c r="T358" s="76">
        <v>28</v>
      </c>
      <c r="U358" s="77" t="s">
        <v>349</v>
      </c>
      <c r="V358" s="76" t="s">
        <v>170</v>
      </c>
      <c r="W358" s="76">
        <v>0</v>
      </c>
      <c r="X358" s="76">
        <v>0</v>
      </c>
      <c r="Y358" s="76">
        <v>3</v>
      </c>
      <c r="Z358" s="76">
        <v>4</v>
      </c>
      <c r="AA358" s="76">
        <v>11</v>
      </c>
      <c r="AB358" s="76">
        <v>4</v>
      </c>
      <c r="AC358" s="76">
        <v>4</v>
      </c>
      <c r="AD358" s="76">
        <v>79</v>
      </c>
      <c r="AE358" s="76">
        <v>75</v>
      </c>
      <c r="AF358" s="76">
        <v>2</v>
      </c>
      <c r="AG358" s="76">
        <v>0</v>
      </c>
      <c r="AH358" s="76">
        <v>4</v>
      </c>
      <c r="AI358" s="76">
        <v>3</v>
      </c>
      <c r="AJ358" s="76">
        <v>0</v>
      </c>
      <c r="AK358" s="76">
        <v>321</v>
      </c>
      <c r="AL358" s="76">
        <v>1193</v>
      </c>
      <c r="AM358" s="202"/>
      <c r="AN358" s="77"/>
      <c r="AO358" s="202"/>
      <c r="AP358" s="202"/>
      <c r="AQ358" s="202"/>
      <c r="AR358" s="202"/>
      <c r="AS358" s="202"/>
      <c r="AT358" s="202"/>
      <c r="AU358" s="202"/>
      <c r="AV358" s="202"/>
      <c r="AW358" s="202"/>
      <c r="AX358" s="202"/>
      <c r="AY358" s="202"/>
    </row>
    <row r="359" spans="1:51" ht="25.5" x14ac:dyDescent="0.2">
      <c r="A359" s="76">
        <v>29</v>
      </c>
      <c r="B359" s="77" t="s">
        <v>547</v>
      </c>
      <c r="C359" s="76" t="s">
        <v>170</v>
      </c>
      <c r="D359" s="76">
        <v>0</v>
      </c>
      <c r="E359" s="76">
        <v>3</v>
      </c>
      <c r="F359" s="76">
        <v>6.03</v>
      </c>
      <c r="G359" s="76">
        <v>9</v>
      </c>
      <c r="H359" s="76">
        <v>9</v>
      </c>
      <c r="I359" s="76">
        <v>0</v>
      </c>
      <c r="J359" s="76">
        <v>0</v>
      </c>
      <c r="K359" s="76">
        <v>37.1</v>
      </c>
      <c r="L359" s="76">
        <v>42</v>
      </c>
      <c r="M359" s="76">
        <v>27</v>
      </c>
      <c r="N359" s="76">
        <v>25</v>
      </c>
      <c r="O359" s="76">
        <v>4</v>
      </c>
      <c r="P359" s="76">
        <v>23</v>
      </c>
      <c r="Q359" s="76">
        <v>27</v>
      </c>
      <c r="R359" s="76">
        <v>0.27800000000000002</v>
      </c>
      <c r="S359" s="76">
        <v>1.74</v>
      </c>
      <c r="T359" s="76">
        <v>29</v>
      </c>
      <c r="U359" s="77" t="s">
        <v>547</v>
      </c>
      <c r="V359" s="76" t="s">
        <v>170</v>
      </c>
      <c r="W359" s="76">
        <v>0</v>
      </c>
      <c r="X359" s="76">
        <v>0</v>
      </c>
      <c r="Y359" s="76">
        <v>2</v>
      </c>
      <c r="Z359" s="76">
        <v>0</v>
      </c>
      <c r="AA359" s="76">
        <v>0</v>
      </c>
      <c r="AB359" s="76">
        <v>0</v>
      </c>
      <c r="AC359" s="76">
        <v>8</v>
      </c>
      <c r="AD359" s="76">
        <v>56</v>
      </c>
      <c r="AE359" s="76">
        <v>26</v>
      </c>
      <c r="AF359" s="76">
        <v>1</v>
      </c>
      <c r="AG359" s="76">
        <v>0</v>
      </c>
      <c r="AH359" s="76">
        <v>0</v>
      </c>
      <c r="AI359" s="76">
        <v>0</v>
      </c>
      <c r="AJ359" s="76">
        <v>0</v>
      </c>
      <c r="AK359" s="76">
        <v>176</v>
      </c>
      <c r="AL359" s="76">
        <v>694</v>
      </c>
      <c r="AM359" s="202"/>
      <c r="AN359" s="77"/>
      <c r="AO359" s="202"/>
      <c r="AP359" s="202"/>
      <c r="AQ359" s="202"/>
      <c r="AR359" s="202"/>
      <c r="AS359" s="202"/>
      <c r="AT359" s="202"/>
      <c r="AU359" s="202"/>
      <c r="AV359" s="202"/>
      <c r="AW359" s="202"/>
      <c r="AX359" s="202"/>
      <c r="AY359" s="202"/>
    </row>
    <row r="360" spans="1:51" ht="25.5" x14ac:dyDescent="0.2">
      <c r="A360" s="76">
        <v>30</v>
      </c>
      <c r="B360" s="77" t="s">
        <v>512</v>
      </c>
      <c r="C360" s="76" t="s">
        <v>170</v>
      </c>
      <c r="D360" s="76">
        <v>0</v>
      </c>
      <c r="E360" s="76">
        <v>4</v>
      </c>
      <c r="F360" s="76">
        <v>9.15</v>
      </c>
      <c r="G360" s="76">
        <v>4</v>
      </c>
      <c r="H360" s="76">
        <v>4</v>
      </c>
      <c r="I360" s="76">
        <v>0</v>
      </c>
      <c r="J360" s="76">
        <v>0</v>
      </c>
      <c r="K360" s="76">
        <v>19.2</v>
      </c>
      <c r="L360" s="76">
        <v>32</v>
      </c>
      <c r="M360" s="76">
        <v>20</v>
      </c>
      <c r="N360" s="76">
        <v>20</v>
      </c>
      <c r="O360" s="76">
        <v>9</v>
      </c>
      <c r="P360" s="76">
        <v>5</v>
      </c>
      <c r="Q360" s="76">
        <v>10</v>
      </c>
      <c r="R360" s="76">
        <v>0.372</v>
      </c>
      <c r="S360" s="76">
        <v>1.88</v>
      </c>
      <c r="T360" s="76">
        <v>30</v>
      </c>
      <c r="U360" s="77" t="s">
        <v>512</v>
      </c>
      <c r="V360" s="76" t="s">
        <v>170</v>
      </c>
      <c r="W360" s="76">
        <v>0</v>
      </c>
      <c r="X360" s="76">
        <v>0</v>
      </c>
      <c r="Y360" s="76">
        <v>0</v>
      </c>
      <c r="Z360" s="76">
        <v>0</v>
      </c>
      <c r="AA360" s="76">
        <v>0</v>
      </c>
      <c r="AB360" s="76">
        <v>0</v>
      </c>
      <c r="AC360" s="76">
        <v>3</v>
      </c>
      <c r="AD360" s="76">
        <v>20</v>
      </c>
      <c r="AE360" s="76">
        <v>26</v>
      </c>
      <c r="AF360" s="76">
        <v>2</v>
      </c>
      <c r="AG360" s="76">
        <v>0</v>
      </c>
      <c r="AH360" s="76">
        <v>0</v>
      </c>
      <c r="AI360" s="76">
        <v>0</v>
      </c>
      <c r="AJ360" s="76">
        <v>0</v>
      </c>
      <c r="AK360" s="76">
        <v>93</v>
      </c>
      <c r="AL360" s="76">
        <v>353</v>
      </c>
      <c r="AM360" s="202"/>
      <c r="AN360" s="77"/>
      <c r="AO360" s="202"/>
      <c r="AP360" s="202"/>
      <c r="AQ360" s="202"/>
      <c r="AR360" s="202"/>
      <c r="AS360" s="202"/>
      <c r="AT360" s="202"/>
      <c r="AU360" s="202"/>
      <c r="AV360" s="202"/>
      <c r="AW360" s="202"/>
      <c r="AX360" s="202"/>
      <c r="AY360" s="202"/>
    </row>
    <row r="361" spans="1:51" ht="25.5" x14ac:dyDescent="0.2">
      <c r="A361" s="76">
        <v>31</v>
      </c>
      <c r="B361" s="77" t="s">
        <v>443</v>
      </c>
      <c r="C361" s="76" t="s">
        <v>170</v>
      </c>
      <c r="D361" s="76">
        <v>0</v>
      </c>
      <c r="E361" s="76">
        <v>1</v>
      </c>
      <c r="F361" s="76">
        <v>11.81</v>
      </c>
      <c r="G361" s="76">
        <v>1</v>
      </c>
      <c r="H361" s="76">
        <v>1</v>
      </c>
      <c r="I361" s="76">
        <v>0</v>
      </c>
      <c r="J361" s="76">
        <v>0</v>
      </c>
      <c r="K361" s="76">
        <v>5.0999999999999996</v>
      </c>
      <c r="L361" s="76">
        <v>9</v>
      </c>
      <c r="M361" s="76">
        <v>8</v>
      </c>
      <c r="N361" s="76">
        <v>7</v>
      </c>
      <c r="O361" s="76">
        <v>0</v>
      </c>
      <c r="P361" s="76">
        <v>1</v>
      </c>
      <c r="Q361" s="76">
        <v>5</v>
      </c>
      <c r="R361" s="76">
        <v>0.375</v>
      </c>
      <c r="S361" s="76">
        <v>1.88</v>
      </c>
      <c r="T361" s="76">
        <v>31</v>
      </c>
      <c r="U361" s="77" t="s">
        <v>443</v>
      </c>
      <c r="V361" s="76" t="s">
        <v>170</v>
      </c>
      <c r="W361" s="76">
        <v>0</v>
      </c>
      <c r="X361" s="76">
        <v>0</v>
      </c>
      <c r="Y361" s="76">
        <v>2</v>
      </c>
      <c r="Z361" s="76">
        <v>0</v>
      </c>
      <c r="AA361" s="76">
        <v>0</v>
      </c>
      <c r="AB361" s="76">
        <v>0</v>
      </c>
      <c r="AC361" s="76">
        <v>0</v>
      </c>
      <c r="AD361" s="76">
        <v>6</v>
      </c>
      <c r="AE361" s="76">
        <v>4</v>
      </c>
      <c r="AF361" s="76">
        <v>1</v>
      </c>
      <c r="AG361" s="76">
        <v>0</v>
      </c>
      <c r="AH361" s="76">
        <v>0</v>
      </c>
      <c r="AI361" s="76">
        <v>0</v>
      </c>
      <c r="AJ361" s="76">
        <v>0</v>
      </c>
      <c r="AK361" s="76">
        <v>27</v>
      </c>
      <c r="AL361" s="76">
        <v>94</v>
      </c>
      <c r="AM361" s="202"/>
      <c r="AN361" s="77"/>
      <c r="AO361" s="202"/>
      <c r="AP361" s="202"/>
      <c r="AQ361" s="202"/>
      <c r="AR361" s="202"/>
      <c r="AS361" s="202"/>
      <c r="AT361" s="202"/>
      <c r="AU361" s="202"/>
      <c r="AV361" s="202"/>
      <c r="AW361" s="202"/>
      <c r="AX361" s="202"/>
      <c r="AY361" s="202"/>
    </row>
    <row r="362" spans="1:51" ht="25.5" x14ac:dyDescent="0.2">
      <c r="A362" s="76">
        <v>32</v>
      </c>
      <c r="B362" s="77" t="s">
        <v>1459</v>
      </c>
      <c r="C362" s="76" t="s">
        <v>170</v>
      </c>
      <c r="D362" s="76">
        <v>0</v>
      </c>
      <c r="E362" s="76">
        <v>0</v>
      </c>
      <c r="F362" s="76">
        <v>27</v>
      </c>
      <c r="G362" s="76">
        <v>1</v>
      </c>
      <c r="H362" s="76">
        <v>0</v>
      </c>
      <c r="I362" s="76">
        <v>0</v>
      </c>
      <c r="J362" s="76">
        <v>0</v>
      </c>
      <c r="K362" s="76">
        <v>1.1000000000000001</v>
      </c>
      <c r="L362" s="76">
        <v>6</v>
      </c>
      <c r="M362" s="76">
        <v>4</v>
      </c>
      <c r="N362" s="76">
        <v>4</v>
      </c>
      <c r="O362" s="76">
        <v>0</v>
      </c>
      <c r="P362" s="76">
        <v>0</v>
      </c>
      <c r="Q362" s="76">
        <v>0</v>
      </c>
      <c r="R362" s="76">
        <v>0.6</v>
      </c>
      <c r="S362" s="76">
        <v>4.5</v>
      </c>
      <c r="T362" s="76">
        <v>32</v>
      </c>
      <c r="U362" s="77" t="s">
        <v>1459</v>
      </c>
      <c r="V362" s="76" t="s">
        <v>170</v>
      </c>
      <c r="W362" s="76">
        <v>0</v>
      </c>
      <c r="X362" s="76">
        <v>0</v>
      </c>
      <c r="Y362" s="76">
        <v>0</v>
      </c>
      <c r="Z362" s="76">
        <v>0</v>
      </c>
      <c r="AA362" s="76">
        <v>0</v>
      </c>
      <c r="AB362" s="76">
        <v>0</v>
      </c>
      <c r="AC362" s="76">
        <v>0</v>
      </c>
      <c r="AD362" s="76">
        <v>3</v>
      </c>
      <c r="AE362" s="76">
        <v>1</v>
      </c>
      <c r="AF362" s="76">
        <v>0</v>
      </c>
      <c r="AG362" s="76">
        <v>0</v>
      </c>
      <c r="AH362" s="76">
        <v>0</v>
      </c>
      <c r="AI362" s="76">
        <v>0</v>
      </c>
      <c r="AJ362" s="76">
        <v>0</v>
      </c>
      <c r="AK362" s="76">
        <v>10</v>
      </c>
      <c r="AL362" s="76">
        <v>19</v>
      </c>
      <c r="AM362" s="202"/>
      <c r="AN362" s="77"/>
      <c r="AO362" s="202"/>
      <c r="AP362" s="202"/>
      <c r="AQ362" s="202"/>
      <c r="AR362" s="202"/>
      <c r="AS362" s="202"/>
      <c r="AT362" s="202"/>
      <c r="AU362" s="202"/>
      <c r="AV362" s="202"/>
      <c r="AW362" s="202"/>
      <c r="AX362" s="202"/>
      <c r="AY362" s="202"/>
    </row>
    <row r="363" spans="1:51" ht="25.5" x14ac:dyDescent="0.2">
      <c r="A363" s="225" t="s">
        <v>105</v>
      </c>
      <c r="B363" s="225" t="s">
        <v>106</v>
      </c>
      <c r="C363" s="225" t="s">
        <v>157</v>
      </c>
      <c r="D363" s="225" t="s">
        <v>85</v>
      </c>
      <c r="E363" s="225" t="s">
        <v>86</v>
      </c>
      <c r="F363" s="225" t="s">
        <v>107</v>
      </c>
      <c r="G363" s="225" t="s">
        <v>108</v>
      </c>
      <c r="H363" s="225" t="s">
        <v>88</v>
      </c>
      <c r="I363" s="225" t="s">
        <v>90</v>
      </c>
      <c r="J363" s="225" t="s">
        <v>158</v>
      </c>
      <c r="K363" s="225" t="s">
        <v>91</v>
      </c>
      <c r="L363" s="225" t="s">
        <v>92</v>
      </c>
      <c r="M363" s="225" t="s">
        <v>93</v>
      </c>
      <c r="N363" s="225" t="s">
        <v>94</v>
      </c>
      <c r="O363" s="225" t="s">
        <v>95</v>
      </c>
      <c r="P363" s="225" t="s">
        <v>96</v>
      </c>
      <c r="Q363" s="225" t="s">
        <v>97</v>
      </c>
      <c r="R363" s="225" t="s">
        <v>1071</v>
      </c>
      <c r="S363" s="225" t="s">
        <v>1072</v>
      </c>
      <c r="T363" s="225" t="s">
        <v>105</v>
      </c>
      <c r="U363" s="225" t="s">
        <v>106</v>
      </c>
      <c r="V363" s="225" t="s">
        <v>157</v>
      </c>
      <c r="W363" s="225" t="s">
        <v>89</v>
      </c>
      <c r="X363" s="225" t="s">
        <v>1073</v>
      </c>
      <c r="Y363" s="225" t="s">
        <v>1074</v>
      </c>
      <c r="Z363" s="225" t="s">
        <v>98</v>
      </c>
      <c r="AA363" s="225" t="s">
        <v>1075</v>
      </c>
      <c r="AB363" s="225" t="s">
        <v>1076</v>
      </c>
      <c r="AC363" s="225" t="s">
        <v>1077</v>
      </c>
      <c r="AD363" s="225" t="s">
        <v>1066</v>
      </c>
      <c r="AE363" s="225" t="s">
        <v>1067</v>
      </c>
      <c r="AF363" s="225" t="s">
        <v>1078</v>
      </c>
      <c r="AG363" s="225" t="s">
        <v>1079</v>
      </c>
      <c r="AH363" s="225" t="s">
        <v>1057</v>
      </c>
      <c r="AI363" s="225" t="s">
        <v>1058</v>
      </c>
      <c r="AJ363" s="225" t="s">
        <v>1080</v>
      </c>
      <c r="AK363" s="225" t="s">
        <v>109</v>
      </c>
      <c r="AL363" s="225" t="s">
        <v>1069</v>
      </c>
      <c r="AM363" s="202"/>
      <c r="AN363" s="77"/>
      <c r="AO363" s="202"/>
      <c r="AP363" s="202"/>
      <c r="AQ363" s="202"/>
      <c r="AR363" s="202"/>
      <c r="AS363" s="202"/>
      <c r="AT363" s="202"/>
      <c r="AU363" s="202"/>
      <c r="AV363" s="202"/>
      <c r="AW363" s="202"/>
      <c r="AX363" s="202"/>
      <c r="AY363" s="202"/>
    </row>
    <row r="364" spans="1:51" ht="25.5" x14ac:dyDescent="0.2">
      <c r="A364" s="76">
        <v>1</v>
      </c>
      <c r="B364" s="77" t="s">
        <v>638</v>
      </c>
      <c r="C364" s="76" t="s">
        <v>171</v>
      </c>
      <c r="D364" s="76">
        <v>1</v>
      </c>
      <c r="E364" s="76">
        <v>0</v>
      </c>
      <c r="F364" s="76">
        <v>0</v>
      </c>
      <c r="G364" s="76">
        <v>7</v>
      </c>
      <c r="H364" s="76">
        <v>0</v>
      </c>
      <c r="I364" s="76">
        <v>0</v>
      </c>
      <c r="J364" s="76">
        <v>1</v>
      </c>
      <c r="K364" s="76">
        <v>4.0999999999999996</v>
      </c>
      <c r="L364" s="76">
        <v>3</v>
      </c>
      <c r="M364" s="76">
        <v>0</v>
      </c>
      <c r="N364" s="76">
        <v>0</v>
      </c>
      <c r="O364" s="76">
        <v>0</v>
      </c>
      <c r="P364" s="76">
        <v>2</v>
      </c>
      <c r="Q364" s="76">
        <v>5</v>
      </c>
      <c r="R364" s="76">
        <v>0.188</v>
      </c>
      <c r="S364" s="76">
        <v>1.1499999999999999</v>
      </c>
      <c r="T364" s="76">
        <v>1</v>
      </c>
      <c r="U364" s="77" t="s">
        <v>638</v>
      </c>
      <c r="V364" s="76" t="s">
        <v>171</v>
      </c>
      <c r="W364" s="76">
        <v>0</v>
      </c>
      <c r="X364" s="76">
        <v>0</v>
      </c>
      <c r="Y364" s="76">
        <v>0</v>
      </c>
      <c r="Z364" s="76">
        <v>0</v>
      </c>
      <c r="AA364" s="76">
        <v>1</v>
      </c>
      <c r="AB364" s="76">
        <v>0</v>
      </c>
      <c r="AC364" s="76">
        <v>0</v>
      </c>
      <c r="AD364" s="76">
        <v>2</v>
      </c>
      <c r="AE364" s="76">
        <v>6</v>
      </c>
      <c r="AF364" s="76">
        <v>1</v>
      </c>
      <c r="AG364" s="76">
        <v>0</v>
      </c>
      <c r="AH364" s="76">
        <v>0</v>
      </c>
      <c r="AI364" s="76">
        <v>0</v>
      </c>
      <c r="AJ364" s="76">
        <v>0</v>
      </c>
      <c r="AK364" s="76">
        <v>18</v>
      </c>
      <c r="AL364" s="76">
        <v>70</v>
      </c>
      <c r="AM364" s="202"/>
      <c r="AN364" s="77"/>
      <c r="AO364" s="202"/>
      <c r="AP364" s="202"/>
      <c r="AQ364" s="202"/>
      <c r="AR364" s="202"/>
      <c r="AS364" s="202"/>
      <c r="AT364" s="202"/>
      <c r="AU364" s="202"/>
      <c r="AV364" s="202"/>
      <c r="AW364" s="202"/>
      <c r="AX364" s="202"/>
      <c r="AY364" s="202"/>
    </row>
    <row r="365" spans="1:51" ht="25.5" x14ac:dyDescent="0.2">
      <c r="A365" s="76">
        <v>2</v>
      </c>
      <c r="B365" s="77" t="s">
        <v>1490</v>
      </c>
      <c r="C365" s="76" t="s">
        <v>171</v>
      </c>
      <c r="D365" s="76">
        <v>1</v>
      </c>
      <c r="E365" s="76">
        <v>0</v>
      </c>
      <c r="F365" s="76">
        <v>1.06</v>
      </c>
      <c r="G365" s="76">
        <v>4</v>
      </c>
      <c r="H365" s="76">
        <v>2</v>
      </c>
      <c r="I365" s="76">
        <v>0</v>
      </c>
      <c r="J365" s="76">
        <v>0</v>
      </c>
      <c r="K365" s="76">
        <v>17</v>
      </c>
      <c r="L365" s="76">
        <v>8</v>
      </c>
      <c r="M365" s="76">
        <v>2</v>
      </c>
      <c r="N365" s="76">
        <v>2</v>
      </c>
      <c r="O365" s="76">
        <v>1</v>
      </c>
      <c r="P365" s="76">
        <v>5</v>
      </c>
      <c r="Q365" s="76">
        <v>10</v>
      </c>
      <c r="R365" s="76">
        <v>0.14299999999999999</v>
      </c>
      <c r="S365" s="76">
        <v>0.76</v>
      </c>
      <c r="T365" s="76">
        <v>2</v>
      </c>
      <c r="U365" s="77" t="s">
        <v>1490</v>
      </c>
      <c r="V365" s="76" t="s">
        <v>171</v>
      </c>
      <c r="W365" s="76">
        <v>0</v>
      </c>
      <c r="X365" s="76">
        <v>0</v>
      </c>
      <c r="Y365" s="76">
        <v>0</v>
      </c>
      <c r="Z365" s="76">
        <v>0</v>
      </c>
      <c r="AA365" s="76">
        <v>2</v>
      </c>
      <c r="AB365" s="76">
        <v>0</v>
      </c>
      <c r="AC365" s="76">
        <v>2</v>
      </c>
      <c r="AD365" s="76">
        <v>25</v>
      </c>
      <c r="AE365" s="76">
        <v>14</v>
      </c>
      <c r="AF365" s="76">
        <v>0</v>
      </c>
      <c r="AG365" s="76">
        <v>1</v>
      </c>
      <c r="AH365" s="76">
        <v>1</v>
      </c>
      <c r="AI365" s="76">
        <v>0</v>
      </c>
      <c r="AJ365" s="76">
        <v>0</v>
      </c>
      <c r="AK365" s="76">
        <v>62</v>
      </c>
      <c r="AL365" s="76">
        <v>241</v>
      </c>
      <c r="AM365" s="202"/>
      <c r="AN365" s="77"/>
      <c r="AO365" s="202"/>
      <c r="AP365" s="202"/>
      <c r="AQ365" s="202"/>
      <c r="AR365" s="202"/>
      <c r="AS365" s="202"/>
      <c r="AT365" s="202"/>
      <c r="AU365" s="202"/>
      <c r="AV365" s="202"/>
      <c r="AW365" s="202"/>
      <c r="AX365" s="202"/>
      <c r="AY365" s="202"/>
    </row>
    <row r="366" spans="1:51" ht="25.5" x14ac:dyDescent="0.2">
      <c r="A366" s="76">
        <v>3</v>
      </c>
      <c r="B366" s="77" t="s">
        <v>1491</v>
      </c>
      <c r="C366" s="76" t="s">
        <v>171</v>
      </c>
      <c r="D366" s="76">
        <v>4</v>
      </c>
      <c r="E366" s="76">
        <v>2</v>
      </c>
      <c r="F366" s="76">
        <v>2.13</v>
      </c>
      <c r="G366" s="76">
        <v>61</v>
      </c>
      <c r="H366" s="76">
        <v>0</v>
      </c>
      <c r="I366" s="76">
        <v>1</v>
      </c>
      <c r="J366" s="76">
        <v>2</v>
      </c>
      <c r="K366" s="76">
        <v>55</v>
      </c>
      <c r="L366" s="76">
        <v>44</v>
      </c>
      <c r="M366" s="76">
        <v>13</v>
      </c>
      <c r="N366" s="76">
        <v>13</v>
      </c>
      <c r="O366" s="76">
        <v>3</v>
      </c>
      <c r="P366" s="76">
        <v>9</v>
      </c>
      <c r="Q366" s="76">
        <v>50</v>
      </c>
      <c r="R366" s="76">
        <v>0.215</v>
      </c>
      <c r="S366" s="76">
        <v>0.96</v>
      </c>
      <c r="T366" s="76">
        <v>3</v>
      </c>
      <c r="U366" s="77" t="s">
        <v>1491</v>
      </c>
      <c r="V366" s="76" t="s">
        <v>171</v>
      </c>
      <c r="W366" s="76">
        <v>0</v>
      </c>
      <c r="X366" s="76">
        <v>0</v>
      </c>
      <c r="Y366" s="76">
        <v>0</v>
      </c>
      <c r="Z366" s="76">
        <v>0</v>
      </c>
      <c r="AA366" s="76">
        <v>12</v>
      </c>
      <c r="AB366" s="76">
        <v>14</v>
      </c>
      <c r="AC366" s="76">
        <v>4</v>
      </c>
      <c r="AD366" s="76">
        <v>65</v>
      </c>
      <c r="AE366" s="76">
        <v>46</v>
      </c>
      <c r="AF366" s="76">
        <v>1</v>
      </c>
      <c r="AG366" s="76">
        <v>0</v>
      </c>
      <c r="AH366" s="76">
        <v>0</v>
      </c>
      <c r="AI366" s="76">
        <v>1</v>
      </c>
      <c r="AJ366" s="76">
        <v>0</v>
      </c>
      <c r="AK366" s="76">
        <v>214</v>
      </c>
      <c r="AL366" s="76">
        <v>796</v>
      </c>
      <c r="AM366" s="202"/>
      <c r="AN366" s="77"/>
      <c r="AO366" s="202"/>
      <c r="AP366" s="202"/>
      <c r="AQ366" s="202"/>
      <c r="AR366" s="202"/>
      <c r="AS366" s="202"/>
      <c r="AT366" s="202"/>
      <c r="AU366" s="202"/>
      <c r="AV366" s="202"/>
      <c r="AW366" s="202"/>
      <c r="AX366" s="202"/>
      <c r="AY366" s="202"/>
    </row>
    <row r="367" spans="1:51" ht="25.5" x14ac:dyDescent="0.2">
      <c r="A367" s="76">
        <v>4</v>
      </c>
      <c r="B367" s="77" t="s">
        <v>456</v>
      </c>
      <c r="C367" s="76" t="s">
        <v>171</v>
      </c>
      <c r="D367" s="76">
        <v>3</v>
      </c>
      <c r="E367" s="76">
        <v>2</v>
      </c>
      <c r="F367" s="76">
        <v>2.5299999999999998</v>
      </c>
      <c r="G367" s="76">
        <v>57</v>
      </c>
      <c r="H367" s="76">
        <v>0</v>
      </c>
      <c r="I367" s="76">
        <v>0</v>
      </c>
      <c r="J367" s="76">
        <v>2</v>
      </c>
      <c r="K367" s="76">
        <v>53.1</v>
      </c>
      <c r="L367" s="76">
        <v>42</v>
      </c>
      <c r="M367" s="76">
        <v>19</v>
      </c>
      <c r="N367" s="76">
        <v>15</v>
      </c>
      <c r="O367" s="76">
        <v>3</v>
      </c>
      <c r="P367" s="76">
        <v>20</v>
      </c>
      <c r="Q367" s="76">
        <v>35</v>
      </c>
      <c r="R367" s="76">
        <v>0.219</v>
      </c>
      <c r="S367" s="76">
        <v>1.1599999999999999</v>
      </c>
      <c r="T367" s="76">
        <v>4</v>
      </c>
      <c r="U367" s="77" t="s">
        <v>456</v>
      </c>
      <c r="V367" s="76" t="s">
        <v>171</v>
      </c>
      <c r="W367" s="76">
        <v>0</v>
      </c>
      <c r="X367" s="76">
        <v>0</v>
      </c>
      <c r="Y367" s="76">
        <v>2</v>
      </c>
      <c r="Z367" s="76">
        <v>3</v>
      </c>
      <c r="AA367" s="76">
        <v>17</v>
      </c>
      <c r="AB367" s="76">
        <v>9</v>
      </c>
      <c r="AC367" s="76">
        <v>6</v>
      </c>
      <c r="AD367" s="76">
        <v>59</v>
      </c>
      <c r="AE367" s="76">
        <v>58</v>
      </c>
      <c r="AF367" s="76">
        <v>1</v>
      </c>
      <c r="AG367" s="76">
        <v>0</v>
      </c>
      <c r="AH367" s="76">
        <v>7</v>
      </c>
      <c r="AI367" s="76">
        <v>0</v>
      </c>
      <c r="AJ367" s="76">
        <v>0</v>
      </c>
      <c r="AK367" s="76">
        <v>216</v>
      </c>
      <c r="AL367" s="76">
        <v>799</v>
      </c>
      <c r="AM367" s="202"/>
      <c r="AN367" s="77"/>
      <c r="AO367" s="202"/>
      <c r="AP367" s="202"/>
      <c r="AQ367" s="202"/>
      <c r="AR367" s="202"/>
      <c r="AS367" s="202"/>
      <c r="AT367" s="202"/>
      <c r="AU367" s="202"/>
      <c r="AV367" s="202"/>
      <c r="AW367" s="202"/>
      <c r="AX367" s="202"/>
      <c r="AY367" s="202"/>
    </row>
    <row r="368" spans="1:51" ht="25.5" x14ac:dyDescent="0.2">
      <c r="A368" s="76">
        <v>5</v>
      </c>
      <c r="B368" s="77" t="s">
        <v>451</v>
      </c>
      <c r="C368" s="76" t="s">
        <v>171</v>
      </c>
      <c r="D368" s="76">
        <v>1</v>
      </c>
      <c r="E368" s="76">
        <v>0</v>
      </c>
      <c r="F368" s="76">
        <v>2.64</v>
      </c>
      <c r="G368" s="76">
        <v>40</v>
      </c>
      <c r="H368" s="76">
        <v>0</v>
      </c>
      <c r="I368" s="76">
        <v>4</v>
      </c>
      <c r="J368" s="76">
        <v>4</v>
      </c>
      <c r="K368" s="76">
        <v>30.2</v>
      </c>
      <c r="L368" s="76">
        <v>26</v>
      </c>
      <c r="M368" s="76">
        <v>9</v>
      </c>
      <c r="N368" s="76">
        <v>9</v>
      </c>
      <c r="O368" s="76">
        <v>5</v>
      </c>
      <c r="P368" s="76">
        <v>7</v>
      </c>
      <c r="Q368" s="76">
        <v>33</v>
      </c>
      <c r="R368" s="76">
        <v>0.23599999999999999</v>
      </c>
      <c r="S368" s="76">
        <v>1.08</v>
      </c>
      <c r="T368" s="76">
        <v>5</v>
      </c>
      <c r="U368" s="77" t="s">
        <v>451</v>
      </c>
      <c r="V368" s="76" t="s">
        <v>171</v>
      </c>
      <c r="W368" s="76">
        <v>0</v>
      </c>
      <c r="X368" s="76">
        <v>0</v>
      </c>
      <c r="Y368" s="76">
        <v>0</v>
      </c>
      <c r="Z368" s="76">
        <v>1</v>
      </c>
      <c r="AA368" s="76">
        <v>13</v>
      </c>
      <c r="AB368" s="76">
        <v>14</v>
      </c>
      <c r="AC368" s="76">
        <v>4</v>
      </c>
      <c r="AD368" s="76">
        <v>22</v>
      </c>
      <c r="AE368" s="76">
        <v>29</v>
      </c>
      <c r="AF368" s="76">
        <v>1</v>
      </c>
      <c r="AG368" s="76">
        <v>0</v>
      </c>
      <c r="AH368" s="76">
        <v>2</v>
      </c>
      <c r="AI368" s="76">
        <v>3</v>
      </c>
      <c r="AJ368" s="76">
        <v>0</v>
      </c>
      <c r="AK368" s="76">
        <v>117</v>
      </c>
      <c r="AL368" s="76">
        <v>469</v>
      </c>
      <c r="AM368" s="202"/>
      <c r="AN368" s="77"/>
      <c r="AO368" s="202"/>
      <c r="AP368" s="202"/>
      <c r="AQ368" s="202"/>
      <c r="AR368" s="202"/>
      <c r="AS368" s="202"/>
      <c r="AT368" s="202"/>
      <c r="AU368" s="202"/>
      <c r="AV368" s="202"/>
      <c r="AW368" s="202"/>
      <c r="AX368" s="202"/>
      <c r="AY368" s="202"/>
    </row>
    <row r="369" spans="1:51" ht="38.25" x14ac:dyDescent="0.2">
      <c r="A369" s="76">
        <v>6</v>
      </c>
      <c r="B369" s="77" t="s">
        <v>452</v>
      </c>
      <c r="C369" s="76" t="s">
        <v>171</v>
      </c>
      <c r="D369" s="76">
        <v>15</v>
      </c>
      <c r="E369" s="76">
        <v>9</v>
      </c>
      <c r="F369" s="76">
        <v>2.74</v>
      </c>
      <c r="G369" s="76">
        <v>34</v>
      </c>
      <c r="H369" s="76">
        <v>34</v>
      </c>
      <c r="I369" s="76">
        <v>0</v>
      </c>
      <c r="J369" s="76">
        <v>0</v>
      </c>
      <c r="K369" s="76">
        <v>226.2</v>
      </c>
      <c r="L369" s="76">
        <v>179</v>
      </c>
      <c r="M369" s="76">
        <v>79</v>
      </c>
      <c r="N369" s="76">
        <v>69</v>
      </c>
      <c r="O369" s="76">
        <v>26</v>
      </c>
      <c r="P369" s="76">
        <v>54</v>
      </c>
      <c r="Q369" s="76">
        <v>251</v>
      </c>
      <c r="R369" s="76">
        <v>0.21299999999999999</v>
      </c>
      <c r="S369" s="76">
        <v>1.03</v>
      </c>
      <c r="T369" s="76">
        <v>6</v>
      </c>
      <c r="U369" s="77" t="s">
        <v>452</v>
      </c>
      <c r="V369" s="76" t="s">
        <v>171</v>
      </c>
      <c r="W369" s="76">
        <v>4</v>
      </c>
      <c r="X369" s="76">
        <v>1</v>
      </c>
      <c r="Y369" s="76">
        <v>8</v>
      </c>
      <c r="Z369" s="76">
        <v>0</v>
      </c>
      <c r="AA369" s="76">
        <v>0</v>
      </c>
      <c r="AB369" s="76">
        <v>0</v>
      </c>
      <c r="AC369" s="76">
        <v>15</v>
      </c>
      <c r="AD369" s="76">
        <v>193</v>
      </c>
      <c r="AE369" s="76">
        <v>227</v>
      </c>
      <c r="AF369" s="76">
        <v>4</v>
      </c>
      <c r="AG369" s="76">
        <v>1</v>
      </c>
      <c r="AH369" s="76">
        <v>6</v>
      </c>
      <c r="AI369" s="76">
        <v>5</v>
      </c>
      <c r="AJ369" s="76">
        <v>4</v>
      </c>
      <c r="AK369" s="76">
        <v>912</v>
      </c>
      <c r="AL369" s="76">
        <v>3571</v>
      </c>
      <c r="AM369" s="202"/>
      <c r="AN369" s="77"/>
      <c r="AO369" s="202"/>
      <c r="AP369" s="202"/>
      <c r="AQ369" s="202"/>
      <c r="AR369" s="202"/>
      <c r="AS369" s="202"/>
      <c r="AT369" s="202"/>
      <c r="AU369" s="202"/>
      <c r="AV369" s="202"/>
      <c r="AW369" s="202"/>
      <c r="AX369" s="202"/>
      <c r="AY369" s="202"/>
    </row>
    <row r="370" spans="1:51" ht="25.5" x14ac:dyDescent="0.2">
      <c r="A370" s="76">
        <v>7</v>
      </c>
      <c r="B370" s="77" t="s">
        <v>356</v>
      </c>
      <c r="C370" s="76" t="s">
        <v>171</v>
      </c>
      <c r="D370" s="76">
        <v>18</v>
      </c>
      <c r="E370" s="76">
        <v>5</v>
      </c>
      <c r="F370" s="76">
        <v>2.79</v>
      </c>
      <c r="G370" s="76">
        <v>32</v>
      </c>
      <c r="H370" s="76">
        <v>32</v>
      </c>
      <c r="I370" s="76">
        <v>0</v>
      </c>
      <c r="J370" s="76">
        <v>0</v>
      </c>
      <c r="K370" s="76">
        <v>219.2</v>
      </c>
      <c r="L370" s="76">
        <v>195</v>
      </c>
      <c r="M370" s="76">
        <v>71</v>
      </c>
      <c r="N370" s="76">
        <v>68</v>
      </c>
      <c r="O370" s="76">
        <v>15</v>
      </c>
      <c r="P370" s="76">
        <v>45</v>
      </c>
      <c r="Q370" s="76">
        <v>198</v>
      </c>
      <c r="R370" s="76">
        <v>0.23799999999999999</v>
      </c>
      <c r="S370" s="76">
        <v>1.0900000000000001</v>
      </c>
      <c r="T370" s="76">
        <v>7</v>
      </c>
      <c r="U370" s="77" t="s">
        <v>356</v>
      </c>
      <c r="V370" s="76" t="s">
        <v>171</v>
      </c>
      <c r="W370" s="76">
        <v>5</v>
      </c>
      <c r="X370" s="76">
        <v>2</v>
      </c>
      <c r="Y370" s="76">
        <v>8</v>
      </c>
      <c r="Z370" s="76">
        <v>1</v>
      </c>
      <c r="AA370" s="76">
        <v>0</v>
      </c>
      <c r="AB370" s="76">
        <v>0</v>
      </c>
      <c r="AC370" s="76">
        <v>13</v>
      </c>
      <c r="AD370" s="76">
        <v>258</v>
      </c>
      <c r="AE370" s="76">
        <v>177</v>
      </c>
      <c r="AF370" s="76">
        <v>3</v>
      </c>
      <c r="AG370" s="76">
        <v>1</v>
      </c>
      <c r="AH370" s="76">
        <v>4</v>
      </c>
      <c r="AI370" s="76">
        <v>7</v>
      </c>
      <c r="AJ370" s="76">
        <v>5</v>
      </c>
      <c r="AK370" s="76">
        <v>881</v>
      </c>
      <c r="AL370" s="76">
        <v>3299</v>
      </c>
      <c r="AM370" s="202"/>
      <c r="AN370" s="77"/>
      <c r="AO370" s="202"/>
      <c r="AP370" s="202"/>
      <c r="AQ370" s="202"/>
      <c r="AR370" s="202"/>
      <c r="AS370" s="202"/>
      <c r="AT370" s="202"/>
      <c r="AU370" s="202"/>
      <c r="AV370" s="202"/>
      <c r="AW370" s="202"/>
      <c r="AX370" s="202"/>
      <c r="AY370" s="202"/>
    </row>
    <row r="371" spans="1:51" ht="25.5" x14ac:dyDescent="0.2">
      <c r="A371" s="76">
        <v>8</v>
      </c>
      <c r="B371" s="77" t="s">
        <v>557</v>
      </c>
      <c r="C371" s="76" t="s">
        <v>171</v>
      </c>
      <c r="D371" s="76">
        <v>1</v>
      </c>
      <c r="E371" s="76">
        <v>1</v>
      </c>
      <c r="F371" s="76">
        <v>2.95</v>
      </c>
      <c r="G371" s="76">
        <v>26</v>
      </c>
      <c r="H371" s="76">
        <v>0</v>
      </c>
      <c r="I371" s="76">
        <v>0</v>
      </c>
      <c r="J371" s="76">
        <v>1</v>
      </c>
      <c r="K371" s="76">
        <v>18.100000000000001</v>
      </c>
      <c r="L371" s="76">
        <v>13</v>
      </c>
      <c r="M371" s="76">
        <v>6</v>
      </c>
      <c r="N371" s="76">
        <v>6</v>
      </c>
      <c r="O371" s="76">
        <v>0</v>
      </c>
      <c r="P371" s="76">
        <v>9</v>
      </c>
      <c r="Q371" s="76">
        <v>26</v>
      </c>
      <c r="R371" s="76">
        <v>0.19700000000000001</v>
      </c>
      <c r="S371" s="76">
        <v>1.2</v>
      </c>
      <c r="T371" s="76">
        <v>8</v>
      </c>
      <c r="U371" s="77" t="s">
        <v>557</v>
      </c>
      <c r="V371" s="76" t="s">
        <v>171</v>
      </c>
      <c r="W371" s="76">
        <v>0</v>
      </c>
      <c r="X371" s="76">
        <v>0</v>
      </c>
      <c r="Y371" s="76">
        <v>0</v>
      </c>
      <c r="Z371" s="76">
        <v>0</v>
      </c>
      <c r="AA371" s="76">
        <v>1</v>
      </c>
      <c r="AB371" s="76">
        <v>11</v>
      </c>
      <c r="AC371" s="76">
        <v>1</v>
      </c>
      <c r="AD371" s="76">
        <v>10</v>
      </c>
      <c r="AE371" s="76">
        <v>17</v>
      </c>
      <c r="AF371" s="76">
        <v>0</v>
      </c>
      <c r="AG371" s="76">
        <v>0</v>
      </c>
      <c r="AH371" s="76">
        <v>1</v>
      </c>
      <c r="AI371" s="76">
        <v>0</v>
      </c>
      <c r="AJ371" s="76">
        <v>0</v>
      </c>
      <c r="AK371" s="76">
        <v>75</v>
      </c>
      <c r="AL371" s="76">
        <v>305</v>
      </c>
      <c r="AM371" s="202"/>
      <c r="AN371" s="77"/>
      <c r="AO371" s="202"/>
      <c r="AP371" s="202"/>
      <c r="AQ371" s="202"/>
      <c r="AR371" s="202"/>
      <c r="AS371" s="202"/>
      <c r="AT371" s="202"/>
      <c r="AU371" s="202"/>
      <c r="AV371" s="202"/>
      <c r="AW371" s="202"/>
      <c r="AX371" s="202"/>
      <c r="AY371" s="202"/>
    </row>
    <row r="372" spans="1:51" ht="25.5" x14ac:dyDescent="0.2">
      <c r="A372" s="76">
        <v>9</v>
      </c>
      <c r="B372" s="77" t="s">
        <v>782</v>
      </c>
      <c r="C372" s="76" t="s">
        <v>171</v>
      </c>
      <c r="D372" s="76">
        <v>3</v>
      </c>
      <c r="E372" s="76">
        <v>3</v>
      </c>
      <c r="F372" s="76">
        <v>3.1</v>
      </c>
      <c r="G372" s="76">
        <v>72</v>
      </c>
      <c r="H372" s="76">
        <v>0</v>
      </c>
      <c r="I372" s="76">
        <v>3</v>
      </c>
      <c r="J372" s="76">
        <v>8</v>
      </c>
      <c r="K372" s="76">
        <v>61</v>
      </c>
      <c r="L372" s="76">
        <v>50</v>
      </c>
      <c r="M372" s="76">
        <v>21</v>
      </c>
      <c r="N372" s="76">
        <v>21</v>
      </c>
      <c r="O372" s="76">
        <v>4</v>
      </c>
      <c r="P372" s="76">
        <v>19</v>
      </c>
      <c r="Q372" s="76">
        <v>57</v>
      </c>
      <c r="R372" s="76">
        <v>0.221</v>
      </c>
      <c r="S372" s="76">
        <v>1.1299999999999999</v>
      </c>
      <c r="T372" s="76">
        <v>9</v>
      </c>
      <c r="U372" s="77" t="s">
        <v>782</v>
      </c>
      <c r="V372" s="76" t="s">
        <v>171</v>
      </c>
      <c r="W372" s="76">
        <v>0</v>
      </c>
      <c r="X372" s="76">
        <v>0</v>
      </c>
      <c r="Y372" s="76">
        <v>2</v>
      </c>
      <c r="Z372" s="76">
        <v>3</v>
      </c>
      <c r="AA372" s="76">
        <v>14</v>
      </c>
      <c r="AB372" s="76">
        <v>18</v>
      </c>
      <c r="AC372" s="76">
        <v>2</v>
      </c>
      <c r="AD372" s="76">
        <v>60</v>
      </c>
      <c r="AE372" s="76">
        <v>62</v>
      </c>
      <c r="AF372" s="76">
        <v>3</v>
      </c>
      <c r="AG372" s="76">
        <v>0</v>
      </c>
      <c r="AH372" s="76">
        <v>7</v>
      </c>
      <c r="AI372" s="76">
        <v>2</v>
      </c>
      <c r="AJ372" s="76">
        <v>0</v>
      </c>
      <c r="AK372" s="76">
        <v>250</v>
      </c>
      <c r="AL372" s="76">
        <v>1019</v>
      </c>
      <c r="AM372" s="202"/>
      <c r="AN372" s="77"/>
      <c r="AO372" s="202"/>
      <c r="AP372" s="202"/>
      <c r="AQ372" s="202"/>
      <c r="AR372" s="202"/>
      <c r="AS372" s="202"/>
      <c r="AT372" s="202"/>
      <c r="AU372" s="202"/>
      <c r="AV372" s="202"/>
      <c r="AW372" s="202"/>
      <c r="AX372" s="202"/>
      <c r="AY372" s="202"/>
    </row>
    <row r="373" spans="1:51" ht="25.5" x14ac:dyDescent="0.2">
      <c r="A373" s="76">
        <v>10</v>
      </c>
      <c r="B373" s="77" t="s">
        <v>1492</v>
      </c>
      <c r="C373" s="76" t="s">
        <v>171</v>
      </c>
      <c r="D373" s="76">
        <v>0</v>
      </c>
      <c r="E373" s="76">
        <v>0</v>
      </c>
      <c r="F373" s="76">
        <v>3.21</v>
      </c>
      <c r="G373" s="76">
        <v>16</v>
      </c>
      <c r="H373" s="76">
        <v>0</v>
      </c>
      <c r="I373" s="76">
        <v>0</v>
      </c>
      <c r="J373" s="76">
        <v>1</v>
      </c>
      <c r="K373" s="76">
        <v>14</v>
      </c>
      <c r="L373" s="76">
        <v>14</v>
      </c>
      <c r="M373" s="76">
        <v>5</v>
      </c>
      <c r="N373" s="76">
        <v>5</v>
      </c>
      <c r="O373" s="76">
        <v>2</v>
      </c>
      <c r="P373" s="76">
        <v>4</v>
      </c>
      <c r="Q373" s="76">
        <v>14</v>
      </c>
      <c r="R373" s="76">
        <v>0.25900000000000001</v>
      </c>
      <c r="S373" s="76">
        <v>1.29</v>
      </c>
      <c r="T373" s="76">
        <v>10</v>
      </c>
      <c r="U373" s="77" t="s">
        <v>1492</v>
      </c>
      <c r="V373" s="76" t="s">
        <v>171</v>
      </c>
      <c r="W373" s="76">
        <v>0</v>
      </c>
      <c r="X373" s="76">
        <v>0</v>
      </c>
      <c r="Y373" s="76">
        <v>0</v>
      </c>
      <c r="Z373" s="76">
        <v>1</v>
      </c>
      <c r="AA373" s="76">
        <v>3</v>
      </c>
      <c r="AB373" s="76">
        <v>2</v>
      </c>
      <c r="AC373" s="76">
        <v>2</v>
      </c>
      <c r="AD373" s="76">
        <v>12</v>
      </c>
      <c r="AE373" s="76">
        <v>14</v>
      </c>
      <c r="AF373" s="76">
        <v>0</v>
      </c>
      <c r="AG373" s="76">
        <v>0</v>
      </c>
      <c r="AH373" s="76">
        <v>0</v>
      </c>
      <c r="AI373" s="76">
        <v>0</v>
      </c>
      <c r="AJ373" s="76">
        <v>0</v>
      </c>
      <c r="AK373" s="76">
        <v>58</v>
      </c>
      <c r="AL373" s="76">
        <v>232</v>
      </c>
      <c r="AM373" s="202"/>
      <c r="AN373" s="77"/>
      <c r="AO373" s="202"/>
      <c r="AP373" s="202"/>
      <c r="AQ373" s="202"/>
      <c r="AR373" s="202"/>
      <c r="AS373" s="202"/>
      <c r="AT373" s="202"/>
      <c r="AU373" s="202"/>
      <c r="AV373" s="202"/>
      <c r="AW373" s="202"/>
      <c r="AX373" s="202"/>
      <c r="AY373" s="202"/>
    </row>
    <row r="374" spans="1:51" ht="25.5" x14ac:dyDescent="0.2">
      <c r="A374" s="76">
        <v>11</v>
      </c>
      <c r="B374" s="77" t="s">
        <v>449</v>
      </c>
      <c r="C374" s="76" t="s">
        <v>171</v>
      </c>
      <c r="D374" s="76">
        <v>2</v>
      </c>
      <c r="E374" s="76">
        <v>5</v>
      </c>
      <c r="F374" s="76">
        <v>3.57</v>
      </c>
      <c r="G374" s="76">
        <v>62</v>
      </c>
      <c r="H374" s="76">
        <v>0</v>
      </c>
      <c r="I374" s="76">
        <v>31</v>
      </c>
      <c r="J374" s="76">
        <v>40</v>
      </c>
      <c r="K374" s="76">
        <v>58</v>
      </c>
      <c r="L374" s="76">
        <v>50</v>
      </c>
      <c r="M374" s="76">
        <v>23</v>
      </c>
      <c r="N374" s="76">
        <v>23</v>
      </c>
      <c r="O374" s="76">
        <v>8</v>
      </c>
      <c r="P374" s="76">
        <v>19</v>
      </c>
      <c r="Q374" s="76">
        <v>65</v>
      </c>
      <c r="R374" s="76">
        <v>0.23499999999999999</v>
      </c>
      <c r="S374" s="76">
        <v>1.19</v>
      </c>
      <c r="T374" s="76">
        <v>11</v>
      </c>
      <c r="U374" s="77" t="s">
        <v>449</v>
      </c>
      <c r="V374" s="76" t="s">
        <v>171</v>
      </c>
      <c r="W374" s="76">
        <v>0</v>
      </c>
      <c r="X374" s="76">
        <v>0</v>
      </c>
      <c r="Y374" s="76">
        <v>5</v>
      </c>
      <c r="Z374" s="76">
        <v>2</v>
      </c>
      <c r="AA374" s="76">
        <v>44</v>
      </c>
      <c r="AB374" s="76">
        <v>3</v>
      </c>
      <c r="AC374" s="76">
        <v>6</v>
      </c>
      <c r="AD374" s="76">
        <v>58</v>
      </c>
      <c r="AE374" s="76">
        <v>44</v>
      </c>
      <c r="AF374" s="76">
        <v>4</v>
      </c>
      <c r="AG374" s="76">
        <v>2</v>
      </c>
      <c r="AH374" s="76">
        <v>4</v>
      </c>
      <c r="AI374" s="76">
        <v>1</v>
      </c>
      <c r="AJ374" s="76">
        <v>0</v>
      </c>
      <c r="AK374" s="76">
        <v>241</v>
      </c>
      <c r="AL374" s="76">
        <v>950</v>
      </c>
      <c r="AM374" s="202"/>
      <c r="AN374" s="77"/>
      <c r="AO374" s="202"/>
      <c r="AP374" s="202"/>
      <c r="AQ374" s="202"/>
      <c r="AR374" s="202"/>
      <c r="AS374" s="202"/>
      <c r="AT374" s="202"/>
      <c r="AU374" s="202"/>
      <c r="AV374" s="202"/>
      <c r="AW374" s="202"/>
      <c r="AX374" s="202"/>
      <c r="AY374" s="202"/>
    </row>
    <row r="375" spans="1:51" ht="25.5" x14ac:dyDescent="0.2">
      <c r="A375" s="76">
        <v>12</v>
      </c>
      <c r="B375" s="77" t="s">
        <v>1493</v>
      </c>
      <c r="C375" s="76" t="s">
        <v>171</v>
      </c>
      <c r="D375" s="76">
        <v>1</v>
      </c>
      <c r="E375" s="76">
        <v>0</v>
      </c>
      <c r="F375" s="76">
        <v>3.6</v>
      </c>
      <c r="G375" s="76">
        <v>7</v>
      </c>
      <c r="H375" s="76">
        <v>0</v>
      </c>
      <c r="I375" s="76">
        <v>0</v>
      </c>
      <c r="J375" s="76">
        <v>0</v>
      </c>
      <c r="K375" s="76">
        <v>10</v>
      </c>
      <c r="L375" s="76">
        <v>11</v>
      </c>
      <c r="M375" s="76">
        <v>4</v>
      </c>
      <c r="N375" s="76">
        <v>4</v>
      </c>
      <c r="O375" s="76">
        <v>1</v>
      </c>
      <c r="P375" s="76">
        <v>5</v>
      </c>
      <c r="Q375" s="76">
        <v>6</v>
      </c>
      <c r="R375" s="76">
        <v>0.28899999999999998</v>
      </c>
      <c r="S375" s="76">
        <v>1.6</v>
      </c>
      <c r="T375" s="76">
        <v>12</v>
      </c>
      <c r="U375" s="77" t="s">
        <v>1493</v>
      </c>
      <c r="V375" s="76" t="s">
        <v>171</v>
      </c>
      <c r="W375" s="76">
        <v>0</v>
      </c>
      <c r="X375" s="76">
        <v>0</v>
      </c>
      <c r="Y375" s="76">
        <v>0</v>
      </c>
      <c r="Z375" s="76">
        <v>0</v>
      </c>
      <c r="AA375" s="76">
        <v>7</v>
      </c>
      <c r="AB375" s="76">
        <v>0</v>
      </c>
      <c r="AC375" s="76">
        <v>2</v>
      </c>
      <c r="AD375" s="76">
        <v>8</v>
      </c>
      <c r="AE375" s="76">
        <v>13</v>
      </c>
      <c r="AF375" s="76">
        <v>0</v>
      </c>
      <c r="AG375" s="76">
        <v>0</v>
      </c>
      <c r="AH375" s="76">
        <v>0</v>
      </c>
      <c r="AI375" s="76">
        <v>0</v>
      </c>
      <c r="AJ375" s="76">
        <v>0</v>
      </c>
      <c r="AK375" s="76">
        <v>43</v>
      </c>
      <c r="AL375" s="76">
        <v>168</v>
      </c>
      <c r="AM375" s="202"/>
      <c r="AN375" s="77"/>
      <c r="AO375" s="202"/>
      <c r="AP375" s="202"/>
      <c r="AQ375" s="202"/>
      <c r="AR375" s="202"/>
      <c r="AS375" s="202"/>
      <c r="AT375" s="202"/>
      <c r="AU375" s="202"/>
      <c r="AV375" s="202"/>
      <c r="AW375" s="202"/>
      <c r="AX375" s="202"/>
      <c r="AY375" s="202"/>
    </row>
    <row r="376" spans="1:51" ht="25.5" x14ac:dyDescent="0.2">
      <c r="A376" s="76">
        <v>13</v>
      </c>
      <c r="B376" s="77" t="s">
        <v>350</v>
      </c>
      <c r="C376" s="76" t="s">
        <v>171</v>
      </c>
      <c r="D376" s="76">
        <v>12</v>
      </c>
      <c r="E376" s="76">
        <v>11</v>
      </c>
      <c r="F376" s="76">
        <v>3.81</v>
      </c>
      <c r="G376" s="76">
        <v>32</v>
      </c>
      <c r="H376" s="76">
        <v>32</v>
      </c>
      <c r="I376" s="76">
        <v>0</v>
      </c>
      <c r="J376" s="76">
        <v>0</v>
      </c>
      <c r="K376" s="76">
        <v>203.1</v>
      </c>
      <c r="L376" s="76">
        <v>190</v>
      </c>
      <c r="M376" s="76">
        <v>88</v>
      </c>
      <c r="N376" s="76">
        <v>86</v>
      </c>
      <c r="O376" s="76">
        <v>24</v>
      </c>
      <c r="P376" s="76">
        <v>54</v>
      </c>
      <c r="Q376" s="76">
        <v>167</v>
      </c>
      <c r="R376" s="76">
        <v>0.249</v>
      </c>
      <c r="S376" s="76">
        <v>1.2</v>
      </c>
      <c r="T376" s="76">
        <v>13</v>
      </c>
      <c r="U376" s="77" t="s">
        <v>350</v>
      </c>
      <c r="V376" s="76" t="s">
        <v>171</v>
      </c>
      <c r="W376" s="76">
        <v>1</v>
      </c>
      <c r="X376" s="76">
        <v>0</v>
      </c>
      <c r="Y376" s="76">
        <v>1</v>
      </c>
      <c r="Z376" s="76">
        <v>4</v>
      </c>
      <c r="AA376" s="76">
        <v>0</v>
      </c>
      <c r="AB376" s="76">
        <v>0</v>
      </c>
      <c r="AC376" s="76">
        <v>19</v>
      </c>
      <c r="AD376" s="76">
        <v>227</v>
      </c>
      <c r="AE376" s="76">
        <v>190</v>
      </c>
      <c r="AF376" s="76">
        <v>2</v>
      </c>
      <c r="AG376" s="76">
        <v>0</v>
      </c>
      <c r="AH376" s="76">
        <v>13</v>
      </c>
      <c r="AI376" s="76">
        <v>6</v>
      </c>
      <c r="AJ376" s="76">
        <v>0</v>
      </c>
      <c r="AK376" s="76">
        <v>829</v>
      </c>
      <c r="AL376" s="76">
        <v>3190</v>
      </c>
      <c r="AM376" s="102"/>
      <c r="AN376" s="102"/>
      <c r="AO376" s="102"/>
      <c r="AP376" s="102"/>
      <c r="AQ376" s="102"/>
      <c r="AR376" s="102"/>
      <c r="AS376" s="102"/>
      <c r="AT376" s="102"/>
      <c r="AU376" s="102"/>
      <c r="AV376" s="102"/>
      <c r="AW376" s="102"/>
      <c r="AX376" s="102"/>
      <c r="AY376" s="102"/>
    </row>
    <row r="377" spans="1:51" ht="25.5" x14ac:dyDescent="0.2">
      <c r="A377" s="76">
        <v>14</v>
      </c>
      <c r="B377" s="77" t="s">
        <v>448</v>
      </c>
      <c r="C377" s="76" t="s">
        <v>171</v>
      </c>
      <c r="D377" s="76">
        <v>1</v>
      </c>
      <c r="E377" s="76">
        <v>3</v>
      </c>
      <c r="F377" s="76">
        <v>4.05</v>
      </c>
      <c r="G377" s="76">
        <v>68</v>
      </c>
      <c r="H377" s="76">
        <v>0</v>
      </c>
      <c r="I377" s="76">
        <v>1</v>
      </c>
      <c r="J377" s="76">
        <v>3</v>
      </c>
      <c r="K377" s="76">
        <v>26.2</v>
      </c>
      <c r="L377" s="76">
        <v>24</v>
      </c>
      <c r="M377" s="76">
        <v>13</v>
      </c>
      <c r="N377" s="76">
        <v>12</v>
      </c>
      <c r="O377" s="76">
        <v>3</v>
      </c>
      <c r="P377" s="76">
        <v>15</v>
      </c>
      <c r="Q377" s="76">
        <v>15</v>
      </c>
      <c r="R377" s="76">
        <v>0.24</v>
      </c>
      <c r="S377" s="76">
        <v>1.46</v>
      </c>
      <c r="T377" s="76">
        <v>14</v>
      </c>
      <c r="U377" s="77" t="s">
        <v>448</v>
      </c>
      <c r="V377" s="76" t="s">
        <v>171</v>
      </c>
      <c r="W377" s="76">
        <v>0</v>
      </c>
      <c r="X377" s="76">
        <v>0</v>
      </c>
      <c r="Y377" s="76">
        <v>2</v>
      </c>
      <c r="Z377" s="76">
        <v>0</v>
      </c>
      <c r="AA377" s="76">
        <v>6</v>
      </c>
      <c r="AB377" s="76">
        <v>20</v>
      </c>
      <c r="AC377" s="76">
        <v>4</v>
      </c>
      <c r="AD377" s="76">
        <v>44</v>
      </c>
      <c r="AE377" s="76">
        <v>18</v>
      </c>
      <c r="AF377" s="76">
        <v>0</v>
      </c>
      <c r="AG377" s="76">
        <v>0</v>
      </c>
      <c r="AH377" s="76">
        <v>0</v>
      </c>
      <c r="AI377" s="76">
        <v>0</v>
      </c>
      <c r="AJ377" s="76">
        <v>0</v>
      </c>
      <c r="AK377" s="76">
        <v>118</v>
      </c>
      <c r="AL377" s="76">
        <v>443</v>
      </c>
      <c r="AM377" s="202"/>
      <c r="AN377" s="77"/>
      <c r="AO377" s="202"/>
      <c r="AP377" s="202"/>
      <c r="AQ377" s="202"/>
      <c r="AR377" s="202"/>
      <c r="AS377" s="202"/>
      <c r="AT377" s="202"/>
      <c r="AU377" s="202"/>
      <c r="AV377" s="202"/>
      <c r="AW377" s="202"/>
      <c r="AX377" s="202"/>
      <c r="AY377" s="202"/>
    </row>
    <row r="378" spans="1:51" ht="25.5" x14ac:dyDescent="0.2">
      <c r="A378" s="76">
        <v>15</v>
      </c>
      <c r="B378" s="77" t="s">
        <v>627</v>
      </c>
      <c r="C378" s="76" t="s">
        <v>171</v>
      </c>
      <c r="D378" s="76">
        <v>6</v>
      </c>
      <c r="E378" s="76">
        <v>5</v>
      </c>
      <c r="F378" s="76">
        <v>4.08</v>
      </c>
      <c r="G378" s="76">
        <v>12</v>
      </c>
      <c r="H378" s="76">
        <v>12</v>
      </c>
      <c r="I378" s="76">
        <v>0</v>
      </c>
      <c r="J378" s="76">
        <v>0</v>
      </c>
      <c r="K378" s="76">
        <v>68.099999999999994</v>
      </c>
      <c r="L378" s="76">
        <v>59</v>
      </c>
      <c r="M378" s="76">
        <v>31</v>
      </c>
      <c r="N378" s="76">
        <v>31</v>
      </c>
      <c r="O378" s="76">
        <v>5</v>
      </c>
      <c r="P378" s="76">
        <v>32</v>
      </c>
      <c r="Q378" s="76">
        <v>69</v>
      </c>
      <c r="R378" s="76">
        <v>0.23300000000000001</v>
      </c>
      <c r="S378" s="76">
        <v>1.33</v>
      </c>
      <c r="T378" s="76">
        <v>15</v>
      </c>
      <c r="U378" s="77" t="s">
        <v>627</v>
      </c>
      <c r="V378" s="76" t="s">
        <v>171</v>
      </c>
      <c r="W378" s="76">
        <v>0</v>
      </c>
      <c r="X378" s="76">
        <v>0</v>
      </c>
      <c r="Y378" s="76">
        <v>1</v>
      </c>
      <c r="Z378" s="76">
        <v>1</v>
      </c>
      <c r="AA378" s="76">
        <v>0</v>
      </c>
      <c r="AB378" s="76">
        <v>0</v>
      </c>
      <c r="AC378" s="76">
        <v>4</v>
      </c>
      <c r="AD378" s="76">
        <v>57</v>
      </c>
      <c r="AE378" s="76">
        <v>71</v>
      </c>
      <c r="AF378" s="76">
        <v>3</v>
      </c>
      <c r="AG378" s="76">
        <v>0</v>
      </c>
      <c r="AH378" s="76">
        <v>2</v>
      </c>
      <c r="AI378" s="76">
        <v>0</v>
      </c>
      <c r="AJ378" s="76">
        <v>1</v>
      </c>
      <c r="AK378" s="76">
        <v>289</v>
      </c>
      <c r="AL378" s="76">
        <v>1159</v>
      </c>
      <c r="AM378" s="202"/>
      <c r="AN378" s="77"/>
      <c r="AO378" s="202"/>
      <c r="AP378" s="202"/>
      <c r="AQ378" s="202"/>
      <c r="AR378" s="202"/>
      <c r="AS378" s="202"/>
      <c r="AT378" s="202"/>
      <c r="AU378" s="202"/>
      <c r="AV378" s="202"/>
      <c r="AW378" s="202"/>
      <c r="AX378" s="202"/>
      <c r="AY378" s="202"/>
    </row>
    <row r="379" spans="1:51" ht="25.5" x14ac:dyDescent="0.2">
      <c r="A379" s="76">
        <v>16</v>
      </c>
      <c r="B379" s="77" t="s">
        <v>1157</v>
      </c>
      <c r="C379" s="76" t="s">
        <v>171</v>
      </c>
      <c r="D379" s="76">
        <v>3</v>
      </c>
      <c r="E379" s="76">
        <v>2</v>
      </c>
      <c r="F379" s="76">
        <v>4.28</v>
      </c>
      <c r="G379" s="76">
        <v>56</v>
      </c>
      <c r="H379" s="76">
        <v>0</v>
      </c>
      <c r="I379" s="76">
        <v>3</v>
      </c>
      <c r="J379" s="76">
        <v>7</v>
      </c>
      <c r="K379" s="76">
        <v>48.1</v>
      </c>
      <c r="L379" s="76">
        <v>42</v>
      </c>
      <c r="M379" s="76">
        <v>24</v>
      </c>
      <c r="N379" s="76">
        <v>23</v>
      </c>
      <c r="O379" s="76">
        <v>4</v>
      </c>
      <c r="P379" s="76">
        <v>14</v>
      </c>
      <c r="Q379" s="76">
        <v>45</v>
      </c>
      <c r="R379" s="76">
        <v>0.23300000000000001</v>
      </c>
      <c r="S379" s="76">
        <v>1.1599999999999999</v>
      </c>
      <c r="T379" s="76">
        <v>16</v>
      </c>
      <c r="U379" s="77" t="s">
        <v>1157</v>
      </c>
      <c r="V379" s="76" t="s">
        <v>171</v>
      </c>
      <c r="W379" s="76">
        <v>0</v>
      </c>
      <c r="X379" s="76">
        <v>0</v>
      </c>
      <c r="Y379" s="76">
        <v>1</v>
      </c>
      <c r="Z379" s="76">
        <v>2</v>
      </c>
      <c r="AA379" s="76">
        <v>10</v>
      </c>
      <c r="AB379" s="76">
        <v>15</v>
      </c>
      <c r="AC379" s="76">
        <v>7</v>
      </c>
      <c r="AD379" s="76">
        <v>60</v>
      </c>
      <c r="AE379" s="76">
        <v>35</v>
      </c>
      <c r="AF379" s="76">
        <v>1</v>
      </c>
      <c r="AG379" s="76">
        <v>0</v>
      </c>
      <c r="AH379" s="76">
        <v>9</v>
      </c>
      <c r="AI379" s="76">
        <v>0</v>
      </c>
      <c r="AJ379" s="76">
        <v>0</v>
      </c>
      <c r="AK379" s="76">
        <v>197</v>
      </c>
      <c r="AL379" s="76">
        <v>732</v>
      </c>
      <c r="AM379" s="202"/>
      <c r="AN379" s="77"/>
      <c r="AO379" s="202"/>
      <c r="AP379" s="202"/>
      <c r="AQ379" s="202"/>
      <c r="AR379" s="202"/>
      <c r="AS379" s="202"/>
      <c r="AT379" s="202"/>
      <c r="AU379" s="202"/>
      <c r="AV379" s="202"/>
      <c r="AW379" s="202"/>
      <c r="AX379" s="202"/>
      <c r="AY379" s="202"/>
    </row>
    <row r="380" spans="1:51" ht="25.5" x14ac:dyDescent="0.2">
      <c r="A380" s="76">
        <v>17</v>
      </c>
      <c r="B380" s="77" t="s">
        <v>1494</v>
      </c>
      <c r="C380" s="76" t="s">
        <v>171</v>
      </c>
      <c r="D380" s="76">
        <v>3</v>
      </c>
      <c r="E380" s="76">
        <v>5</v>
      </c>
      <c r="F380" s="76">
        <v>4.29</v>
      </c>
      <c r="G380" s="76">
        <v>22</v>
      </c>
      <c r="H380" s="76">
        <v>12</v>
      </c>
      <c r="I380" s="76">
        <v>0</v>
      </c>
      <c r="J380" s="76">
        <v>0</v>
      </c>
      <c r="K380" s="76">
        <v>84</v>
      </c>
      <c r="L380" s="76">
        <v>84</v>
      </c>
      <c r="M380" s="76">
        <v>42</v>
      </c>
      <c r="N380" s="76">
        <v>40</v>
      </c>
      <c r="O380" s="76">
        <v>11</v>
      </c>
      <c r="P380" s="76">
        <v>26</v>
      </c>
      <c r="Q380" s="76">
        <v>54</v>
      </c>
      <c r="R380" s="76">
        <v>0.26400000000000001</v>
      </c>
      <c r="S380" s="76">
        <v>1.31</v>
      </c>
      <c r="T380" s="76">
        <v>17</v>
      </c>
      <c r="U380" s="77" t="s">
        <v>1494</v>
      </c>
      <c r="V380" s="76" t="s">
        <v>171</v>
      </c>
      <c r="W380" s="76">
        <v>0</v>
      </c>
      <c r="X380" s="76">
        <v>0</v>
      </c>
      <c r="Y380" s="76">
        <v>4</v>
      </c>
      <c r="Z380" s="76">
        <v>5</v>
      </c>
      <c r="AA380" s="76">
        <v>2</v>
      </c>
      <c r="AB380" s="76">
        <v>1</v>
      </c>
      <c r="AC380" s="76">
        <v>8</v>
      </c>
      <c r="AD380" s="76">
        <v>114</v>
      </c>
      <c r="AE380" s="76">
        <v>73</v>
      </c>
      <c r="AF380" s="76">
        <v>1</v>
      </c>
      <c r="AG380" s="76">
        <v>0</v>
      </c>
      <c r="AH380" s="76">
        <v>0</v>
      </c>
      <c r="AI380" s="76">
        <v>1</v>
      </c>
      <c r="AJ380" s="76">
        <v>1</v>
      </c>
      <c r="AK380" s="76">
        <v>355</v>
      </c>
      <c r="AL380" s="76">
        <v>1373</v>
      </c>
      <c r="AM380" s="202"/>
      <c r="AN380" s="77"/>
      <c r="AO380" s="202"/>
      <c r="AP380" s="202"/>
      <c r="AQ380" s="202"/>
      <c r="AR380" s="202"/>
      <c r="AS380" s="202"/>
      <c r="AT380" s="202"/>
      <c r="AU380" s="202"/>
      <c r="AV380" s="202"/>
      <c r="AW380" s="202"/>
      <c r="AX380" s="202"/>
      <c r="AY380" s="202"/>
    </row>
    <row r="381" spans="1:51" ht="25.5" x14ac:dyDescent="0.2">
      <c r="A381" s="76">
        <v>18</v>
      </c>
      <c r="B381" s="77" t="s">
        <v>1156</v>
      </c>
      <c r="C381" s="76" t="s">
        <v>171</v>
      </c>
      <c r="D381" s="76">
        <v>1</v>
      </c>
      <c r="E381" s="76">
        <v>3</v>
      </c>
      <c r="F381" s="76">
        <v>4.71</v>
      </c>
      <c r="G381" s="76">
        <v>59</v>
      </c>
      <c r="H381" s="76">
        <v>0</v>
      </c>
      <c r="I381" s="76">
        <v>0</v>
      </c>
      <c r="J381" s="76">
        <v>3</v>
      </c>
      <c r="K381" s="76">
        <v>36.1</v>
      </c>
      <c r="L381" s="76">
        <v>31</v>
      </c>
      <c r="M381" s="76">
        <v>20</v>
      </c>
      <c r="N381" s="76">
        <v>19</v>
      </c>
      <c r="O381" s="76">
        <v>7</v>
      </c>
      <c r="P381" s="76">
        <v>19</v>
      </c>
      <c r="Q381" s="76">
        <v>25</v>
      </c>
      <c r="R381" s="76">
        <v>0.22800000000000001</v>
      </c>
      <c r="S381" s="76">
        <v>1.38</v>
      </c>
      <c r="T381" s="76">
        <v>18</v>
      </c>
      <c r="U381" s="77" t="s">
        <v>1156</v>
      </c>
      <c r="V381" s="76" t="s">
        <v>171</v>
      </c>
      <c r="W381" s="76">
        <v>0</v>
      </c>
      <c r="X381" s="76">
        <v>0</v>
      </c>
      <c r="Y381" s="76">
        <v>3</v>
      </c>
      <c r="Z381" s="76">
        <v>1</v>
      </c>
      <c r="AA381" s="76">
        <v>9</v>
      </c>
      <c r="AB381" s="76">
        <v>18</v>
      </c>
      <c r="AC381" s="76">
        <v>4</v>
      </c>
      <c r="AD381" s="76">
        <v>61</v>
      </c>
      <c r="AE381" s="76">
        <v>21</v>
      </c>
      <c r="AF381" s="76">
        <v>2</v>
      </c>
      <c r="AG381" s="76">
        <v>0</v>
      </c>
      <c r="AH381" s="76">
        <v>4</v>
      </c>
      <c r="AI381" s="76">
        <v>0</v>
      </c>
      <c r="AJ381" s="76">
        <v>0</v>
      </c>
      <c r="AK381" s="76">
        <v>159</v>
      </c>
      <c r="AL381" s="76">
        <v>576</v>
      </c>
      <c r="AM381" s="202"/>
      <c r="AN381" s="77"/>
      <c r="AO381" s="202"/>
      <c r="AP381" s="202"/>
      <c r="AQ381" s="202"/>
      <c r="AR381" s="202"/>
      <c r="AS381" s="202"/>
      <c r="AT381" s="202"/>
      <c r="AU381" s="202"/>
      <c r="AV381" s="202"/>
      <c r="AW381" s="202"/>
      <c r="AX381" s="202"/>
      <c r="AY381" s="202"/>
    </row>
    <row r="382" spans="1:51" ht="25.5" x14ac:dyDescent="0.2">
      <c r="A382" s="76">
        <v>19</v>
      </c>
      <c r="B382" s="77" t="s">
        <v>504</v>
      </c>
      <c r="C382" s="76" t="s">
        <v>171</v>
      </c>
      <c r="D382" s="76">
        <v>5</v>
      </c>
      <c r="E382" s="76">
        <v>9</v>
      </c>
      <c r="F382" s="76">
        <v>5.54</v>
      </c>
      <c r="G382" s="76">
        <v>31</v>
      </c>
      <c r="H382" s="76">
        <v>21</v>
      </c>
      <c r="I382" s="76">
        <v>0</v>
      </c>
      <c r="J382" s="76">
        <v>0</v>
      </c>
      <c r="K382" s="76">
        <v>118.2</v>
      </c>
      <c r="L382" s="76">
        <v>134</v>
      </c>
      <c r="M382" s="76">
        <v>76</v>
      </c>
      <c r="N382" s="76">
        <v>73</v>
      </c>
      <c r="O382" s="76">
        <v>18</v>
      </c>
      <c r="P382" s="76">
        <v>36</v>
      </c>
      <c r="Q382" s="76">
        <v>102</v>
      </c>
      <c r="R382" s="76">
        <v>0.28199999999999997</v>
      </c>
      <c r="S382" s="76">
        <v>1.43</v>
      </c>
      <c r="T382" s="76">
        <v>19</v>
      </c>
      <c r="U382" s="77" t="s">
        <v>504</v>
      </c>
      <c r="V382" s="76" t="s">
        <v>171</v>
      </c>
      <c r="W382" s="76">
        <v>0</v>
      </c>
      <c r="X382" s="76">
        <v>0</v>
      </c>
      <c r="Y382" s="76">
        <v>2</v>
      </c>
      <c r="Z382" s="76">
        <v>1</v>
      </c>
      <c r="AA382" s="76">
        <v>3</v>
      </c>
      <c r="AB382" s="76">
        <v>0</v>
      </c>
      <c r="AC382" s="76">
        <v>8</v>
      </c>
      <c r="AD382" s="76">
        <v>106</v>
      </c>
      <c r="AE382" s="76">
        <v>140</v>
      </c>
      <c r="AF382" s="76">
        <v>4</v>
      </c>
      <c r="AG382" s="76">
        <v>1</v>
      </c>
      <c r="AH382" s="76">
        <v>3</v>
      </c>
      <c r="AI382" s="76">
        <v>3</v>
      </c>
      <c r="AJ382" s="76">
        <v>0</v>
      </c>
      <c r="AK382" s="76">
        <v>520</v>
      </c>
      <c r="AL382" s="76">
        <v>2026</v>
      </c>
      <c r="AM382" s="202"/>
      <c r="AN382" s="77"/>
      <c r="AO382" s="202"/>
      <c r="AP382" s="202"/>
      <c r="AQ382" s="202"/>
      <c r="AR382" s="202"/>
      <c r="AS382" s="202"/>
      <c r="AT382" s="202"/>
      <c r="AU382" s="202"/>
      <c r="AV382" s="202"/>
      <c r="AW382" s="202"/>
      <c r="AX382" s="202"/>
      <c r="AY382" s="202"/>
    </row>
    <row r="383" spans="1:51" ht="25.5" x14ac:dyDescent="0.2">
      <c r="A383" s="76">
        <v>20</v>
      </c>
      <c r="B383" s="77" t="s">
        <v>454</v>
      </c>
      <c r="C383" s="76" t="s">
        <v>171</v>
      </c>
      <c r="D383" s="76">
        <v>4</v>
      </c>
      <c r="E383" s="76">
        <v>8</v>
      </c>
      <c r="F383" s="76">
        <v>5.64</v>
      </c>
      <c r="G383" s="76">
        <v>21</v>
      </c>
      <c r="H383" s="76">
        <v>17</v>
      </c>
      <c r="I383" s="76">
        <v>0</v>
      </c>
      <c r="J383" s="76">
        <v>0</v>
      </c>
      <c r="K383" s="76">
        <v>89.1</v>
      </c>
      <c r="L383" s="76">
        <v>103</v>
      </c>
      <c r="M383" s="76">
        <v>58</v>
      </c>
      <c r="N383" s="76">
        <v>56</v>
      </c>
      <c r="O383" s="76">
        <v>16</v>
      </c>
      <c r="P383" s="76">
        <v>32</v>
      </c>
      <c r="Q383" s="76">
        <v>72</v>
      </c>
      <c r="R383" s="76">
        <v>0.29899999999999999</v>
      </c>
      <c r="S383" s="76">
        <v>1.51</v>
      </c>
      <c r="T383" s="76">
        <v>20</v>
      </c>
      <c r="U383" s="77" t="s">
        <v>454</v>
      </c>
      <c r="V383" s="76" t="s">
        <v>171</v>
      </c>
      <c r="W383" s="76">
        <v>0</v>
      </c>
      <c r="X383" s="76">
        <v>0</v>
      </c>
      <c r="Y383" s="76">
        <v>6</v>
      </c>
      <c r="Z383" s="76">
        <v>1</v>
      </c>
      <c r="AA383" s="76">
        <v>2</v>
      </c>
      <c r="AB383" s="76">
        <v>0</v>
      </c>
      <c r="AC383" s="76">
        <v>8</v>
      </c>
      <c r="AD383" s="76">
        <v>87</v>
      </c>
      <c r="AE383" s="76">
        <v>97</v>
      </c>
      <c r="AF383" s="76">
        <v>5</v>
      </c>
      <c r="AG383" s="76">
        <v>0</v>
      </c>
      <c r="AH383" s="76">
        <v>7</v>
      </c>
      <c r="AI383" s="76">
        <v>5</v>
      </c>
      <c r="AJ383" s="76">
        <v>0</v>
      </c>
      <c r="AK383" s="76">
        <v>397</v>
      </c>
      <c r="AL383" s="76">
        <v>1568</v>
      </c>
      <c r="AM383" s="202"/>
      <c r="AN383" s="77"/>
      <c r="AO383" s="202"/>
      <c r="AP383" s="202"/>
      <c r="AQ383" s="202"/>
      <c r="AR383" s="202"/>
      <c r="AS383" s="202"/>
      <c r="AT383" s="202"/>
      <c r="AU383" s="202"/>
      <c r="AV383" s="202"/>
      <c r="AW383" s="202"/>
      <c r="AX383" s="202"/>
      <c r="AY383" s="202"/>
    </row>
    <row r="384" spans="1:51" ht="25.5" x14ac:dyDescent="0.2">
      <c r="A384" s="76">
        <v>21</v>
      </c>
      <c r="B384" s="77" t="s">
        <v>1087</v>
      </c>
      <c r="C384" s="76" t="s">
        <v>171</v>
      </c>
      <c r="D384" s="76">
        <v>0</v>
      </c>
      <c r="E384" s="76">
        <v>1</v>
      </c>
      <c r="F384" s="76">
        <v>7.5</v>
      </c>
      <c r="G384" s="76">
        <v>8</v>
      </c>
      <c r="H384" s="76">
        <v>0</v>
      </c>
      <c r="I384" s="76">
        <v>0</v>
      </c>
      <c r="J384" s="76">
        <v>0</v>
      </c>
      <c r="K384" s="76">
        <v>6</v>
      </c>
      <c r="L384" s="76">
        <v>7</v>
      </c>
      <c r="M384" s="76">
        <v>5</v>
      </c>
      <c r="N384" s="76">
        <v>5</v>
      </c>
      <c r="O384" s="76">
        <v>0</v>
      </c>
      <c r="P384" s="76">
        <v>5</v>
      </c>
      <c r="Q384" s="76">
        <v>3</v>
      </c>
      <c r="R384" s="76">
        <v>0.29199999999999998</v>
      </c>
      <c r="S384" s="76">
        <v>2</v>
      </c>
      <c r="T384" s="76">
        <v>21</v>
      </c>
      <c r="U384" s="77" t="s">
        <v>1087</v>
      </c>
      <c r="V384" s="76" t="s">
        <v>171</v>
      </c>
      <c r="W384" s="76">
        <v>0</v>
      </c>
      <c r="X384" s="76">
        <v>0</v>
      </c>
      <c r="Y384" s="76">
        <v>0</v>
      </c>
      <c r="Z384" s="76">
        <v>2</v>
      </c>
      <c r="AA384" s="76">
        <v>4</v>
      </c>
      <c r="AB384" s="76">
        <v>0</v>
      </c>
      <c r="AC384" s="76">
        <v>0</v>
      </c>
      <c r="AD384" s="76">
        <v>6</v>
      </c>
      <c r="AE384" s="76">
        <v>9</v>
      </c>
      <c r="AF384" s="76">
        <v>1</v>
      </c>
      <c r="AG384" s="76">
        <v>0</v>
      </c>
      <c r="AH384" s="76">
        <v>1</v>
      </c>
      <c r="AI384" s="76">
        <v>0</v>
      </c>
      <c r="AJ384" s="76">
        <v>0</v>
      </c>
      <c r="AK384" s="76">
        <v>30</v>
      </c>
      <c r="AL384" s="76">
        <v>124</v>
      </c>
      <c r="AM384" s="202"/>
      <c r="AN384" s="77"/>
      <c r="AO384" s="202"/>
      <c r="AP384" s="202"/>
      <c r="AQ384" s="202"/>
      <c r="AR384" s="202"/>
      <c r="AS384" s="202"/>
      <c r="AT384" s="202"/>
      <c r="AU384" s="202"/>
      <c r="AV384" s="202"/>
      <c r="AW384" s="202"/>
      <c r="AX384" s="202"/>
      <c r="AY384" s="202"/>
    </row>
    <row r="385" spans="1:51" ht="25.5" x14ac:dyDescent="0.2">
      <c r="A385" s="76">
        <v>22</v>
      </c>
      <c r="B385" s="77" t="s">
        <v>783</v>
      </c>
      <c r="C385" s="76" t="s">
        <v>171</v>
      </c>
      <c r="D385" s="76">
        <v>1</v>
      </c>
      <c r="E385" s="76">
        <v>1</v>
      </c>
      <c r="F385" s="76">
        <v>10.8</v>
      </c>
      <c r="G385" s="76">
        <v>4</v>
      </c>
      <c r="H385" s="76">
        <v>0</v>
      </c>
      <c r="I385" s="76">
        <v>0</v>
      </c>
      <c r="J385" s="76">
        <v>0</v>
      </c>
      <c r="K385" s="76">
        <v>5</v>
      </c>
      <c r="L385" s="76">
        <v>9</v>
      </c>
      <c r="M385" s="76">
        <v>6</v>
      </c>
      <c r="N385" s="76">
        <v>6</v>
      </c>
      <c r="O385" s="76">
        <v>0</v>
      </c>
      <c r="P385" s="76">
        <v>6</v>
      </c>
      <c r="Q385" s="76">
        <v>3</v>
      </c>
      <c r="R385" s="76">
        <v>0.40899999999999997</v>
      </c>
      <c r="S385" s="76">
        <v>3</v>
      </c>
      <c r="T385" s="76">
        <v>22</v>
      </c>
      <c r="U385" s="77" t="s">
        <v>783</v>
      </c>
      <c r="V385" s="76" t="s">
        <v>171</v>
      </c>
      <c r="W385" s="76">
        <v>0</v>
      </c>
      <c r="X385" s="76">
        <v>0</v>
      </c>
      <c r="Y385" s="76">
        <v>0</v>
      </c>
      <c r="Z385" s="76">
        <v>2</v>
      </c>
      <c r="AA385" s="76">
        <v>0</v>
      </c>
      <c r="AB385" s="76">
        <v>0</v>
      </c>
      <c r="AC385" s="76">
        <v>0</v>
      </c>
      <c r="AD385" s="76">
        <v>6</v>
      </c>
      <c r="AE385" s="76">
        <v>5</v>
      </c>
      <c r="AF385" s="76">
        <v>3</v>
      </c>
      <c r="AG385" s="76">
        <v>0</v>
      </c>
      <c r="AH385" s="76">
        <v>0</v>
      </c>
      <c r="AI385" s="76">
        <v>1</v>
      </c>
      <c r="AJ385" s="76">
        <v>0</v>
      </c>
      <c r="AK385" s="76">
        <v>29</v>
      </c>
      <c r="AL385" s="76">
        <v>110</v>
      </c>
      <c r="AM385" s="202"/>
      <c r="AN385" s="77"/>
      <c r="AO385" s="202"/>
      <c r="AP385" s="202"/>
      <c r="AQ385" s="202"/>
      <c r="AR385" s="202"/>
      <c r="AS385" s="202"/>
      <c r="AT385" s="202"/>
      <c r="AU385" s="202"/>
      <c r="AV385" s="202"/>
      <c r="AW385" s="202"/>
      <c r="AX385" s="202"/>
      <c r="AY385" s="202"/>
    </row>
    <row r="386" spans="1:51" ht="25.5" x14ac:dyDescent="0.2">
      <c r="A386" s="76">
        <v>23</v>
      </c>
      <c r="B386" s="77" t="s">
        <v>1158</v>
      </c>
      <c r="C386" s="76" t="s">
        <v>171</v>
      </c>
      <c r="D386" s="76">
        <v>0</v>
      </c>
      <c r="E386" s="76">
        <v>0</v>
      </c>
      <c r="F386" s="76">
        <v>11.81</v>
      </c>
      <c r="G386" s="76">
        <v>4</v>
      </c>
      <c r="H386" s="76">
        <v>0</v>
      </c>
      <c r="I386" s="76">
        <v>0</v>
      </c>
      <c r="J386" s="76">
        <v>0</v>
      </c>
      <c r="K386" s="76">
        <v>5.0999999999999996</v>
      </c>
      <c r="L386" s="76">
        <v>9</v>
      </c>
      <c r="M386" s="76">
        <v>7</v>
      </c>
      <c r="N386" s="76">
        <v>7</v>
      </c>
      <c r="O386" s="76">
        <v>2</v>
      </c>
      <c r="P386" s="76">
        <v>1</v>
      </c>
      <c r="Q386" s="76">
        <v>4</v>
      </c>
      <c r="R386" s="76">
        <v>0.375</v>
      </c>
      <c r="S386" s="76">
        <v>1.88</v>
      </c>
      <c r="T386" s="76">
        <v>23</v>
      </c>
      <c r="U386" s="77" t="s">
        <v>1158</v>
      </c>
      <c r="V386" s="76" t="s">
        <v>171</v>
      </c>
      <c r="W386" s="76">
        <v>0</v>
      </c>
      <c r="X386" s="76">
        <v>0</v>
      </c>
      <c r="Y386" s="76">
        <v>0</v>
      </c>
      <c r="Z386" s="76">
        <v>0</v>
      </c>
      <c r="AA386" s="76">
        <v>2</v>
      </c>
      <c r="AB386" s="76">
        <v>0</v>
      </c>
      <c r="AC386" s="76">
        <v>1</v>
      </c>
      <c r="AD386" s="76">
        <v>6</v>
      </c>
      <c r="AE386" s="76">
        <v>5</v>
      </c>
      <c r="AF386" s="76">
        <v>0</v>
      </c>
      <c r="AG386" s="76">
        <v>0</v>
      </c>
      <c r="AH386" s="76">
        <v>0</v>
      </c>
      <c r="AI386" s="76">
        <v>0</v>
      </c>
      <c r="AJ386" s="76">
        <v>0</v>
      </c>
      <c r="AK386" s="76">
        <v>25</v>
      </c>
      <c r="AL386" s="76">
        <v>85</v>
      </c>
      <c r="AM386" s="202"/>
      <c r="AN386" s="77"/>
      <c r="AO386" s="202"/>
      <c r="AP386" s="202"/>
      <c r="AQ386" s="202"/>
      <c r="AR386" s="202"/>
      <c r="AS386" s="202"/>
      <c r="AT386" s="202"/>
      <c r="AU386" s="202"/>
      <c r="AV386" s="202"/>
      <c r="AW386" s="202"/>
      <c r="AX386" s="202"/>
      <c r="AY386" s="202"/>
    </row>
    <row r="387" spans="1:51" ht="25.5" x14ac:dyDescent="0.2">
      <c r="A387" s="76">
        <v>24</v>
      </c>
      <c r="B387" s="77" t="s">
        <v>429</v>
      </c>
      <c r="C387" s="76" t="s">
        <v>171</v>
      </c>
      <c r="D387" s="76">
        <v>1</v>
      </c>
      <c r="E387" s="76">
        <v>0</v>
      </c>
      <c r="F387" s="76">
        <v>54</v>
      </c>
      <c r="G387" s="76">
        <v>2</v>
      </c>
      <c r="H387" s="76">
        <v>0</v>
      </c>
      <c r="I387" s="76">
        <v>0</v>
      </c>
      <c r="J387" s="76">
        <v>0</v>
      </c>
      <c r="K387" s="76">
        <v>1</v>
      </c>
      <c r="L387" s="76">
        <v>7</v>
      </c>
      <c r="M387" s="76">
        <v>9</v>
      </c>
      <c r="N387" s="76">
        <v>6</v>
      </c>
      <c r="O387" s="76">
        <v>0</v>
      </c>
      <c r="P387" s="76">
        <v>1</v>
      </c>
      <c r="Q387" s="76">
        <v>0</v>
      </c>
      <c r="R387" s="76">
        <v>0.63600000000000001</v>
      </c>
      <c r="S387" s="76">
        <v>8</v>
      </c>
      <c r="T387" s="76">
        <v>24</v>
      </c>
      <c r="U387" s="77" t="s">
        <v>429</v>
      </c>
      <c r="V387" s="76" t="s">
        <v>171</v>
      </c>
      <c r="W387" s="76">
        <v>0</v>
      </c>
      <c r="X387" s="76">
        <v>0</v>
      </c>
      <c r="Y387" s="76">
        <v>1</v>
      </c>
      <c r="Z387" s="76">
        <v>0</v>
      </c>
      <c r="AA387" s="76">
        <v>0</v>
      </c>
      <c r="AB387" s="76">
        <v>0</v>
      </c>
      <c r="AC387" s="76">
        <v>0</v>
      </c>
      <c r="AD387" s="76">
        <v>3</v>
      </c>
      <c r="AE387" s="76">
        <v>1</v>
      </c>
      <c r="AF387" s="76">
        <v>0</v>
      </c>
      <c r="AG387" s="76">
        <v>0</v>
      </c>
      <c r="AH387" s="76">
        <v>0</v>
      </c>
      <c r="AI387" s="76">
        <v>0</v>
      </c>
      <c r="AJ387" s="76">
        <v>0</v>
      </c>
      <c r="AK387" s="76">
        <v>13</v>
      </c>
      <c r="AL387" s="76">
        <v>45</v>
      </c>
      <c r="AM387" s="202"/>
      <c r="AN387" s="77"/>
      <c r="AO387" s="202"/>
      <c r="AP387" s="202"/>
      <c r="AQ387" s="202"/>
      <c r="AR387" s="202"/>
      <c r="AS387" s="202"/>
      <c r="AT387" s="202"/>
      <c r="AU387" s="202"/>
      <c r="AV387" s="202"/>
      <c r="AW387" s="202"/>
      <c r="AX387" s="202"/>
      <c r="AY387" s="202"/>
    </row>
    <row r="388" spans="1:51" ht="25.5" x14ac:dyDescent="0.2">
      <c r="A388" s="225" t="s">
        <v>105</v>
      </c>
      <c r="B388" s="225" t="s">
        <v>106</v>
      </c>
      <c r="C388" s="225" t="s">
        <v>157</v>
      </c>
      <c r="D388" s="225" t="s">
        <v>85</v>
      </c>
      <c r="E388" s="225" t="s">
        <v>86</v>
      </c>
      <c r="F388" s="225" t="s">
        <v>107</v>
      </c>
      <c r="G388" s="225" t="s">
        <v>108</v>
      </c>
      <c r="H388" s="225" t="s">
        <v>88</v>
      </c>
      <c r="I388" s="225" t="s">
        <v>90</v>
      </c>
      <c r="J388" s="225" t="s">
        <v>158</v>
      </c>
      <c r="K388" s="225" t="s">
        <v>91</v>
      </c>
      <c r="L388" s="225" t="s">
        <v>92</v>
      </c>
      <c r="M388" s="225" t="s">
        <v>93</v>
      </c>
      <c r="N388" s="225" t="s">
        <v>94</v>
      </c>
      <c r="O388" s="225" t="s">
        <v>95</v>
      </c>
      <c r="P388" s="225" t="s">
        <v>96</v>
      </c>
      <c r="Q388" s="225" t="s">
        <v>97</v>
      </c>
      <c r="R388" s="225" t="s">
        <v>1071</v>
      </c>
      <c r="S388" s="225" t="s">
        <v>1072</v>
      </c>
      <c r="T388" s="225" t="s">
        <v>105</v>
      </c>
      <c r="U388" s="225" t="s">
        <v>106</v>
      </c>
      <c r="V388" s="225" t="s">
        <v>157</v>
      </c>
      <c r="W388" s="225" t="s">
        <v>89</v>
      </c>
      <c r="X388" s="225" t="s">
        <v>1073</v>
      </c>
      <c r="Y388" s="225" t="s">
        <v>1074</v>
      </c>
      <c r="Z388" s="225" t="s">
        <v>98</v>
      </c>
      <c r="AA388" s="225" t="s">
        <v>1075</v>
      </c>
      <c r="AB388" s="225" t="s">
        <v>1076</v>
      </c>
      <c r="AC388" s="225" t="s">
        <v>1077</v>
      </c>
      <c r="AD388" s="225" t="s">
        <v>1066</v>
      </c>
      <c r="AE388" s="225" t="s">
        <v>1067</v>
      </c>
      <c r="AF388" s="225" t="s">
        <v>1078</v>
      </c>
      <c r="AG388" s="225" t="s">
        <v>1079</v>
      </c>
      <c r="AH388" s="225" t="s">
        <v>1057</v>
      </c>
      <c r="AI388" s="225" t="s">
        <v>1058</v>
      </c>
      <c r="AJ388" s="225" t="s">
        <v>1080</v>
      </c>
      <c r="AK388" s="225" t="s">
        <v>109</v>
      </c>
      <c r="AL388" s="225" t="s">
        <v>1069</v>
      </c>
      <c r="AM388" s="202"/>
      <c r="AN388" s="77"/>
      <c r="AO388" s="202"/>
      <c r="AP388" s="202"/>
      <c r="AQ388" s="202"/>
      <c r="AR388" s="202"/>
      <c r="AS388" s="202"/>
      <c r="AT388" s="202"/>
      <c r="AU388" s="202"/>
      <c r="AV388" s="202"/>
      <c r="AW388" s="202"/>
      <c r="AX388" s="202"/>
      <c r="AY388" s="202"/>
    </row>
    <row r="389" spans="1:51" ht="25.5" x14ac:dyDescent="0.2">
      <c r="A389" s="76">
        <v>1</v>
      </c>
      <c r="B389" s="77" t="s">
        <v>1495</v>
      </c>
      <c r="C389" s="76" t="s">
        <v>172</v>
      </c>
      <c r="D389" s="76">
        <v>4</v>
      </c>
      <c r="E389" s="76">
        <v>1</v>
      </c>
      <c r="F389" s="76">
        <v>1.57</v>
      </c>
      <c r="G389" s="76">
        <v>12</v>
      </c>
      <c r="H389" s="76">
        <v>5</v>
      </c>
      <c r="I389" s="76">
        <v>1</v>
      </c>
      <c r="J389" s="76">
        <v>1</v>
      </c>
      <c r="K389" s="76">
        <v>46</v>
      </c>
      <c r="L389" s="76">
        <v>33</v>
      </c>
      <c r="M389" s="76">
        <v>8</v>
      </c>
      <c r="N389" s="76">
        <v>8</v>
      </c>
      <c r="O389" s="76">
        <v>1</v>
      </c>
      <c r="P389" s="76">
        <v>23</v>
      </c>
      <c r="Q389" s="76">
        <v>52</v>
      </c>
      <c r="R389" s="76">
        <v>0.20100000000000001</v>
      </c>
      <c r="S389" s="76">
        <v>1.22</v>
      </c>
      <c r="T389" s="76">
        <v>1</v>
      </c>
      <c r="U389" s="77" t="s">
        <v>1495</v>
      </c>
      <c r="V389" s="76" t="s">
        <v>172</v>
      </c>
      <c r="W389" s="76">
        <v>0</v>
      </c>
      <c r="X389" s="76">
        <v>0</v>
      </c>
      <c r="Y389" s="76">
        <v>0</v>
      </c>
      <c r="Z389" s="76">
        <v>1</v>
      </c>
      <c r="AA389" s="76">
        <v>3</v>
      </c>
      <c r="AB389" s="76">
        <v>1</v>
      </c>
      <c r="AC389" s="76">
        <v>1</v>
      </c>
      <c r="AD389" s="76">
        <v>33</v>
      </c>
      <c r="AE389" s="76">
        <v>48</v>
      </c>
      <c r="AF389" s="76">
        <v>3</v>
      </c>
      <c r="AG389" s="76">
        <v>1</v>
      </c>
      <c r="AH389" s="76">
        <v>2</v>
      </c>
      <c r="AI389" s="76">
        <v>3</v>
      </c>
      <c r="AJ389" s="76">
        <v>0</v>
      </c>
      <c r="AK389" s="76">
        <v>189</v>
      </c>
      <c r="AL389" s="76">
        <v>793</v>
      </c>
      <c r="AM389" s="202"/>
      <c r="AN389" s="77"/>
      <c r="AO389" s="202"/>
      <c r="AP389" s="202"/>
      <c r="AQ389" s="202"/>
      <c r="AR389" s="202"/>
      <c r="AS389" s="202"/>
      <c r="AT389" s="202"/>
      <c r="AU389" s="202"/>
      <c r="AV389" s="202"/>
      <c r="AW389" s="202"/>
      <c r="AX389" s="202"/>
      <c r="AY389" s="202"/>
    </row>
    <row r="390" spans="1:51" x14ac:dyDescent="0.2">
      <c r="A390" s="76">
        <v>2</v>
      </c>
      <c r="B390" s="77" t="s">
        <v>1496</v>
      </c>
      <c r="C390" s="76" t="s">
        <v>172</v>
      </c>
      <c r="D390" s="76">
        <v>6</v>
      </c>
      <c r="E390" s="76">
        <v>3</v>
      </c>
      <c r="F390" s="76">
        <v>1.92</v>
      </c>
      <c r="G390" s="76">
        <v>76</v>
      </c>
      <c r="H390" s="76">
        <v>0</v>
      </c>
      <c r="I390" s="76">
        <v>19</v>
      </c>
      <c r="J390" s="76">
        <v>23</v>
      </c>
      <c r="K390" s="76">
        <v>79.2</v>
      </c>
      <c r="L390" s="76">
        <v>55</v>
      </c>
      <c r="M390" s="76">
        <v>20</v>
      </c>
      <c r="N390" s="76">
        <v>17</v>
      </c>
      <c r="O390" s="76">
        <v>5</v>
      </c>
      <c r="P390" s="76">
        <v>18</v>
      </c>
      <c r="Q390" s="76">
        <v>103</v>
      </c>
      <c r="R390" s="76">
        <v>0.19</v>
      </c>
      <c r="S390" s="76">
        <v>0.92</v>
      </c>
      <c r="T390" s="76">
        <v>2</v>
      </c>
      <c r="U390" s="77" t="s">
        <v>1496</v>
      </c>
      <c r="V390" s="76" t="s">
        <v>172</v>
      </c>
      <c r="W390" s="76">
        <v>0</v>
      </c>
      <c r="X390" s="76">
        <v>0</v>
      </c>
      <c r="Y390" s="76">
        <v>2</v>
      </c>
      <c r="Z390" s="76">
        <v>3</v>
      </c>
      <c r="AA390" s="76">
        <v>35</v>
      </c>
      <c r="AB390" s="76">
        <v>14</v>
      </c>
      <c r="AC390" s="76">
        <v>5</v>
      </c>
      <c r="AD390" s="76">
        <v>57</v>
      </c>
      <c r="AE390" s="76">
        <v>78</v>
      </c>
      <c r="AF390" s="76">
        <v>3</v>
      </c>
      <c r="AG390" s="76">
        <v>0</v>
      </c>
      <c r="AH390" s="76">
        <v>2</v>
      </c>
      <c r="AI390" s="76">
        <v>1</v>
      </c>
      <c r="AJ390" s="76">
        <v>0</v>
      </c>
      <c r="AK390" s="76">
        <v>313</v>
      </c>
      <c r="AL390" s="76">
        <v>1303</v>
      </c>
      <c r="AM390" s="202"/>
      <c r="AN390" s="77"/>
      <c r="AO390" s="202"/>
      <c r="AP390" s="202"/>
      <c r="AQ390" s="202"/>
      <c r="AR390" s="202"/>
      <c r="AS390" s="202"/>
      <c r="AT390" s="202"/>
      <c r="AU390" s="202"/>
      <c r="AV390" s="202"/>
      <c r="AW390" s="202"/>
      <c r="AX390" s="202"/>
      <c r="AY390" s="202"/>
    </row>
    <row r="391" spans="1:51" ht="25.5" x14ac:dyDescent="0.2">
      <c r="A391" s="76">
        <v>3</v>
      </c>
      <c r="B391" s="77" t="s">
        <v>354</v>
      </c>
      <c r="C391" s="76" t="s">
        <v>172</v>
      </c>
      <c r="D391" s="76">
        <v>0</v>
      </c>
      <c r="E391" s="76">
        <v>1</v>
      </c>
      <c r="F391" s="76">
        <v>1.93</v>
      </c>
      <c r="G391" s="76">
        <v>28</v>
      </c>
      <c r="H391" s="76">
        <v>0</v>
      </c>
      <c r="I391" s="76">
        <v>1</v>
      </c>
      <c r="J391" s="76">
        <v>1</v>
      </c>
      <c r="K391" s="76">
        <v>23.1</v>
      </c>
      <c r="L391" s="76">
        <v>17</v>
      </c>
      <c r="M391" s="76">
        <v>5</v>
      </c>
      <c r="N391" s="76">
        <v>5</v>
      </c>
      <c r="O391" s="76">
        <v>0</v>
      </c>
      <c r="P391" s="76">
        <v>13</v>
      </c>
      <c r="Q391" s="76">
        <v>26</v>
      </c>
      <c r="R391" s="76">
        <v>0.20499999999999999</v>
      </c>
      <c r="S391" s="76">
        <v>1.29</v>
      </c>
      <c r="T391" s="76">
        <v>3</v>
      </c>
      <c r="U391" s="77" t="s">
        <v>354</v>
      </c>
      <c r="V391" s="76" t="s">
        <v>172</v>
      </c>
      <c r="W391" s="76">
        <v>0</v>
      </c>
      <c r="X391" s="76">
        <v>0</v>
      </c>
      <c r="Y391" s="76">
        <v>2</v>
      </c>
      <c r="Z391" s="76">
        <v>0</v>
      </c>
      <c r="AA391" s="76">
        <v>4</v>
      </c>
      <c r="AB391" s="76">
        <v>6</v>
      </c>
      <c r="AC391" s="76">
        <v>3</v>
      </c>
      <c r="AD391" s="76">
        <v>24</v>
      </c>
      <c r="AE391" s="76">
        <v>17</v>
      </c>
      <c r="AF391" s="76">
        <v>2</v>
      </c>
      <c r="AG391" s="76">
        <v>0</v>
      </c>
      <c r="AH391" s="76">
        <v>2</v>
      </c>
      <c r="AI391" s="76">
        <v>0</v>
      </c>
      <c r="AJ391" s="76">
        <v>0</v>
      </c>
      <c r="AK391" s="76">
        <v>99</v>
      </c>
      <c r="AL391" s="76">
        <v>399</v>
      </c>
      <c r="AM391" s="202"/>
      <c r="AN391" s="77"/>
      <c r="AO391" s="202"/>
      <c r="AP391" s="202"/>
      <c r="AQ391" s="202"/>
      <c r="AR391" s="202"/>
      <c r="AS391" s="202"/>
      <c r="AT391" s="202"/>
      <c r="AU391" s="202"/>
      <c r="AV391" s="202"/>
      <c r="AW391" s="202"/>
      <c r="AX391" s="202"/>
      <c r="AY391" s="202"/>
    </row>
    <row r="392" spans="1:51" ht="38.25" x14ac:dyDescent="0.2">
      <c r="A392" s="76">
        <v>4</v>
      </c>
      <c r="B392" s="77" t="s">
        <v>1160</v>
      </c>
      <c r="C392" s="76" t="s">
        <v>172</v>
      </c>
      <c r="D392" s="76">
        <v>1</v>
      </c>
      <c r="E392" s="76">
        <v>0</v>
      </c>
      <c r="F392" s="76">
        <v>2</v>
      </c>
      <c r="G392" s="76">
        <v>15</v>
      </c>
      <c r="H392" s="76">
        <v>0</v>
      </c>
      <c r="I392" s="76">
        <v>0</v>
      </c>
      <c r="J392" s="76">
        <v>0</v>
      </c>
      <c r="K392" s="76">
        <v>18</v>
      </c>
      <c r="L392" s="76">
        <v>5</v>
      </c>
      <c r="M392" s="76">
        <v>4</v>
      </c>
      <c r="N392" s="76">
        <v>4</v>
      </c>
      <c r="O392" s="76">
        <v>2</v>
      </c>
      <c r="P392" s="76">
        <v>5</v>
      </c>
      <c r="Q392" s="76">
        <v>16</v>
      </c>
      <c r="R392" s="76">
        <v>8.5999999999999993E-2</v>
      </c>
      <c r="S392" s="76">
        <v>0.56000000000000005</v>
      </c>
      <c r="T392" s="76">
        <v>4</v>
      </c>
      <c r="U392" s="77" t="s">
        <v>1160</v>
      </c>
      <c r="V392" s="76" t="s">
        <v>172</v>
      </c>
      <c r="W392" s="76">
        <v>0</v>
      </c>
      <c r="X392" s="76">
        <v>0</v>
      </c>
      <c r="Y392" s="76">
        <v>0</v>
      </c>
      <c r="Z392" s="76">
        <v>0</v>
      </c>
      <c r="AA392" s="76">
        <v>6</v>
      </c>
      <c r="AB392" s="76">
        <v>0</v>
      </c>
      <c r="AC392" s="76">
        <v>0</v>
      </c>
      <c r="AD392" s="76">
        <v>21</v>
      </c>
      <c r="AE392" s="76">
        <v>17</v>
      </c>
      <c r="AF392" s="76">
        <v>0</v>
      </c>
      <c r="AG392" s="76">
        <v>0</v>
      </c>
      <c r="AH392" s="76">
        <v>4</v>
      </c>
      <c r="AI392" s="76">
        <v>0</v>
      </c>
      <c r="AJ392" s="76">
        <v>0</v>
      </c>
      <c r="AK392" s="76">
        <v>64</v>
      </c>
      <c r="AL392" s="76">
        <v>236</v>
      </c>
      <c r="AM392" s="202"/>
      <c r="AN392" s="77"/>
      <c r="AO392" s="202"/>
      <c r="AP392" s="202"/>
      <c r="AQ392" s="202"/>
      <c r="AR392" s="202"/>
      <c r="AS392" s="202"/>
      <c r="AT392" s="202"/>
      <c r="AU392" s="202"/>
      <c r="AV392" s="202"/>
      <c r="AW392" s="202"/>
      <c r="AX392" s="202"/>
      <c r="AY392" s="202"/>
    </row>
    <row r="393" spans="1:51" ht="25.5" x14ac:dyDescent="0.2">
      <c r="A393" s="76">
        <v>5</v>
      </c>
      <c r="B393" s="77" t="s">
        <v>459</v>
      </c>
      <c r="C393" s="76" t="s">
        <v>172</v>
      </c>
      <c r="D393" s="76">
        <v>6</v>
      </c>
      <c r="E393" s="76">
        <v>3</v>
      </c>
      <c r="F393" s="76">
        <v>2.77</v>
      </c>
      <c r="G393" s="76">
        <v>67</v>
      </c>
      <c r="H393" s="76">
        <v>0</v>
      </c>
      <c r="I393" s="76">
        <v>3</v>
      </c>
      <c r="J393" s="76">
        <v>8</v>
      </c>
      <c r="K393" s="76">
        <v>61.2</v>
      </c>
      <c r="L393" s="76">
        <v>42</v>
      </c>
      <c r="M393" s="76">
        <v>20</v>
      </c>
      <c r="N393" s="76">
        <v>19</v>
      </c>
      <c r="O393" s="76">
        <v>10</v>
      </c>
      <c r="P393" s="76">
        <v>26</v>
      </c>
      <c r="Q393" s="76">
        <v>66</v>
      </c>
      <c r="R393" s="76">
        <v>0.193</v>
      </c>
      <c r="S393" s="76">
        <v>1.1000000000000001</v>
      </c>
      <c r="T393" s="76">
        <v>5</v>
      </c>
      <c r="U393" s="77" t="s">
        <v>459</v>
      </c>
      <c r="V393" s="76" t="s">
        <v>172</v>
      </c>
      <c r="W393" s="76">
        <v>0</v>
      </c>
      <c r="X393" s="76">
        <v>0</v>
      </c>
      <c r="Y393" s="76">
        <v>1</v>
      </c>
      <c r="Z393" s="76">
        <v>2</v>
      </c>
      <c r="AA393" s="76">
        <v>11</v>
      </c>
      <c r="AB393" s="76">
        <v>17</v>
      </c>
      <c r="AC393" s="76">
        <v>4</v>
      </c>
      <c r="AD393" s="76">
        <v>42</v>
      </c>
      <c r="AE393" s="76">
        <v>71</v>
      </c>
      <c r="AF393" s="76">
        <v>5</v>
      </c>
      <c r="AG393" s="76">
        <v>0</v>
      </c>
      <c r="AH393" s="76">
        <v>6</v>
      </c>
      <c r="AI393" s="76">
        <v>0</v>
      </c>
      <c r="AJ393" s="76">
        <v>1</v>
      </c>
      <c r="AK393" s="76">
        <v>248</v>
      </c>
      <c r="AL393" s="76">
        <v>1050</v>
      </c>
      <c r="AM393" s="202"/>
      <c r="AN393" s="77"/>
      <c r="AO393" s="202"/>
      <c r="AP393" s="202"/>
      <c r="AQ393" s="202"/>
      <c r="AR393" s="202"/>
      <c r="AS393" s="202"/>
      <c r="AT393" s="202"/>
      <c r="AU393" s="202"/>
      <c r="AV393" s="202"/>
      <c r="AW393" s="202"/>
      <c r="AX393" s="202"/>
      <c r="AY393" s="202"/>
    </row>
    <row r="394" spans="1:51" ht="25.5" x14ac:dyDescent="0.2">
      <c r="A394" s="76">
        <v>6</v>
      </c>
      <c r="B394" s="77" t="s">
        <v>339</v>
      </c>
      <c r="C394" s="76" t="s">
        <v>172</v>
      </c>
      <c r="D394" s="76">
        <v>16</v>
      </c>
      <c r="E394" s="76">
        <v>9</v>
      </c>
      <c r="F394" s="76">
        <v>3.04</v>
      </c>
      <c r="G394" s="76">
        <v>31</v>
      </c>
      <c r="H394" s="76">
        <v>31</v>
      </c>
      <c r="I394" s="76">
        <v>0</v>
      </c>
      <c r="J394" s="76">
        <v>0</v>
      </c>
      <c r="K394" s="76">
        <v>195.1</v>
      </c>
      <c r="L394" s="76">
        <v>169</v>
      </c>
      <c r="M394" s="76">
        <v>68</v>
      </c>
      <c r="N394" s="76">
        <v>66</v>
      </c>
      <c r="O394" s="76">
        <v>15</v>
      </c>
      <c r="P394" s="76">
        <v>70</v>
      </c>
      <c r="Q394" s="76">
        <v>174</v>
      </c>
      <c r="R394" s="76">
        <v>0.23300000000000001</v>
      </c>
      <c r="S394" s="76">
        <v>1.22</v>
      </c>
      <c r="T394" s="76">
        <v>6</v>
      </c>
      <c r="U394" s="77" t="s">
        <v>339</v>
      </c>
      <c r="V394" s="76" t="s">
        <v>172</v>
      </c>
      <c r="W394" s="76">
        <v>0</v>
      </c>
      <c r="X394" s="76">
        <v>0</v>
      </c>
      <c r="Y394" s="76">
        <v>11</v>
      </c>
      <c r="Z394" s="76">
        <v>1</v>
      </c>
      <c r="AA394" s="76">
        <v>0</v>
      </c>
      <c r="AB394" s="76">
        <v>0</v>
      </c>
      <c r="AC394" s="76">
        <v>33</v>
      </c>
      <c r="AD394" s="76">
        <v>245</v>
      </c>
      <c r="AE394" s="76">
        <v>140</v>
      </c>
      <c r="AF394" s="76">
        <v>8</v>
      </c>
      <c r="AG394" s="76">
        <v>0</v>
      </c>
      <c r="AH394" s="76">
        <v>12</v>
      </c>
      <c r="AI394" s="76">
        <v>3</v>
      </c>
      <c r="AJ394" s="76">
        <v>0</v>
      </c>
      <c r="AK394" s="76">
        <v>809</v>
      </c>
      <c r="AL394" s="76">
        <v>3028</v>
      </c>
      <c r="AM394" s="202"/>
      <c r="AN394" s="77"/>
      <c r="AO394" s="202"/>
      <c r="AP394" s="202"/>
      <c r="AQ394" s="202"/>
      <c r="AR394" s="202"/>
      <c r="AS394" s="202"/>
      <c r="AT394" s="202"/>
      <c r="AU394" s="202"/>
      <c r="AV394" s="202"/>
      <c r="AW394" s="202"/>
      <c r="AX394" s="202"/>
      <c r="AY394" s="202"/>
    </row>
    <row r="395" spans="1:51" ht="25.5" x14ac:dyDescent="0.2">
      <c r="A395" s="76">
        <v>7</v>
      </c>
      <c r="B395" s="77" t="s">
        <v>470</v>
      </c>
      <c r="C395" s="76" t="s">
        <v>172</v>
      </c>
      <c r="D395" s="76">
        <v>2</v>
      </c>
      <c r="E395" s="76">
        <v>0</v>
      </c>
      <c r="F395" s="76">
        <v>3.38</v>
      </c>
      <c r="G395" s="76">
        <v>30</v>
      </c>
      <c r="H395" s="76">
        <v>0</v>
      </c>
      <c r="I395" s="76">
        <v>0</v>
      </c>
      <c r="J395" s="76">
        <v>0</v>
      </c>
      <c r="K395" s="76">
        <v>48</v>
      </c>
      <c r="L395" s="76">
        <v>35</v>
      </c>
      <c r="M395" s="76">
        <v>18</v>
      </c>
      <c r="N395" s="76">
        <v>18</v>
      </c>
      <c r="O395" s="76">
        <v>9</v>
      </c>
      <c r="P395" s="76">
        <v>14</v>
      </c>
      <c r="Q395" s="76">
        <v>46</v>
      </c>
      <c r="R395" s="76">
        <v>0.20499999999999999</v>
      </c>
      <c r="S395" s="76">
        <v>1.02</v>
      </c>
      <c r="T395" s="76">
        <v>7</v>
      </c>
      <c r="U395" s="77" t="s">
        <v>470</v>
      </c>
      <c r="V395" s="76" t="s">
        <v>172</v>
      </c>
      <c r="W395" s="76">
        <v>0</v>
      </c>
      <c r="X395" s="76">
        <v>0</v>
      </c>
      <c r="Y395" s="76">
        <v>0</v>
      </c>
      <c r="Z395" s="76">
        <v>0</v>
      </c>
      <c r="AA395" s="76">
        <v>10</v>
      </c>
      <c r="AB395" s="76">
        <v>4</v>
      </c>
      <c r="AC395" s="76">
        <v>6</v>
      </c>
      <c r="AD395" s="76">
        <v>45</v>
      </c>
      <c r="AE395" s="76">
        <v>47</v>
      </c>
      <c r="AF395" s="76">
        <v>2</v>
      </c>
      <c r="AG395" s="76">
        <v>0</v>
      </c>
      <c r="AH395" s="76">
        <v>2</v>
      </c>
      <c r="AI395" s="76">
        <v>0</v>
      </c>
      <c r="AJ395" s="76">
        <v>0</v>
      </c>
      <c r="AK395" s="76">
        <v>187</v>
      </c>
      <c r="AL395" s="76">
        <v>678</v>
      </c>
      <c r="AM395" s="202"/>
      <c r="AN395" s="77"/>
      <c r="AO395" s="202"/>
      <c r="AP395" s="202"/>
      <c r="AQ395" s="202"/>
      <c r="AR395" s="202"/>
      <c r="AS395" s="202"/>
      <c r="AT395" s="202"/>
      <c r="AU395" s="202"/>
      <c r="AV395" s="202"/>
      <c r="AW395" s="202"/>
      <c r="AX395" s="202"/>
      <c r="AY395" s="202"/>
    </row>
    <row r="396" spans="1:51" ht="25.5" x14ac:dyDescent="0.2">
      <c r="A396" s="76">
        <v>8</v>
      </c>
      <c r="B396" s="77" t="s">
        <v>461</v>
      </c>
      <c r="C396" s="76" t="s">
        <v>172</v>
      </c>
      <c r="D396" s="76">
        <v>2</v>
      </c>
      <c r="E396" s="76">
        <v>2</v>
      </c>
      <c r="F396" s="76">
        <v>3.41</v>
      </c>
      <c r="G396" s="76">
        <v>29</v>
      </c>
      <c r="H396" s="76">
        <v>0</v>
      </c>
      <c r="I396" s="76">
        <v>0</v>
      </c>
      <c r="J396" s="76">
        <v>0</v>
      </c>
      <c r="K396" s="76">
        <v>31.2</v>
      </c>
      <c r="L396" s="76">
        <v>34</v>
      </c>
      <c r="M396" s="76">
        <v>14</v>
      </c>
      <c r="N396" s="76">
        <v>12</v>
      </c>
      <c r="O396" s="76">
        <v>2</v>
      </c>
      <c r="P396" s="76">
        <v>8</v>
      </c>
      <c r="Q396" s="76">
        <v>16</v>
      </c>
      <c r="R396" s="76">
        <v>0.27400000000000002</v>
      </c>
      <c r="S396" s="76">
        <v>1.33</v>
      </c>
      <c r="T396" s="76">
        <v>8</v>
      </c>
      <c r="U396" s="77" t="s">
        <v>461</v>
      </c>
      <c r="V396" s="76" t="s">
        <v>172</v>
      </c>
      <c r="W396" s="76">
        <v>0</v>
      </c>
      <c r="X396" s="76">
        <v>0</v>
      </c>
      <c r="Y396" s="76">
        <v>0</v>
      </c>
      <c r="Z396" s="76">
        <v>2</v>
      </c>
      <c r="AA396" s="76">
        <v>13</v>
      </c>
      <c r="AB396" s="76">
        <v>1</v>
      </c>
      <c r="AC396" s="76">
        <v>4</v>
      </c>
      <c r="AD396" s="76">
        <v>51</v>
      </c>
      <c r="AE396" s="76">
        <v>25</v>
      </c>
      <c r="AF396" s="76">
        <v>2</v>
      </c>
      <c r="AG396" s="76">
        <v>0</v>
      </c>
      <c r="AH396" s="76">
        <v>1</v>
      </c>
      <c r="AI396" s="76">
        <v>1</v>
      </c>
      <c r="AJ396" s="76">
        <v>0</v>
      </c>
      <c r="AK396" s="76">
        <v>134</v>
      </c>
      <c r="AL396" s="76">
        <v>496</v>
      </c>
      <c r="AM396" s="202"/>
      <c r="AN396" s="77"/>
      <c r="AO396" s="202"/>
      <c r="AP396" s="202"/>
      <c r="AQ396" s="202"/>
      <c r="AR396" s="202"/>
      <c r="AS396" s="202"/>
      <c r="AT396" s="202"/>
      <c r="AU396" s="202"/>
      <c r="AV396" s="202"/>
      <c r="AW396" s="202"/>
      <c r="AX396" s="202"/>
      <c r="AY396" s="202"/>
    </row>
    <row r="397" spans="1:51" ht="25.5" x14ac:dyDescent="0.2">
      <c r="A397" s="76">
        <v>9</v>
      </c>
      <c r="B397" s="77" t="s">
        <v>1497</v>
      </c>
      <c r="C397" s="76" t="s">
        <v>172</v>
      </c>
      <c r="D397" s="76">
        <v>2</v>
      </c>
      <c r="E397" s="76">
        <v>5</v>
      </c>
      <c r="F397" s="76">
        <v>3.46</v>
      </c>
      <c r="G397" s="76">
        <v>59</v>
      </c>
      <c r="H397" s="76">
        <v>0</v>
      </c>
      <c r="I397" s="76">
        <v>0</v>
      </c>
      <c r="J397" s="76">
        <v>1</v>
      </c>
      <c r="K397" s="76">
        <v>67.2</v>
      </c>
      <c r="L397" s="76">
        <v>59</v>
      </c>
      <c r="M397" s="76">
        <v>31</v>
      </c>
      <c r="N397" s="76">
        <v>26</v>
      </c>
      <c r="O397" s="76">
        <v>4</v>
      </c>
      <c r="P397" s="76">
        <v>20</v>
      </c>
      <c r="Q397" s="76">
        <v>52</v>
      </c>
      <c r="R397" s="76">
        <v>0.22900000000000001</v>
      </c>
      <c r="S397" s="76">
        <v>1.17</v>
      </c>
      <c r="T397" s="76">
        <v>9</v>
      </c>
      <c r="U397" s="77" t="s">
        <v>1497</v>
      </c>
      <c r="V397" s="76" t="s">
        <v>172</v>
      </c>
      <c r="W397" s="76">
        <v>0</v>
      </c>
      <c r="X397" s="76">
        <v>0</v>
      </c>
      <c r="Y397" s="76">
        <v>1</v>
      </c>
      <c r="Z397" s="76">
        <v>2</v>
      </c>
      <c r="AA397" s="76">
        <v>12</v>
      </c>
      <c r="AB397" s="76">
        <v>13</v>
      </c>
      <c r="AC397" s="76">
        <v>8</v>
      </c>
      <c r="AD397" s="76">
        <v>106</v>
      </c>
      <c r="AE397" s="76">
        <v>43</v>
      </c>
      <c r="AF397" s="76">
        <v>0</v>
      </c>
      <c r="AG397" s="76">
        <v>0</v>
      </c>
      <c r="AH397" s="76">
        <v>2</v>
      </c>
      <c r="AI397" s="76">
        <v>1</v>
      </c>
      <c r="AJ397" s="76">
        <v>0</v>
      </c>
      <c r="AK397" s="76">
        <v>281</v>
      </c>
      <c r="AL397" s="76">
        <v>1060</v>
      </c>
      <c r="AM397" s="202"/>
      <c r="AN397" s="77"/>
      <c r="AO397" s="202"/>
      <c r="AP397" s="202"/>
      <c r="AQ397" s="202"/>
      <c r="AR397" s="202"/>
      <c r="AS397" s="202"/>
      <c r="AT397" s="202"/>
      <c r="AU397" s="202"/>
      <c r="AV397" s="202"/>
      <c r="AW397" s="202"/>
      <c r="AX397" s="202"/>
      <c r="AY397" s="202"/>
    </row>
    <row r="398" spans="1:51" ht="25.5" x14ac:dyDescent="0.2">
      <c r="A398" s="76">
        <v>10</v>
      </c>
      <c r="B398" s="77" t="s">
        <v>363</v>
      </c>
      <c r="C398" s="76" t="s">
        <v>172</v>
      </c>
      <c r="D398" s="76">
        <v>4</v>
      </c>
      <c r="E398" s="76">
        <v>2</v>
      </c>
      <c r="F398" s="76">
        <v>4.3</v>
      </c>
      <c r="G398" s="76">
        <v>66</v>
      </c>
      <c r="H398" s="76">
        <v>0</v>
      </c>
      <c r="I398" s="76">
        <v>0</v>
      </c>
      <c r="J398" s="76">
        <v>3</v>
      </c>
      <c r="K398" s="76">
        <v>60.2</v>
      </c>
      <c r="L398" s="76">
        <v>52</v>
      </c>
      <c r="M398" s="76">
        <v>32</v>
      </c>
      <c r="N398" s="76">
        <v>29</v>
      </c>
      <c r="O398" s="76">
        <v>7</v>
      </c>
      <c r="P398" s="76">
        <v>24</v>
      </c>
      <c r="Q398" s="76">
        <v>57</v>
      </c>
      <c r="R398" s="76">
        <v>0.22900000000000001</v>
      </c>
      <c r="S398" s="76">
        <v>1.25</v>
      </c>
      <c r="T398" s="76">
        <v>10</v>
      </c>
      <c r="U398" s="77" t="s">
        <v>363</v>
      </c>
      <c r="V398" s="76" t="s">
        <v>172</v>
      </c>
      <c r="W398" s="76">
        <v>0</v>
      </c>
      <c r="X398" s="76">
        <v>0</v>
      </c>
      <c r="Y398" s="76">
        <v>3</v>
      </c>
      <c r="Z398" s="76">
        <v>5</v>
      </c>
      <c r="AA398" s="76">
        <v>14</v>
      </c>
      <c r="AB398" s="76">
        <v>12</v>
      </c>
      <c r="AC398" s="76">
        <v>1</v>
      </c>
      <c r="AD398" s="76">
        <v>69</v>
      </c>
      <c r="AE398" s="76">
        <v>54</v>
      </c>
      <c r="AF398" s="76">
        <v>1</v>
      </c>
      <c r="AG398" s="76">
        <v>0</v>
      </c>
      <c r="AH398" s="76">
        <v>6</v>
      </c>
      <c r="AI398" s="76">
        <v>1</v>
      </c>
      <c r="AJ398" s="76">
        <v>0</v>
      </c>
      <c r="AK398" s="76">
        <v>259</v>
      </c>
      <c r="AL398" s="76">
        <v>1002</v>
      </c>
      <c r="AM398" s="202"/>
      <c r="AN398" s="77"/>
      <c r="AO398" s="202"/>
      <c r="AP398" s="202"/>
      <c r="AQ398" s="202"/>
      <c r="AR398" s="202"/>
      <c r="AS398" s="202"/>
      <c r="AT398" s="202"/>
      <c r="AU398" s="202"/>
      <c r="AV398" s="202"/>
      <c r="AW398" s="202"/>
      <c r="AX398" s="202"/>
      <c r="AY398" s="202"/>
    </row>
    <row r="399" spans="1:51" ht="25.5" x14ac:dyDescent="0.2">
      <c r="A399" s="76">
        <v>11</v>
      </c>
      <c r="B399" s="77" t="s">
        <v>462</v>
      </c>
      <c r="C399" s="76" t="s">
        <v>172</v>
      </c>
      <c r="D399" s="76">
        <v>2</v>
      </c>
      <c r="E399" s="76">
        <v>4</v>
      </c>
      <c r="F399" s="76">
        <v>4.46</v>
      </c>
      <c r="G399" s="76">
        <v>45</v>
      </c>
      <c r="H399" s="76">
        <v>0</v>
      </c>
      <c r="I399" s="76">
        <v>14</v>
      </c>
      <c r="J399" s="76">
        <v>18</v>
      </c>
      <c r="K399" s="76">
        <v>40.1</v>
      </c>
      <c r="L399" s="76">
        <v>48</v>
      </c>
      <c r="M399" s="76">
        <v>22</v>
      </c>
      <c r="N399" s="76">
        <v>20</v>
      </c>
      <c r="O399" s="76">
        <v>3</v>
      </c>
      <c r="P399" s="76">
        <v>29</v>
      </c>
      <c r="Q399" s="76">
        <v>56</v>
      </c>
      <c r="R399" s="76">
        <v>0.29299999999999998</v>
      </c>
      <c r="S399" s="76">
        <v>1.91</v>
      </c>
      <c r="T399" s="76">
        <v>11</v>
      </c>
      <c r="U399" s="77" t="s">
        <v>462</v>
      </c>
      <c r="V399" s="76" t="s">
        <v>172</v>
      </c>
      <c r="W399" s="76">
        <v>0</v>
      </c>
      <c r="X399" s="76">
        <v>0</v>
      </c>
      <c r="Y399" s="76">
        <v>3</v>
      </c>
      <c r="Z399" s="76">
        <v>0</v>
      </c>
      <c r="AA399" s="76">
        <v>27</v>
      </c>
      <c r="AB399" s="76">
        <v>0</v>
      </c>
      <c r="AC399" s="76">
        <v>4</v>
      </c>
      <c r="AD399" s="76">
        <v>37</v>
      </c>
      <c r="AE399" s="76">
        <v>24</v>
      </c>
      <c r="AF399" s="76">
        <v>0</v>
      </c>
      <c r="AG399" s="76">
        <v>0</v>
      </c>
      <c r="AH399" s="76">
        <v>2</v>
      </c>
      <c r="AI399" s="76">
        <v>0</v>
      </c>
      <c r="AJ399" s="76">
        <v>0</v>
      </c>
      <c r="AK399" s="76">
        <v>197</v>
      </c>
      <c r="AL399" s="76">
        <v>858</v>
      </c>
      <c r="AM399" s="202"/>
      <c r="AN399" s="77"/>
      <c r="AO399" s="202"/>
      <c r="AP399" s="202"/>
      <c r="AQ399" s="202"/>
      <c r="AR399" s="202"/>
      <c r="AS399" s="202"/>
      <c r="AT399" s="202"/>
      <c r="AU399" s="202"/>
      <c r="AV399" s="202"/>
      <c r="AW399" s="202"/>
      <c r="AX399" s="202"/>
      <c r="AY399" s="202"/>
    </row>
    <row r="400" spans="1:51" ht="38.25" x14ac:dyDescent="0.2">
      <c r="A400" s="76">
        <v>12</v>
      </c>
      <c r="B400" s="77" t="s">
        <v>466</v>
      </c>
      <c r="C400" s="76" t="s">
        <v>172</v>
      </c>
      <c r="D400" s="76">
        <v>13</v>
      </c>
      <c r="E400" s="76">
        <v>9</v>
      </c>
      <c r="F400" s="76">
        <v>4.62</v>
      </c>
      <c r="G400" s="76">
        <v>33</v>
      </c>
      <c r="H400" s="76">
        <v>33</v>
      </c>
      <c r="I400" s="76">
        <v>0</v>
      </c>
      <c r="J400" s="76">
        <v>0</v>
      </c>
      <c r="K400" s="76">
        <v>198.2</v>
      </c>
      <c r="L400" s="76">
        <v>220</v>
      </c>
      <c r="M400" s="76">
        <v>108</v>
      </c>
      <c r="N400" s="76">
        <v>102</v>
      </c>
      <c r="O400" s="76">
        <v>22</v>
      </c>
      <c r="P400" s="76">
        <v>59</v>
      </c>
      <c r="Q400" s="76">
        <v>161</v>
      </c>
      <c r="R400" s="76">
        <v>0.28699999999999998</v>
      </c>
      <c r="S400" s="76">
        <v>1.4</v>
      </c>
      <c r="T400" s="76">
        <v>12</v>
      </c>
      <c r="U400" s="77" t="s">
        <v>466</v>
      </c>
      <c r="V400" s="76" t="s">
        <v>172</v>
      </c>
      <c r="W400" s="76">
        <v>1</v>
      </c>
      <c r="X400" s="76">
        <v>1</v>
      </c>
      <c r="Y400" s="76">
        <v>5</v>
      </c>
      <c r="Z400" s="76">
        <v>4</v>
      </c>
      <c r="AA400" s="76">
        <v>0</v>
      </c>
      <c r="AB400" s="76">
        <v>0</v>
      </c>
      <c r="AC400" s="76">
        <v>27</v>
      </c>
      <c r="AD400" s="76">
        <v>215</v>
      </c>
      <c r="AE400" s="76">
        <v>187</v>
      </c>
      <c r="AF400" s="76">
        <v>1</v>
      </c>
      <c r="AG400" s="76">
        <v>0</v>
      </c>
      <c r="AH400" s="76">
        <v>5</v>
      </c>
      <c r="AI400" s="76">
        <v>4</v>
      </c>
      <c r="AJ400" s="76">
        <v>0</v>
      </c>
      <c r="AK400" s="76">
        <v>847</v>
      </c>
      <c r="AL400" s="76">
        <v>3195</v>
      </c>
      <c r="AM400" s="102"/>
      <c r="AN400" s="102"/>
      <c r="AO400" s="102"/>
      <c r="AP400" s="102"/>
      <c r="AQ400" s="102"/>
      <c r="AR400" s="102"/>
      <c r="AS400" s="102"/>
      <c r="AT400" s="102"/>
      <c r="AU400" s="102"/>
      <c r="AV400" s="102"/>
      <c r="AW400" s="102"/>
      <c r="AX400" s="102"/>
      <c r="AY400" s="102"/>
    </row>
    <row r="401" spans="1:51" ht="25.5" x14ac:dyDescent="0.2">
      <c r="A401" s="76">
        <v>13</v>
      </c>
      <c r="B401" s="77" t="s">
        <v>468</v>
      </c>
      <c r="C401" s="76" t="s">
        <v>172</v>
      </c>
      <c r="D401" s="76">
        <v>10</v>
      </c>
      <c r="E401" s="76">
        <v>13</v>
      </c>
      <c r="F401" s="76">
        <v>4.67</v>
      </c>
      <c r="G401" s="76">
        <v>32</v>
      </c>
      <c r="H401" s="76">
        <v>30</v>
      </c>
      <c r="I401" s="76">
        <v>0</v>
      </c>
      <c r="J401" s="76">
        <v>0</v>
      </c>
      <c r="K401" s="76">
        <v>171.2</v>
      </c>
      <c r="L401" s="76">
        <v>179</v>
      </c>
      <c r="M401" s="76">
        <v>94</v>
      </c>
      <c r="N401" s="76">
        <v>89</v>
      </c>
      <c r="O401" s="76">
        <v>26</v>
      </c>
      <c r="P401" s="76">
        <v>57</v>
      </c>
      <c r="Q401" s="76">
        <v>150</v>
      </c>
      <c r="R401" s="76">
        <v>0.26800000000000002</v>
      </c>
      <c r="S401" s="76">
        <v>1.37</v>
      </c>
      <c r="T401" s="76">
        <v>13</v>
      </c>
      <c r="U401" s="77" t="s">
        <v>468</v>
      </c>
      <c r="V401" s="76" t="s">
        <v>172</v>
      </c>
      <c r="W401" s="76">
        <v>1</v>
      </c>
      <c r="X401" s="76">
        <v>1</v>
      </c>
      <c r="Y401" s="76">
        <v>7</v>
      </c>
      <c r="Z401" s="76">
        <v>3</v>
      </c>
      <c r="AA401" s="76">
        <v>0</v>
      </c>
      <c r="AB401" s="76">
        <v>0</v>
      </c>
      <c r="AC401" s="76">
        <v>21</v>
      </c>
      <c r="AD401" s="76">
        <v>238</v>
      </c>
      <c r="AE401" s="76">
        <v>110</v>
      </c>
      <c r="AF401" s="76">
        <v>8</v>
      </c>
      <c r="AG401" s="76">
        <v>0</v>
      </c>
      <c r="AH401" s="76">
        <v>14</v>
      </c>
      <c r="AI401" s="76">
        <v>6</v>
      </c>
      <c r="AJ401" s="76">
        <v>0</v>
      </c>
      <c r="AK401" s="76">
        <v>741</v>
      </c>
      <c r="AL401" s="76">
        <v>2578</v>
      </c>
      <c r="AM401" s="202"/>
      <c r="AN401" s="77"/>
      <c r="AO401" s="202"/>
      <c r="AP401" s="202"/>
      <c r="AQ401" s="202"/>
      <c r="AR401" s="202"/>
      <c r="AS401" s="202"/>
      <c r="AT401" s="202"/>
      <c r="AU401" s="202"/>
      <c r="AV401" s="202"/>
      <c r="AW401" s="202"/>
      <c r="AX401" s="202"/>
      <c r="AY401" s="202"/>
    </row>
    <row r="402" spans="1:51" ht="25.5" x14ac:dyDescent="0.2">
      <c r="A402" s="76">
        <v>14</v>
      </c>
      <c r="B402" s="77" t="s">
        <v>361</v>
      </c>
      <c r="C402" s="76" t="s">
        <v>172</v>
      </c>
      <c r="D402" s="76">
        <v>9</v>
      </c>
      <c r="E402" s="76">
        <v>12</v>
      </c>
      <c r="F402" s="76">
        <v>4.6900000000000004</v>
      </c>
      <c r="G402" s="76">
        <v>30</v>
      </c>
      <c r="H402" s="76">
        <v>30</v>
      </c>
      <c r="I402" s="76">
        <v>0</v>
      </c>
      <c r="J402" s="76">
        <v>0</v>
      </c>
      <c r="K402" s="76">
        <v>176.2</v>
      </c>
      <c r="L402" s="76">
        <v>203</v>
      </c>
      <c r="M402" s="76">
        <v>101</v>
      </c>
      <c r="N402" s="76">
        <v>92</v>
      </c>
      <c r="O402" s="76">
        <v>20</v>
      </c>
      <c r="P402" s="76">
        <v>30</v>
      </c>
      <c r="Q402" s="76">
        <v>125</v>
      </c>
      <c r="R402" s="76">
        <v>0.28799999999999998</v>
      </c>
      <c r="S402" s="76">
        <v>1.32</v>
      </c>
      <c r="T402" s="76">
        <v>14</v>
      </c>
      <c r="U402" s="77" t="s">
        <v>361</v>
      </c>
      <c r="V402" s="76" t="s">
        <v>172</v>
      </c>
      <c r="W402" s="76">
        <v>0</v>
      </c>
      <c r="X402" s="76">
        <v>0</v>
      </c>
      <c r="Y402" s="76">
        <v>7</v>
      </c>
      <c r="Z402" s="76">
        <v>1</v>
      </c>
      <c r="AA402" s="76">
        <v>0</v>
      </c>
      <c r="AB402" s="76">
        <v>0</v>
      </c>
      <c r="AC402" s="76">
        <v>13</v>
      </c>
      <c r="AD402" s="76">
        <v>243</v>
      </c>
      <c r="AE402" s="76">
        <v>149</v>
      </c>
      <c r="AF402" s="76">
        <v>7</v>
      </c>
      <c r="AG402" s="76">
        <v>0</v>
      </c>
      <c r="AH402" s="76">
        <v>16</v>
      </c>
      <c r="AI402" s="76">
        <v>4</v>
      </c>
      <c r="AJ402" s="76">
        <v>3</v>
      </c>
      <c r="AK402" s="76">
        <v>757</v>
      </c>
      <c r="AL402" s="76">
        <v>2659</v>
      </c>
      <c r="AM402" s="202"/>
      <c r="AN402" s="77"/>
      <c r="AO402" s="202"/>
      <c r="AP402" s="202"/>
      <c r="AQ402" s="202"/>
      <c r="AR402" s="202"/>
      <c r="AS402" s="202"/>
      <c r="AT402" s="202"/>
      <c r="AU402" s="202"/>
      <c r="AV402" s="202"/>
      <c r="AW402" s="202"/>
      <c r="AX402" s="202"/>
      <c r="AY402" s="202"/>
    </row>
    <row r="403" spans="1:51" ht="25.5" x14ac:dyDescent="0.2">
      <c r="A403" s="76">
        <v>15</v>
      </c>
      <c r="B403" s="77" t="s">
        <v>465</v>
      </c>
      <c r="C403" s="76" t="s">
        <v>172</v>
      </c>
      <c r="D403" s="76">
        <v>7</v>
      </c>
      <c r="E403" s="76">
        <v>7</v>
      </c>
      <c r="F403" s="76">
        <v>5.09</v>
      </c>
      <c r="G403" s="76">
        <v>27</v>
      </c>
      <c r="H403" s="76">
        <v>24</v>
      </c>
      <c r="I403" s="76">
        <v>0</v>
      </c>
      <c r="J403" s="76">
        <v>0</v>
      </c>
      <c r="K403" s="76">
        <v>138</v>
      </c>
      <c r="L403" s="76">
        <v>159</v>
      </c>
      <c r="M403" s="76">
        <v>86</v>
      </c>
      <c r="N403" s="76">
        <v>78</v>
      </c>
      <c r="O403" s="76">
        <v>15</v>
      </c>
      <c r="P403" s="76">
        <v>45</v>
      </c>
      <c r="Q403" s="76">
        <v>114</v>
      </c>
      <c r="R403" s="76">
        <v>0.28899999999999998</v>
      </c>
      <c r="S403" s="76">
        <v>1.48</v>
      </c>
      <c r="T403" s="76">
        <v>15</v>
      </c>
      <c r="U403" s="77" t="s">
        <v>465</v>
      </c>
      <c r="V403" s="76" t="s">
        <v>172</v>
      </c>
      <c r="W403" s="76">
        <v>0</v>
      </c>
      <c r="X403" s="76">
        <v>0</v>
      </c>
      <c r="Y403" s="76">
        <v>1</v>
      </c>
      <c r="Z403" s="76">
        <v>6</v>
      </c>
      <c r="AA403" s="76">
        <v>1</v>
      </c>
      <c r="AB403" s="76">
        <v>0</v>
      </c>
      <c r="AC403" s="76">
        <v>11</v>
      </c>
      <c r="AD403" s="76">
        <v>163</v>
      </c>
      <c r="AE403" s="76">
        <v>124</v>
      </c>
      <c r="AF403" s="76">
        <v>6</v>
      </c>
      <c r="AG403" s="76">
        <v>0</v>
      </c>
      <c r="AH403" s="76">
        <v>6</v>
      </c>
      <c r="AI403" s="76">
        <v>2</v>
      </c>
      <c r="AJ403" s="76">
        <v>2</v>
      </c>
      <c r="AK403" s="76">
        <v>606</v>
      </c>
      <c r="AL403" s="76">
        <v>2324</v>
      </c>
      <c r="AM403" s="202"/>
      <c r="AN403" s="77"/>
      <c r="AO403" s="202"/>
      <c r="AP403" s="202"/>
      <c r="AQ403" s="202"/>
      <c r="AR403" s="202"/>
      <c r="AS403" s="202"/>
      <c r="AT403" s="202"/>
      <c r="AU403" s="202"/>
      <c r="AV403" s="202"/>
      <c r="AW403" s="202"/>
      <c r="AX403" s="202"/>
      <c r="AY403" s="202"/>
    </row>
    <row r="404" spans="1:51" ht="25.5" x14ac:dyDescent="0.2">
      <c r="A404" s="76">
        <v>16</v>
      </c>
      <c r="B404" s="77" t="s">
        <v>1498</v>
      </c>
      <c r="C404" s="76" t="s">
        <v>172</v>
      </c>
      <c r="D404" s="76">
        <v>0</v>
      </c>
      <c r="E404" s="76">
        <v>0</v>
      </c>
      <c r="F404" s="76">
        <v>5.32</v>
      </c>
      <c r="G404" s="76">
        <v>26</v>
      </c>
      <c r="H404" s="76">
        <v>0</v>
      </c>
      <c r="I404" s="76">
        <v>0</v>
      </c>
      <c r="J404" s="76">
        <v>0</v>
      </c>
      <c r="K404" s="76">
        <v>22</v>
      </c>
      <c r="L404" s="76">
        <v>24</v>
      </c>
      <c r="M404" s="76">
        <v>13</v>
      </c>
      <c r="N404" s="76">
        <v>13</v>
      </c>
      <c r="O404" s="76">
        <v>2</v>
      </c>
      <c r="P404" s="76">
        <v>7</v>
      </c>
      <c r="Q404" s="76">
        <v>14</v>
      </c>
      <c r="R404" s="76">
        <v>0.27300000000000002</v>
      </c>
      <c r="S404" s="76">
        <v>1.41</v>
      </c>
      <c r="T404" s="76">
        <v>16</v>
      </c>
      <c r="U404" s="77" t="s">
        <v>1498</v>
      </c>
      <c r="V404" s="76" t="s">
        <v>172</v>
      </c>
      <c r="W404" s="76">
        <v>0</v>
      </c>
      <c r="X404" s="76">
        <v>0</v>
      </c>
      <c r="Y404" s="76">
        <v>2</v>
      </c>
      <c r="Z404" s="76">
        <v>4</v>
      </c>
      <c r="AA404" s="76">
        <v>10</v>
      </c>
      <c r="AB404" s="76">
        <v>2</v>
      </c>
      <c r="AC404" s="76">
        <v>1</v>
      </c>
      <c r="AD404" s="76">
        <v>28</v>
      </c>
      <c r="AE404" s="76">
        <v>23</v>
      </c>
      <c r="AF404" s="76">
        <v>0</v>
      </c>
      <c r="AG404" s="76">
        <v>0</v>
      </c>
      <c r="AH404" s="76">
        <v>0</v>
      </c>
      <c r="AI404" s="76">
        <v>0</v>
      </c>
      <c r="AJ404" s="76">
        <v>0</v>
      </c>
      <c r="AK404" s="76">
        <v>98</v>
      </c>
      <c r="AL404" s="76">
        <v>364</v>
      </c>
      <c r="AM404" s="202"/>
      <c r="AN404" s="77"/>
      <c r="AO404" s="202"/>
      <c r="AP404" s="202"/>
      <c r="AQ404" s="202"/>
      <c r="AR404" s="202"/>
      <c r="AS404" s="202"/>
      <c r="AT404" s="202"/>
      <c r="AU404" s="202"/>
      <c r="AV404" s="202"/>
      <c r="AW404" s="202"/>
      <c r="AX404" s="202"/>
      <c r="AY404" s="202"/>
    </row>
    <row r="405" spans="1:51" ht="25.5" x14ac:dyDescent="0.2">
      <c r="A405" s="76">
        <v>17</v>
      </c>
      <c r="B405" s="77" t="s">
        <v>1499</v>
      </c>
      <c r="C405" s="76" t="s">
        <v>172</v>
      </c>
      <c r="D405" s="76">
        <v>1</v>
      </c>
      <c r="E405" s="76">
        <v>4</v>
      </c>
      <c r="F405" s="76">
        <v>5.7</v>
      </c>
      <c r="G405" s="76">
        <v>9</v>
      </c>
      <c r="H405" s="76">
        <v>8</v>
      </c>
      <c r="I405" s="76">
        <v>0</v>
      </c>
      <c r="J405" s="76">
        <v>0</v>
      </c>
      <c r="K405" s="76">
        <v>36.1</v>
      </c>
      <c r="L405" s="76">
        <v>46</v>
      </c>
      <c r="M405" s="76">
        <v>29</v>
      </c>
      <c r="N405" s="76">
        <v>23</v>
      </c>
      <c r="O405" s="76">
        <v>7</v>
      </c>
      <c r="P405" s="76">
        <v>12</v>
      </c>
      <c r="Q405" s="76">
        <v>45</v>
      </c>
      <c r="R405" s="76">
        <v>0.311</v>
      </c>
      <c r="S405" s="76">
        <v>1.6</v>
      </c>
      <c r="T405" s="76">
        <v>17</v>
      </c>
      <c r="U405" s="77" t="s">
        <v>1499</v>
      </c>
      <c r="V405" s="76" t="s">
        <v>172</v>
      </c>
      <c r="W405" s="76">
        <v>0</v>
      </c>
      <c r="X405" s="76">
        <v>0</v>
      </c>
      <c r="Y405" s="76">
        <v>2</v>
      </c>
      <c r="Z405" s="76">
        <v>0</v>
      </c>
      <c r="AA405" s="76">
        <v>0</v>
      </c>
      <c r="AB405" s="76">
        <v>0</v>
      </c>
      <c r="AC405" s="76">
        <v>3</v>
      </c>
      <c r="AD405" s="76">
        <v>30</v>
      </c>
      <c r="AE405" s="76">
        <v>32</v>
      </c>
      <c r="AF405" s="76">
        <v>1</v>
      </c>
      <c r="AG405" s="76">
        <v>0</v>
      </c>
      <c r="AH405" s="76">
        <v>0</v>
      </c>
      <c r="AI405" s="76">
        <v>0</v>
      </c>
      <c r="AJ405" s="76">
        <v>0</v>
      </c>
      <c r="AK405" s="76">
        <v>167</v>
      </c>
      <c r="AL405" s="76">
        <v>682</v>
      </c>
      <c r="AM405" s="202"/>
      <c r="AN405" s="77"/>
      <c r="AO405" s="202"/>
      <c r="AP405" s="202"/>
      <c r="AQ405" s="202"/>
      <c r="AR405" s="202"/>
      <c r="AS405" s="202"/>
      <c r="AT405" s="202"/>
      <c r="AU405" s="202"/>
      <c r="AV405" s="202"/>
      <c r="AW405" s="202"/>
      <c r="AX405" s="202"/>
      <c r="AY405" s="202"/>
    </row>
    <row r="406" spans="1:51" ht="25.5" x14ac:dyDescent="0.2">
      <c r="A406" s="76">
        <v>18</v>
      </c>
      <c r="B406" s="77" t="s">
        <v>568</v>
      </c>
      <c r="C406" s="76" t="s">
        <v>172</v>
      </c>
      <c r="D406" s="76">
        <v>0</v>
      </c>
      <c r="E406" s="76">
        <v>0</v>
      </c>
      <c r="F406" s="76">
        <v>5.71</v>
      </c>
      <c r="G406" s="76">
        <v>11</v>
      </c>
      <c r="H406" s="76">
        <v>0</v>
      </c>
      <c r="I406" s="76">
        <v>0</v>
      </c>
      <c r="J406" s="76">
        <v>0</v>
      </c>
      <c r="K406" s="76">
        <v>17.100000000000001</v>
      </c>
      <c r="L406" s="76">
        <v>22</v>
      </c>
      <c r="M406" s="76">
        <v>15</v>
      </c>
      <c r="N406" s="76">
        <v>11</v>
      </c>
      <c r="O406" s="76">
        <v>4</v>
      </c>
      <c r="P406" s="76">
        <v>6</v>
      </c>
      <c r="Q406" s="76">
        <v>8</v>
      </c>
      <c r="R406" s="76">
        <v>0.30599999999999999</v>
      </c>
      <c r="S406" s="76">
        <v>1.62</v>
      </c>
      <c r="T406" s="76">
        <v>18</v>
      </c>
      <c r="U406" s="77" t="s">
        <v>568</v>
      </c>
      <c r="V406" s="76" t="s">
        <v>172</v>
      </c>
      <c r="W406" s="76">
        <v>0</v>
      </c>
      <c r="X406" s="76">
        <v>0</v>
      </c>
      <c r="Y406" s="76">
        <v>2</v>
      </c>
      <c r="Z406" s="76">
        <v>1</v>
      </c>
      <c r="AA406" s="76">
        <v>9</v>
      </c>
      <c r="AB406" s="76">
        <v>0</v>
      </c>
      <c r="AC406" s="76">
        <v>3</v>
      </c>
      <c r="AD406" s="76">
        <v>22</v>
      </c>
      <c r="AE406" s="76">
        <v>21</v>
      </c>
      <c r="AF406" s="76">
        <v>0</v>
      </c>
      <c r="AG406" s="76">
        <v>0</v>
      </c>
      <c r="AH406" s="76">
        <v>0</v>
      </c>
      <c r="AI406" s="76">
        <v>0</v>
      </c>
      <c r="AJ406" s="76">
        <v>0</v>
      </c>
      <c r="AK406" s="76">
        <v>81</v>
      </c>
      <c r="AL406" s="76">
        <v>291</v>
      </c>
      <c r="AM406" s="202"/>
      <c r="AN406" s="77"/>
      <c r="AO406" s="202"/>
      <c r="AP406" s="202"/>
      <c r="AQ406" s="202"/>
      <c r="AR406" s="202"/>
      <c r="AS406" s="202"/>
      <c r="AT406" s="202"/>
      <c r="AU406" s="202"/>
      <c r="AV406" s="202"/>
      <c r="AW406" s="202"/>
      <c r="AX406" s="202"/>
      <c r="AY406" s="202"/>
    </row>
    <row r="407" spans="1:51" ht="25.5" x14ac:dyDescent="0.2">
      <c r="A407" s="76">
        <v>19</v>
      </c>
      <c r="B407" s="77" t="s">
        <v>786</v>
      </c>
      <c r="C407" s="76" t="s">
        <v>172</v>
      </c>
      <c r="D407" s="76">
        <v>0</v>
      </c>
      <c r="E407" s="76">
        <v>0</v>
      </c>
      <c r="F407" s="76">
        <v>6</v>
      </c>
      <c r="G407" s="76">
        <v>12</v>
      </c>
      <c r="H407" s="76">
        <v>0</v>
      </c>
      <c r="I407" s="76">
        <v>0</v>
      </c>
      <c r="J407" s="76">
        <v>0</v>
      </c>
      <c r="K407" s="76">
        <v>9</v>
      </c>
      <c r="L407" s="76">
        <v>12</v>
      </c>
      <c r="M407" s="76">
        <v>6</v>
      </c>
      <c r="N407" s="76">
        <v>6</v>
      </c>
      <c r="O407" s="76">
        <v>0</v>
      </c>
      <c r="P407" s="76">
        <v>6</v>
      </c>
      <c r="Q407" s="76">
        <v>7</v>
      </c>
      <c r="R407" s="76">
        <v>0.308</v>
      </c>
      <c r="S407" s="76">
        <v>2</v>
      </c>
      <c r="T407" s="76">
        <v>19</v>
      </c>
      <c r="U407" s="77" t="s">
        <v>786</v>
      </c>
      <c r="V407" s="76" t="s">
        <v>172</v>
      </c>
      <c r="W407" s="76">
        <v>0</v>
      </c>
      <c r="X407" s="76">
        <v>0</v>
      </c>
      <c r="Y407" s="76">
        <v>2</v>
      </c>
      <c r="Z407" s="76">
        <v>0</v>
      </c>
      <c r="AA407" s="76">
        <v>4</v>
      </c>
      <c r="AB407" s="76">
        <v>0</v>
      </c>
      <c r="AC407" s="76">
        <v>0</v>
      </c>
      <c r="AD407" s="76">
        <v>9</v>
      </c>
      <c r="AE407" s="76">
        <v>11</v>
      </c>
      <c r="AF407" s="76">
        <v>1</v>
      </c>
      <c r="AG407" s="76">
        <v>0</v>
      </c>
      <c r="AH407" s="76">
        <v>2</v>
      </c>
      <c r="AI407" s="76">
        <v>0</v>
      </c>
      <c r="AJ407" s="76">
        <v>0</v>
      </c>
      <c r="AK407" s="76">
        <v>47</v>
      </c>
      <c r="AL407" s="76">
        <v>210</v>
      </c>
      <c r="AM407" s="202"/>
      <c r="AN407" s="77"/>
      <c r="AO407" s="202"/>
      <c r="AP407" s="202"/>
      <c r="AQ407" s="202"/>
      <c r="AR407" s="202"/>
      <c r="AS407" s="202"/>
      <c r="AT407" s="202"/>
      <c r="AU407" s="202"/>
      <c r="AV407" s="202"/>
      <c r="AW407" s="202"/>
      <c r="AX407" s="202"/>
      <c r="AY407" s="202"/>
    </row>
    <row r="408" spans="1:51" ht="25.5" x14ac:dyDescent="0.2">
      <c r="A408" s="76">
        <v>20</v>
      </c>
      <c r="B408" s="77" t="s">
        <v>1500</v>
      </c>
      <c r="C408" s="76" t="s">
        <v>172</v>
      </c>
      <c r="D408" s="76">
        <v>0</v>
      </c>
      <c r="E408" s="76">
        <v>0</v>
      </c>
      <c r="F408" s="76">
        <v>18</v>
      </c>
      <c r="G408" s="76">
        <v>1</v>
      </c>
      <c r="H408" s="76">
        <v>0</v>
      </c>
      <c r="I408" s="76">
        <v>0</v>
      </c>
      <c r="J408" s="76">
        <v>0</v>
      </c>
      <c r="K408" s="76">
        <v>1</v>
      </c>
      <c r="L408" s="76">
        <v>2</v>
      </c>
      <c r="M408" s="76">
        <v>2</v>
      </c>
      <c r="N408" s="76">
        <v>2</v>
      </c>
      <c r="O408" s="76">
        <v>2</v>
      </c>
      <c r="P408" s="76">
        <v>0</v>
      </c>
      <c r="Q408" s="76">
        <v>0</v>
      </c>
      <c r="R408" s="76">
        <v>0.4</v>
      </c>
      <c r="S408" s="76">
        <v>2</v>
      </c>
      <c r="T408" s="76">
        <v>20</v>
      </c>
      <c r="U408" s="77" t="s">
        <v>1500</v>
      </c>
      <c r="V408" s="76" t="s">
        <v>172</v>
      </c>
      <c r="W408" s="76">
        <v>0</v>
      </c>
      <c r="X408" s="76">
        <v>0</v>
      </c>
      <c r="Y408" s="76">
        <v>0</v>
      </c>
      <c r="Z408" s="76">
        <v>0</v>
      </c>
      <c r="AA408" s="76">
        <v>1</v>
      </c>
      <c r="AB408" s="76">
        <v>0</v>
      </c>
      <c r="AC408" s="76">
        <v>0</v>
      </c>
      <c r="AD408" s="76">
        <v>0</v>
      </c>
      <c r="AE408" s="76">
        <v>3</v>
      </c>
      <c r="AF408" s="76">
        <v>0</v>
      </c>
      <c r="AG408" s="76">
        <v>0</v>
      </c>
      <c r="AH408" s="76">
        <v>0</v>
      </c>
      <c r="AI408" s="76">
        <v>0</v>
      </c>
      <c r="AJ408" s="76">
        <v>0</v>
      </c>
      <c r="AK408" s="76">
        <v>5</v>
      </c>
      <c r="AL408" s="76">
        <v>19</v>
      </c>
      <c r="AM408" s="202"/>
      <c r="AN408" s="77"/>
      <c r="AO408" s="202"/>
      <c r="AP408" s="202"/>
      <c r="AQ408" s="202"/>
      <c r="AR408" s="202"/>
      <c r="AS408" s="202"/>
      <c r="AT408" s="202"/>
      <c r="AU408" s="202"/>
      <c r="AV408" s="202"/>
      <c r="AW408" s="202"/>
      <c r="AX408" s="202"/>
      <c r="AY408" s="202"/>
    </row>
    <row r="409" spans="1:51" ht="25.5" x14ac:dyDescent="0.2">
      <c r="A409" s="76">
        <v>21</v>
      </c>
      <c r="B409" s="77" t="s">
        <v>1501</v>
      </c>
      <c r="C409" s="76" t="s">
        <v>172</v>
      </c>
      <c r="D409" s="76">
        <v>1</v>
      </c>
      <c r="E409" s="76">
        <v>1</v>
      </c>
      <c r="F409" s="76">
        <v>27</v>
      </c>
      <c r="G409" s="76">
        <v>4</v>
      </c>
      <c r="H409" s="76">
        <v>1</v>
      </c>
      <c r="I409" s="76">
        <v>0</v>
      </c>
      <c r="J409" s="76">
        <v>0</v>
      </c>
      <c r="K409" s="76">
        <v>5.0999999999999996</v>
      </c>
      <c r="L409" s="76">
        <v>16</v>
      </c>
      <c r="M409" s="76">
        <v>16</v>
      </c>
      <c r="N409" s="76">
        <v>16</v>
      </c>
      <c r="O409" s="76">
        <v>3</v>
      </c>
      <c r="P409" s="76">
        <v>3</v>
      </c>
      <c r="Q409" s="76">
        <v>2</v>
      </c>
      <c r="R409" s="76">
        <v>0.53300000000000003</v>
      </c>
      <c r="S409" s="76">
        <v>3.56</v>
      </c>
      <c r="T409" s="76">
        <v>21</v>
      </c>
      <c r="U409" s="77" t="s">
        <v>1501</v>
      </c>
      <c r="V409" s="76" t="s">
        <v>172</v>
      </c>
      <c r="W409" s="76">
        <v>0</v>
      </c>
      <c r="X409" s="76">
        <v>0</v>
      </c>
      <c r="Y409" s="76">
        <v>1</v>
      </c>
      <c r="Z409" s="76">
        <v>0</v>
      </c>
      <c r="AA409" s="76">
        <v>0</v>
      </c>
      <c r="AB409" s="76">
        <v>0</v>
      </c>
      <c r="AC409" s="76">
        <v>1</v>
      </c>
      <c r="AD409" s="76">
        <v>8</v>
      </c>
      <c r="AE409" s="76">
        <v>5</v>
      </c>
      <c r="AF409" s="76">
        <v>0</v>
      </c>
      <c r="AG409" s="76">
        <v>0</v>
      </c>
      <c r="AH409" s="76">
        <v>1</v>
      </c>
      <c r="AI409" s="76">
        <v>0</v>
      </c>
      <c r="AJ409" s="76">
        <v>0</v>
      </c>
      <c r="AK409" s="76">
        <v>35</v>
      </c>
      <c r="AL409" s="76">
        <v>120</v>
      </c>
      <c r="AM409" s="202"/>
      <c r="AN409" s="77"/>
      <c r="AO409" s="202"/>
      <c r="AP409" s="202"/>
      <c r="AQ409" s="202"/>
      <c r="AR409" s="202"/>
      <c r="AS409" s="202"/>
      <c r="AT409" s="202"/>
      <c r="AU409" s="202"/>
      <c r="AV409" s="202"/>
      <c r="AW409" s="202"/>
      <c r="AX409" s="202"/>
      <c r="AY409" s="202"/>
    </row>
    <row r="410" spans="1:51" ht="25.5" x14ac:dyDescent="0.2">
      <c r="A410" s="225" t="s">
        <v>105</v>
      </c>
      <c r="B410" s="225" t="s">
        <v>106</v>
      </c>
      <c r="C410" s="225" t="s">
        <v>157</v>
      </c>
      <c r="D410" s="225" t="s">
        <v>85</v>
      </c>
      <c r="E410" s="225" t="s">
        <v>86</v>
      </c>
      <c r="F410" s="225" t="s">
        <v>107</v>
      </c>
      <c r="G410" s="225" t="s">
        <v>108</v>
      </c>
      <c r="H410" s="225" t="s">
        <v>88</v>
      </c>
      <c r="I410" s="225" t="s">
        <v>90</v>
      </c>
      <c r="J410" s="225" t="s">
        <v>158</v>
      </c>
      <c r="K410" s="225" t="s">
        <v>91</v>
      </c>
      <c r="L410" s="225" t="s">
        <v>92</v>
      </c>
      <c r="M410" s="225" t="s">
        <v>93</v>
      </c>
      <c r="N410" s="225" t="s">
        <v>94</v>
      </c>
      <c r="O410" s="225" t="s">
        <v>95</v>
      </c>
      <c r="P410" s="225" t="s">
        <v>96</v>
      </c>
      <c r="Q410" s="225" t="s">
        <v>97</v>
      </c>
      <c r="R410" s="225" t="s">
        <v>1071</v>
      </c>
      <c r="S410" s="225" t="s">
        <v>1072</v>
      </c>
      <c r="T410" s="225" t="s">
        <v>105</v>
      </c>
      <c r="U410" s="225" t="s">
        <v>106</v>
      </c>
      <c r="V410" s="225" t="s">
        <v>157</v>
      </c>
      <c r="W410" s="225" t="s">
        <v>89</v>
      </c>
      <c r="X410" s="225" t="s">
        <v>1073</v>
      </c>
      <c r="Y410" s="225" t="s">
        <v>1074</v>
      </c>
      <c r="Z410" s="225" t="s">
        <v>98</v>
      </c>
      <c r="AA410" s="225" t="s">
        <v>1075</v>
      </c>
      <c r="AB410" s="225" t="s">
        <v>1076</v>
      </c>
      <c r="AC410" s="225" t="s">
        <v>1077</v>
      </c>
      <c r="AD410" s="225" t="s">
        <v>1066</v>
      </c>
      <c r="AE410" s="225" t="s">
        <v>1067</v>
      </c>
      <c r="AF410" s="225" t="s">
        <v>1078</v>
      </c>
      <c r="AG410" s="225" t="s">
        <v>1079</v>
      </c>
      <c r="AH410" s="225" t="s">
        <v>1057</v>
      </c>
      <c r="AI410" s="225" t="s">
        <v>1058</v>
      </c>
      <c r="AJ410" s="225" t="s">
        <v>1080</v>
      </c>
      <c r="AK410" s="225" t="s">
        <v>109</v>
      </c>
      <c r="AL410" s="225" t="s">
        <v>1069</v>
      </c>
      <c r="AM410" s="202"/>
      <c r="AN410" s="77"/>
      <c r="AO410" s="202"/>
      <c r="AP410" s="202"/>
      <c r="AQ410" s="202"/>
      <c r="AR410" s="202"/>
      <c r="AS410" s="202"/>
      <c r="AT410" s="202"/>
      <c r="AU410" s="202"/>
      <c r="AV410" s="202"/>
      <c r="AW410" s="202"/>
      <c r="AX410" s="202"/>
      <c r="AY410" s="202"/>
    </row>
    <row r="411" spans="1:51" ht="25.5" x14ac:dyDescent="0.2">
      <c r="A411" s="76">
        <v>1</v>
      </c>
      <c r="B411" s="77" t="s">
        <v>1164</v>
      </c>
      <c r="C411" s="76" t="s">
        <v>173</v>
      </c>
      <c r="D411" s="76">
        <v>0</v>
      </c>
      <c r="E411" s="76">
        <v>0</v>
      </c>
      <c r="F411" s="76">
        <v>0</v>
      </c>
      <c r="G411" s="76">
        <v>5</v>
      </c>
      <c r="H411" s="76">
        <v>0</v>
      </c>
      <c r="I411" s="76">
        <v>0</v>
      </c>
      <c r="J411" s="76">
        <v>0</v>
      </c>
      <c r="K411" s="76">
        <v>3</v>
      </c>
      <c r="L411" s="76">
        <v>1</v>
      </c>
      <c r="M411" s="76">
        <v>0</v>
      </c>
      <c r="N411" s="76">
        <v>0</v>
      </c>
      <c r="O411" s="76">
        <v>0</v>
      </c>
      <c r="P411" s="76">
        <v>0</v>
      </c>
      <c r="Q411" s="76">
        <v>4</v>
      </c>
      <c r="R411" s="76">
        <v>0.1</v>
      </c>
      <c r="S411" s="76">
        <v>0.33</v>
      </c>
      <c r="T411" s="76">
        <v>1</v>
      </c>
      <c r="U411" s="77" t="s">
        <v>1164</v>
      </c>
      <c r="V411" s="76" t="s">
        <v>173</v>
      </c>
      <c r="W411" s="76">
        <v>0</v>
      </c>
      <c r="X411" s="76">
        <v>0</v>
      </c>
      <c r="Y411" s="76">
        <v>0</v>
      </c>
      <c r="Z411" s="76">
        <v>0</v>
      </c>
      <c r="AA411" s="76">
        <v>1</v>
      </c>
      <c r="AB411" s="76">
        <v>0</v>
      </c>
      <c r="AC411" s="76">
        <v>0</v>
      </c>
      <c r="AD411" s="76">
        <v>3</v>
      </c>
      <c r="AE411" s="76">
        <v>2</v>
      </c>
      <c r="AF411" s="76">
        <v>0</v>
      </c>
      <c r="AG411" s="76">
        <v>0</v>
      </c>
      <c r="AH411" s="76">
        <v>0</v>
      </c>
      <c r="AI411" s="76">
        <v>0</v>
      </c>
      <c r="AJ411" s="76">
        <v>0</v>
      </c>
      <c r="AK411" s="76">
        <v>10</v>
      </c>
      <c r="AL411" s="76">
        <v>39</v>
      </c>
      <c r="AM411" s="202"/>
      <c r="AN411" s="77"/>
      <c r="AO411" s="202"/>
      <c r="AP411" s="202"/>
      <c r="AQ411" s="202"/>
      <c r="AR411" s="202"/>
      <c r="AS411" s="202"/>
      <c r="AT411" s="202"/>
      <c r="AU411" s="202"/>
      <c r="AV411" s="202"/>
      <c r="AW411" s="202"/>
      <c r="AX411" s="202"/>
      <c r="AY411" s="202"/>
    </row>
    <row r="412" spans="1:51" ht="25.5" x14ac:dyDescent="0.2">
      <c r="A412" s="76">
        <v>2</v>
      </c>
      <c r="B412" s="77" t="s">
        <v>1191</v>
      </c>
      <c r="C412" s="76" t="s">
        <v>173</v>
      </c>
      <c r="D412" s="76">
        <v>0</v>
      </c>
      <c r="E412" s="76">
        <v>0</v>
      </c>
      <c r="F412" s="76">
        <v>1.5</v>
      </c>
      <c r="G412" s="76">
        <v>9</v>
      </c>
      <c r="H412" s="76">
        <v>0</v>
      </c>
      <c r="I412" s="76">
        <v>0</v>
      </c>
      <c r="J412" s="76">
        <v>0</v>
      </c>
      <c r="K412" s="76">
        <v>6</v>
      </c>
      <c r="L412" s="76">
        <v>6</v>
      </c>
      <c r="M412" s="76">
        <v>1</v>
      </c>
      <c r="N412" s="76">
        <v>1</v>
      </c>
      <c r="O412" s="76">
        <v>0</v>
      </c>
      <c r="P412" s="76">
        <v>3</v>
      </c>
      <c r="Q412" s="76">
        <v>6</v>
      </c>
      <c r="R412" s="76">
        <v>0.25</v>
      </c>
      <c r="S412" s="76">
        <v>1.5</v>
      </c>
      <c r="T412" s="76">
        <v>2</v>
      </c>
      <c r="U412" s="77" t="s">
        <v>1191</v>
      </c>
      <c r="V412" s="76" t="s">
        <v>173</v>
      </c>
      <c r="W412" s="76">
        <v>0</v>
      </c>
      <c r="X412" s="76">
        <v>0</v>
      </c>
      <c r="Y412" s="76">
        <v>1</v>
      </c>
      <c r="Z412" s="76">
        <v>1</v>
      </c>
      <c r="AA412" s="76">
        <v>1</v>
      </c>
      <c r="AB412" s="76">
        <v>1</v>
      </c>
      <c r="AC412" s="76">
        <v>0</v>
      </c>
      <c r="AD412" s="76">
        <v>6</v>
      </c>
      <c r="AE412" s="76">
        <v>6</v>
      </c>
      <c r="AF412" s="76">
        <v>0</v>
      </c>
      <c r="AG412" s="76">
        <v>0</v>
      </c>
      <c r="AH412" s="76">
        <v>0</v>
      </c>
      <c r="AI412" s="76">
        <v>0</v>
      </c>
      <c r="AJ412" s="76">
        <v>0</v>
      </c>
      <c r="AK412" s="76">
        <v>28</v>
      </c>
      <c r="AL412" s="76">
        <v>102</v>
      </c>
      <c r="AM412" s="202"/>
      <c r="AN412" s="77"/>
      <c r="AO412" s="202"/>
      <c r="AP412" s="202"/>
      <c r="AQ412" s="202"/>
      <c r="AR412" s="202"/>
      <c r="AS412" s="202"/>
      <c r="AT412" s="202"/>
      <c r="AU412" s="202"/>
      <c r="AV412" s="202"/>
      <c r="AW412" s="202"/>
      <c r="AX412" s="202"/>
      <c r="AY412" s="202"/>
    </row>
    <row r="413" spans="1:51" ht="38.25" x14ac:dyDescent="0.2">
      <c r="A413" s="76">
        <v>3</v>
      </c>
      <c r="B413" s="77" t="s">
        <v>471</v>
      </c>
      <c r="C413" s="76" t="s">
        <v>173</v>
      </c>
      <c r="D413" s="76">
        <v>0</v>
      </c>
      <c r="E413" s="76">
        <v>0</v>
      </c>
      <c r="F413" s="76">
        <v>1.54</v>
      </c>
      <c r="G413" s="76">
        <v>14</v>
      </c>
      <c r="H413" s="76">
        <v>0</v>
      </c>
      <c r="I413" s="76">
        <v>0</v>
      </c>
      <c r="J413" s="76">
        <v>0</v>
      </c>
      <c r="K413" s="76">
        <v>11.2</v>
      </c>
      <c r="L413" s="76">
        <v>8</v>
      </c>
      <c r="M413" s="76">
        <v>3</v>
      </c>
      <c r="N413" s="76">
        <v>2</v>
      </c>
      <c r="O413" s="76">
        <v>0</v>
      </c>
      <c r="P413" s="76">
        <v>5</v>
      </c>
      <c r="Q413" s="76">
        <v>9</v>
      </c>
      <c r="R413" s="76">
        <v>0.216</v>
      </c>
      <c r="S413" s="76">
        <v>1.1100000000000001</v>
      </c>
      <c r="T413" s="76">
        <v>3</v>
      </c>
      <c r="U413" s="77" t="s">
        <v>471</v>
      </c>
      <c r="V413" s="76" t="s">
        <v>173</v>
      </c>
      <c r="W413" s="76">
        <v>0</v>
      </c>
      <c r="X413" s="76">
        <v>0</v>
      </c>
      <c r="Y413" s="76">
        <v>2</v>
      </c>
      <c r="Z413" s="76">
        <v>2</v>
      </c>
      <c r="AA413" s="76">
        <v>0</v>
      </c>
      <c r="AB413" s="76">
        <v>5</v>
      </c>
      <c r="AC413" s="76">
        <v>2</v>
      </c>
      <c r="AD413" s="76">
        <v>14</v>
      </c>
      <c r="AE413" s="76">
        <v>8</v>
      </c>
      <c r="AF413" s="76">
        <v>0</v>
      </c>
      <c r="AG413" s="76">
        <v>0</v>
      </c>
      <c r="AH413" s="76">
        <v>0</v>
      </c>
      <c r="AI413" s="76">
        <v>1</v>
      </c>
      <c r="AJ413" s="76">
        <v>0</v>
      </c>
      <c r="AK413" s="76">
        <v>46</v>
      </c>
      <c r="AL413" s="76">
        <v>172</v>
      </c>
      <c r="AM413" s="202"/>
      <c r="AN413" s="77"/>
      <c r="AO413" s="202"/>
      <c r="AP413" s="202"/>
      <c r="AQ413" s="202"/>
      <c r="AR413" s="202"/>
      <c r="AS413" s="202"/>
      <c r="AT413" s="202"/>
      <c r="AU413" s="202"/>
      <c r="AV413" s="202"/>
      <c r="AW413" s="202"/>
      <c r="AX413" s="202"/>
      <c r="AY413" s="202"/>
    </row>
    <row r="414" spans="1:51" ht="25.5" x14ac:dyDescent="0.2">
      <c r="A414" s="76">
        <v>4</v>
      </c>
      <c r="B414" s="77" t="s">
        <v>367</v>
      </c>
      <c r="C414" s="76" t="s">
        <v>173</v>
      </c>
      <c r="D414" s="76">
        <v>0</v>
      </c>
      <c r="E414" s="76">
        <v>0</v>
      </c>
      <c r="F414" s="76">
        <v>1.76</v>
      </c>
      <c r="G414" s="76">
        <v>40</v>
      </c>
      <c r="H414" s="76">
        <v>0</v>
      </c>
      <c r="I414" s="76">
        <v>0</v>
      </c>
      <c r="J414" s="76">
        <v>0</v>
      </c>
      <c r="K414" s="76">
        <v>46</v>
      </c>
      <c r="L414" s="76">
        <v>43</v>
      </c>
      <c r="M414" s="76">
        <v>13</v>
      </c>
      <c r="N414" s="76">
        <v>9</v>
      </c>
      <c r="O414" s="76">
        <v>2</v>
      </c>
      <c r="P414" s="76">
        <v>7</v>
      </c>
      <c r="Q414" s="76">
        <v>32</v>
      </c>
      <c r="R414" s="76">
        <v>0.24399999999999999</v>
      </c>
      <c r="S414" s="76">
        <v>1.0900000000000001</v>
      </c>
      <c r="T414" s="76">
        <v>4</v>
      </c>
      <c r="U414" s="77" t="s">
        <v>367</v>
      </c>
      <c r="V414" s="76" t="s">
        <v>173</v>
      </c>
      <c r="W414" s="76">
        <v>0</v>
      </c>
      <c r="X414" s="76">
        <v>0</v>
      </c>
      <c r="Y414" s="76">
        <v>1</v>
      </c>
      <c r="Z414" s="76">
        <v>3</v>
      </c>
      <c r="AA414" s="76">
        <v>6</v>
      </c>
      <c r="AB414" s="76">
        <v>4</v>
      </c>
      <c r="AC414" s="76">
        <v>4</v>
      </c>
      <c r="AD414" s="76">
        <v>54</v>
      </c>
      <c r="AE414" s="76">
        <v>49</v>
      </c>
      <c r="AF414" s="76">
        <v>2</v>
      </c>
      <c r="AG414" s="76">
        <v>0</v>
      </c>
      <c r="AH414" s="76">
        <v>1</v>
      </c>
      <c r="AI414" s="76">
        <v>2</v>
      </c>
      <c r="AJ414" s="76">
        <v>0</v>
      </c>
      <c r="AK414" s="76">
        <v>186</v>
      </c>
      <c r="AL414" s="76">
        <v>671</v>
      </c>
      <c r="AM414" s="202"/>
      <c r="AN414" s="77"/>
      <c r="AO414" s="202"/>
      <c r="AP414" s="202"/>
      <c r="AQ414" s="202"/>
      <c r="AR414" s="202"/>
      <c r="AS414" s="202"/>
      <c r="AT414" s="202"/>
      <c r="AU414" s="202"/>
      <c r="AV414" s="202"/>
      <c r="AW414" s="202"/>
      <c r="AX414" s="202"/>
      <c r="AY414" s="202"/>
    </row>
    <row r="415" spans="1:51" ht="25.5" x14ac:dyDescent="0.2">
      <c r="A415" s="76">
        <v>5</v>
      </c>
      <c r="B415" s="77" t="s">
        <v>425</v>
      </c>
      <c r="C415" s="76" t="s">
        <v>173</v>
      </c>
      <c r="D415" s="76">
        <v>1</v>
      </c>
      <c r="E415" s="76">
        <v>1</v>
      </c>
      <c r="F415" s="76">
        <v>1.82</v>
      </c>
      <c r="G415" s="76">
        <v>30</v>
      </c>
      <c r="H415" s="76">
        <v>0</v>
      </c>
      <c r="I415" s="76">
        <v>17</v>
      </c>
      <c r="J415" s="76">
        <v>18</v>
      </c>
      <c r="K415" s="76">
        <v>29.2</v>
      </c>
      <c r="L415" s="76">
        <v>21</v>
      </c>
      <c r="M415" s="76">
        <v>6</v>
      </c>
      <c r="N415" s="76">
        <v>6</v>
      </c>
      <c r="O415" s="76">
        <v>1</v>
      </c>
      <c r="P415" s="76">
        <v>3</v>
      </c>
      <c r="Q415" s="76">
        <v>27</v>
      </c>
      <c r="R415" s="76">
        <v>0.20200000000000001</v>
      </c>
      <c r="S415" s="76">
        <v>0.81</v>
      </c>
      <c r="T415" s="76">
        <v>5</v>
      </c>
      <c r="U415" s="77" t="s">
        <v>425</v>
      </c>
      <c r="V415" s="76" t="s">
        <v>173</v>
      </c>
      <c r="W415" s="76">
        <v>0</v>
      </c>
      <c r="X415" s="76">
        <v>0</v>
      </c>
      <c r="Y415" s="76">
        <v>0</v>
      </c>
      <c r="Z415" s="76">
        <v>0</v>
      </c>
      <c r="AA415" s="76">
        <v>28</v>
      </c>
      <c r="AB415" s="76">
        <v>0</v>
      </c>
      <c r="AC415" s="76">
        <v>4</v>
      </c>
      <c r="AD415" s="76">
        <v>41</v>
      </c>
      <c r="AE415" s="76">
        <v>15</v>
      </c>
      <c r="AF415" s="76">
        <v>3</v>
      </c>
      <c r="AG415" s="76">
        <v>0</v>
      </c>
      <c r="AH415" s="76">
        <v>0</v>
      </c>
      <c r="AI415" s="76">
        <v>0</v>
      </c>
      <c r="AJ415" s="76">
        <v>0</v>
      </c>
      <c r="AK415" s="76">
        <v>107</v>
      </c>
      <c r="AL415" s="76">
        <v>418</v>
      </c>
      <c r="AM415" s="202"/>
      <c r="AN415" s="77"/>
      <c r="AO415" s="202"/>
      <c r="AP415" s="202"/>
      <c r="AQ415" s="202"/>
      <c r="AR415" s="202"/>
      <c r="AS415" s="202"/>
      <c r="AT415" s="202"/>
      <c r="AU415" s="202"/>
      <c r="AV415" s="202"/>
      <c r="AW415" s="202"/>
      <c r="AX415" s="202"/>
      <c r="AY415" s="202"/>
    </row>
    <row r="416" spans="1:51" ht="25.5" x14ac:dyDescent="0.2">
      <c r="A416" s="76">
        <v>6</v>
      </c>
      <c r="B416" s="77" t="s">
        <v>787</v>
      </c>
      <c r="C416" s="76" t="s">
        <v>173</v>
      </c>
      <c r="D416" s="76">
        <v>4</v>
      </c>
      <c r="E416" s="76">
        <v>1</v>
      </c>
      <c r="F416" s="76">
        <v>2.2799999999999998</v>
      </c>
      <c r="G416" s="76">
        <v>73</v>
      </c>
      <c r="H416" s="76">
        <v>0</v>
      </c>
      <c r="I416" s="76">
        <v>1</v>
      </c>
      <c r="J416" s="76">
        <v>3</v>
      </c>
      <c r="K416" s="76">
        <v>67</v>
      </c>
      <c r="L416" s="76">
        <v>51</v>
      </c>
      <c r="M416" s="76">
        <v>19</v>
      </c>
      <c r="N416" s="76">
        <v>17</v>
      </c>
      <c r="O416" s="76">
        <v>5</v>
      </c>
      <c r="P416" s="76">
        <v>31</v>
      </c>
      <c r="Q416" s="76">
        <v>63</v>
      </c>
      <c r="R416" s="76">
        <v>0.224</v>
      </c>
      <c r="S416" s="76">
        <v>1.22</v>
      </c>
      <c r="T416" s="76">
        <v>6</v>
      </c>
      <c r="U416" s="77" t="s">
        <v>787</v>
      </c>
      <c r="V416" s="76" t="s">
        <v>173</v>
      </c>
      <c r="W416" s="76">
        <v>0</v>
      </c>
      <c r="X416" s="76">
        <v>0</v>
      </c>
      <c r="Y416" s="76">
        <v>0</v>
      </c>
      <c r="Z416" s="76">
        <v>6</v>
      </c>
      <c r="AA416" s="76">
        <v>17</v>
      </c>
      <c r="AB416" s="76">
        <v>22</v>
      </c>
      <c r="AC416" s="76">
        <v>17</v>
      </c>
      <c r="AD416" s="76">
        <v>88</v>
      </c>
      <c r="AE416" s="76">
        <v>30</v>
      </c>
      <c r="AF416" s="76">
        <v>1</v>
      </c>
      <c r="AG416" s="76">
        <v>0</v>
      </c>
      <c r="AH416" s="76">
        <v>1</v>
      </c>
      <c r="AI416" s="76">
        <v>1</v>
      </c>
      <c r="AJ416" s="76">
        <v>1</v>
      </c>
      <c r="AK416" s="76">
        <v>263</v>
      </c>
      <c r="AL416" s="76">
        <v>1002</v>
      </c>
      <c r="AM416" s="202"/>
      <c r="AN416" s="77"/>
      <c r="AO416" s="202"/>
      <c r="AP416" s="202"/>
      <c r="AQ416" s="202"/>
      <c r="AR416" s="202"/>
      <c r="AS416" s="202"/>
      <c r="AT416" s="202"/>
      <c r="AU416" s="202"/>
      <c r="AV416" s="202"/>
      <c r="AW416" s="202"/>
      <c r="AX416" s="202"/>
      <c r="AY416" s="202"/>
    </row>
    <row r="417" spans="1:51" ht="25.5" x14ac:dyDescent="0.2">
      <c r="A417" s="76">
        <v>7</v>
      </c>
      <c r="B417" s="77" t="s">
        <v>1162</v>
      </c>
      <c r="C417" s="76" t="s">
        <v>173</v>
      </c>
      <c r="D417" s="76">
        <v>2</v>
      </c>
      <c r="E417" s="76">
        <v>4</v>
      </c>
      <c r="F417" s="76">
        <v>2.41</v>
      </c>
      <c r="G417" s="76">
        <v>37</v>
      </c>
      <c r="H417" s="76">
        <v>0</v>
      </c>
      <c r="I417" s="76">
        <v>0</v>
      </c>
      <c r="J417" s="76">
        <v>1</v>
      </c>
      <c r="K417" s="76">
        <v>41</v>
      </c>
      <c r="L417" s="76">
        <v>31</v>
      </c>
      <c r="M417" s="76">
        <v>12</v>
      </c>
      <c r="N417" s="76">
        <v>11</v>
      </c>
      <c r="O417" s="76">
        <v>1</v>
      </c>
      <c r="P417" s="76">
        <v>21</v>
      </c>
      <c r="Q417" s="76">
        <v>47</v>
      </c>
      <c r="R417" s="76">
        <v>0.21099999999999999</v>
      </c>
      <c r="S417" s="76">
        <v>1.27</v>
      </c>
      <c r="T417" s="76">
        <v>7</v>
      </c>
      <c r="U417" s="77" t="s">
        <v>1162</v>
      </c>
      <c r="V417" s="76" t="s">
        <v>173</v>
      </c>
      <c r="W417" s="76">
        <v>0</v>
      </c>
      <c r="X417" s="76">
        <v>0</v>
      </c>
      <c r="Y417" s="76">
        <v>1</v>
      </c>
      <c r="Z417" s="76">
        <v>2</v>
      </c>
      <c r="AA417" s="76">
        <v>10</v>
      </c>
      <c r="AB417" s="76">
        <v>9</v>
      </c>
      <c r="AC417" s="76">
        <v>3</v>
      </c>
      <c r="AD417" s="76">
        <v>34</v>
      </c>
      <c r="AE417" s="76">
        <v>38</v>
      </c>
      <c r="AF417" s="76">
        <v>2</v>
      </c>
      <c r="AG417" s="76">
        <v>0</v>
      </c>
      <c r="AH417" s="76">
        <v>0</v>
      </c>
      <c r="AI417" s="76">
        <v>1</v>
      </c>
      <c r="AJ417" s="76">
        <v>0</v>
      </c>
      <c r="AK417" s="76">
        <v>172</v>
      </c>
      <c r="AL417" s="76">
        <v>663</v>
      </c>
      <c r="AM417" s="202"/>
      <c r="AN417" s="77"/>
      <c r="AO417" s="202"/>
      <c r="AP417" s="202"/>
      <c r="AQ417" s="202"/>
      <c r="AR417" s="202"/>
      <c r="AS417" s="202"/>
      <c r="AT417" s="202"/>
      <c r="AU417" s="202"/>
      <c r="AV417" s="202"/>
      <c r="AW417" s="202"/>
      <c r="AX417" s="202"/>
      <c r="AY417" s="202"/>
    </row>
    <row r="418" spans="1:51" ht="25.5" x14ac:dyDescent="0.2">
      <c r="A418" s="76">
        <v>8</v>
      </c>
      <c r="B418" s="77" t="s">
        <v>1165</v>
      </c>
      <c r="C418" s="76" t="s">
        <v>173</v>
      </c>
      <c r="D418" s="76">
        <v>0</v>
      </c>
      <c r="E418" s="76">
        <v>0</v>
      </c>
      <c r="F418" s="76">
        <v>2.4500000000000002</v>
      </c>
      <c r="G418" s="76">
        <v>8</v>
      </c>
      <c r="H418" s="76">
        <v>0</v>
      </c>
      <c r="I418" s="76">
        <v>0</v>
      </c>
      <c r="J418" s="76">
        <v>0</v>
      </c>
      <c r="K418" s="76">
        <v>3.2</v>
      </c>
      <c r="L418" s="76">
        <v>0</v>
      </c>
      <c r="M418" s="76">
        <v>1</v>
      </c>
      <c r="N418" s="76">
        <v>1</v>
      </c>
      <c r="O418" s="76">
        <v>0</v>
      </c>
      <c r="P418" s="76">
        <v>1</v>
      </c>
      <c r="Q418" s="76">
        <v>5</v>
      </c>
      <c r="R418" s="76">
        <v>0</v>
      </c>
      <c r="S418" s="76">
        <v>0.27</v>
      </c>
      <c r="T418" s="76">
        <v>8</v>
      </c>
      <c r="U418" s="77" t="s">
        <v>1165</v>
      </c>
      <c r="V418" s="76" t="s">
        <v>173</v>
      </c>
      <c r="W418" s="76">
        <v>0</v>
      </c>
      <c r="X418" s="76">
        <v>0</v>
      </c>
      <c r="Y418" s="76">
        <v>0</v>
      </c>
      <c r="Z418" s="76">
        <v>0</v>
      </c>
      <c r="AA418" s="76">
        <v>2</v>
      </c>
      <c r="AB418" s="76">
        <v>0</v>
      </c>
      <c r="AC418" s="76">
        <v>0</v>
      </c>
      <c r="AD418" s="76">
        <v>2</v>
      </c>
      <c r="AE418" s="76">
        <v>4</v>
      </c>
      <c r="AF418" s="76">
        <v>0</v>
      </c>
      <c r="AG418" s="76">
        <v>0</v>
      </c>
      <c r="AH418" s="76">
        <v>0</v>
      </c>
      <c r="AI418" s="76">
        <v>0</v>
      </c>
      <c r="AJ418" s="76">
        <v>0</v>
      </c>
      <c r="AK418" s="76">
        <v>12</v>
      </c>
      <c r="AL418" s="76">
        <v>59</v>
      </c>
      <c r="AM418" s="202"/>
      <c r="AN418" s="77"/>
      <c r="AO418" s="202"/>
      <c r="AP418" s="202"/>
      <c r="AQ418" s="202"/>
      <c r="AR418" s="202"/>
      <c r="AS418" s="202"/>
      <c r="AT418" s="202"/>
      <c r="AU418" s="202"/>
      <c r="AV418" s="202"/>
      <c r="AW418" s="202"/>
      <c r="AX418" s="202"/>
      <c r="AY418" s="202"/>
    </row>
    <row r="419" spans="1:51" ht="25.5" x14ac:dyDescent="0.2">
      <c r="A419" s="76">
        <v>9</v>
      </c>
      <c r="B419" s="77" t="s">
        <v>587</v>
      </c>
      <c r="C419" s="76" t="s">
        <v>173</v>
      </c>
      <c r="D419" s="76">
        <v>3</v>
      </c>
      <c r="E419" s="76">
        <v>2</v>
      </c>
      <c r="F419" s="76">
        <v>2.64</v>
      </c>
      <c r="G419" s="76">
        <v>67</v>
      </c>
      <c r="H419" s="76">
        <v>0</v>
      </c>
      <c r="I419" s="76">
        <v>7</v>
      </c>
      <c r="J419" s="76">
        <v>9</v>
      </c>
      <c r="K419" s="76">
        <v>58</v>
      </c>
      <c r="L419" s="76">
        <v>41</v>
      </c>
      <c r="M419" s="76">
        <v>19</v>
      </c>
      <c r="N419" s="76">
        <v>17</v>
      </c>
      <c r="O419" s="76">
        <v>9</v>
      </c>
      <c r="P419" s="76">
        <v>11</v>
      </c>
      <c r="Q419" s="76">
        <v>80</v>
      </c>
      <c r="R419" s="76">
        <v>0.19400000000000001</v>
      </c>
      <c r="S419" s="76">
        <v>0.9</v>
      </c>
      <c r="T419" s="76">
        <v>9</v>
      </c>
      <c r="U419" s="77" t="s">
        <v>587</v>
      </c>
      <c r="V419" s="76" t="s">
        <v>173</v>
      </c>
      <c r="W419" s="76">
        <v>0</v>
      </c>
      <c r="X419" s="76">
        <v>0</v>
      </c>
      <c r="Y419" s="76">
        <v>0</v>
      </c>
      <c r="Z419" s="76">
        <v>2</v>
      </c>
      <c r="AA419" s="76">
        <v>26</v>
      </c>
      <c r="AB419" s="76">
        <v>13</v>
      </c>
      <c r="AC419" s="76">
        <v>1</v>
      </c>
      <c r="AD419" s="76">
        <v>36</v>
      </c>
      <c r="AE419" s="76">
        <v>56</v>
      </c>
      <c r="AF419" s="76">
        <v>2</v>
      </c>
      <c r="AG419" s="76">
        <v>0</v>
      </c>
      <c r="AH419" s="76">
        <v>1</v>
      </c>
      <c r="AI419" s="76">
        <v>0</v>
      </c>
      <c r="AJ419" s="76">
        <v>0</v>
      </c>
      <c r="AK419" s="76">
        <v>224</v>
      </c>
      <c r="AL419" s="76">
        <v>907</v>
      </c>
      <c r="AM419" s="202"/>
      <c r="AN419" s="77"/>
      <c r="AO419" s="202"/>
      <c r="AP419" s="202"/>
      <c r="AQ419" s="202"/>
      <c r="AR419" s="202"/>
      <c r="AS419" s="202"/>
      <c r="AT419" s="202"/>
      <c r="AU419" s="202"/>
      <c r="AV419" s="202"/>
      <c r="AW419" s="202"/>
      <c r="AX419" s="202"/>
      <c r="AY419" s="202"/>
    </row>
    <row r="420" spans="1:51" ht="25.5" x14ac:dyDescent="0.2">
      <c r="A420" s="76">
        <v>10</v>
      </c>
      <c r="B420" s="77" t="s">
        <v>473</v>
      </c>
      <c r="C420" s="76" t="s">
        <v>173</v>
      </c>
      <c r="D420" s="76">
        <v>16</v>
      </c>
      <c r="E420" s="76">
        <v>10</v>
      </c>
      <c r="F420" s="76">
        <v>2.83</v>
      </c>
      <c r="G420" s="76">
        <v>34</v>
      </c>
      <c r="H420" s="76">
        <v>33</v>
      </c>
      <c r="I420" s="76">
        <v>0</v>
      </c>
      <c r="J420" s="76">
        <v>0</v>
      </c>
      <c r="K420" s="76">
        <v>210</v>
      </c>
      <c r="L420" s="76">
        <v>173</v>
      </c>
      <c r="M420" s="76">
        <v>72</v>
      </c>
      <c r="N420" s="76">
        <v>66</v>
      </c>
      <c r="O420" s="76">
        <v>17</v>
      </c>
      <c r="P420" s="76">
        <v>73</v>
      </c>
      <c r="Q420" s="76">
        <v>172</v>
      </c>
      <c r="R420" s="76">
        <v>0.22800000000000001</v>
      </c>
      <c r="S420" s="76">
        <v>1.17</v>
      </c>
      <c r="T420" s="76">
        <v>10</v>
      </c>
      <c r="U420" s="77" t="s">
        <v>473</v>
      </c>
      <c r="V420" s="76" t="s">
        <v>173</v>
      </c>
      <c r="W420" s="76">
        <v>0</v>
      </c>
      <c r="X420" s="76">
        <v>0</v>
      </c>
      <c r="Y420" s="76">
        <v>13</v>
      </c>
      <c r="Z420" s="76">
        <v>4</v>
      </c>
      <c r="AA420" s="76">
        <v>0</v>
      </c>
      <c r="AB420" s="76">
        <v>1</v>
      </c>
      <c r="AC420" s="76">
        <v>28</v>
      </c>
      <c r="AD420" s="76">
        <v>238</v>
      </c>
      <c r="AE420" s="76">
        <v>186</v>
      </c>
      <c r="AF420" s="76">
        <v>6</v>
      </c>
      <c r="AG420" s="76">
        <v>1</v>
      </c>
      <c r="AH420" s="76">
        <v>16</v>
      </c>
      <c r="AI420" s="76">
        <v>7</v>
      </c>
      <c r="AJ420" s="76">
        <v>0</v>
      </c>
      <c r="AK420" s="76">
        <v>855</v>
      </c>
      <c r="AL420" s="76">
        <v>3355</v>
      </c>
      <c r="AM420" s="202"/>
      <c r="AN420" s="77"/>
      <c r="AO420" s="202"/>
      <c r="AP420" s="202"/>
      <c r="AQ420" s="202"/>
      <c r="AR420" s="202"/>
      <c r="AS420" s="202"/>
      <c r="AT420" s="202"/>
      <c r="AU420" s="202"/>
      <c r="AV420" s="202"/>
      <c r="AW420" s="202"/>
      <c r="AX420" s="202"/>
      <c r="AY420" s="202"/>
    </row>
    <row r="421" spans="1:51" ht="25.5" x14ac:dyDescent="0.2">
      <c r="A421" s="76">
        <v>11</v>
      </c>
      <c r="B421" s="77" t="s">
        <v>538</v>
      </c>
      <c r="C421" s="76" t="s">
        <v>173</v>
      </c>
      <c r="D421" s="76">
        <v>20</v>
      </c>
      <c r="E421" s="76">
        <v>7</v>
      </c>
      <c r="F421" s="76">
        <v>2.96</v>
      </c>
      <c r="G421" s="76">
        <v>34</v>
      </c>
      <c r="H421" s="76">
        <v>34</v>
      </c>
      <c r="I421" s="76">
        <v>0</v>
      </c>
      <c r="J421" s="76">
        <v>0</v>
      </c>
      <c r="K421" s="76">
        <v>228.1</v>
      </c>
      <c r="L421" s="76">
        <v>165</v>
      </c>
      <c r="M421" s="76">
        <v>77</v>
      </c>
      <c r="N421" s="76">
        <v>75</v>
      </c>
      <c r="O421" s="76">
        <v>31</v>
      </c>
      <c r="P421" s="76">
        <v>56</v>
      </c>
      <c r="Q421" s="76">
        <v>284</v>
      </c>
      <c r="R421" s="76">
        <v>0.19900000000000001</v>
      </c>
      <c r="S421" s="76">
        <v>0.97</v>
      </c>
      <c r="T421" s="76">
        <v>11</v>
      </c>
      <c r="U421" s="77" t="s">
        <v>538</v>
      </c>
      <c r="V421" s="76" t="s">
        <v>173</v>
      </c>
      <c r="W421" s="76">
        <v>1</v>
      </c>
      <c r="X421" s="76">
        <v>0</v>
      </c>
      <c r="Y421" s="76">
        <v>6</v>
      </c>
      <c r="Z421" s="76">
        <v>2</v>
      </c>
      <c r="AA421" s="76">
        <v>0</v>
      </c>
      <c r="AB421" s="76">
        <v>0</v>
      </c>
      <c r="AC421" s="76">
        <v>6</v>
      </c>
      <c r="AD421" s="76">
        <v>157</v>
      </c>
      <c r="AE421" s="76">
        <v>233</v>
      </c>
      <c r="AF421" s="76">
        <v>2</v>
      </c>
      <c r="AG421" s="76">
        <v>1</v>
      </c>
      <c r="AH421" s="76">
        <v>8</v>
      </c>
      <c r="AI421" s="76">
        <v>3</v>
      </c>
      <c r="AJ421" s="76">
        <v>1</v>
      </c>
      <c r="AK421" s="76">
        <v>902</v>
      </c>
      <c r="AL421" s="76">
        <v>3563</v>
      </c>
      <c r="AM421" s="202"/>
      <c r="AN421" s="77"/>
      <c r="AO421" s="202"/>
      <c r="AP421" s="202"/>
      <c r="AQ421" s="202"/>
      <c r="AR421" s="202"/>
      <c r="AS421" s="202"/>
      <c r="AT421" s="202"/>
      <c r="AU421" s="202"/>
      <c r="AV421" s="202"/>
      <c r="AW421" s="202"/>
      <c r="AX421" s="202"/>
      <c r="AY421" s="202"/>
    </row>
    <row r="422" spans="1:51" ht="25.5" x14ac:dyDescent="0.2">
      <c r="A422" s="76">
        <v>12</v>
      </c>
      <c r="B422" s="77" t="s">
        <v>1502</v>
      </c>
      <c r="C422" s="76" t="s">
        <v>173</v>
      </c>
      <c r="D422" s="76">
        <v>0</v>
      </c>
      <c r="E422" s="76">
        <v>0</v>
      </c>
      <c r="F422" s="76">
        <v>3.18</v>
      </c>
      <c r="G422" s="76">
        <v>10</v>
      </c>
      <c r="H422" s="76">
        <v>0</v>
      </c>
      <c r="I422" s="76">
        <v>0</v>
      </c>
      <c r="J422" s="76">
        <v>0</v>
      </c>
      <c r="K422" s="76">
        <v>5.2</v>
      </c>
      <c r="L422" s="76">
        <v>5</v>
      </c>
      <c r="M422" s="76">
        <v>2</v>
      </c>
      <c r="N422" s="76">
        <v>2</v>
      </c>
      <c r="O422" s="76">
        <v>1</v>
      </c>
      <c r="P422" s="76">
        <v>1</v>
      </c>
      <c r="Q422" s="76">
        <v>3</v>
      </c>
      <c r="R422" s="76">
        <v>0.23799999999999999</v>
      </c>
      <c r="S422" s="76">
        <v>1.06</v>
      </c>
      <c r="T422" s="76">
        <v>12</v>
      </c>
      <c r="U422" s="77" t="s">
        <v>1502</v>
      </c>
      <c r="V422" s="76" t="s">
        <v>173</v>
      </c>
      <c r="W422" s="76">
        <v>0</v>
      </c>
      <c r="X422" s="76">
        <v>0</v>
      </c>
      <c r="Y422" s="76">
        <v>0</v>
      </c>
      <c r="Z422" s="76">
        <v>0</v>
      </c>
      <c r="AA422" s="76">
        <v>2</v>
      </c>
      <c r="AB422" s="76">
        <v>0</v>
      </c>
      <c r="AC422" s="76">
        <v>0</v>
      </c>
      <c r="AD422" s="76">
        <v>7</v>
      </c>
      <c r="AE422" s="76">
        <v>6</v>
      </c>
      <c r="AF422" s="76">
        <v>0</v>
      </c>
      <c r="AG422" s="76">
        <v>0</v>
      </c>
      <c r="AH422" s="76">
        <v>0</v>
      </c>
      <c r="AI422" s="76">
        <v>1</v>
      </c>
      <c r="AJ422" s="76">
        <v>0</v>
      </c>
      <c r="AK422" s="76">
        <v>22</v>
      </c>
      <c r="AL422" s="76">
        <v>88</v>
      </c>
      <c r="AM422" s="202"/>
      <c r="AN422" s="77"/>
      <c r="AO422" s="202"/>
      <c r="AP422" s="202"/>
      <c r="AQ422" s="202"/>
      <c r="AR422" s="202"/>
      <c r="AS422" s="202"/>
      <c r="AT422" s="202"/>
      <c r="AU422" s="202"/>
      <c r="AV422" s="202"/>
      <c r="AW422" s="202"/>
      <c r="AX422" s="202"/>
      <c r="AY422" s="202"/>
    </row>
    <row r="423" spans="1:51" ht="25.5" x14ac:dyDescent="0.2">
      <c r="A423" s="76">
        <v>13</v>
      </c>
      <c r="B423" s="77" t="s">
        <v>1163</v>
      </c>
      <c r="C423" s="76" t="s">
        <v>173</v>
      </c>
      <c r="D423" s="76">
        <v>7</v>
      </c>
      <c r="E423" s="76">
        <v>5</v>
      </c>
      <c r="F423" s="76">
        <v>3.43</v>
      </c>
      <c r="G423" s="76">
        <v>19</v>
      </c>
      <c r="H423" s="76">
        <v>19</v>
      </c>
      <c r="I423" s="76">
        <v>0</v>
      </c>
      <c r="J423" s="76">
        <v>0</v>
      </c>
      <c r="K423" s="76">
        <v>105</v>
      </c>
      <c r="L423" s="76">
        <v>108</v>
      </c>
      <c r="M423" s="76">
        <v>43</v>
      </c>
      <c r="N423" s="76">
        <v>40</v>
      </c>
      <c r="O423" s="76">
        <v>9</v>
      </c>
      <c r="P423" s="76">
        <v>29</v>
      </c>
      <c r="Q423" s="76">
        <v>93</v>
      </c>
      <c r="R423" s="76">
        <v>0.26900000000000002</v>
      </c>
      <c r="S423" s="76">
        <v>1.3</v>
      </c>
      <c r="T423" s="76">
        <v>13</v>
      </c>
      <c r="U423" s="77" t="s">
        <v>1163</v>
      </c>
      <c r="V423" s="76" t="s">
        <v>173</v>
      </c>
      <c r="W423" s="76">
        <v>0</v>
      </c>
      <c r="X423" s="76">
        <v>0</v>
      </c>
      <c r="Y423" s="76">
        <v>6</v>
      </c>
      <c r="Z423" s="76">
        <v>3</v>
      </c>
      <c r="AA423" s="76">
        <v>0</v>
      </c>
      <c r="AB423" s="76">
        <v>0</v>
      </c>
      <c r="AC423" s="76">
        <v>10</v>
      </c>
      <c r="AD423" s="76">
        <v>102</v>
      </c>
      <c r="AE423" s="76">
        <v>109</v>
      </c>
      <c r="AF423" s="76">
        <v>2</v>
      </c>
      <c r="AG423" s="76">
        <v>0</v>
      </c>
      <c r="AH423" s="76">
        <v>2</v>
      </c>
      <c r="AI423" s="76">
        <v>2</v>
      </c>
      <c r="AJ423" s="76">
        <v>0</v>
      </c>
      <c r="AK423" s="76">
        <v>447</v>
      </c>
      <c r="AL423" s="76">
        <v>1708</v>
      </c>
      <c r="AM423" s="202"/>
      <c r="AN423" s="77"/>
      <c r="AO423" s="202"/>
      <c r="AP423" s="202"/>
      <c r="AQ423" s="202"/>
      <c r="AR423" s="202"/>
      <c r="AS423" s="202"/>
      <c r="AT423" s="202"/>
      <c r="AU423" s="202"/>
      <c r="AV423" s="202"/>
      <c r="AW423" s="202"/>
      <c r="AX423" s="202"/>
      <c r="AY423" s="202"/>
    </row>
    <row r="424" spans="1:51" ht="25.5" x14ac:dyDescent="0.2">
      <c r="A424" s="76">
        <v>14</v>
      </c>
      <c r="B424" s="77" t="s">
        <v>475</v>
      </c>
      <c r="C424" s="76" t="s">
        <v>173</v>
      </c>
      <c r="D424" s="76">
        <v>15</v>
      </c>
      <c r="E424" s="76">
        <v>4</v>
      </c>
      <c r="F424" s="76">
        <v>3.6</v>
      </c>
      <c r="G424" s="76">
        <v>24</v>
      </c>
      <c r="H424" s="76">
        <v>24</v>
      </c>
      <c r="I424" s="76">
        <v>0</v>
      </c>
      <c r="J424" s="76">
        <v>0</v>
      </c>
      <c r="K424" s="76">
        <v>147.19999999999999</v>
      </c>
      <c r="L424" s="76">
        <v>119</v>
      </c>
      <c r="M424" s="76">
        <v>59</v>
      </c>
      <c r="N424" s="76">
        <v>59</v>
      </c>
      <c r="O424" s="76">
        <v>15</v>
      </c>
      <c r="P424" s="76">
        <v>44</v>
      </c>
      <c r="Q424" s="76">
        <v>183</v>
      </c>
      <c r="R424" s="76">
        <v>0.218</v>
      </c>
      <c r="S424" s="76">
        <v>1.1000000000000001</v>
      </c>
      <c r="T424" s="76">
        <v>14</v>
      </c>
      <c r="U424" s="77" t="s">
        <v>475</v>
      </c>
      <c r="V424" s="76" t="s">
        <v>173</v>
      </c>
      <c r="W424" s="76">
        <v>0</v>
      </c>
      <c r="X424" s="76">
        <v>0</v>
      </c>
      <c r="Y424" s="76">
        <v>2</v>
      </c>
      <c r="Z424" s="76">
        <v>1</v>
      </c>
      <c r="AA424" s="76">
        <v>0</v>
      </c>
      <c r="AB424" s="76">
        <v>0</v>
      </c>
      <c r="AC424" s="76">
        <v>7</v>
      </c>
      <c r="AD424" s="76">
        <v>112</v>
      </c>
      <c r="AE424" s="76">
        <v>138</v>
      </c>
      <c r="AF424" s="76">
        <v>2</v>
      </c>
      <c r="AG424" s="76">
        <v>0</v>
      </c>
      <c r="AH424" s="76">
        <v>3</v>
      </c>
      <c r="AI424" s="76">
        <v>3</v>
      </c>
      <c r="AJ424" s="76">
        <v>0</v>
      </c>
      <c r="AK424" s="76">
        <v>598</v>
      </c>
      <c r="AL424" s="76">
        <v>2385</v>
      </c>
      <c r="AM424" s="202"/>
      <c r="AN424" s="77"/>
      <c r="AO424" s="202"/>
      <c r="AP424" s="202"/>
      <c r="AQ424" s="202"/>
      <c r="AR424" s="202"/>
      <c r="AS424" s="202"/>
      <c r="AT424" s="202"/>
      <c r="AU424" s="202"/>
      <c r="AV424" s="202"/>
      <c r="AW424" s="202"/>
      <c r="AX424" s="202"/>
      <c r="AY424" s="202"/>
    </row>
    <row r="425" spans="1:51" ht="25.5" x14ac:dyDescent="0.2">
      <c r="A425" s="76">
        <v>15</v>
      </c>
      <c r="B425" s="77" t="s">
        <v>420</v>
      </c>
      <c r="C425" s="76" t="s">
        <v>173</v>
      </c>
      <c r="D425" s="76">
        <v>2</v>
      </c>
      <c r="E425" s="76">
        <v>4</v>
      </c>
      <c r="F425" s="76">
        <v>4.37</v>
      </c>
      <c r="G425" s="76">
        <v>37</v>
      </c>
      <c r="H425" s="76">
        <v>0</v>
      </c>
      <c r="I425" s="76">
        <v>19</v>
      </c>
      <c r="J425" s="76">
        <v>22</v>
      </c>
      <c r="K425" s="76">
        <v>35</v>
      </c>
      <c r="L425" s="76">
        <v>37</v>
      </c>
      <c r="M425" s="76">
        <v>18</v>
      </c>
      <c r="N425" s="76">
        <v>17</v>
      </c>
      <c r="O425" s="76">
        <v>3</v>
      </c>
      <c r="P425" s="76">
        <v>14</v>
      </c>
      <c r="Q425" s="76">
        <v>31</v>
      </c>
      <c r="R425" s="76">
        <v>0.27</v>
      </c>
      <c r="S425" s="76">
        <v>1.46</v>
      </c>
      <c r="T425" s="76">
        <v>15</v>
      </c>
      <c r="U425" s="77" t="s">
        <v>420</v>
      </c>
      <c r="V425" s="76" t="s">
        <v>173</v>
      </c>
      <c r="W425" s="76">
        <v>0</v>
      </c>
      <c r="X425" s="76">
        <v>0</v>
      </c>
      <c r="Y425" s="76">
        <v>0</v>
      </c>
      <c r="Z425" s="76">
        <v>3</v>
      </c>
      <c r="AA425" s="76">
        <v>30</v>
      </c>
      <c r="AB425" s="76">
        <v>1</v>
      </c>
      <c r="AC425" s="76">
        <v>5</v>
      </c>
      <c r="AD425" s="76">
        <v>28</v>
      </c>
      <c r="AE425" s="76">
        <v>42</v>
      </c>
      <c r="AF425" s="76">
        <v>1</v>
      </c>
      <c r="AG425" s="76">
        <v>0</v>
      </c>
      <c r="AH425" s="76">
        <v>2</v>
      </c>
      <c r="AI425" s="76">
        <v>0</v>
      </c>
      <c r="AJ425" s="76">
        <v>0</v>
      </c>
      <c r="AK425" s="76">
        <v>152</v>
      </c>
      <c r="AL425" s="76">
        <v>570</v>
      </c>
      <c r="AM425" s="202"/>
      <c r="AN425" s="77"/>
      <c r="AO425" s="202"/>
      <c r="AP425" s="202"/>
      <c r="AQ425" s="202"/>
      <c r="AR425" s="202"/>
      <c r="AS425" s="202"/>
      <c r="AT425" s="202"/>
      <c r="AU425" s="202"/>
      <c r="AV425" s="202"/>
      <c r="AW425" s="202"/>
      <c r="AX425" s="202"/>
      <c r="AY425" s="202"/>
    </row>
    <row r="426" spans="1:51" ht="25.5" x14ac:dyDescent="0.2">
      <c r="A426" s="76">
        <v>16</v>
      </c>
      <c r="B426" s="77" t="s">
        <v>453</v>
      </c>
      <c r="C426" s="76" t="s">
        <v>173</v>
      </c>
      <c r="D426" s="76">
        <v>3</v>
      </c>
      <c r="E426" s="76">
        <v>5</v>
      </c>
      <c r="F426" s="76">
        <v>4.5</v>
      </c>
      <c r="G426" s="76">
        <v>36</v>
      </c>
      <c r="H426" s="76">
        <v>1</v>
      </c>
      <c r="I426" s="76">
        <v>1</v>
      </c>
      <c r="J426" s="76">
        <v>2</v>
      </c>
      <c r="K426" s="76">
        <v>62</v>
      </c>
      <c r="L426" s="76">
        <v>67</v>
      </c>
      <c r="M426" s="76">
        <v>33</v>
      </c>
      <c r="N426" s="76">
        <v>31</v>
      </c>
      <c r="O426" s="76">
        <v>12</v>
      </c>
      <c r="P426" s="76">
        <v>15</v>
      </c>
      <c r="Q426" s="76">
        <v>49</v>
      </c>
      <c r="R426" s="76">
        <v>0.27200000000000002</v>
      </c>
      <c r="S426" s="76">
        <v>1.32</v>
      </c>
      <c r="T426" s="76">
        <v>16</v>
      </c>
      <c r="U426" s="77" t="s">
        <v>453</v>
      </c>
      <c r="V426" s="76" t="s">
        <v>173</v>
      </c>
      <c r="W426" s="76">
        <v>0</v>
      </c>
      <c r="X426" s="76">
        <v>0</v>
      </c>
      <c r="Y426" s="76">
        <v>0</v>
      </c>
      <c r="Z426" s="76">
        <v>3</v>
      </c>
      <c r="AA426" s="76">
        <v>16</v>
      </c>
      <c r="AB426" s="76">
        <v>1</v>
      </c>
      <c r="AC426" s="76">
        <v>4</v>
      </c>
      <c r="AD426" s="76">
        <v>61</v>
      </c>
      <c r="AE426" s="76">
        <v>73</v>
      </c>
      <c r="AF426" s="76">
        <v>3</v>
      </c>
      <c r="AG426" s="76">
        <v>1</v>
      </c>
      <c r="AH426" s="76">
        <v>3</v>
      </c>
      <c r="AI426" s="76">
        <v>0</v>
      </c>
      <c r="AJ426" s="76">
        <v>0</v>
      </c>
      <c r="AK426" s="76">
        <v>265</v>
      </c>
      <c r="AL426" s="76">
        <v>969</v>
      </c>
      <c r="AM426" s="202"/>
      <c r="AN426" s="77"/>
      <c r="AO426" s="202"/>
      <c r="AP426" s="202"/>
      <c r="AQ426" s="202"/>
      <c r="AR426" s="202"/>
      <c r="AS426" s="202"/>
      <c r="AT426" s="202"/>
      <c r="AU426" s="202"/>
      <c r="AV426" s="202"/>
      <c r="AW426" s="202"/>
      <c r="AX426" s="202"/>
      <c r="AY426" s="202"/>
    </row>
    <row r="427" spans="1:51" ht="25.5" x14ac:dyDescent="0.2">
      <c r="A427" s="76">
        <v>17</v>
      </c>
      <c r="B427" s="77" t="s">
        <v>1161</v>
      </c>
      <c r="C427" s="76" t="s">
        <v>173</v>
      </c>
      <c r="D427" s="76">
        <v>0</v>
      </c>
      <c r="E427" s="76">
        <v>3</v>
      </c>
      <c r="F427" s="76">
        <v>4.53</v>
      </c>
      <c r="G427" s="76">
        <v>47</v>
      </c>
      <c r="H427" s="76">
        <v>0</v>
      </c>
      <c r="I427" s="76">
        <v>1</v>
      </c>
      <c r="J427" s="76">
        <v>2</v>
      </c>
      <c r="K427" s="76">
        <v>49.2</v>
      </c>
      <c r="L427" s="76">
        <v>43</v>
      </c>
      <c r="M427" s="76">
        <v>26</v>
      </c>
      <c r="N427" s="76">
        <v>25</v>
      </c>
      <c r="O427" s="76">
        <v>4</v>
      </c>
      <c r="P427" s="76">
        <v>15</v>
      </c>
      <c r="Q427" s="76">
        <v>53</v>
      </c>
      <c r="R427" s="76">
        <v>0.23599999999999999</v>
      </c>
      <c r="S427" s="76">
        <v>1.17</v>
      </c>
      <c r="T427" s="76">
        <v>17</v>
      </c>
      <c r="U427" s="77" t="s">
        <v>1161</v>
      </c>
      <c r="V427" s="76" t="s">
        <v>173</v>
      </c>
      <c r="W427" s="76">
        <v>0</v>
      </c>
      <c r="X427" s="76">
        <v>0</v>
      </c>
      <c r="Y427" s="76">
        <v>5</v>
      </c>
      <c r="Z427" s="76">
        <v>2</v>
      </c>
      <c r="AA427" s="76">
        <v>8</v>
      </c>
      <c r="AB427" s="76">
        <v>16</v>
      </c>
      <c r="AC427" s="76">
        <v>8</v>
      </c>
      <c r="AD427" s="76">
        <v>51</v>
      </c>
      <c r="AE427" s="76">
        <v>36</v>
      </c>
      <c r="AF427" s="76">
        <v>1</v>
      </c>
      <c r="AG427" s="76">
        <v>0</v>
      </c>
      <c r="AH427" s="76">
        <v>0</v>
      </c>
      <c r="AI427" s="76">
        <v>1</v>
      </c>
      <c r="AJ427" s="76">
        <v>1</v>
      </c>
      <c r="AK427" s="76">
        <v>203</v>
      </c>
      <c r="AL427" s="76">
        <v>796</v>
      </c>
    </row>
    <row r="428" spans="1:51" ht="25.5" x14ac:dyDescent="0.2">
      <c r="A428" s="76">
        <v>18</v>
      </c>
      <c r="B428" s="77" t="s">
        <v>478</v>
      </c>
      <c r="C428" s="76" t="s">
        <v>173</v>
      </c>
      <c r="D428" s="76">
        <v>11</v>
      </c>
      <c r="E428" s="76">
        <v>11</v>
      </c>
      <c r="F428" s="76">
        <v>4.57</v>
      </c>
      <c r="G428" s="76">
        <v>32</v>
      </c>
      <c r="H428" s="76">
        <v>32</v>
      </c>
      <c r="I428" s="76">
        <v>0</v>
      </c>
      <c r="J428" s="76">
        <v>0</v>
      </c>
      <c r="K428" s="76">
        <v>177.1</v>
      </c>
      <c r="L428" s="76">
        <v>179</v>
      </c>
      <c r="M428" s="76">
        <v>98</v>
      </c>
      <c r="N428" s="76">
        <v>90</v>
      </c>
      <c r="O428" s="76">
        <v>19</v>
      </c>
      <c r="P428" s="76">
        <v>59</v>
      </c>
      <c r="Q428" s="76">
        <v>171</v>
      </c>
      <c r="R428" s="76">
        <v>0.26200000000000001</v>
      </c>
      <c r="S428" s="76">
        <v>1.34</v>
      </c>
      <c r="T428" s="76">
        <v>18</v>
      </c>
      <c r="U428" s="77" t="s">
        <v>478</v>
      </c>
      <c r="V428" s="76" t="s">
        <v>173</v>
      </c>
      <c r="W428" s="76">
        <v>0</v>
      </c>
      <c r="X428" s="76">
        <v>0</v>
      </c>
      <c r="Y428" s="76">
        <v>9</v>
      </c>
      <c r="Z428" s="76">
        <v>2</v>
      </c>
      <c r="AA428" s="76">
        <v>0</v>
      </c>
      <c r="AB428" s="76">
        <v>0</v>
      </c>
      <c r="AC428" s="76">
        <v>17</v>
      </c>
      <c r="AD428" s="76">
        <v>194</v>
      </c>
      <c r="AE428" s="76">
        <v>153</v>
      </c>
      <c r="AF428" s="76">
        <v>7</v>
      </c>
      <c r="AG428" s="76">
        <v>0</v>
      </c>
      <c r="AH428" s="76">
        <v>11</v>
      </c>
      <c r="AI428" s="76">
        <v>4</v>
      </c>
      <c r="AJ428" s="76">
        <v>1</v>
      </c>
      <c r="AK428" s="76">
        <v>765</v>
      </c>
      <c r="AL428" s="76">
        <v>3116</v>
      </c>
    </row>
    <row r="429" spans="1:51" ht="25.5" x14ac:dyDescent="0.2">
      <c r="A429" s="76">
        <v>19</v>
      </c>
      <c r="B429" s="77" t="s">
        <v>1503</v>
      </c>
      <c r="C429" s="76" t="s">
        <v>173</v>
      </c>
      <c r="D429" s="76">
        <v>5</v>
      </c>
      <c r="E429" s="76">
        <v>3</v>
      </c>
      <c r="F429" s="76">
        <v>4.91</v>
      </c>
      <c r="G429" s="76">
        <v>11</v>
      </c>
      <c r="H429" s="76">
        <v>6</v>
      </c>
      <c r="I429" s="76">
        <v>0</v>
      </c>
      <c r="J429" s="76">
        <v>0</v>
      </c>
      <c r="K429" s="76">
        <v>44</v>
      </c>
      <c r="L429" s="76">
        <v>47</v>
      </c>
      <c r="M429" s="76">
        <v>27</v>
      </c>
      <c r="N429" s="76">
        <v>24</v>
      </c>
      <c r="O429" s="76">
        <v>4</v>
      </c>
      <c r="P429" s="76">
        <v>22</v>
      </c>
      <c r="Q429" s="76">
        <v>42</v>
      </c>
      <c r="R429" s="76">
        <v>0.27200000000000002</v>
      </c>
      <c r="S429" s="76">
        <v>1.57</v>
      </c>
      <c r="T429" s="76">
        <v>19</v>
      </c>
      <c r="U429" s="77" t="s">
        <v>1503</v>
      </c>
      <c r="V429" s="76" t="s">
        <v>173</v>
      </c>
      <c r="W429" s="76">
        <v>0</v>
      </c>
      <c r="X429" s="76">
        <v>0</v>
      </c>
      <c r="Y429" s="76">
        <v>0</v>
      </c>
      <c r="Z429" s="76">
        <v>2</v>
      </c>
      <c r="AA429" s="76">
        <v>1</v>
      </c>
      <c r="AB429" s="76">
        <v>1</v>
      </c>
      <c r="AC429" s="76">
        <v>1</v>
      </c>
      <c r="AD429" s="76">
        <v>43</v>
      </c>
      <c r="AE429" s="76">
        <v>46</v>
      </c>
      <c r="AF429" s="76">
        <v>5</v>
      </c>
      <c r="AG429" s="76">
        <v>0</v>
      </c>
      <c r="AH429" s="76">
        <v>1</v>
      </c>
      <c r="AI429" s="76">
        <v>0</v>
      </c>
      <c r="AJ429" s="76">
        <v>0</v>
      </c>
      <c r="AK429" s="76">
        <v>201</v>
      </c>
      <c r="AL429" s="76">
        <v>806</v>
      </c>
    </row>
    <row r="430" spans="1:51" ht="25.5" x14ac:dyDescent="0.2">
      <c r="A430" s="76">
        <v>20</v>
      </c>
      <c r="B430" s="77" t="s">
        <v>609</v>
      </c>
      <c r="C430" s="76" t="s">
        <v>173</v>
      </c>
      <c r="D430" s="76">
        <v>2</v>
      </c>
      <c r="E430" s="76">
        <v>3</v>
      </c>
      <c r="F430" s="76">
        <v>4.95</v>
      </c>
      <c r="G430" s="76">
        <v>64</v>
      </c>
      <c r="H430" s="76">
        <v>0</v>
      </c>
      <c r="I430" s="76">
        <v>0</v>
      </c>
      <c r="J430" s="76">
        <v>1</v>
      </c>
      <c r="K430" s="76">
        <v>40</v>
      </c>
      <c r="L430" s="76">
        <v>38</v>
      </c>
      <c r="M430" s="76">
        <v>22</v>
      </c>
      <c r="N430" s="76">
        <v>22</v>
      </c>
      <c r="O430" s="76">
        <v>4</v>
      </c>
      <c r="P430" s="76">
        <v>20</v>
      </c>
      <c r="Q430" s="76">
        <v>46</v>
      </c>
      <c r="R430" s="76">
        <v>0.248</v>
      </c>
      <c r="S430" s="76">
        <v>1.45</v>
      </c>
      <c r="T430" s="76">
        <v>20</v>
      </c>
      <c r="U430" s="77" t="s">
        <v>609</v>
      </c>
      <c r="V430" s="76" t="s">
        <v>173</v>
      </c>
      <c r="W430" s="76">
        <v>0</v>
      </c>
      <c r="X430" s="76">
        <v>0</v>
      </c>
      <c r="Y430" s="76">
        <v>7</v>
      </c>
      <c r="Z430" s="76">
        <v>3</v>
      </c>
      <c r="AA430" s="76">
        <v>7</v>
      </c>
      <c r="AB430" s="76">
        <v>15</v>
      </c>
      <c r="AC430" s="76">
        <v>4</v>
      </c>
      <c r="AD430" s="76">
        <v>35</v>
      </c>
      <c r="AE430" s="76">
        <v>36</v>
      </c>
      <c r="AF430" s="76">
        <v>5</v>
      </c>
      <c r="AG430" s="76">
        <v>0</v>
      </c>
      <c r="AH430" s="76">
        <v>2</v>
      </c>
      <c r="AI430" s="76">
        <v>0</v>
      </c>
      <c r="AJ430" s="76">
        <v>0</v>
      </c>
      <c r="AK430" s="76">
        <v>182</v>
      </c>
      <c r="AL430" s="76">
        <v>723</v>
      </c>
    </row>
    <row r="431" spans="1:51" ht="25.5" x14ac:dyDescent="0.2">
      <c r="A431" s="76">
        <v>21</v>
      </c>
      <c r="B431" s="77" t="s">
        <v>1504</v>
      </c>
      <c r="C431" s="76" t="s">
        <v>173</v>
      </c>
      <c r="D431" s="76">
        <v>2</v>
      </c>
      <c r="E431" s="76">
        <v>0</v>
      </c>
      <c r="F431" s="76">
        <v>5.03</v>
      </c>
      <c r="G431" s="76">
        <v>19</v>
      </c>
      <c r="H431" s="76">
        <v>0</v>
      </c>
      <c r="I431" s="76">
        <v>0</v>
      </c>
      <c r="J431" s="76">
        <v>2</v>
      </c>
      <c r="K431" s="76">
        <v>19.2</v>
      </c>
      <c r="L431" s="76">
        <v>15</v>
      </c>
      <c r="M431" s="76">
        <v>12</v>
      </c>
      <c r="N431" s="76">
        <v>11</v>
      </c>
      <c r="O431" s="76">
        <v>3</v>
      </c>
      <c r="P431" s="76">
        <v>7</v>
      </c>
      <c r="Q431" s="76">
        <v>16</v>
      </c>
      <c r="R431" s="76">
        <v>0.2</v>
      </c>
      <c r="S431" s="76">
        <v>1.1200000000000001</v>
      </c>
      <c r="T431" s="76">
        <v>21</v>
      </c>
      <c r="U431" s="77" t="s">
        <v>1504</v>
      </c>
      <c r="V431" s="76" t="s">
        <v>173</v>
      </c>
      <c r="W431" s="76">
        <v>0</v>
      </c>
      <c r="X431" s="76">
        <v>0</v>
      </c>
      <c r="Y431" s="76">
        <v>1</v>
      </c>
      <c r="Z431" s="76">
        <v>1</v>
      </c>
      <c r="AA431" s="76">
        <v>4</v>
      </c>
      <c r="AB431" s="76">
        <v>2</v>
      </c>
      <c r="AC431" s="76">
        <v>1</v>
      </c>
      <c r="AD431" s="76">
        <v>20</v>
      </c>
      <c r="AE431" s="76">
        <v>24</v>
      </c>
      <c r="AF431" s="76">
        <v>1</v>
      </c>
      <c r="AG431" s="76">
        <v>0</v>
      </c>
      <c r="AH431" s="76">
        <v>0</v>
      </c>
      <c r="AI431" s="76">
        <v>1</v>
      </c>
      <c r="AJ431" s="76">
        <v>0</v>
      </c>
      <c r="AK431" s="76">
        <v>83</v>
      </c>
      <c r="AL431" s="76">
        <v>312</v>
      </c>
    </row>
    <row r="432" spans="1:51" ht="25.5" x14ac:dyDescent="0.2">
      <c r="A432" s="76">
        <v>22</v>
      </c>
      <c r="B432" s="77" t="s">
        <v>1167</v>
      </c>
      <c r="C432" s="76" t="s">
        <v>173</v>
      </c>
      <c r="D432" s="76">
        <v>1</v>
      </c>
      <c r="E432" s="76">
        <v>2</v>
      </c>
      <c r="F432" s="76">
        <v>5.17</v>
      </c>
      <c r="G432" s="76">
        <v>8</v>
      </c>
      <c r="H432" s="76">
        <v>8</v>
      </c>
      <c r="I432" s="76">
        <v>0</v>
      </c>
      <c r="J432" s="76">
        <v>0</v>
      </c>
      <c r="K432" s="76">
        <v>38.1</v>
      </c>
      <c r="L432" s="76">
        <v>37</v>
      </c>
      <c r="M432" s="76">
        <v>24</v>
      </c>
      <c r="N432" s="76">
        <v>22</v>
      </c>
      <c r="O432" s="76">
        <v>7</v>
      </c>
      <c r="P432" s="76">
        <v>14</v>
      </c>
      <c r="Q432" s="76">
        <v>39</v>
      </c>
      <c r="R432" s="76">
        <v>0.248</v>
      </c>
      <c r="S432" s="76">
        <v>1.33</v>
      </c>
      <c r="T432" s="76">
        <v>22</v>
      </c>
      <c r="U432" s="77" t="s">
        <v>1167</v>
      </c>
      <c r="V432" s="76" t="s">
        <v>173</v>
      </c>
      <c r="W432" s="76">
        <v>0</v>
      </c>
      <c r="X432" s="76">
        <v>0</v>
      </c>
      <c r="Y432" s="76">
        <v>2</v>
      </c>
      <c r="Z432" s="76">
        <v>1</v>
      </c>
      <c r="AA432" s="76">
        <v>0</v>
      </c>
      <c r="AB432" s="76">
        <v>0</v>
      </c>
      <c r="AC432" s="76">
        <v>0</v>
      </c>
      <c r="AD432" s="76">
        <v>21</v>
      </c>
      <c r="AE432" s="76">
        <v>55</v>
      </c>
      <c r="AF432" s="76">
        <v>1</v>
      </c>
      <c r="AG432" s="76">
        <v>0</v>
      </c>
      <c r="AH432" s="76">
        <v>2</v>
      </c>
      <c r="AI432" s="76">
        <v>1</v>
      </c>
      <c r="AJ432" s="76">
        <v>0</v>
      </c>
      <c r="AK432" s="76">
        <v>168</v>
      </c>
      <c r="AL432" s="76">
        <v>674</v>
      </c>
    </row>
    <row r="433" spans="1:38" ht="25.5" x14ac:dyDescent="0.2">
      <c r="A433" s="76">
        <v>23</v>
      </c>
      <c r="B433" s="77" t="s">
        <v>360</v>
      </c>
      <c r="C433" s="76" t="s">
        <v>173</v>
      </c>
      <c r="D433" s="76">
        <v>1</v>
      </c>
      <c r="E433" s="76">
        <v>1</v>
      </c>
      <c r="F433" s="76">
        <v>6.52</v>
      </c>
      <c r="G433" s="76">
        <v>6</v>
      </c>
      <c r="H433" s="76">
        <v>1</v>
      </c>
      <c r="I433" s="76">
        <v>0</v>
      </c>
      <c r="J433" s="76">
        <v>0</v>
      </c>
      <c r="K433" s="76">
        <v>9.1999999999999993</v>
      </c>
      <c r="L433" s="76">
        <v>11</v>
      </c>
      <c r="M433" s="76">
        <v>7</v>
      </c>
      <c r="N433" s="76">
        <v>7</v>
      </c>
      <c r="O433" s="76">
        <v>1</v>
      </c>
      <c r="P433" s="76">
        <v>5</v>
      </c>
      <c r="Q433" s="76">
        <v>10</v>
      </c>
      <c r="R433" s="76">
        <v>0.28899999999999998</v>
      </c>
      <c r="S433" s="76">
        <v>1.66</v>
      </c>
      <c r="T433" s="76">
        <v>23</v>
      </c>
      <c r="U433" s="77" t="s">
        <v>360</v>
      </c>
      <c r="V433" s="76" t="s">
        <v>173</v>
      </c>
      <c r="W433" s="76">
        <v>0</v>
      </c>
      <c r="X433" s="76">
        <v>0</v>
      </c>
      <c r="Y433" s="76">
        <v>0</v>
      </c>
      <c r="Z433" s="76">
        <v>0</v>
      </c>
      <c r="AA433" s="76">
        <v>1</v>
      </c>
      <c r="AB433" s="76">
        <v>0</v>
      </c>
      <c r="AC433" s="76">
        <v>0</v>
      </c>
      <c r="AD433" s="76">
        <v>6</v>
      </c>
      <c r="AE433" s="76">
        <v>12</v>
      </c>
      <c r="AF433" s="76">
        <v>0</v>
      </c>
      <c r="AG433" s="76">
        <v>0</v>
      </c>
      <c r="AH433" s="76">
        <v>1</v>
      </c>
      <c r="AI433" s="76">
        <v>1</v>
      </c>
      <c r="AJ433" s="76">
        <v>0</v>
      </c>
      <c r="AK433" s="76">
        <v>44</v>
      </c>
      <c r="AL433" s="76">
        <v>177</v>
      </c>
    </row>
    <row r="434" spans="1:38" ht="25.5" x14ac:dyDescent="0.2">
      <c r="A434" s="76">
        <v>24</v>
      </c>
      <c r="B434" s="77" t="s">
        <v>1505</v>
      </c>
      <c r="C434" s="76" t="s">
        <v>173</v>
      </c>
      <c r="D434" s="76">
        <v>0</v>
      </c>
      <c r="E434" s="76">
        <v>1</v>
      </c>
      <c r="F434" s="76">
        <v>6.75</v>
      </c>
      <c r="G434" s="76">
        <v>6</v>
      </c>
      <c r="H434" s="76">
        <v>4</v>
      </c>
      <c r="I434" s="76">
        <v>0</v>
      </c>
      <c r="J434" s="76">
        <v>0</v>
      </c>
      <c r="K434" s="76">
        <v>21.1</v>
      </c>
      <c r="L434" s="76">
        <v>26</v>
      </c>
      <c r="M434" s="76">
        <v>18</v>
      </c>
      <c r="N434" s="76">
        <v>16</v>
      </c>
      <c r="O434" s="76">
        <v>7</v>
      </c>
      <c r="P434" s="76">
        <v>12</v>
      </c>
      <c r="Q434" s="76">
        <v>11</v>
      </c>
      <c r="R434" s="76">
        <v>0.29499999999999998</v>
      </c>
      <c r="S434" s="76">
        <v>1.78</v>
      </c>
      <c r="T434" s="76">
        <v>24</v>
      </c>
      <c r="U434" s="77" t="s">
        <v>1505</v>
      </c>
      <c r="V434" s="76" t="s">
        <v>173</v>
      </c>
      <c r="W434" s="76">
        <v>0</v>
      </c>
      <c r="X434" s="76">
        <v>0</v>
      </c>
      <c r="Y434" s="76">
        <v>1</v>
      </c>
      <c r="Z434" s="76">
        <v>0</v>
      </c>
      <c r="AA434" s="76">
        <v>1</v>
      </c>
      <c r="AB434" s="76">
        <v>0</v>
      </c>
      <c r="AC434" s="76">
        <v>2</v>
      </c>
      <c r="AD434" s="76">
        <v>27</v>
      </c>
      <c r="AE434" s="76">
        <v>24</v>
      </c>
      <c r="AF434" s="76">
        <v>1</v>
      </c>
      <c r="AG434" s="76">
        <v>1</v>
      </c>
      <c r="AH434" s="76">
        <v>0</v>
      </c>
      <c r="AI434" s="76">
        <v>0</v>
      </c>
      <c r="AJ434" s="76">
        <v>0</v>
      </c>
      <c r="AK434" s="76">
        <v>101</v>
      </c>
      <c r="AL434" s="76">
        <v>398</v>
      </c>
    </row>
  </sheetData>
  <sortState ref="B380:AU399">
    <sortCondition ref="B380:B399"/>
  </sortState>
  <phoneticPr fontId="12" type="noConversion"/>
  <hyperlinks>
    <hyperlink ref="B3" r:id="rId1" display="http://mlb.mlb.com/team/player.jsp?player_id=621281"/>
    <hyperlink ref="B4" r:id="rId2" display="http://mlb.mlb.com/team/player.jsp?player_id=571863"/>
    <hyperlink ref="B5" r:id="rId3" display="http://mlb.mlb.com/team/player.jsp?player_id=501936"/>
    <hyperlink ref="B6" r:id="rId4" display="http://mlb.mlb.com/team/player.jsp?player_id=446899"/>
    <hyperlink ref="B7" r:id="rId5" display="http://mlb.mlb.com/team/player.jsp?player_id=553883"/>
    <hyperlink ref="B8" r:id="rId6" display="http://mlb.mlb.com/team/player.jsp?player_id=545332"/>
    <hyperlink ref="B9" r:id="rId7" display="http://mlb.mlb.com/team/player.jsp?player_id=523989"/>
    <hyperlink ref="B10" r:id="rId8" display="http://mlb.mlb.com/team/player.jsp?player_id=461325"/>
    <hyperlink ref="B11" r:id="rId9" display="http://mlb.mlb.com/team/player.jsp?player_id=425844"/>
    <hyperlink ref="B12" r:id="rId10" display="http://mlb.mlb.com/team/player.jsp?player_id=517414"/>
    <hyperlink ref="B13" r:id="rId11" display="http://mlb.mlb.com/team/player.jsp?player_id=475138"/>
    <hyperlink ref="B14" r:id="rId12" display="http://mlb.mlb.com/team/player.jsp?player_id=518567"/>
    <hyperlink ref="B15" r:id="rId13" display="http://mlb.mlb.com/team/player.jsp?player_id=592662"/>
    <hyperlink ref="B16" r:id="rId14" display="http://mlb.mlb.com/team/player.jsp?player_id=643355"/>
    <hyperlink ref="B17" r:id="rId15" display="http://mlb.mlb.com/team/player.jsp?player_id=605151"/>
    <hyperlink ref="B18" r:id="rId16" display="http://mlb.mlb.com/team/player.jsp?player_id=571578"/>
    <hyperlink ref="B19" r:id="rId17" display="http://mlb.mlb.com/team/player.jsp?player_id=543339"/>
    <hyperlink ref="B20" r:id="rId18" display="http://mlb.mlb.com/team/player.jsp?player_id=640463"/>
    <hyperlink ref="B21" r:id="rId19" display="http://mlb.mlb.com/team/player.jsp?player_id=542609"/>
    <hyperlink ref="B22" r:id="rId20" display="http://mlb.mlb.com/team/player.jsp?player_id=571946"/>
    <hyperlink ref="B23" r:id="rId21" display="http://mlb.mlb.com/team/player.jsp?player_id=608678"/>
    <hyperlink ref="B24" r:id="rId22" display="http://mlb.mlb.com/team/player.jsp?player_id=643327"/>
    <hyperlink ref="B25" r:id="rId23" display="http://mlb.mlb.com/team/player.jsp?player_id=605177"/>
    <hyperlink ref="B26" r:id="rId24" display="http://mlb.mlb.com/team/player.jsp?player_id=657205"/>
    <hyperlink ref="B27" r:id="rId25" display="http://mlb.mlb.com/team/player.jsp?player_id=546276"/>
    <hyperlink ref="B28" r:id="rId26" display="http://mlb.mlb.com/team/player.jsp?player_id=611093"/>
    <hyperlink ref="B29" r:id="rId27" display="http://mlb.mlb.com/team/player.jsp?player_id=605359"/>
    <hyperlink ref="B30" r:id="rId28" display="http://mlb.mlb.com/team/player.jsp?player_id=594857"/>
    <hyperlink ref="B31" r:id="rId29" display="http://mlb.mlb.com/team/player.jsp?player_id=429400"/>
    <hyperlink ref="U3" r:id="rId30" display="http://mlb.mlb.com/team/player.jsp?player_id=621281"/>
    <hyperlink ref="U4" r:id="rId31" display="http://mlb.mlb.com/team/player.jsp?player_id=571863"/>
    <hyperlink ref="U5" r:id="rId32" display="http://mlb.mlb.com/team/player.jsp?player_id=501936"/>
    <hyperlink ref="U6" r:id="rId33" display="http://mlb.mlb.com/team/player.jsp?player_id=446899"/>
    <hyperlink ref="U7" r:id="rId34" display="http://mlb.mlb.com/team/player.jsp?player_id=553883"/>
    <hyperlink ref="U8" r:id="rId35" display="http://mlb.mlb.com/team/player.jsp?player_id=545332"/>
    <hyperlink ref="U9" r:id="rId36" display="http://mlb.mlb.com/team/player.jsp?player_id=523989"/>
    <hyperlink ref="U10" r:id="rId37" display="http://mlb.mlb.com/team/player.jsp?player_id=461325"/>
    <hyperlink ref="U11" r:id="rId38" display="http://mlb.mlb.com/team/player.jsp?player_id=425844"/>
    <hyperlink ref="U12" r:id="rId39" display="http://mlb.mlb.com/team/player.jsp?player_id=517414"/>
    <hyperlink ref="U13" r:id="rId40" display="http://mlb.mlb.com/team/player.jsp?player_id=475138"/>
    <hyperlink ref="U14" r:id="rId41" display="http://mlb.mlb.com/team/player.jsp?player_id=518567"/>
    <hyperlink ref="U15" r:id="rId42" display="http://mlb.mlb.com/team/player.jsp?player_id=592662"/>
    <hyperlink ref="U16" r:id="rId43" display="http://mlb.mlb.com/team/player.jsp?player_id=643355"/>
    <hyperlink ref="U17" r:id="rId44" display="http://mlb.mlb.com/team/player.jsp?player_id=605151"/>
    <hyperlink ref="U18" r:id="rId45" display="http://mlb.mlb.com/team/player.jsp?player_id=571578"/>
    <hyperlink ref="U19" r:id="rId46" display="http://mlb.mlb.com/team/player.jsp?player_id=543339"/>
    <hyperlink ref="U20" r:id="rId47" display="http://mlb.mlb.com/team/player.jsp?player_id=640463"/>
    <hyperlink ref="U21" r:id="rId48" display="http://mlb.mlb.com/team/player.jsp?player_id=542609"/>
    <hyperlink ref="U22" r:id="rId49" display="http://mlb.mlb.com/team/player.jsp?player_id=571946"/>
    <hyperlink ref="U23" r:id="rId50" display="http://mlb.mlb.com/team/player.jsp?player_id=608678"/>
    <hyperlink ref="U24" r:id="rId51" display="http://mlb.mlb.com/team/player.jsp?player_id=643327"/>
    <hyperlink ref="U25" r:id="rId52" display="http://mlb.mlb.com/team/player.jsp?player_id=605177"/>
    <hyperlink ref="U26" r:id="rId53" display="http://mlb.mlb.com/team/player.jsp?player_id=657205"/>
    <hyperlink ref="U27" r:id="rId54" display="http://mlb.mlb.com/team/player.jsp?player_id=546276"/>
    <hyperlink ref="U28" r:id="rId55" display="http://mlb.mlb.com/team/player.jsp?player_id=611093"/>
    <hyperlink ref="U29" r:id="rId56" display="http://mlb.mlb.com/team/player.jsp?player_id=605359"/>
    <hyperlink ref="U30" r:id="rId57" display="http://mlb.mlb.com/team/player.jsp?player_id=594857"/>
    <hyperlink ref="U31" r:id="rId58" display="http://mlb.mlb.com/team/player.jsp?player_id=429400"/>
    <hyperlink ref="B33" r:id="rId59" display="http://mlb.mlb.com/team/player.jsp?player_id=595465"/>
    <hyperlink ref="B34" r:id="rId60" display="http://mlb.mlb.com/team/player.jsp?player_id=623406"/>
    <hyperlink ref="B35" r:id="rId61" display="http://mlb.mlb.com/team/player.jsp?player_id=518567"/>
    <hyperlink ref="B36" r:id="rId62" display="http://mlb.mlb.com/team/player.jsp?player_id=606291"/>
    <hyperlink ref="B37" r:id="rId63" display="http://mlb.mlb.com/team/player.jsp?player_id=516714"/>
    <hyperlink ref="B38" r:id="rId64" display="http://mlb.mlb.com/team/player.jsp?player_id=462382"/>
    <hyperlink ref="B39" r:id="rId65" display="http://mlb.mlb.com/team/player.jsp?player_id=543017"/>
    <hyperlink ref="B40" r:id="rId66" display="http://mlb.mlb.com/team/player.jsp?player_id=571871"/>
    <hyperlink ref="B41" r:id="rId67" display="http://mlb.mlb.com/team/player.jsp?player_id=527054"/>
    <hyperlink ref="B42" r:id="rId68" display="http://mlb.mlb.com/team/player.jsp?player_id=449173"/>
    <hyperlink ref="B43" r:id="rId69" display="http://mlb.mlb.com/team/player.jsp?player_id=542432"/>
    <hyperlink ref="B44" r:id="rId70" display="http://mlb.mlb.com/team/player.jsp?player_id=519437"/>
    <hyperlink ref="B45" r:id="rId71" display="http://mlb.mlb.com/team/player.jsp?player_id=475054"/>
    <hyperlink ref="B46" r:id="rId72" display="http://mlb.mlb.com/team/player.jsp?player_id=468396"/>
    <hyperlink ref="B47" r:id="rId73" display="http://mlb.mlb.com/team/player.jsp?player_id=502032"/>
    <hyperlink ref="B48" r:id="rId74" display="http://mlb.mlb.com/team/player.jsp?player_id=594792"/>
    <hyperlink ref="B49" r:id="rId75" display="http://mlb.mlb.com/team/player.jsp?player_id=592314"/>
    <hyperlink ref="B50" r:id="rId76" display="http://mlb.mlb.com/team/player.jsp?player_id=527055"/>
    <hyperlink ref="B51" r:id="rId77" display="http://mlb.mlb.com/team/player.jsp?player_id=607231"/>
    <hyperlink ref="B52" r:id="rId78" display="http://mlb.mlb.com/team/player.jsp?player_id=503444"/>
    <hyperlink ref="B53" r:id="rId79" display="http://mlb.mlb.com/team/player.jsp?player_id=605538"/>
    <hyperlink ref="B54" r:id="rId80" display="http://mlb.mlb.com/team/player.jsp?player_id=605152"/>
    <hyperlink ref="B55" r:id="rId81" display="http://mlb.mlb.com/team/player.jsp?player_id=276351"/>
    <hyperlink ref="B56" r:id="rId82" display="http://mlb.mlb.com/team/player.jsp?player_id=468504"/>
    <hyperlink ref="B57" r:id="rId83" display="http://mlb.mlb.com/team/player.jsp?player_id=621408"/>
    <hyperlink ref="B58" r:id="rId84" display="http://mlb.mlb.com/team/player.jsp?player_id=543901"/>
    <hyperlink ref="B59" r:id="rId85" display="http://mlb.mlb.com/team/player.jsp?player_id=543391"/>
    <hyperlink ref="B60" r:id="rId86" display="http://mlb.mlb.com/team/player.jsp?player_id=592433"/>
    <hyperlink ref="B61" r:id="rId87" display="http://mlb.mlb.com/team/player.jsp?player_id=554234"/>
    <hyperlink ref="B62" r:id="rId88" display="http://mlb.mlb.com/team/player.jsp?player_id=572283"/>
    <hyperlink ref="B63" r:id="rId89" display="http://mlb.mlb.com/team/player.jsp?player_id=547007"/>
    <hyperlink ref="B64" r:id="rId90" display="http://mlb.mlb.com/team/player.jsp?player_id=447714"/>
    <hyperlink ref="B65" r:id="rId91" display="http://mlb.mlb.com/team/player.jsp?player_id=594760"/>
    <hyperlink ref="B66" r:id="rId92" display="http://mlb.mlb.com/team/player.jsp?player_id=433584"/>
    <hyperlink ref="B67" r:id="rId93" display="http://mlb.mlb.com/team/player.jsp?player_id=592422"/>
    <hyperlink ref="U33" r:id="rId94" display="http://mlb.mlb.com/team/player.jsp?player_id=595465"/>
    <hyperlink ref="U34" r:id="rId95" display="http://mlb.mlb.com/team/player.jsp?player_id=623406"/>
    <hyperlink ref="U35" r:id="rId96" display="http://mlb.mlb.com/team/player.jsp?player_id=518567"/>
    <hyperlink ref="U36" r:id="rId97" display="http://mlb.mlb.com/team/player.jsp?player_id=606291"/>
    <hyperlink ref="U37" r:id="rId98" display="http://mlb.mlb.com/team/player.jsp?player_id=516714"/>
    <hyperlink ref="U38" r:id="rId99" display="http://mlb.mlb.com/team/player.jsp?player_id=462382"/>
    <hyperlink ref="U39" r:id="rId100" display="http://mlb.mlb.com/team/player.jsp?player_id=543017"/>
    <hyperlink ref="U40" r:id="rId101" display="http://mlb.mlb.com/team/player.jsp?player_id=571871"/>
    <hyperlink ref="U41" r:id="rId102" display="http://mlb.mlb.com/team/player.jsp?player_id=527054"/>
    <hyperlink ref="U42" r:id="rId103" display="http://mlb.mlb.com/team/player.jsp?player_id=449173"/>
    <hyperlink ref="U43" r:id="rId104" display="http://mlb.mlb.com/team/player.jsp?player_id=542432"/>
    <hyperlink ref="U44" r:id="rId105" display="http://mlb.mlb.com/team/player.jsp?player_id=519437"/>
    <hyperlink ref="U45" r:id="rId106" display="http://mlb.mlb.com/team/player.jsp?player_id=475054"/>
    <hyperlink ref="U46" r:id="rId107" display="http://mlb.mlb.com/team/player.jsp?player_id=468396"/>
    <hyperlink ref="U47" r:id="rId108" display="http://mlb.mlb.com/team/player.jsp?player_id=502032"/>
    <hyperlink ref="U48" r:id="rId109" display="http://mlb.mlb.com/team/player.jsp?player_id=594792"/>
    <hyperlink ref="U49" r:id="rId110" display="http://mlb.mlb.com/team/player.jsp?player_id=592314"/>
    <hyperlink ref="U50" r:id="rId111" display="http://mlb.mlb.com/team/player.jsp?player_id=527055"/>
    <hyperlink ref="U51" r:id="rId112" display="http://mlb.mlb.com/team/player.jsp?player_id=607231"/>
    <hyperlink ref="U52" r:id="rId113" display="http://mlb.mlb.com/team/player.jsp?player_id=503444"/>
    <hyperlink ref="U53" r:id="rId114" display="http://mlb.mlb.com/team/player.jsp?player_id=605538"/>
    <hyperlink ref="U54" r:id="rId115" display="http://mlb.mlb.com/team/player.jsp?player_id=605152"/>
    <hyperlink ref="U55" r:id="rId116" display="http://mlb.mlb.com/team/player.jsp?player_id=276351"/>
    <hyperlink ref="U56" r:id="rId117" display="http://mlb.mlb.com/team/player.jsp?player_id=468504"/>
    <hyperlink ref="U57" r:id="rId118" display="http://mlb.mlb.com/team/player.jsp?player_id=621408"/>
    <hyperlink ref="U58" r:id="rId119" display="http://mlb.mlb.com/team/player.jsp?player_id=543901"/>
    <hyperlink ref="U59" r:id="rId120" display="http://mlb.mlb.com/team/player.jsp?player_id=543391"/>
    <hyperlink ref="U60" r:id="rId121" display="http://mlb.mlb.com/team/player.jsp?player_id=592433"/>
    <hyperlink ref="U61" r:id="rId122" display="http://mlb.mlb.com/team/player.jsp?player_id=554234"/>
    <hyperlink ref="U62" r:id="rId123" display="http://mlb.mlb.com/team/player.jsp?player_id=572283"/>
    <hyperlink ref="U63" r:id="rId124" display="http://mlb.mlb.com/team/player.jsp?player_id=547007"/>
    <hyperlink ref="U64" r:id="rId125" display="http://mlb.mlb.com/team/player.jsp?player_id=447714"/>
    <hyperlink ref="U65" r:id="rId126" display="http://mlb.mlb.com/team/player.jsp?player_id=594760"/>
    <hyperlink ref="U66" r:id="rId127" display="http://mlb.mlb.com/team/player.jsp?player_id=433584"/>
    <hyperlink ref="U67" r:id="rId128" display="http://mlb.mlb.com/team/player.jsp?player_id=592422"/>
    <hyperlink ref="B69" r:id="rId129" display="http://mlb.mlb.com/team/player.jsp?player_id=150274"/>
    <hyperlink ref="B70" r:id="rId130" display="http://mlb.mlb.com/team/player.jsp?player_id=547973"/>
    <hyperlink ref="B71" r:id="rId131" display="http://mlb.mlb.com/team/player.jsp?player_id=642239"/>
    <hyperlink ref="B72" r:id="rId132" display="http://mlb.mlb.com/team/player.jsp?player_id=594772"/>
    <hyperlink ref="B73" r:id="rId133" display="http://mlb.mlb.com/team/player.jsp?player_id=543294"/>
    <hyperlink ref="B74" r:id="rId134" display="http://mlb.mlb.com/team/player.jsp?player_id=452657"/>
    <hyperlink ref="B75" r:id="rId135" display="http://mlb.mlb.com/team/player.jsp?player_id=501925"/>
    <hyperlink ref="B76" r:id="rId136" display="http://mlb.mlb.com/team/player.jsp?player_id=502239"/>
    <hyperlink ref="B77" r:id="rId137" display="http://mlb.mlb.com/team/player.jsp?player_id=543557"/>
    <hyperlink ref="B78" r:id="rId138" display="http://mlb.mlb.com/team/player.jsp?player_id=467008"/>
    <hyperlink ref="B79" r:id="rId139" display="http://mlb.mlb.com/team/player.jsp?player_id=475243"/>
    <hyperlink ref="B80" r:id="rId140" display="http://mlb.mlb.com/team/player.jsp?player_id=453562"/>
    <hyperlink ref="B81" r:id="rId141" display="http://mlb.mlb.com/team/player.jsp?player_id=407793"/>
    <hyperlink ref="B82" r:id="rId142" display="http://mlb.mlb.com/team/player.jsp?player_id=444468"/>
    <hyperlink ref="B83" r:id="rId143" display="http://mlb.mlb.com/team/player.jsp?player_id=605218"/>
    <hyperlink ref="B84" r:id="rId144" display="http://mlb.mlb.com/team/player.jsp?player_id=434628"/>
    <hyperlink ref="B85" r:id="rId145" display="http://mlb.mlb.com/team/player.jsp?player_id=615868"/>
    <hyperlink ref="B86" r:id="rId146" display="http://mlb.mlb.com/team/player.jsp?player_id=570240"/>
    <hyperlink ref="B87" r:id="rId147" display="http://mlb.mlb.com/team/player.jsp?player_id=518748"/>
    <hyperlink ref="B88" r:id="rId148" display="http://mlb.mlb.com/team/player.jsp?player_id=519166"/>
    <hyperlink ref="B89" r:id="rId149" display="http://mlb.mlb.com/team/player.jsp?player_id=607359"/>
    <hyperlink ref="B90" r:id="rId150" display="http://mlb.mlb.com/team/player.jsp?player_id=476589"/>
    <hyperlink ref="B91" r:id="rId151" display="http://mlb.mlb.com/team/player.jsp?player_id=453385"/>
    <hyperlink ref="B92" r:id="rId152" display="http://mlb.mlb.com/team/player.jsp?player_id=471083"/>
    <hyperlink ref="B93" r:id="rId153" display="http://mlb.mlb.com/team/player.jsp?player_id=407908"/>
    <hyperlink ref="B94" r:id="rId154" display="http://mlb.mlb.com/team/player.jsp?player_id=451085"/>
    <hyperlink ref="U69" r:id="rId155" display="http://mlb.mlb.com/team/player.jsp?player_id=150274"/>
    <hyperlink ref="U70" r:id="rId156" display="http://mlb.mlb.com/team/player.jsp?player_id=547973"/>
    <hyperlink ref="U71" r:id="rId157" display="http://mlb.mlb.com/team/player.jsp?player_id=642239"/>
    <hyperlink ref="U72" r:id="rId158" display="http://mlb.mlb.com/team/player.jsp?player_id=594772"/>
    <hyperlink ref="U73" r:id="rId159" display="http://mlb.mlb.com/team/player.jsp?player_id=543294"/>
    <hyperlink ref="U74" r:id="rId160" display="http://mlb.mlb.com/team/player.jsp?player_id=452657"/>
    <hyperlink ref="U75" r:id="rId161" display="http://mlb.mlb.com/team/player.jsp?player_id=501925"/>
    <hyperlink ref="U76" r:id="rId162" display="http://mlb.mlb.com/team/player.jsp?player_id=502239"/>
    <hyperlink ref="U77" r:id="rId163" display="http://mlb.mlb.com/team/player.jsp?player_id=543557"/>
    <hyperlink ref="U78" r:id="rId164" display="http://mlb.mlb.com/team/player.jsp?player_id=467008"/>
    <hyperlink ref="U79" r:id="rId165" display="http://mlb.mlb.com/team/player.jsp?player_id=475243"/>
    <hyperlink ref="U80" r:id="rId166" display="http://mlb.mlb.com/team/player.jsp?player_id=453562"/>
    <hyperlink ref="U81" r:id="rId167" display="http://mlb.mlb.com/team/player.jsp?player_id=407793"/>
    <hyperlink ref="U82" r:id="rId168" display="http://mlb.mlb.com/team/player.jsp?player_id=444468"/>
    <hyperlink ref="U83" r:id="rId169" display="http://mlb.mlb.com/team/player.jsp?player_id=605218"/>
    <hyperlink ref="U84" r:id="rId170" display="http://mlb.mlb.com/team/player.jsp?player_id=434628"/>
    <hyperlink ref="U85" r:id="rId171" display="http://mlb.mlb.com/team/player.jsp?player_id=615868"/>
    <hyperlink ref="U86" r:id="rId172" display="http://mlb.mlb.com/team/player.jsp?player_id=570240"/>
    <hyperlink ref="U87" r:id="rId173" display="http://mlb.mlb.com/team/player.jsp?player_id=518748"/>
    <hyperlink ref="U88" r:id="rId174" display="http://mlb.mlb.com/team/player.jsp?player_id=519166"/>
    <hyperlink ref="U89" r:id="rId175" display="http://mlb.mlb.com/team/player.jsp?player_id=607359"/>
    <hyperlink ref="U90" r:id="rId176" display="http://mlb.mlb.com/team/player.jsp?player_id=476589"/>
    <hyperlink ref="U91" r:id="rId177" display="http://mlb.mlb.com/team/player.jsp?player_id=453385"/>
    <hyperlink ref="U92" r:id="rId178" display="http://mlb.mlb.com/team/player.jsp?player_id=471083"/>
    <hyperlink ref="U93" r:id="rId179" display="http://mlb.mlb.com/team/player.jsp?player_id=407908"/>
    <hyperlink ref="U94" r:id="rId180" display="http://mlb.mlb.com/team/player.jsp?player_id=451085"/>
    <hyperlink ref="B96" r:id="rId181" display="http://mlb.mlb.com/team/player.jsp?player_id=534627"/>
    <hyperlink ref="B97" r:id="rId182" display="http://mlb.mlb.com/team/player.jsp?player_id=628452"/>
    <hyperlink ref="B98" r:id="rId183" display="http://mlb.mlb.com/team/player.jsp?player_id=547179"/>
    <hyperlink ref="B99" r:id="rId184" display="http://mlb.mlb.com/team/player.jsp?player_id=471822"/>
    <hyperlink ref="B100" r:id="rId185" display="http://mlb.mlb.com/team/player.jsp?player_id=543101"/>
    <hyperlink ref="B101" r:id="rId186" display="http://mlb.mlb.com/team/player.jsp?player_id=573185"/>
    <hyperlink ref="B102" r:id="rId187" display="http://mlb.mlb.com/team/player.jsp?player_id=605232"/>
    <hyperlink ref="B103" r:id="rId188" display="http://mlb.mlb.com/team/player.jsp?player_id=502028"/>
    <hyperlink ref="B104" r:id="rId189" display="http://mlb.mlb.com/team/player.jsp?player_id=534947"/>
    <hyperlink ref="B105" r:id="rId190" display="http://mlb.mlb.com/team/player.jsp?player_id=571561"/>
    <hyperlink ref="B106" r:id="rId191" display="http://mlb.mlb.com/team/player.jsp?player_id=572102"/>
    <hyperlink ref="B107" r:id="rId192" display="http://mlb.mlb.com/team/player.jsp?player_id=456027"/>
    <hyperlink ref="B108" r:id="rId193" display="http://mlb.mlb.com/team/player.jsp?player_id=595001"/>
    <hyperlink ref="B109" r:id="rId194" display="http://mlb.mlb.com/team/player.jsp?player_id=596112"/>
    <hyperlink ref="B110" r:id="rId195" display="http://mlb.mlb.com/team/player.jsp?player_id=543483"/>
    <hyperlink ref="B111" r:id="rId196" display="http://mlb.mlb.com/team/player.jsp?player_id=571963"/>
    <hyperlink ref="B112" r:id="rId197" display="http://mlb.mlb.com/team/player.jsp?player_id=500724"/>
    <hyperlink ref="B113" r:id="rId198" display="http://mlb.mlb.com/team/player.jsp?player_id=543424"/>
    <hyperlink ref="B114" r:id="rId199" display="http://mlb.mlb.com/team/player.jsp?player_id=456701"/>
    <hyperlink ref="B115" r:id="rId200" display="http://mlb.mlb.com/team/player.jsp?player_id=447755"/>
    <hyperlink ref="B116" r:id="rId201" display="http://mlb.mlb.com/team/player.jsp?player_id=642003"/>
    <hyperlink ref="B117" r:id="rId202" display="http://mlb.mlb.com/team/player.jsp?player_id=571584"/>
    <hyperlink ref="B118" r:id="rId203" display="http://mlb.mlb.com/team/player.jsp?player_id=642229"/>
    <hyperlink ref="B119" r:id="rId204" display="http://mlb.mlb.com/team/player.jsp?player_id=621209"/>
    <hyperlink ref="B120" r:id="rId205" display="http://mlb.mlb.com/team/player.jsp?player_id=502457"/>
    <hyperlink ref="B121" r:id="rId206" display="http://mlb.mlb.com/team/player.jsp?player_id=593974"/>
    <hyperlink ref="B122" r:id="rId207" display="http://mlb.mlb.com/team/player.jsp?player_id=430580"/>
    <hyperlink ref="B123" r:id="rId208" display="http://mlb.mlb.com/team/player.jsp?player_id=500765"/>
    <hyperlink ref="B124" r:id="rId209" display="http://mlb.mlb.com/team/player.jsp?player_id=543532"/>
    <hyperlink ref="B125" r:id="rId210" display="http://mlb.mlb.com/team/player.jsp?player_id=593582"/>
    <hyperlink ref="B126" r:id="rId211" display="http://mlb.mlb.com/team/player.jsp?player_id=543331"/>
    <hyperlink ref="B127" r:id="rId212" display="http://mlb.mlb.com/team/player.jsp?player_id=643550"/>
    <hyperlink ref="U96" r:id="rId213" display="http://mlb.mlb.com/team/player.jsp?player_id=534627"/>
    <hyperlink ref="U97" r:id="rId214" display="http://mlb.mlb.com/team/player.jsp?player_id=628452"/>
    <hyperlink ref="U98" r:id="rId215" display="http://mlb.mlb.com/team/player.jsp?player_id=547179"/>
    <hyperlink ref="U99" r:id="rId216" display="http://mlb.mlb.com/team/player.jsp?player_id=471822"/>
    <hyperlink ref="U100" r:id="rId217" display="http://mlb.mlb.com/team/player.jsp?player_id=543101"/>
    <hyperlink ref="U101" r:id="rId218" display="http://mlb.mlb.com/team/player.jsp?player_id=573185"/>
    <hyperlink ref="U102" r:id="rId219" display="http://mlb.mlb.com/team/player.jsp?player_id=605232"/>
    <hyperlink ref="U103" r:id="rId220" display="http://mlb.mlb.com/team/player.jsp?player_id=502028"/>
    <hyperlink ref="U104" r:id="rId221" display="http://mlb.mlb.com/team/player.jsp?player_id=534947"/>
    <hyperlink ref="U105" r:id="rId222" display="http://mlb.mlb.com/team/player.jsp?player_id=571561"/>
    <hyperlink ref="U106" r:id="rId223" display="http://mlb.mlb.com/team/player.jsp?player_id=572102"/>
    <hyperlink ref="U107" r:id="rId224" display="http://mlb.mlb.com/team/player.jsp?player_id=456027"/>
    <hyperlink ref="U108" r:id="rId225" display="http://mlb.mlb.com/team/player.jsp?player_id=595001"/>
    <hyperlink ref="U109" r:id="rId226" display="http://mlb.mlb.com/team/player.jsp?player_id=596112"/>
    <hyperlink ref="U110" r:id="rId227" display="http://mlb.mlb.com/team/player.jsp?player_id=543483"/>
    <hyperlink ref="U111" r:id="rId228" display="http://mlb.mlb.com/team/player.jsp?player_id=571963"/>
    <hyperlink ref="U112" r:id="rId229" display="http://mlb.mlb.com/team/player.jsp?player_id=500724"/>
    <hyperlink ref="U113" r:id="rId230" display="http://mlb.mlb.com/team/player.jsp?player_id=543424"/>
    <hyperlink ref="U114" r:id="rId231" display="http://mlb.mlb.com/team/player.jsp?player_id=456701"/>
    <hyperlink ref="U115" r:id="rId232" display="http://mlb.mlb.com/team/player.jsp?player_id=447755"/>
    <hyperlink ref="U116" r:id="rId233" display="http://mlb.mlb.com/team/player.jsp?player_id=642003"/>
    <hyperlink ref="U117" r:id="rId234" display="http://mlb.mlb.com/team/player.jsp?player_id=571584"/>
    <hyperlink ref="U118" r:id="rId235" display="http://mlb.mlb.com/team/player.jsp?player_id=642229"/>
    <hyperlink ref="U119" r:id="rId236" display="http://mlb.mlb.com/team/player.jsp?player_id=621209"/>
    <hyperlink ref="U120" r:id="rId237" display="http://mlb.mlb.com/team/player.jsp?player_id=502457"/>
    <hyperlink ref="U121" r:id="rId238" display="http://mlb.mlb.com/team/player.jsp?player_id=593974"/>
    <hyperlink ref="U122" r:id="rId239" display="http://mlb.mlb.com/team/player.jsp?player_id=430580"/>
    <hyperlink ref="U123" r:id="rId240" display="http://mlb.mlb.com/team/player.jsp?player_id=500765"/>
    <hyperlink ref="U124" r:id="rId241" display="http://mlb.mlb.com/team/player.jsp?player_id=543532"/>
    <hyperlink ref="U125" r:id="rId242" display="http://mlb.mlb.com/team/player.jsp?player_id=593582"/>
    <hyperlink ref="U126" r:id="rId243" display="http://mlb.mlb.com/team/player.jsp?player_id=543331"/>
    <hyperlink ref="U127" r:id="rId244" display="http://mlb.mlb.com/team/player.jsp?player_id=643550"/>
    <hyperlink ref="B129" r:id="rId245" display="http://mlb.mlb.com/team/player.jsp?player_id=493603"/>
    <hyperlink ref="B130" r:id="rId246" display="http://mlb.mlb.com/team/player.jsp?player_id=542881"/>
    <hyperlink ref="B131" r:id="rId247" display="http://mlb.mlb.com/team/player.jsp?player_id=457429"/>
    <hyperlink ref="B132" r:id="rId248" display="http://mlb.mlb.com/team/player.jsp?player_id=543734"/>
    <hyperlink ref="B133" r:id="rId249" display="http://mlb.mlb.com/team/player.jsp?player_id=543022"/>
    <hyperlink ref="B134" r:id="rId250" display="http://mlb.mlb.com/team/player.jsp?player_id=592351"/>
    <hyperlink ref="B135" r:id="rId251" display="http://mlb.mlb.com/team/player.jsp?player_id=459429"/>
    <hyperlink ref="B136" r:id="rId252" display="http://mlb.mlb.com/team/player.jsp?player_id=518452"/>
    <hyperlink ref="B137" r:id="rId253" display="http://mlb.mlb.com/team/player.jsp?player_id=656546"/>
    <hyperlink ref="B138" r:id="rId254" display="http://mlb.mlb.com/team/player.jsp?player_id=435400"/>
    <hyperlink ref="B139" r:id="rId255" display="http://mlb.mlb.com/team/player.jsp?player_id=623184"/>
    <hyperlink ref="B140" r:id="rId256" display="http://mlb.mlb.com/team/player.jsp?player_id=608566"/>
    <hyperlink ref="B141" r:id="rId257" display="http://mlb.mlb.com/team/player.jsp?player_id=430589"/>
    <hyperlink ref="B142" r:id="rId258" display="http://mlb.mlb.com/team/player.jsp?player_id=608032"/>
    <hyperlink ref="B143" r:id="rId259" display="http://mlb.mlb.com/team/player.jsp?player_id=542674"/>
    <hyperlink ref="B144" r:id="rId260" display="http://mlb.mlb.com/team/player.jsp?player_id=407822"/>
    <hyperlink ref="B145" r:id="rId261" display="http://mlb.mlb.com/team/player.jsp?player_id=502522"/>
    <hyperlink ref="B146" r:id="rId262" display="http://mlb.mlb.com/team/player.jsp?player_id=543475"/>
    <hyperlink ref="B147" r:id="rId263" display="http://mlb.mlb.com/team/player.jsp?player_id=612434"/>
    <hyperlink ref="B148" r:id="rId264" display="http://mlb.mlb.com/team/player.jsp?player_id=572750"/>
    <hyperlink ref="B149" r:id="rId265" display="http://mlb.mlb.com/team/player.jsp?player_id=548357"/>
    <hyperlink ref="B150" r:id="rId266" display="http://mlb.mlb.com/team/player.jsp?player_id=571539"/>
    <hyperlink ref="B151" r:id="rId267" display="http://mlb.mlb.com/team/player.jsp?player_id=543261"/>
    <hyperlink ref="B152" r:id="rId268" display="http://mlb.mlb.com/team/player.jsp?player_id=456071"/>
    <hyperlink ref="B153" r:id="rId269" display="http://mlb.mlb.com/team/player.jsp?player_id=571735"/>
    <hyperlink ref="U129" r:id="rId270" display="http://mlb.mlb.com/team/player.jsp?player_id=493603"/>
    <hyperlink ref="U130" r:id="rId271" display="http://mlb.mlb.com/team/player.jsp?player_id=542881"/>
    <hyperlink ref="U131" r:id="rId272" display="http://mlb.mlb.com/team/player.jsp?player_id=457429"/>
    <hyperlink ref="U132" r:id="rId273" display="http://mlb.mlb.com/team/player.jsp?player_id=543734"/>
    <hyperlink ref="U133" r:id="rId274" display="http://mlb.mlb.com/team/player.jsp?player_id=543022"/>
    <hyperlink ref="U134" r:id="rId275" display="http://mlb.mlb.com/team/player.jsp?player_id=592351"/>
    <hyperlink ref="U135" r:id="rId276" display="http://mlb.mlb.com/team/player.jsp?player_id=459429"/>
    <hyperlink ref="U136" r:id="rId277" display="http://mlb.mlb.com/team/player.jsp?player_id=518452"/>
    <hyperlink ref="U137" r:id="rId278" display="http://mlb.mlb.com/team/player.jsp?player_id=656546"/>
    <hyperlink ref="U138" r:id="rId279" display="http://mlb.mlb.com/team/player.jsp?player_id=435400"/>
    <hyperlink ref="U139" r:id="rId280" display="http://mlb.mlb.com/team/player.jsp?player_id=623184"/>
    <hyperlink ref="U140" r:id="rId281" display="http://mlb.mlb.com/team/player.jsp?player_id=608566"/>
    <hyperlink ref="U141" r:id="rId282" display="http://mlb.mlb.com/team/player.jsp?player_id=430589"/>
    <hyperlink ref="U142" r:id="rId283" display="http://mlb.mlb.com/team/player.jsp?player_id=608032"/>
    <hyperlink ref="U143" r:id="rId284" display="http://mlb.mlb.com/team/player.jsp?player_id=542674"/>
    <hyperlink ref="U144" r:id="rId285" display="http://mlb.mlb.com/team/player.jsp?player_id=407822"/>
    <hyperlink ref="U145" r:id="rId286" display="http://mlb.mlb.com/team/player.jsp?player_id=502522"/>
    <hyperlink ref="U146" r:id="rId287" display="http://mlb.mlb.com/team/player.jsp?player_id=543475"/>
    <hyperlink ref="U147" r:id="rId288" display="http://mlb.mlb.com/team/player.jsp?player_id=612434"/>
    <hyperlink ref="U148" r:id="rId289" display="http://mlb.mlb.com/team/player.jsp?player_id=572750"/>
    <hyperlink ref="U149" r:id="rId290" display="http://mlb.mlb.com/team/player.jsp?player_id=548357"/>
    <hyperlink ref="U150" r:id="rId291" display="http://mlb.mlb.com/team/player.jsp?player_id=571539"/>
    <hyperlink ref="U151" r:id="rId292" display="http://mlb.mlb.com/team/player.jsp?player_id=543261"/>
    <hyperlink ref="U152" r:id="rId293" display="http://mlb.mlb.com/team/player.jsp?player_id=456071"/>
    <hyperlink ref="U153" r:id="rId294" display="http://mlb.mlb.com/team/player.jsp?player_id=571735"/>
    <hyperlink ref="B155" r:id="rId295" display="http://mlb.mlb.com/team/player.jsp?player_id=516910"/>
    <hyperlink ref="B156" r:id="rId296" display="http://mlb.mlb.com/team/player.jsp?player_id=502051"/>
    <hyperlink ref="B157" r:id="rId297" display="http://mlb.mlb.com/team/player.jsp?player_id=477132"/>
    <hyperlink ref="B158" r:id="rId298" display="http://mlb.mlb.com/team/player.jsp?player_id=448179"/>
    <hyperlink ref="B159" r:id="rId299" display="http://mlb.mlb.com/team/player.jsp?player_id=445276"/>
    <hyperlink ref="B160" r:id="rId300" display="http://mlb.mlb.com/team/player.jsp?player_id=594795"/>
    <hyperlink ref="B161" r:id="rId301" display="http://mlb.mlb.com/team/player.jsp?player_id=430599"/>
    <hyperlink ref="B162" r:id="rId302" display="http://mlb.mlb.com/team/player.jsp?player_id=451661"/>
    <hyperlink ref="B163" r:id="rId303" display="http://mlb.mlb.com/team/player.jsp?player_id=520980"/>
    <hyperlink ref="B164" r:id="rId304" display="http://mlb.mlb.com/team/player.jsp?player_id=501593"/>
    <hyperlink ref="B165" r:id="rId305" display="http://mlb.mlb.com/team/player.jsp?player_id=554340"/>
    <hyperlink ref="B166" r:id="rId306" display="http://mlb.mlb.com/team/player.jsp?player_id=571893"/>
    <hyperlink ref="B167" r:id="rId307" display="http://mlb.mlb.com/team/player.jsp?player_id=628711"/>
    <hyperlink ref="B168" r:id="rId308" display="http://mlb.mlb.com/team/player.jsp?player_id=628317"/>
    <hyperlink ref="B169" r:id="rId309" display="http://mlb.mlb.com/team/player.jsp?player_id=622072"/>
    <hyperlink ref="B170" r:id="rId310" display="http://mlb.mlb.com/team/player.jsp?player_id=548389"/>
    <hyperlink ref="B171" r:id="rId311" display="http://mlb.mlb.com/team/player.jsp?player_id=434442"/>
    <hyperlink ref="B172" r:id="rId312" display="http://mlb.mlb.com/team/player.jsp?player_id=445926"/>
    <hyperlink ref="B173" r:id="rId313" display="http://mlb.mlb.com/team/player.jsp?player_id=502272"/>
    <hyperlink ref="B174" r:id="rId314" display="http://mlb.mlb.com/team/player.jsp?player_id=431148"/>
    <hyperlink ref="B175" r:id="rId315" display="http://mlb.mlb.com/team/player.jsp?player_id=488786"/>
    <hyperlink ref="B176" r:id="rId316" display="http://mlb.mlb.com/team/player.jsp?player_id=435221"/>
    <hyperlink ref="B177" r:id="rId317" display="http://mlb.mlb.com/team/player.jsp?player_id=425835"/>
    <hyperlink ref="B178" r:id="rId318" display="http://mlb.mlb.com/team/player.jsp?player_id=501822"/>
    <hyperlink ref="B179" r:id="rId319" display="http://mlb.mlb.com/team/player.jsp?player_id=592779"/>
    <hyperlink ref="B180" r:id="rId320" display="http://mlb.mlb.com/team/player.jsp?player_id=592254"/>
    <hyperlink ref="B181" r:id="rId321" display="http://mlb.mlb.com/team/player.jsp?player_id=502032"/>
    <hyperlink ref="B182" r:id="rId322" display="http://mlb.mlb.com/team/player.jsp?player_id=502211"/>
    <hyperlink ref="B183" r:id="rId323" display="http://mlb.mlb.com/team/player.jsp?player_id=519344"/>
    <hyperlink ref="B184" r:id="rId324" display="http://mlb.mlb.com/team/player.jsp?player_id=547943"/>
    <hyperlink ref="B185" r:id="rId325" display="http://mlb.mlb.com/team/player.jsp?player_id=474463"/>
    <hyperlink ref="U155" r:id="rId326" display="http://mlb.mlb.com/team/player.jsp?player_id=516910"/>
    <hyperlink ref="U156" r:id="rId327" display="http://mlb.mlb.com/team/player.jsp?player_id=502051"/>
    <hyperlink ref="U157" r:id="rId328" display="http://mlb.mlb.com/team/player.jsp?player_id=477132"/>
    <hyperlink ref="U158" r:id="rId329" display="http://mlb.mlb.com/team/player.jsp?player_id=448179"/>
    <hyperlink ref="U159" r:id="rId330" display="http://mlb.mlb.com/team/player.jsp?player_id=445276"/>
    <hyperlink ref="U160" r:id="rId331" display="http://mlb.mlb.com/team/player.jsp?player_id=594795"/>
    <hyperlink ref="U161" r:id="rId332" display="http://mlb.mlb.com/team/player.jsp?player_id=430599"/>
    <hyperlink ref="U162" r:id="rId333" display="http://mlb.mlb.com/team/player.jsp?player_id=451661"/>
    <hyperlink ref="U163" r:id="rId334" display="http://mlb.mlb.com/team/player.jsp?player_id=520980"/>
    <hyperlink ref="U164" r:id="rId335" display="http://mlb.mlb.com/team/player.jsp?player_id=501593"/>
    <hyperlink ref="U165" r:id="rId336" display="http://mlb.mlb.com/team/player.jsp?player_id=554340"/>
    <hyperlink ref="U166" r:id="rId337" display="http://mlb.mlb.com/team/player.jsp?player_id=571893"/>
    <hyperlink ref="U167" r:id="rId338" display="http://mlb.mlb.com/team/player.jsp?player_id=628711"/>
    <hyperlink ref="U168" r:id="rId339" display="http://mlb.mlb.com/team/player.jsp?player_id=628317"/>
    <hyperlink ref="U169" r:id="rId340" display="http://mlb.mlb.com/team/player.jsp?player_id=622072"/>
    <hyperlink ref="U170" r:id="rId341" display="http://mlb.mlb.com/team/player.jsp?player_id=548389"/>
    <hyperlink ref="U171" r:id="rId342" display="http://mlb.mlb.com/team/player.jsp?player_id=434442"/>
    <hyperlink ref="U172" r:id="rId343" display="http://mlb.mlb.com/team/player.jsp?player_id=445926"/>
    <hyperlink ref="U173" r:id="rId344" display="http://mlb.mlb.com/team/player.jsp?player_id=502272"/>
    <hyperlink ref="U174" r:id="rId345" display="http://mlb.mlb.com/team/player.jsp?player_id=431148"/>
    <hyperlink ref="U175" r:id="rId346" display="http://mlb.mlb.com/team/player.jsp?player_id=488786"/>
    <hyperlink ref="U176" r:id="rId347" display="http://mlb.mlb.com/team/player.jsp?player_id=435221"/>
    <hyperlink ref="U177" r:id="rId348" display="http://mlb.mlb.com/team/player.jsp?player_id=425835"/>
    <hyperlink ref="U178" r:id="rId349" display="http://mlb.mlb.com/team/player.jsp?player_id=501822"/>
    <hyperlink ref="U179" r:id="rId350" display="http://mlb.mlb.com/team/player.jsp?player_id=592779"/>
    <hyperlink ref="U180" r:id="rId351" display="http://mlb.mlb.com/team/player.jsp?player_id=592254"/>
    <hyperlink ref="U181" r:id="rId352" display="http://mlb.mlb.com/team/player.jsp?player_id=502032"/>
    <hyperlink ref="U182" r:id="rId353" display="http://mlb.mlb.com/team/player.jsp?player_id=502211"/>
    <hyperlink ref="U183" r:id="rId354" display="http://mlb.mlb.com/team/player.jsp?player_id=519344"/>
    <hyperlink ref="U184" r:id="rId355" display="http://mlb.mlb.com/team/player.jsp?player_id=547943"/>
    <hyperlink ref="U185" r:id="rId356" display="http://mlb.mlb.com/team/player.jsp?player_id=474463"/>
    <hyperlink ref="B187" r:id="rId357" display="http://mlb.mlb.com/team/player.jsp?player_id=572309"/>
    <hyperlink ref="B188" r:id="rId358" display="http://mlb.mlb.com/team/player.jsp?player_id=607067"/>
    <hyperlink ref="B189" r:id="rId359" display="http://mlb.mlb.com/team/player.jsp?player_id=475479"/>
    <hyperlink ref="B190" r:id="rId360" display="http://mlb.mlb.com/team/player.jsp?player_id=596331"/>
    <hyperlink ref="B191" r:id="rId361" display="http://mlb.mlb.com/team/player.jsp?player_id=623395"/>
    <hyperlink ref="B192" r:id="rId362" display="http://mlb.mlb.com/team/player.jsp?player_id=573109"/>
    <hyperlink ref="B193" r:id="rId363" display="http://mlb.mlb.com/team/player.jsp?player_id=430661"/>
    <hyperlink ref="B194" r:id="rId364" display="http://mlb.mlb.com/team/player.jsp?player_id=607457"/>
    <hyperlink ref="B195" r:id="rId365" display="http://mlb.mlb.com/team/player.jsp?player_id=605228"/>
    <hyperlink ref="B196" r:id="rId366" display="http://mlb.mlb.com/team/player.jsp?player_id=457768"/>
    <hyperlink ref="B197" r:id="rId367" display="http://mlb.mlb.com/team/player.jsp?player_id=621295"/>
    <hyperlink ref="B198" r:id="rId368" display="http://mlb.mlb.com/team/player.jsp?player_id=445197"/>
    <hyperlink ref="B199" r:id="rId369" display="http://mlb.mlb.com/team/player.jsp?player_id=543045"/>
    <hyperlink ref="B200" r:id="rId370" display="http://mlb.mlb.com/team/player.jsp?player_id=543408"/>
    <hyperlink ref="B201" r:id="rId371" display="http://mlb.mlb.com/team/player.jsp?player_id=444520"/>
    <hyperlink ref="B202" r:id="rId372" display="http://mlb.mlb.com/team/player.jsp?player_id=543017"/>
    <hyperlink ref="B203" r:id="rId373" display="http://mlb.mlb.com/team/player.jsp?player_id=612672"/>
    <hyperlink ref="B204" r:id="rId374" display="http://mlb.mlb.com/team/player.jsp?player_id=592593"/>
    <hyperlink ref="B205" r:id="rId375" display="http://mlb.mlb.com/team/player.jsp?player_id=605222"/>
    <hyperlink ref="B206" r:id="rId376" display="http://mlb.mlb.com/team/player.jsp?player_id=407845"/>
    <hyperlink ref="B207" r:id="rId377" display="http://mlb.mlb.com/team/player.jsp?player_id=429719"/>
    <hyperlink ref="B208" r:id="rId378" display="http://mlb.mlb.com/team/player.jsp?player_id=543054"/>
    <hyperlink ref="B209" r:id="rId379" display="http://mlb.mlb.com/team/player.jsp?player_id=488768"/>
    <hyperlink ref="B210" r:id="rId380" display="http://mlb.mlb.com/team/player.jsp?player_id=570632"/>
    <hyperlink ref="B211" r:id="rId381" display="http://mlb.mlb.com/team/player.jsp?player_id=518560"/>
    <hyperlink ref="B212" r:id="rId382" display="http://mlb.mlb.com/team/player.jsp?player_id=592169"/>
    <hyperlink ref="B213" r:id="rId383" display="http://mlb.mlb.com/team/player.jsp?player_id=429780"/>
    <hyperlink ref="B214" r:id="rId384" display="http://mlb.mlb.com/team/player.jsp?player_id=628333"/>
    <hyperlink ref="B215" r:id="rId385" display="http://mlb.mlb.com/team/player.jsp?player_id=457456"/>
    <hyperlink ref="B216" r:id="rId386" display="http://mlb.mlb.com/team/player.jsp?player_id=643297"/>
    <hyperlink ref="B217" r:id="rId387" display="http://mlb.mlb.com/team/player.jsp?player_id=595235"/>
    <hyperlink ref="U187" r:id="rId388" display="http://mlb.mlb.com/team/player.jsp?player_id=572309"/>
    <hyperlink ref="U188" r:id="rId389" display="http://mlb.mlb.com/team/player.jsp?player_id=607067"/>
    <hyperlink ref="U189" r:id="rId390" display="http://mlb.mlb.com/team/player.jsp?player_id=475479"/>
    <hyperlink ref="U190" r:id="rId391" display="http://mlb.mlb.com/team/player.jsp?player_id=596331"/>
    <hyperlink ref="U191" r:id="rId392" display="http://mlb.mlb.com/team/player.jsp?player_id=623395"/>
    <hyperlink ref="U192" r:id="rId393" display="http://mlb.mlb.com/team/player.jsp?player_id=573109"/>
    <hyperlink ref="U193" r:id="rId394" display="http://mlb.mlb.com/team/player.jsp?player_id=430661"/>
    <hyperlink ref="U194" r:id="rId395" display="http://mlb.mlb.com/team/player.jsp?player_id=607457"/>
    <hyperlink ref="U195" r:id="rId396" display="http://mlb.mlb.com/team/player.jsp?player_id=605228"/>
    <hyperlink ref="U196" r:id="rId397" display="http://mlb.mlb.com/team/player.jsp?player_id=457768"/>
    <hyperlink ref="U197" r:id="rId398" display="http://mlb.mlb.com/team/player.jsp?player_id=621295"/>
    <hyperlink ref="U198" r:id="rId399" display="http://mlb.mlb.com/team/player.jsp?player_id=445197"/>
    <hyperlink ref="U199" r:id="rId400" display="http://mlb.mlb.com/team/player.jsp?player_id=543045"/>
    <hyperlink ref="U200" r:id="rId401" display="http://mlb.mlb.com/team/player.jsp?player_id=543408"/>
    <hyperlink ref="U201" r:id="rId402" display="http://mlb.mlb.com/team/player.jsp?player_id=444520"/>
    <hyperlink ref="U202" r:id="rId403" display="http://mlb.mlb.com/team/player.jsp?player_id=543017"/>
    <hyperlink ref="U203" r:id="rId404" display="http://mlb.mlb.com/team/player.jsp?player_id=612672"/>
    <hyperlink ref="U204" r:id="rId405" display="http://mlb.mlb.com/team/player.jsp?player_id=592593"/>
    <hyperlink ref="U205" r:id="rId406" display="http://mlb.mlb.com/team/player.jsp?player_id=605222"/>
    <hyperlink ref="U206" r:id="rId407" display="http://mlb.mlb.com/team/player.jsp?player_id=407845"/>
    <hyperlink ref="U207" r:id="rId408" display="http://mlb.mlb.com/team/player.jsp?player_id=429719"/>
    <hyperlink ref="U208" r:id="rId409" display="http://mlb.mlb.com/team/player.jsp?player_id=543054"/>
    <hyperlink ref="U209" r:id="rId410" display="http://mlb.mlb.com/team/player.jsp?player_id=488768"/>
    <hyperlink ref="U210" r:id="rId411" display="http://mlb.mlb.com/team/player.jsp?player_id=570632"/>
    <hyperlink ref="U211" r:id="rId412" display="http://mlb.mlb.com/team/player.jsp?player_id=518560"/>
    <hyperlink ref="U212" r:id="rId413" display="http://mlb.mlb.com/team/player.jsp?player_id=592169"/>
    <hyperlink ref="U213" r:id="rId414" display="http://mlb.mlb.com/team/player.jsp?player_id=429780"/>
    <hyperlink ref="U214" r:id="rId415" display="http://mlb.mlb.com/team/player.jsp?player_id=628333"/>
    <hyperlink ref="U215" r:id="rId416" display="http://mlb.mlb.com/team/player.jsp?player_id=457456"/>
    <hyperlink ref="U216" r:id="rId417" display="http://mlb.mlb.com/team/player.jsp?player_id=643297"/>
    <hyperlink ref="U217" r:id="rId418" display="http://mlb.mlb.com/team/player.jsp?player_id=595235"/>
    <hyperlink ref="B219" r:id="rId419" display="http://mlb.mlb.com/team/player.jsp?player_id=592804"/>
    <hyperlink ref="B220" r:id="rId420" display="http://mlb.mlb.com/team/player.jsp?player_id=502026"/>
    <hyperlink ref="B221" r:id="rId421" display="http://mlb.mlb.com/team/player.jsp?player_id=543746"/>
    <hyperlink ref="B222" r:id="rId422" display="http://mlb.mlb.com/team/player.jsp?player_id=606930"/>
    <hyperlink ref="B223" r:id="rId423" display="http://mlb.mlb.com/team/player.jsp?player_id=448614"/>
    <hyperlink ref="B224" r:id="rId424" display="http://mlb.mlb.com/team/player.jsp?player_id=448855"/>
    <hyperlink ref="B225" r:id="rId425" display="http://mlb.mlb.com/team/player.jsp?player_id=572788"/>
    <hyperlink ref="B226" r:id="rId426" display="http://mlb.mlb.com/team/player.jsp?player_id=501697"/>
    <hyperlink ref="B227" r:id="rId427" display="http://mlb.mlb.com/team/player.jsp?player_id=608718"/>
    <hyperlink ref="B228" r:id="rId428" display="http://mlb.mlb.com/team/player.jsp?player_id=519293"/>
    <hyperlink ref="B229" r:id="rId429" display="http://mlb.mlb.com/team/player.jsp?player_id=430641"/>
    <hyperlink ref="B230" r:id="rId430" display="http://mlb.mlb.com/team/player.jsp?player_id=605200"/>
    <hyperlink ref="B231" r:id="rId431" display="http://mlb.mlb.com/team/player.jsp?player_id=425626"/>
    <hyperlink ref="B232" r:id="rId432" display="http://mlb.mlb.com/team/player.jsp?player_id=502624"/>
    <hyperlink ref="B233" r:id="rId433" display="http://mlb.mlb.com/team/player.jsp?player_id=490063"/>
    <hyperlink ref="B234" r:id="rId434" display="http://mlb.mlb.com/team/player.jsp?player_id=519076"/>
    <hyperlink ref="B235" r:id="rId435" display="http://mlb.mlb.com/team/player.jsp?player_id=608349"/>
    <hyperlink ref="B236" r:id="rId436" display="http://mlb.mlb.com/team/player.jsp?player_id=503449"/>
    <hyperlink ref="B237" r:id="rId437" display="http://mlb.mlb.com/team/player.jsp?player_id=518468"/>
    <hyperlink ref="B238" r:id="rId438" display="http://mlb.mlb.com/team/player.jsp?player_id=571911"/>
    <hyperlink ref="B239" r:id="rId439" display="http://mlb.mlb.com/team/player.jsp?player_id=543380"/>
    <hyperlink ref="B240" r:id="rId440" display="http://mlb.mlb.com/team/player.jsp?player_id=457779"/>
    <hyperlink ref="B241" r:id="rId441" display="http://mlb.mlb.com/team/player.jsp?player_id=519166"/>
    <hyperlink ref="B242" r:id="rId442" display="http://mlb.mlb.com/team/player.jsp?player_id=592341"/>
    <hyperlink ref="B243" r:id="rId443" display="http://mlb.mlb.com/team/player.jsp?player_id=518693"/>
    <hyperlink ref="B244" r:id="rId444" display="http://mlb.mlb.com/team/player.jsp?player_id=594985"/>
    <hyperlink ref="B245" r:id="rId445" display="http://mlb.mlb.com/team/player.jsp?player_id=516414"/>
    <hyperlink ref="U219" r:id="rId446" display="http://mlb.mlb.com/team/player.jsp?player_id=592804"/>
    <hyperlink ref="U220" r:id="rId447" display="http://mlb.mlb.com/team/player.jsp?player_id=502026"/>
    <hyperlink ref="U221" r:id="rId448" display="http://mlb.mlb.com/team/player.jsp?player_id=543746"/>
    <hyperlink ref="U222" r:id="rId449" display="http://mlb.mlb.com/team/player.jsp?player_id=606930"/>
    <hyperlink ref="U223" r:id="rId450" display="http://mlb.mlb.com/team/player.jsp?player_id=448614"/>
    <hyperlink ref="U224" r:id="rId451" display="http://mlb.mlb.com/team/player.jsp?player_id=448855"/>
    <hyperlink ref="U225" r:id="rId452" display="http://mlb.mlb.com/team/player.jsp?player_id=572788"/>
    <hyperlink ref="U226" r:id="rId453" display="http://mlb.mlb.com/team/player.jsp?player_id=501697"/>
    <hyperlink ref="U227" r:id="rId454" display="http://mlb.mlb.com/team/player.jsp?player_id=608718"/>
    <hyperlink ref="U228" r:id="rId455" display="http://mlb.mlb.com/team/player.jsp?player_id=519293"/>
    <hyperlink ref="U229" r:id="rId456" display="http://mlb.mlb.com/team/player.jsp?player_id=430641"/>
    <hyperlink ref="U230" r:id="rId457" display="http://mlb.mlb.com/team/player.jsp?player_id=605200"/>
    <hyperlink ref="U231" r:id="rId458" display="http://mlb.mlb.com/team/player.jsp?player_id=425626"/>
    <hyperlink ref="U232" r:id="rId459" display="http://mlb.mlb.com/team/player.jsp?player_id=502624"/>
    <hyperlink ref="U233" r:id="rId460" display="http://mlb.mlb.com/team/player.jsp?player_id=490063"/>
    <hyperlink ref="U234" r:id="rId461" display="http://mlb.mlb.com/team/player.jsp?player_id=519076"/>
    <hyperlink ref="U235" r:id="rId462" display="http://mlb.mlb.com/team/player.jsp?player_id=608349"/>
    <hyperlink ref="U236" r:id="rId463" display="http://mlb.mlb.com/team/player.jsp?player_id=503449"/>
    <hyperlink ref="U237" r:id="rId464" display="http://mlb.mlb.com/team/player.jsp?player_id=518468"/>
    <hyperlink ref="U238" r:id="rId465" display="http://mlb.mlb.com/team/player.jsp?player_id=571911"/>
    <hyperlink ref="U239" r:id="rId466" display="http://mlb.mlb.com/team/player.jsp?player_id=543380"/>
    <hyperlink ref="U240" r:id="rId467" display="http://mlb.mlb.com/team/player.jsp?player_id=457779"/>
    <hyperlink ref="U241" r:id="rId468" display="http://mlb.mlb.com/team/player.jsp?player_id=519166"/>
    <hyperlink ref="U242" r:id="rId469" display="http://mlb.mlb.com/team/player.jsp?player_id=592341"/>
    <hyperlink ref="U243" r:id="rId470" display="http://mlb.mlb.com/team/player.jsp?player_id=518693"/>
    <hyperlink ref="U244" r:id="rId471" display="http://mlb.mlb.com/team/player.jsp?player_id=594985"/>
    <hyperlink ref="U245" r:id="rId472" display="http://mlb.mlb.com/team/player.jsp?player_id=516414"/>
    <hyperlink ref="B247" r:id="rId473" display="http://mlb.mlb.com/team/player.jsp?player_id=592665"/>
    <hyperlink ref="B248" r:id="rId474" display="http://mlb.mlb.com/team/player.jsp?player_id=477569"/>
    <hyperlink ref="B249" r:id="rId475" display="http://mlb.mlb.com/team/player.jsp?player_id=607229"/>
    <hyperlink ref="B250" r:id="rId476" display="http://mlb.mlb.com/team/player.jsp?player_id=544727"/>
    <hyperlink ref="B251" r:id="rId477" display="http://mlb.mlb.com/team/player.jsp?player_id=592789"/>
    <hyperlink ref="B252" r:id="rId478" display="http://mlb.mlb.com/team/player.jsp?player_id=607625"/>
    <hyperlink ref="B253" r:id="rId479" display="http://mlb.mlb.com/team/player.jsp?player_id=460283"/>
    <hyperlink ref="B254" r:id="rId480" display="http://mlb.mlb.com/team/player.jsp?player_id=594798"/>
    <hyperlink ref="B255" r:id="rId481" display="http://mlb.mlb.com/team/player.jsp?player_id=571927"/>
    <hyperlink ref="B256" r:id="rId482" display="http://mlb.mlb.com/team/player.jsp?player_id=112526"/>
    <hyperlink ref="B257" r:id="rId483" display="http://mlb.mlb.com/team/player.jsp?player_id=570663"/>
    <hyperlink ref="B258" r:id="rId484" display="http://mlb.mlb.com/team/player.jsp?player_id=449104"/>
    <hyperlink ref="B259" r:id="rId485" display="http://mlb.mlb.com/team/player.jsp?player_id=592340"/>
    <hyperlink ref="B260" r:id="rId486" display="http://mlb.mlb.com/team/player.jsp?player_id=519294"/>
    <hyperlink ref="B261" r:id="rId487" display="http://mlb.mlb.com/team/player.jsp?player_id=455374"/>
    <hyperlink ref="B262" r:id="rId488" display="http://mlb.mlb.com/team/player.jsp?player_id=518774"/>
    <hyperlink ref="B263" r:id="rId489" display="http://mlb.mlb.com/team/player.jsp?player_id=548337"/>
    <hyperlink ref="B264" r:id="rId490" display="http://mlb.mlb.com/team/player.jsp?player_id=572831"/>
    <hyperlink ref="B265" r:id="rId491" display="http://mlb.mlb.com/team/player.jsp?player_id=593679"/>
    <hyperlink ref="B266" r:id="rId492" display="http://mlb.mlb.com/team/player.jsp?player_id=543219"/>
    <hyperlink ref="B267" r:id="rId493" display="http://mlb.mlb.com/team/player.jsp?player_id=606160"/>
    <hyperlink ref="B268" r:id="rId494" display="http://mlb.mlb.com/team/player.jsp?player_id=477003"/>
    <hyperlink ref="U247" r:id="rId495" display="http://mlb.mlb.com/team/player.jsp?player_id=592665"/>
    <hyperlink ref="U248" r:id="rId496" display="http://mlb.mlb.com/team/player.jsp?player_id=477569"/>
    <hyperlink ref="U249" r:id="rId497" display="http://mlb.mlb.com/team/player.jsp?player_id=607229"/>
    <hyperlink ref="U250" r:id="rId498" display="http://mlb.mlb.com/team/player.jsp?player_id=544727"/>
    <hyperlink ref="U251" r:id="rId499" display="http://mlb.mlb.com/team/player.jsp?player_id=592789"/>
    <hyperlink ref="U252" r:id="rId500" display="http://mlb.mlb.com/team/player.jsp?player_id=607625"/>
    <hyperlink ref="U253" r:id="rId501" display="http://mlb.mlb.com/team/player.jsp?player_id=460283"/>
    <hyperlink ref="U254" r:id="rId502" display="http://mlb.mlb.com/team/player.jsp?player_id=594798"/>
    <hyperlink ref="U255" r:id="rId503" display="http://mlb.mlb.com/team/player.jsp?player_id=571927"/>
    <hyperlink ref="U256" r:id="rId504" display="http://mlb.mlb.com/team/player.jsp?player_id=112526"/>
    <hyperlink ref="U257" r:id="rId505" display="http://mlb.mlb.com/team/player.jsp?player_id=570663"/>
    <hyperlink ref="U258" r:id="rId506" display="http://mlb.mlb.com/team/player.jsp?player_id=449104"/>
    <hyperlink ref="U259" r:id="rId507" display="http://mlb.mlb.com/team/player.jsp?player_id=592340"/>
    <hyperlink ref="U260" r:id="rId508" display="http://mlb.mlb.com/team/player.jsp?player_id=519294"/>
    <hyperlink ref="U261" r:id="rId509" display="http://mlb.mlb.com/team/player.jsp?player_id=455374"/>
    <hyperlink ref="U262" r:id="rId510" display="http://mlb.mlb.com/team/player.jsp?player_id=518774"/>
    <hyperlink ref="U263" r:id="rId511" display="http://mlb.mlb.com/team/player.jsp?player_id=548337"/>
    <hyperlink ref="U264" r:id="rId512" display="http://mlb.mlb.com/team/player.jsp?player_id=572831"/>
    <hyperlink ref="U265" r:id="rId513" display="http://mlb.mlb.com/team/player.jsp?player_id=593679"/>
    <hyperlink ref="U266" r:id="rId514" display="http://mlb.mlb.com/team/player.jsp?player_id=543219"/>
    <hyperlink ref="U267" r:id="rId515" display="http://mlb.mlb.com/team/player.jsp?player_id=606160"/>
    <hyperlink ref="U268" r:id="rId516" display="http://mlb.mlb.com/team/player.jsp?player_id=477003"/>
    <hyperlink ref="B270" r:id="rId517" display="http://mlb.mlb.com/team/player.jsp?player_id=594742"/>
    <hyperlink ref="B271" r:id="rId518" display="http://mlb.mlb.com/team/player.jsp?player_id=593576"/>
    <hyperlink ref="B272" r:id="rId519" display="http://mlb.mlb.com/team/player.jsp?player_id=570257"/>
    <hyperlink ref="B273" r:id="rId520" display="http://mlb.mlb.com/team/player.jsp?player_id=648737"/>
    <hyperlink ref="B274" r:id="rId521" display="http://mlb.mlb.com/team/player.jsp?player_id=595191"/>
    <hyperlink ref="B275" r:id="rId522" display="http://mlb.mlb.com/team/player.jsp?player_id=476451"/>
    <hyperlink ref="B276" r:id="rId523" display="http://mlb.mlb.com/team/player.jsp?player_id=591693"/>
    <hyperlink ref="B277" r:id="rId524" display="http://mlb.mlb.com/team/player.jsp?player_id=456696"/>
    <hyperlink ref="B278" r:id="rId525" display="http://mlb.mlb.com/team/player.jsp?player_id=592826"/>
    <hyperlink ref="B279" r:id="rId526" display="http://mlb.mlb.com/team/player.jsp?player_id=450203"/>
    <hyperlink ref="B280" r:id="rId527" display="http://mlb.mlb.com/team/player.jsp?player_id=605400"/>
    <hyperlink ref="B281" r:id="rId528" display="http://mlb.mlb.com/team/player.jsp?player_id=519085"/>
    <hyperlink ref="B282" r:id="rId529" display="http://mlb.mlb.com/team/player.jsp?player_id=491646"/>
    <hyperlink ref="B283" r:id="rId530" display="http://mlb.mlb.com/team/player.jsp?player_id=621107"/>
    <hyperlink ref="B284" r:id="rId531" display="http://mlb.mlb.com/team/player.jsp?player_id=542587"/>
    <hyperlink ref="B285" r:id="rId532" display="http://mlb.mlb.com/team/player.jsp?player_id=605894"/>
    <hyperlink ref="B286" r:id="rId533" display="http://mlb.mlb.com/team/player.jsp?player_id=622097"/>
    <hyperlink ref="B287" r:id="rId534" display="http://mlb.mlb.com/team/player.jsp?player_id=592527"/>
    <hyperlink ref="B288" r:id="rId535" display="http://mlb.mlb.com/team/player.jsp?player_id=605388"/>
    <hyperlink ref="B289" r:id="rId536" display="http://mlb.mlb.com/team/player.jsp?player_id=605396"/>
    <hyperlink ref="B290" r:id="rId537" display="http://mlb.mlb.com/team/player.jsp?player_id=457732"/>
    <hyperlink ref="B291" r:id="rId538" display="http://mlb.mlb.com/team/player.jsp?player_id=472610"/>
    <hyperlink ref="B292" r:id="rId539" display="http://mlb.mlb.com/team/player.jsp?player_id=497807"/>
    <hyperlink ref="B293" r:id="rId540" display="http://mlb.mlb.com/team/player.jsp?player_id=607309"/>
    <hyperlink ref="B294" r:id="rId541" display="http://mlb.mlb.com/team/player.jsp?player_id=621385"/>
    <hyperlink ref="B295" r:id="rId542" display="http://mlb.mlb.com/team/player.jsp?player_id=460701"/>
    <hyperlink ref="B296" r:id="rId543" display="http://mlb.mlb.com/team/player.jsp?player_id=572119"/>
    <hyperlink ref="U270" r:id="rId544" display="http://mlb.mlb.com/team/player.jsp?player_id=594742"/>
    <hyperlink ref="U271" r:id="rId545" display="http://mlb.mlb.com/team/player.jsp?player_id=593576"/>
    <hyperlink ref="U272" r:id="rId546" display="http://mlb.mlb.com/team/player.jsp?player_id=570257"/>
    <hyperlink ref="U273" r:id="rId547" display="http://mlb.mlb.com/team/player.jsp?player_id=648737"/>
    <hyperlink ref="U274" r:id="rId548" display="http://mlb.mlb.com/team/player.jsp?player_id=595191"/>
    <hyperlink ref="U275" r:id="rId549" display="http://mlb.mlb.com/team/player.jsp?player_id=476451"/>
    <hyperlink ref="U276" r:id="rId550" display="http://mlb.mlb.com/team/player.jsp?player_id=591693"/>
    <hyperlink ref="U277" r:id="rId551" display="http://mlb.mlb.com/team/player.jsp?player_id=456696"/>
    <hyperlink ref="U278" r:id="rId552" display="http://mlb.mlb.com/team/player.jsp?player_id=592826"/>
    <hyperlink ref="U279" r:id="rId553" display="http://mlb.mlb.com/team/player.jsp?player_id=450203"/>
    <hyperlink ref="U280" r:id="rId554" display="http://mlb.mlb.com/team/player.jsp?player_id=605400"/>
    <hyperlink ref="U281" r:id="rId555" display="http://mlb.mlb.com/team/player.jsp?player_id=519085"/>
    <hyperlink ref="U282" r:id="rId556" display="http://mlb.mlb.com/team/player.jsp?player_id=491646"/>
    <hyperlink ref="U283" r:id="rId557" display="http://mlb.mlb.com/team/player.jsp?player_id=621107"/>
    <hyperlink ref="U284" r:id="rId558" display="http://mlb.mlb.com/team/player.jsp?player_id=542587"/>
    <hyperlink ref="U285" r:id="rId559" display="http://mlb.mlb.com/team/player.jsp?player_id=605894"/>
    <hyperlink ref="U286" r:id="rId560" display="http://mlb.mlb.com/team/player.jsp?player_id=622097"/>
    <hyperlink ref="U287" r:id="rId561" display="http://mlb.mlb.com/team/player.jsp?player_id=592527"/>
    <hyperlink ref="U288" r:id="rId562" display="http://mlb.mlb.com/team/player.jsp?player_id=605388"/>
    <hyperlink ref="U289" r:id="rId563" display="http://mlb.mlb.com/team/player.jsp?player_id=605396"/>
    <hyperlink ref="U290" r:id="rId564" display="http://mlb.mlb.com/team/player.jsp?player_id=457732"/>
    <hyperlink ref="U291" r:id="rId565" display="http://mlb.mlb.com/team/player.jsp?player_id=472610"/>
    <hyperlink ref="U292" r:id="rId566" display="http://mlb.mlb.com/team/player.jsp?player_id=497807"/>
    <hyperlink ref="U293" r:id="rId567" display="http://mlb.mlb.com/team/player.jsp?player_id=607309"/>
    <hyperlink ref="U294" r:id="rId568" display="http://mlb.mlb.com/team/player.jsp?player_id=621385"/>
    <hyperlink ref="U295" r:id="rId569" display="http://mlb.mlb.com/team/player.jsp?player_id=460701"/>
    <hyperlink ref="U296" r:id="rId570" display="http://mlb.mlb.com/team/player.jsp?player_id=572119"/>
    <hyperlink ref="B298" r:id="rId571" display="http://mlb.mlb.com/team/player.jsp?player_id=457435"/>
    <hyperlink ref="B299" r:id="rId572" display="http://mlb.mlb.com/team/player.jsp?player_id=456124"/>
    <hyperlink ref="B300" r:id="rId573" display="http://mlb.mlb.com/team/player.jsp?player_id=517629"/>
    <hyperlink ref="B301" r:id="rId574" display="http://mlb.mlb.com/team/player.jsp?player_id=453281"/>
    <hyperlink ref="B302" r:id="rId575" display="http://mlb.mlb.com/team/player.jsp?player_id=453343"/>
    <hyperlink ref="B303" r:id="rId576" display="http://mlb.mlb.com/team/player.jsp?player_id=452061"/>
    <hyperlink ref="B304" r:id="rId577" display="http://mlb.mlb.com/team/player.jsp?player_id=453172"/>
    <hyperlink ref="B305" r:id="rId578" display="http://mlb.mlb.com/team/player.jsp?player_id=453265"/>
    <hyperlink ref="B306" r:id="rId579" display="http://mlb.mlb.com/team/player.jsp?player_id=467100"/>
    <hyperlink ref="B307" r:id="rId580" display="http://mlb.mlb.com/team/player.jsp?player_id=553878"/>
    <hyperlink ref="B308" r:id="rId581" display="http://mlb.mlb.com/team/player.jsp?player_id=592791"/>
    <hyperlink ref="B309" r:id="rId582" display="http://mlb.mlb.com/team/player.jsp?player_id=491708"/>
    <hyperlink ref="B310" r:id="rId583" display="http://mlb.mlb.com/team/player.jsp?player_id=491703"/>
    <hyperlink ref="B311" r:id="rId584" display="http://mlb.mlb.com/team/player.jsp?player_id=519263"/>
    <hyperlink ref="B312" r:id="rId585" display="http://mlb.mlb.com/team/player.jsp?player_id=543037"/>
    <hyperlink ref="B313" r:id="rId586" display="http://mlb.mlb.com/team/player.jsp?player_id=543456"/>
    <hyperlink ref="B314" r:id="rId587" display="http://mlb.mlb.com/team/player.jsp?player_id=455374"/>
    <hyperlink ref="B315" r:id="rId588" display="http://mlb.mlb.com/team/player.jsp?player_id=641771"/>
    <hyperlink ref="B316" r:id="rId589" display="http://mlb.mlb.com/team/player.jsp?player_id=607192"/>
    <hyperlink ref="B317" r:id="rId590" display="http://mlb.mlb.com/team/player.jsp?player_id=543746"/>
    <hyperlink ref="B318" r:id="rId591" display="http://mlb.mlb.com/team/player.jsp?player_id=504379"/>
    <hyperlink ref="B319" r:id="rId592" display="http://mlb.mlb.com/team/player.jsp?player_id=285064"/>
    <hyperlink ref="B320" r:id="rId593" display="http://mlb.mlb.com/team/player.jsp?player_id=643230"/>
    <hyperlink ref="B321" r:id="rId594" display="http://mlb.mlb.com/team/player.jsp?player_id=477003"/>
    <hyperlink ref="B322" r:id="rId595" display="http://mlb.mlb.com/team/player.jsp?player_id=502046"/>
    <hyperlink ref="B323" r:id="rId596" display="http://mlb.mlb.com/team/player.jsp?player_id=434538"/>
    <hyperlink ref="B324" r:id="rId597" display="http://mlb.mlb.com/team/player.jsp?player_id=571800"/>
    <hyperlink ref="B325" r:id="rId598" display="http://mlb.mlb.com/team/player.jsp?player_id=517448"/>
    <hyperlink ref="B326" r:id="rId599" display="http://mlb.mlb.com/team/player.jsp?player_id=592866"/>
    <hyperlink ref="B327" r:id="rId600" display="http://mlb.mlb.com/team/player.jsp?player_id=458537"/>
    <hyperlink ref="B328" r:id="rId601" display="http://mlb.mlb.com/team/player.jsp?player_id=504083"/>
    <hyperlink ref="B329" r:id="rId602" display="http://mlb.mlb.com/team/player.jsp?player_id=489197"/>
    <hyperlink ref="U298" r:id="rId603" display="http://mlb.mlb.com/team/player.jsp?player_id=457435"/>
    <hyperlink ref="U299" r:id="rId604" display="http://mlb.mlb.com/team/player.jsp?player_id=456124"/>
    <hyperlink ref="U300" r:id="rId605" display="http://mlb.mlb.com/team/player.jsp?player_id=517629"/>
    <hyperlink ref="U301" r:id="rId606" display="http://mlb.mlb.com/team/player.jsp?player_id=453281"/>
    <hyperlink ref="U302" r:id="rId607" display="http://mlb.mlb.com/team/player.jsp?player_id=453343"/>
    <hyperlink ref="U303" r:id="rId608" display="http://mlb.mlb.com/team/player.jsp?player_id=452061"/>
    <hyperlink ref="U304" r:id="rId609" display="http://mlb.mlb.com/team/player.jsp?player_id=453172"/>
    <hyperlink ref="U305" r:id="rId610" display="http://mlb.mlb.com/team/player.jsp?player_id=453265"/>
    <hyperlink ref="U306" r:id="rId611" display="http://mlb.mlb.com/team/player.jsp?player_id=467100"/>
    <hyperlink ref="U307" r:id="rId612" display="http://mlb.mlb.com/team/player.jsp?player_id=553878"/>
    <hyperlink ref="U308" r:id="rId613" display="http://mlb.mlb.com/team/player.jsp?player_id=592791"/>
    <hyperlink ref="U309" r:id="rId614" display="http://mlb.mlb.com/team/player.jsp?player_id=491708"/>
    <hyperlink ref="U310" r:id="rId615" display="http://mlb.mlb.com/team/player.jsp?player_id=491703"/>
    <hyperlink ref="U311" r:id="rId616" display="http://mlb.mlb.com/team/player.jsp?player_id=519263"/>
    <hyperlink ref="U312" r:id="rId617" display="http://mlb.mlb.com/team/player.jsp?player_id=543037"/>
    <hyperlink ref="U313" r:id="rId618" display="http://mlb.mlb.com/team/player.jsp?player_id=543456"/>
    <hyperlink ref="U314" r:id="rId619" display="http://mlb.mlb.com/team/player.jsp?player_id=455374"/>
    <hyperlink ref="U315" r:id="rId620" display="http://mlb.mlb.com/team/player.jsp?player_id=641771"/>
    <hyperlink ref="U316" r:id="rId621" display="http://mlb.mlb.com/team/player.jsp?player_id=607192"/>
    <hyperlink ref="U317" r:id="rId622" display="http://mlb.mlb.com/team/player.jsp?player_id=543746"/>
    <hyperlink ref="U318" r:id="rId623" display="http://mlb.mlb.com/team/player.jsp?player_id=504379"/>
    <hyperlink ref="U319" r:id="rId624" display="http://mlb.mlb.com/team/player.jsp?player_id=285064"/>
    <hyperlink ref="U320" r:id="rId625" display="http://mlb.mlb.com/team/player.jsp?player_id=643230"/>
    <hyperlink ref="U321" r:id="rId626" display="http://mlb.mlb.com/team/player.jsp?player_id=477003"/>
    <hyperlink ref="U322" r:id="rId627" display="http://mlb.mlb.com/team/player.jsp?player_id=502046"/>
    <hyperlink ref="U323" r:id="rId628" display="http://mlb.mlb.com/team/player.jsp?player_id=434538"/>
    <hyperlink ref="U324" r:id="rId629" display="http://mlb.mlb.com/team/player.jsp?player_id=571800"/>
    <hyperlink ref="U325" r:id="rId630" display="http://mlb.mlb.com/team/player.jsp?player_id=517448"/>
    <hyperlink ref="U326" r:id="rId631" display="http://mlb.mlb.com/team/player.jsp?player_id=592866"/>
    <hyperlink ref="U327" r:id="rId632" display="http://mlb.mlb.com/team/player.jsp?player_id=458537"/>
    <hyperlink ref="U328" r:id="rId633" display="http://mlb.mlb.com/team/player.jsp?player_id=504083"/>
    <hyperlink ref="U329" r:id="rId634" display="http://mlb.mlb.com/team/player.jsp?player_id=489197"/>
    <hyperlink ref="B331" r:id="rId635" display="http://mlb.mlb.com/team/player.jsp?player_id=506560"/>
    <hyperlink ref="B332" r:id="rId636" display="http://mlb.mlb.com/team/player.jsp?player_id=542194"/>
    <hyperlink ref="B333" r:id="rId637" display="http://mlb.mlb.com/team/player.jsp?player_id=600526"/>
    <hyperlink ref="B334" r:id="rId638" display="http://mlb.mlb.com/team/player.jsp?player_id=407845"/>
    <hyperlink ref="B335" r:id="rId639" display="http://mlb.mlb.com/team/player.jsp?player_id=453344"/>
    <hyperlink ref="B336" r:id="rId640" display="http://mlb.mlb.com/team/player.jsp?player_id=519141"/>
    <hyperlink ref="B337" r:id="rId641" display="http://mlb.mlb.com/team/player.jsp?player_id=453385"/>
    <hyperlink ref="B338" r:id="rId642" display="http://mlb.mlb.com/team/player.jsp?player_id=488748"/>
    <hyperlink ref="B339" r:id="rId643" display="http://mlb.mlb.com/team/player.jsp?player_id=543272"/>
    <hyperlink ref="B340" r:id="rId644" display="http://mlb.mlb.com/team/player.jsp?player_id=594857"/>
    <hyperlink ref="B341" r:id="rId645" display="http://mlb.mlb.com/team/player.jsp?player_id=518560"/>
    <hyperlink ref="B342" r:id="rId646" display="http://mlb.mlb.com/team/player.jsp?player_id=571473"/>
    <hyperlink ref="B343" r:id="rId647" display="http://mlb.mlb.com/team/player.jsp?player_id=534812"/>
    <hyperlink ref="B344" r:id="rId648" display="http://mlb.mlb.com/team/player.jsp?player_id=572362"/>
    <hyperlink ref="B345" r:id="rId649" display="http://mlb.mlb.com/team/player.jsp?player_id=448306"/>
    <hyperlink ref="B346" r:id="rId650" display="http://mlb.mlb.com/team/player.jsp?player_id=594027"/>
    <hyperlink ref="B347" r:id="rId651" display="http://mlb.mlb.com/team/player.jsp?player_id=607727"/>
    <hyperlink ref="B348" r:id="rId652" display="http://mlb.mlb.com/team/player.jsp?player_id=543506"/>
    <hyperlink ref="B349" r:id="rId653" display="http://mlb.mlb.com/team/player.jsp?player_id=488768"/>
    <hyperlink ref="B350" r:id="rId654" display="http://mlb.mlb.com/team/player.jsp?player_id=543184"/>
    <hyperlink ref="B351" r:id="rId655" display="http://mlb.mlb.com/team/player.jsp?player_id=607067"/>
    <hyperlink ref="B352" r:id="rId656" display="http://mlb.mlb.com/team/player.jsp?player_id=570714"/>
    <hyperlink ref="B353" r:id="rId657" display="http://mlb.mlb.com/team/player.jsp?player_id=523848"/>
    <hyperlink ref="B354" r:id="rId658" display="http://mlb.mlb.com/team/player.jsp?player_id=606131"/>
    <hyperlink ref="B355" r:id="rId659" display="http://mlb.mlb.com/team/player.jsp?player_id=599998"/>
    <hyperlink ref="B356" r:id="rId660" display="http://mlb.mlb.com/team/player.jsp?player_id=407819"/>
    <hyperlink ref="B357" r:id="rId661" display="http://mlb.mlb.com/team/player.jsp?player_id=429719"/>
    <hyperlink ref="B358" r:id="rId662" display="http://mlb.mlb.com/team/player.jsp?player_id=453646"/>
    <hyperlink ref="B359" r:id="rId663" display="http://mlb.mlb.com/team/player.jsp?player_id=543054"/>
    <hyperlink ref="B360" r:id="rId664" display="http://mlb.mlb.com/team/player.jsp?player_id=605304"/>
    <hyperlink ref="B361" r:id="rId665" display="http://mlb.mlb.com/team/player.jsp?player_id=475115"/>
    <hyperlink ref="B362" r:id="rId666" display="http://mlb.mlb.com/team/player.jsp?player_id=457779"/>
    <hyperlink ref="U331" r:id="rId667" display="http://mlb.mlb.com/team/player.jsp?player_id=506560"/>
    <hyperlink ref="U332" r:id="rId668" display="http://mlb.mlb.com/team/player.jsp?player_id=542194"/>
    <hyperlink ref="U333" r:id="rId669" display="http://mlb.mlb.com/team/player.jsp?player_id=600526"/>
    <hyperlink ref="U334" r:id="rId670" display="http://mlb.mlb.com/team/player.jsp?player_id=407845"/>
    <hyperlink ref="U335" r:id="rId671" display="http://mlb.mlb.com/team/player.jsp?player_id=453344"/>
    <hyperlink ref="U336" r:id="rId672" display="http://mlb.mlb.com/team/player.jsp?player_id=519141"/>
    <hyperlink ref="U337" r:id="rId673" display="http://mlb.mlb.com/team/player.jsp?player_id=453385"/>
    <hyperlink ref="U338" r:id="rId674" display="http://mlb.mlb.com/team/player.jsp?player_id=488748"/>
    <hyperlink ref="U339" r:id="rId675" display="http://mlb.mlb.com/team/player.jsp?player_id=543272"/>
    <hyperlink ref="U340" r:id="rId676" display="http://mlb.mlb.com/team/player.jsp?player_id=594857"/>
    <hyperlink ref="U341" r:id="rId677" display="http://mlb.mlb.com/team/player.jsp?player_id=518560"/>
    <hyperlink ref="U342" r:id="rId678" display="http://mlb.mlb.com/team/player.jsp?player_id=571473"/>
    <hyperlink ref="U343" r:id="rId679" display="http://mlb.mlb.com/team/player.jsp?player_id=534812"/>
    <hyperlink ref="U344" r:id="rId680" display="http://mlb.mlb.com/team/player.jsp?player_id=572362"/>
    <hyperlink ref="U345" r:id="rId681" display="http://mlb.mlb.com/team/player.jsp?player_id=448306"/>
    <hyperlink ref="U346" r:id="rId682" display="http://mlb.mlb.com/team/player.jsp?player_id=594027"/>
    <hyperlink ref="U347" r:id="rId683" display="http://mlb.mlb.com/team/player.jsp?player_id=607727"/>
    <hyperlink ref="U348" r:id="rId684" display="http://mlb.mlb.com/team/player.jsp?player_id=543506"/>
    <hyperlink ref="U349" r:id="rId685" display="http://mlb.mlb.com/team/player.jsp?player_id=488768"/>
    <hyperlink ref="U350" r:id="rId686" display="http://mlb.mlb.com/team/player.jsp?player_id=543184"/>
    <hyperlink ref="U351" r:id="rId687" display="http://mlb.mlb.com/team/player.jsp?player_id=607067"/>
    <hyperlink ref="U352" r:id="rId688" display="http://mlb.mlb.com/team/player.jsp?player_id=570714"/>
    <hyperlink ref="U353" r:id="rId689" display="http://mlb.mlb.com/team/player.jsp?player_id=523848"/>
    <hyperlink ref="U354" r:id="rId690" display="http://mlb.mlb.com/team/player.jsp?player_id=606131"/>
    <hyperlink ref="U355" r:id="rId691" display="http://mlb.mlb.com/team/player.jsp?player_id=599998"/>
    <hyperlink ref="U356" r:id="rId692" display="http://mlb.mlb.com/team/player.jsp?player_id=407819"/>
    <hyperlink ref="U357" r:id="rId693" display="http://mlb.mlb.com/team/player.jsp?player_id=429719"/>
    <hyperlink ref="U358" r:id="rId694" display="http://mlb.mlb.com/team/player.jsp?player_id=453646"/>
    <hyperlink ref="U359" r:id="rId695" display="http://mlb.mlb.com/team/player.jsp?player_id=543054"/>
    <hyperlink ref="U360" r:id="rId696" display="http://mlb.mlb.com/team/player.jsp?player_id=605304"/>
    <hyperlink ref="U361" r:id="rId697" display="http://mlb.mlb.com/team/player.jsp?player_id=475115"/>
    <hyperlink ref="U362" r:id="rId698" display="http://mlb.mlb.com/team/player.jsp?player_id=457779"/>
    <hyperlink ref="B364" r:id="rId699" display="http://mlb.mlb.com/team/player.jsp?player_id=150274"/>
    <hyperlink ref="B365" r:id="rId700" display="http://mlb.mlb.com/team/player.jsp?player_id=621389"/>
    <hyperlink ref="B366" r:id="rId701" display="http://mlb.mlb.com/team/player.jsp?player_id=571882"/>
    <hyperlink ref="B367" r:id="rId702" display="http://mlb.mlb.com/team/player.jsp?player_id=502004"/>
    <hyperlink ref="B368" r:id="rId703" display="http://mlb.mlb.com/team/player.jsp?player_id=489265"/>
    <hyperlink ref="B369" r:id="rId704" display="http://mlb.mlb.com/team/player.jsp?player_id=518516"/>
    <hyperlink ref="B370" r:id="rId705" display="http://mlb.mlb.com/team/player.jsp?player_id=456501"/>
    <hyperlink ref="B371" r:id="rId706" display="http://mlb.mlb.com/team/player.jsp?player_id=519293"/>
    <hyperlink ref="B372" r:id="rId707" display="http://mlb.mlb.com/team/player.jsp?player_id=519326"/>
    <hyperlink ref="B373" r:id="rId708" display="http://mlb.mlb.com/team/player.jsp?player_id=595345"/>
    <hyperlink ref="B374" r:id="rId709" display="http://mlb.mlb.com/team/player.jsp?player_id=433586"/>
    <hyperlink ref="B375" r:id="rId710" display="http://mlb.mlb.com/team/player.jsp?player_id=608717"/>
    <hyperlink ref="B376" r:id="rId711" display="http://mlb.mlb.com/team/player.jsp?player_id=502188"/>
    <hyperlink ref="B377" r:id="rId712" display="http://mlb.mlb.com/team/player.jsp?player_id=425657"/>
    <hyperlink ref="B378" r:id="rId713" display="http://mlb.mlb.com/team/player.jsp?player_id=519043"/>
    <hyperlink ref="B379" r:id="rId714" display="http://mlb.mlb.com/team/player.jsp?player_id=518715"/>
    <hyperlink ref="B380" r:id="rId715" display="http://mlb.mlb.com/team/player.jsp?player_id=544150"/>
    <hyperlink ref="B381" r:id="rId716" display="http://mlb.mlb.com/team/player.jsp?player_id=592612"/>
    <hyperlink ref="B382" r:id="rId717" display="http://mlb.mlb.com/team/player.jsp?player_id=408241"/>
    <hyperlink ref="B383" r:id="rId718" display="http://mlb.mlb.com/team/player.jsp?player_id=430912"/>
    <hyperlink ref="B384" r:id="rId719" display="http://mlb.mlb.com/team/player.jsp?player_id=519186"/>
    <hyperlink ref="B385" r:id="rId720" display="http://mlb.mlb.com/team/player.jsp?player_id=518790"/>
    <hyperlink ref="B386" r:id="rId721" display="http://mlb.mlb.com/team/player.jsp?player_id=458678"/>
    <hyperlink ref="B387" r:id="rId722" display="http://mlb.mlb.com/team/player.jsp?player_id=476570"/>
    <hyperlink ref="U364" r:id="rId723" display="http://mlb.mlb.com/team/player.jsp?player_id=150274"/>
    <hyperlink ref="U365" r:id="rId724" display="http://mlb.mlb.com/team/player.jsp?player_id=621389"/>
    <hyperlink ref="U366" r:id="rId725" display="http://mlb.mlb.com/team/player.jsp?player_id=571882"/>
    <hyperlink ref="U367" r:id="rId726" display="http://mlb.mlb.com/team/player.jsp?player_id=502004"/>
    <hyperlink ref="U368" r:id="rId727" display="http://mlb.mlb.com/team/player.jsp?player_id=489265"/>
    <hyperlink ref="U369" r:id="rId728" display="http://mlb.mlb.com/team/player.jsp?player_id=518516"/>
    <hyperlink ref="U370" r:id="rId729" display="http://mlb.mlb.com/team/player.jsp?player_id=456501"/>
    <hyperlink ref="U371" r:id="rId730" display="http://mlb.mlb.com/team/player.jsp?player_id=519293"/>
    <hyperlink ref="U372" r:id="rId731" display="http://mlb.mlb.com/team/player.jsp?player_id=519326"/>
    <hyperlink ref="U373" r:id="rId732" display="http://mlb.mlb.com/team/player.jsp?player_id=595345"/>
    <hyperlink ref="U374" r:id="rId733" display="http://mlb.mlb.com/team/player.jsp?player_id=433586"/>
    <hyperlink ref="U375" r:id="rId734" display="http://mlb.mlb.com/team/player.jsp?player_id=608717"/>
    <hyperlink ref="U376" r:id="rId735" display="http://mlb.mlb.com/team/player.jsp?player_id=502188"/>
    <hyperlink ref="U377" r:id="rId736" display="http://mlb.mlb.com/team/player.jsp?player_id=425657"/>
    <hyperlink ref="U378" r:id="rId737" display="http://mlb.mlb.com/team/player.jsp?player_id=519043"/>
    <hyperlink ref="U379" r:id="rId738" display="http://mlb.mlb.com/team/player.jsp?player_id=518715"/>
    <hyperlink ref="U380" r:id="rId739" display="http://mlb.mlb.com/team/player.jsp?player_id=544150"/>
    <hyperlink ref="U381" r:id="rId740" display="http://mlb.mlb.com/team/player.jsp?player_id=592612"/>
    <hyperlink ref="U382" r:id="rId741" display="http://mlb.mlb.com/team/player.jsp?player_id=408241"/>
    <hyperlink ref="U383" r:id="rId742" display="http://mlb.mlb.com/team/player.jsp?player_id=430912"/>
    <hyperlink ref="U384" r:id="rId743" display="http://mlb.mlb.com/team/player.jsp?player_id=519186"/>
    <hyperlink ref="U385" r:id="rId744" display="http://mlb.mlb.com/team/player.jsp?player_id=518790"/>
    <hyperlink ref="U386" r:id="rId745" display="http://mlb.mlb.com/team/player.jsp?player_id=458678"/>
    <hyperlink ref="U387" r:id="rId746" display="http://mlb.mlb.com/team/player.jsp?player_id=476570"/>
    <hyperlink ref="B389" r:id="rId747" display="http://mlb.mlb.com/team/player.jsp?player_id=621052"/>
    <hyperlink ref="B390" r:id="rId748" display="http://mlb.mlb.com/team/player.jsp?player_id=493200"/>
    <hyperlink ref="B391" r:id="rId749" display="http://mlb.mlb.com/team/player.jsp?player_id=435043"/>
    <hyperlink ref="B392" r:id="rId750" display="http://mlb.mlb.com/team/player.jsp?player_id=462515"/>
    <hyperlink ref="B393" r:id="rId751" display="http://mlb.mlb.com/team/player.jsp?player_id=543779"/>
    <hyperlink ref="B394" r:id="rId752" display="http://mlb.mlb.com/team/player.jsp?player_id=593372"/>
    <hyperlink ref="B395" r:id="rId753" display="http://mlb.mlb.com/team/player.jsp?player_id=544928"/>
    <hyperlink ref="B396" r:id="rId754" display="http://mlb.mlb.com/team/player.jsp?player_id=595307"/>
    <hyperlink ref="B397" r:id="rId755" display="http://mlb.mlb.com/team/player.jsp?player_id=621199"/>
    <hyperlink ref="B398" r:id="rId756" display="http://mlb.mlb.com/team/player.jsp?player_id=455009"/>
    <hyperlink ref="B399" r:id="rId757" display="http://mlb.mlb.com/team/player.jsp?player_id=572096"/>
    <hyperlink ref="B400" r:id="rId758" display="http://mlb.mlb.com/team/player.jsp?player_id=425794"/>
    <hyperlink ref="B401" r:id="rId759" display="http://mlb.mlb.com/team/player.jsp?player_id=448802"/>
    <hyperlink ref="B402" r:id="rId760" display="http://mlb.mlb.com/team/player.jsp?player_id=502190"/>
    <hyperlink ref="B403" r:id="rId761" display="http://mlb.mlb.com/team/player.jsp?player_id=608379"/>
    <hyperlink ref="B404" r:id="rId762" display="http://mlb.mlb.com/team/player.jsp?player_id=518883"/>
    <hyperlink ref="B405" r:id="rId763" display="http://mlb.mlb.com/team/player.jsp?player_id=596133"/>
    <hyperlink ref="B406" r:id="rId764" display="http://mlb.mlb.com/team/player.jsp?player_id=425532"/>
    <hyperlink ref="B407" r:id="rId765" display="http://mlb.mlb.com/team/player.jsp?player_id=592815"/>
    <hyperlink ref="B408" r:id="rId766" display="http://mlb.mlb.com/team/player.jsp?player_id=514913"/>
    <hyperlink ref="B409" r:id="rId767" display="http://mlb.mlb.com/team/player.jsp?player_id=594577"/>
    <hyperlink ref="U389" r:id="rId768" display="http://mlb.mlb.com/team/player.jsp?player_id=621052"/>
    <hyperlink ref="U390" r:id="rId769" display="http://mlb.mlb.com/team/player.jsp?player_id=493200"/>
    <hyperlink ref="U391" r:id="rId770" display="http://mlb.mlb.com/team/player.jsp?player_id=435043"/>
    <hyperlink ref="U392" r:id="rId771" display="http://mlb.mlb.com/team/player.jsp?player_id=462515"/>
    <hyperlink ref="U393" r:id="rId772" display="http://mlb.mlb.com/team/player.jsp?player_id=543779"/>
    <hyperlink ref="U394" r:id="rId773" display="http://mlb.mlb.com/team/player.jsp?player_id=593372"/>
    <hyperlink ref="U395" r:id="rId774" display="http://mlb.mlb.com/team/player.jsp?player_id=544928"/>
    <hyperlink ref="U396" r:id="rId775" display="http://mlb.mlb.com/team/player.jsp?player_id=595307"/>
    <hyperlink ref="U397" r:id="rId776" display="http://mlb.mlb.com/team/player.jsp?player_id=621199"/>
    <hyperlink ref="U398" r:id="rId777" display="http://mlb.mlb.com/team/player.jsp?player_id=455009"/>
    <hyperlink ref="U399" r:id="rId778" display="http://mlb.mlb.com/team/player.jsp?player_id=572096"/>
    <hyperlink ref="U400" r:id="rId779" display="http://mlb.mlb.com/team/player.jsp?player_id=425794"/>
    <hyperlink ref="U401" r:id="rId780" display="http://mlb.mlb.com/team/player.jsp?player_id=448802"/>
    <hyperlink ref="U402" r:id="rId781" display="http://mlb.mlb.com/team/player.jsp?player_id=502190"/>
    <hyperlink ref="U403" r:id="rId782" display="http://mlb.mlb.com/team/player.jsp?player_id=608379"/>
    <hyperlink ref="U404" r:id="rId783" display="http://mlb.mlb.com/team/player.jsp?player_id=518883"/>
    <hyperlink ref="U405" r:id="rId784" display="http://mlb.mlb.com/team/player.jsp?player_id=596133"/>
    <hyperlink ref="U406" r:id="rId785" display="http://mlb.mlb.com/team/player.jsp?player_id=425532"/>
    <hyperlink ref="U407" r:id="rId786" display="http://mlb.mlb.com/team/player.jsp?player_id=592815"/>
    <hyperlink ref="U408" r:id="rId787" display="http://mlb.mlb.com/team/player.jsp?player_id=514913"/>
    <hyperlink ref="U409" r:id="rId788" display="http://mlb.mlb.com/team/player.jsp?player_id=594577"/>
    <hyperlink ref="B411" r:id="rId789" display="http://mlb.mlb.com/team/player.jsp?player_id=594840"/>
    <hyperlink ref="B412" r:id="rId790" display="http://mlb.mlb.com/team/player.jsp?player_id=641627"/>
    <hyperlink ref="B413" r:id="rId791" display="http://mlb.mlb.com/team/player.jsp?player_id=519240"/>
    <hyperlink ref="B414" r:id="rId792" display="http://mlb.mlb.com/team/player.jsp?player_id=279571"/>
    <hyperlink ref="B415" r:id="rId793" display="http://mlb.mlb.com/team/player.jsp?player_id=453343"/>
    <hyperlink ref="B416" r:id="rId794" display="http://mlb.mlb.com/team/player.jsp?player_id=595014"/>
    <hyperlink ref="B417" r:id="rId795" display="http://mlb.mlb.com/team/player.jsp?player_id=519301"/>
    <hyperlink ref="B418" r:id="rId796" display="http://mlb.mlb.com/team/player.jsp?player_id=514669"/>
    <hyperlink ref="B419" r:id="rId797" display="http://mlb.mlb.com/team/player.jsp?player_id=518875"/>
    <hyperlink ref="B420" r:id="rId798" display="http://mlb.mlb.com/team/player.jsp?player_id=543699"/>
    <hyperlink ref="B421" r:id="rId799" display="http://mlb.mlb.com/team/player.jsp?player_id=453286"/>
    <hyperlink ref="B422" r:id="rId800" display="http://mlb.mlb.com/team/player.jsp?player_id=430634"/>
    <hyperlink ref="B423" r:id="rId801" display="http://mlb.mlb.com/team/player.jsp?player_id=605452"/>
    <hyperlink ref="B424" r:id="rId802" display="http://mlb.mlb.com/team/player.jsp?player_id=544931"/>
    <hyperlink ref="B425" r:id="rId803" display="http://mlb.mlb.com/team/player.jsp?player_id=449097"/>
    <hyperlink ref="B426" r:id="rId804" display="http://mlb.mlb.com/team/player.jsp?player_id=433589"/>
    <hyperlink ref="B427" r:id="rId805" display="http://mlb.mlb.com/team/player.jsp?player_id=553878"/>
    <hyperlink ref="B428" r:id="rId806" display="http://mlb.mlb.com/team/player.jsp?player_id=461829"/>
    <hyperlink ref="B429" r:id="rId807" display="http://mlb.mlb.com/team/player.jsp?player_id=625643"/>
    <hyperlink ref="B430" r:id="rId808" display="http://mlb.mlb.com/team/player.jsp?player_id=424144"/>
    <hyperlink ref="B431" r:id="rId809" display="http://mlb.mlb.com/team/player.jsp?player_id=606983"/>
    <hyperlink ref="B432" r:id="rId810" display="http://mlb.mlb.com/team/player.jsp?player_id=595918"/>
    <hyperlink ref="B433" r:id="rId811" display="http://mlb.mlb.com/team/player.jsp?player_id=502009"/>
    <hyperlink ref="B434" r:id="rId812" display="http://mlb.mlb.com/team/player.jsp?player_id=608337"/>
    <hyperlink ref="U411" r:id="rId813" display="http://mlb.mlb.com/team/player.jsp?player_id=594840"/>
    <hyperlink ref="U412" r:id="rId814" display="http://mlb.mlb.com/team/player.jsp?player_id=641627"/>
    <hyperlink ref="U413" r:id="rId815" display="http://mlb.mlb.com/team/player.jsp?player_id=519240"/>
    <hyperlink ref="U414" r:id="rId816" display="http://mlb.mlb.com/team/player.jsp?player_id=279571"/>
    <hyperlink ref="U415" r:id="rId817" display="http://mlb.mlb.com/team/player.jsp?player_id=453343"/>
    <hyperlink ref="U416" r:id="rId818" display="http://mlb.mlb.com/team/player.jsp?player_id=595014"/>
    <hyperlink ref="U417" r:id="rId819" display="http://mlb.mlb.com/team/player.jsp?player_id=519301"/>
    <hyperlink ref="U418" r:id="rId820" display="http://mlb.mlb.com/team/player.jsp?player_id=514669"/>
    <hyperlink ref="U419" r:id="rId821" display="http://mlb.mlb.com/team/player.jsp?player_id=518875"/>
    <hyperlink ref="U420" r:id="rId822" display="http://mlb.mlb.com/team/player.jsp?player_id=543699"/>
    <hyperlink ref="U421" r:id="rId823" display="http://mlb.mlb.com/team/player.jsp?player_id=453286"/>
    <hyperlink ref="U422" r:id="rId824" display="http://mlb.mlb.com/team/player.jsp?player_id=430634"/>
    <hyperlink ref="U423" r:id="rId825" display="http://mlb.mlb.com/team/player.jsp?player_id=605452"/>
    <hyperlink ref="U424" r:id="rId826" display="http://mlb.mlb.com/team/player.jsp?player_id=544931"/>
    <hyperlink ref="U425" r:id="rId827" display="http://mlb.mlb.com/team/player.jsp?player_id=449097"/>
    <hyperlink ref="U426" r:id="rId828" display="http://mlb.mlb.com/team/player.jsp?player_id=433589"/>
    <hyperlink ref="U427" r:id="rId829" display="http://mlb.mlb.com/team/player.jsp?player_id=553878"/>
    <hyperlink ref="U428" r:id="rId830" display="http://mlb.mlb.com/team/player.jsp?player_id=461829"/>
    <hyperlink ref="U429" r:id="rId831" display="http://mlb.mlb.com/team/player.jsp?player_id=625643"/>
    <hyperlink ref="U430" r:id="rId832" display="http://mlb.mlb.com/team/player.jsp?player_id=424144"/>
    <hyperlink ref="U431" r:id="rId833" display="http://mlb.mlb.com/team/player.jsp?player_id=606983"/>
    <hyperlink ref="U432" r:id="rId834" display="http://mlb.mlb.com/team/player.jsp?player_id=595918"/>
    <hyperlink ref="U433" r:id="rId835" display="http://mlb.mlb.com/team/player.jsp?player_id=502009"/>
    <hyperlink ref="U434" r:id="rId836" display="http://mlb.mlb.com/team/player.jsp?player_id=608337"/>
  </hyperlinks>
  <pageMargins left="0.75" right="0.75" top="1" bottom="1" header="0.5" footer="0.5"/>
  <pageSetup orientation="portrait" horizontalDpi="0" verticalDpi="0" r:id="rId83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X705"/>
  <sheetViews>
    <sheetView tabSelected="1" topLeftCell="P1" zoomScaleNormal="100" workbookViewId="0">
      <pane ySplit="4" topLeftCell="A5" activePane="bottomLeft" state="frozen"/>
      <selection pane="bottomLeft" activeCell="AJ124" sqref="AJ124:AP124"/>
    </sheetView>
  </sheetViews>
  <sheetFormatPr defaultRowHeight="12.75" x14ac:dyDescent="0.2"/>
  <cols>
    <col min="1" max="1" width="18.85546875" style="146" bestFit="1" customWidth="1"/>
    <col min="2" max="2" width="5.5703125" style="146" bestFit="1" customWidth="1"/>
    <col min="3" max="4" width="3.28515625" style="146" bestFit="1" customWidth="1"/>
    <col min="5" max="5" width="6" style="157" bestFit="1" customWidth="1"/>
    <col min="6" max="6" width="3" style="146" bestFit="1" customWidth="1"/>
    <col min="7" max="8" width="3.7109375" style="146" bestFit="1" customWidth="1"/>
    <col min="9" max="9" width="4.7109375" style="146" bestFit="1" customWidth="1"/>
    <col min="10" max="10" width="3.5703125" style="146" bestFit="1" customWidth="1"/>
    <col min="11" max="11" width="5" style="146" bestFit="1" customWidth="1"/>
    <col min="12" max="12" width="7.140625" style="157" bestFit="1" customWidth="1"/>
    <col min="13" max="13" width="4.42578125" style="146" bestFit="1" customWidth="1"/>
    <col min="14" max="14" width="3" style="146" bestFit="1" customWidth="1"/>
    <col min="15" max="17" width="3.5703125" style="146" bestFit="1" customWidth="1"/>
    <col min="18" max="18" width="4" style="146" bestFit="1" customWidth="1"/>
    <col min="19" max="20" width="4.42578125" style="146" bestFit="1" customWidth="1"/>
    <col min="21" max="21" width="4.42578125" style="146" customWidth="1"/>
    <col min="22" max="22" width="5.85546875" style="280" bestFit="1" customWidth="1"/>
    <col min="23" max="23" width="7.42578125" style="146" bestFit="1" customWidth="1"/>
    <col min="24" max="24" width="1.28515625" style="146" customWidth="1"/>
    <col min="25" max="25" width="7.7109375" style="146" bestFit="1" customWidth="1"/>
    <col min="26" max="26" width="10" style="146" bestFit="1" customWidth="1"/>
    <col min="27" max="27" width="9.7109375" style="146" customWidth="1"/>
    <col min="28" max="28" width="7.140625" style="146" bestFit="1" customWidth="1"/>
    <col min="29" max="29" width="10" style="146" bestFit="1" customWidth="1"/>
    <col min="30" max="30" width="9.7109375" style="146" bestFit="1" customWidth="1"/>
    <col min="31" max="31" width="6.7109375" style="146" bestFit="1" customWidth="1"/>
    <col min="32" max="32" width="7.5703125" style="146" bestFit="1" customWidth="1"/>
    <col min="33" max="33" width="5.5703125" style="146" bestFit="1" customWidth="1"/>
    <col min="34" max="34" width="7.140625" style="146" bestFit="1" customWidth="1"/>
    <col min="35" max="35" width="18.85546875" style="168" bestFit="1" customWidth="1"/>
    <col min="36" max="36" width="5.5703125" style="146" bestFit="1" customWidth="1"/>
    <col min="37" max="37" width="7.5703125" style="146" bestFit="1" customWidth="1"/>
    <col min="38" max="38" width="6.85546875" style="146" bestFit="1" customWidth="1"/>
    <col min="39" max="39" width="8.5703125" style="262" bestFit="1" customWidth="1"/>
    <col min="40" max="40" width="8.140625" style="146" bestFit="1" customWidth="1"/>
    <col min="41" max="41" width="9.42578125" style="146" bestFit="1" customWidth="1"/>
    <col min="42" max="42" width="9.140625" style="146" bestFit="1" customWidth="1"/>
    <col min="43" max="43" width="1.28515625" style="146" customWidth="1"/>
    <col min="44" max="44" width="11.42578125" style="146" bestFit="1" customWidth="1"/>
    <col min="45" max="45" width="7.85546875" style="146" bestFit="1" customWidth="1"/>
    <col min="46" max="46" width="9.140625" style="146" bestFit="1" customWidth="1"/>
    <col min="47" max="47" width="9.5703125" style="146" bestFit="1" customWidth="1"/>
    <col min="48" max="48" width="9.140625" style="146"/>
    <col min="49" max="50" width="2.7109375" style="146" bestFit="1" customWidth="1"/>
    <col min="51" max="16384" width="9.140625" style="146"/>
  </cols>
  <sheetData>
    <row r="1" spans="1:50" x14ac:dyDescent="0.2">
      <c r="A1" s="297" t="s">
        <v>192</v>
      </c>
      <c r="B1" s="298"/>
      <c r="C1" s="298"/>
      <c r="D1" s="298"/>
      <c r="E1" s="298"/>
      <c r="F1" s="298"/>
      <c r="G1" s="298"/>
      <c r="H1" s="298"/>
      <c r="I1" s="298"/>
      <c r="J1" s="298"/>
    </row>
    <row r="2" spans="1:50" x14ac:dyDescent="0.2">
      <c r="A2" s="299" t="s">
        <v>1221</v>
      </c>
      <c r="B2" s="299"/>
      <c r="C2" s="299"/>
      <c r="D2" s="299"/>
      <c r="E2" s="299"/>
      <c r="F2" s="299"/>
      <c r="G2" s="299"/>
      <c r="H2" s="299"/>
      <c r="I2" s="299"/>
      <c r="K2" s="146">
        <v>54</v>
      </c>
    </row>
    <row r="4" spans="1:50" s="122" customFormat="1" x14ac:dyDescent="0.2">
      <c r="A4" s="9" t="s">
        <v>106</v>
      </c>
      <c r="B4" s="129" t="s">
        <v>157</v>
      </c>
      <c r="C4" s="167" t="s">
        <v>85</v>
      </c>
      <c r="D4" s="129" t="s">
        <v>86</v>
      </c>
      <c r="E4" s="167" t="s">
        <v>87</v>
      </c>
      <c r="F4" s="129" t="s">
        <v>108</v>
      </c>
      <c r="G4" s="129" t="s">
        <v>88</v>
      </c>
      <c r="H4" s="129" t="s">
        <v>89</v>
      </c>
      <c r="I4" s="121" t="s">
        <v>317</v>
      </c>
      <c r="J4" s="121" t="s">
        <v>90</v>
      </c>
      <c r="K4" s="121" t="s">
        <v>158</v>
      </c>
      <c r="L4" s="167" t="s">
        <v>91</v>
      </c>
      <c r="M4" s="129" t="s">
        <v>92</v>
      </c>
      <c r="N4" s="129" t="s">
        <v>93</v>
      </c>
      <c r="O4" s="129" t="s">
        <v>94</v>
      </c>
      <c r="P4" s="129" t="s">
        <v>95</v>
      </c>
      <c r="Q4" s="129" t="s">
        <v>96</v>
      </c>
      <c r="R4" s="129" t="s">
        <v>98</v>
      </c>
      <c r="S4" s="129" t="s">
        <v>97</v>
      </c>
      <c r="T4" s="129" t="s">
        <v>109</v>
      </c>
      <c r="U4" s="129" t="s">
        <v>91</v>
      </c>
      <c r="V4" s="281" t="s">
        <v>1517</v>
      </c>
      <c r="W4" s="129" t="s">
        <v>1072</v>
      </c>
      <c r="X4" s="70"/>
      <c r="Y4" s="115" t="s">
        <v>2</v>
      </c>
      <c r="Z4" s="116" t="s">
        <v>3</v>
      </c>
      <c r="AA4" s="117" t="s">
        <v>4</v>
      </c>
      <c r="AB4" s="118" t="s">
        <v>5</v>
      </c>
      <c r="AC4" s="116" t="s">
        <v>6</v>
      </c>
      <c r="AD4" s="117" t="s">
        <v>7</v>
      </c>
      <c r="AE4" s="119" t="s">
        <v>8</v>
      </c>
      <c r="AF4" s="119" t="s">
        <v>81</v>
      </c>
      <c r="AG4" s="119" t="s">
        <v>9</v>
      </c>
      <c r="AH4" s="120" t="s">
        <v>10</v>
      </c>
      <c r="AI4" s="169" t="s">
        <v>106</v>
      </c>
      <c r="AJ4" s="7" t="s">
        <v>11</v>
      </c>
      <c r="AK4" s="7" t="s">
        <v>12</v>
      </c>
      <c r="AL4" s="7" t="s">
        <v>13</v>
      </c>
      <c r="AM4" s="206" t="s">
        <v>83</v>
      </c>
      <c r="AN4" s="121" t="s">
        <v>99</v>
      </c>
      <c r="AO4" s="121" t="s">
        <v>84</v>
      </c>
      <c r="AP4" s="121" t="s">
        <v>191</v>
      </c>
      <c r="AR4" s="112" t="s">
        <v>319</v>
      </c>
      <c r="AS4" s="123"/>
      <c r="AT4" s="123"/>
      <c r="AU4" s="123"/>
      <c r="AW4" s="71" t="s">
        <v>91</v>
      </c>
      <c r="AX4" s="71" t="s">
        <v>91</v>
      </c>
    </row>
    <row r="5" spans="1:50" s="122" customFormat="1" x14ac:dyDescent="0.2">
      <c r="A5" s="146"/>
      <c r="B5" s="155"/>
      <c r="C5" s="205"/>
      <c r="D5" s="196"/>
      <c r="E5" s="205"/>
      <c r="F5" s="196"/>
      <c r="G5" s="196"/>
      <c r="H5" s="196"/>
      <c r="I5" s="206"/>
      <c r="J5" s="206"/>
      <c r="K5" s="206"/>
      <c r="L5" s="205"/>
      <c r="M5" s="196"/>
      <c r="N5" s="196"/>
      <c r="O5" s="196"/>
      <c r="P5" s="196"/>
      <c r="Q5" s="196"/>
      <c r="R5" s="196"/>
      <c r="S5" s="196"/>
      <c r="T5" s="196"/>
      <c r="U5" s="196"/>
      <c r="V5" s="277"/>
      <c r="W5" s="196"/>
      <c r="X5" s="196"/>
      <c r="Y5" s="207"/>
      <c r="Z5" s="208"/>
      <c r="AA5" s="209"/>
      <c r="AB5" s="210"/>
      <c r="AC5" s="208"/>
      <c r="AD5" s="209"/>
      <c r="AE5" s="211"/>
      <c r="AF5" s="211"/>
      <c r="AG5" s="211"/>
      <c r="AH5" s="212"/>
      <c r="AI5" s="213"/>
      <c r="AJ5" s="214"/>
      <c r="AK5" s="214"/>
      <c r="AL5" s="214"/>
      <c r="AM5" s="206"/>
      <c r="AN5" s="121"/>
      <c r="AO5" s="121"/>
      <c r="AP5" s="121"/>
      <c r="AR5" s="112"/>
      <c r="AS5" s="123"/>
      <c r="AT5" s="123"/>
      <c r="AU5" s="123"/>
      <c r="AW5" s="71"/>
      <c r="AX5" s="71"/>
    </row>
    <row r="6" spans="1:50" x14ac:dyDescent="0.2">
      <c r="A6" t="s">
        <v>477</v>
      </c>
      <c r="B6" s="76" t="s">
        <v>151</v>
      </c>
      <c r="C6" s="76">
        <v>1</v>
      </c>
      <c r="D6" s="76">
        <v>4</v>
      </c>
      <c r="E6" s="76">
        <v>2.65</v>
      </c>
      <c r="F6" s="76">
        <v>39</v>
      </c>
      <c r="G6" s="76">
        <v>0</v>
      </c>
      <c r="H6" s="76">
        <v>0</v>
      </c>
      <c r="I6" s="76">
        <v>0</v>
      </c>
      <c r="J6" s="76">
        <v>1</v>
      </c>
      <c r="K6" s="76">
        <v>2</v>
      </c>
      <c r="L6" s="258">
        <f>INDEX('C-P-RollAdj'!$P$4:$P$900,MATCH((U6),'C-P-RollAdj'!$O$4:$O$900,FALSE),0)</f>
        <v>34</v>
      </c>
      <c r="M6" s="76">
        <v>27</v>
      </c>
      <c r="N6" s="76">
        <v>11</v>
      </c>
      <c r="O6" s="76">
        <v>10</v>
      </c>
      <c r="P6" s="76">
        <v>2</v>
      </c>
      <c r="Q6" s="76">
        <v>14</v>
      </c>
      <c r="R6" s="76">
        <v>2</v>
      </c>
      <c r="S6" s="76">
        <v>29</v>
      </c>
      <c r="T6" s="76">
        <v>138</v>
      </c>
      <c r="U6" s="76">
        <v>34</v>
      </c>
      <c r="V6" s="100">
        <v>0.22</v>
      </c>
      <c r="W6" s="76">
        <v>1.21</v>
      </c>
      <c r="Y6" s="50">
        <f>+(Q6-R6)/(T6-R6)*100</f>
        <v>8.8235294117647065</v>
      </c>
      <c r="Z6" s="6">
        <f>IF(Y6&lt;LeagueRatings!$K$10,((LeagueRatings!$K$10-Y6)/LeagueRatings!$K$10)*36,(LeagueRatings!$K$10-Y6)*6.48)</f>
        <v>-1.0106900940416377</v>
      </c>
      <c r="AA6" s="16">
        <f>INDEX('C-P-RollAdj'!$B$4:$B$76,MATCH(INT(Z6),'C-P-RollAdj'!$A$4:$A$76,FALSE),0)</f>
        <v>0.18</v>
      </c>
      <c r="AB6" s="16">
        <f>(P6/(T6-R6))*100</f>
        <v>1.4705882352941175</v>
      </c>
      <c r="AC6" s="6">
        <f>IF(AB6&lt;LeagueRatings!$K$8,((LeagueRatings!$K$8-AB6)/LeagueRatings!$K$8)*36,(LeagueRatings!$K$8-AB6)/LeagueRatings!$K$11)</f>
        <v>19.467340310357272</v>
      </c>
      <c r="AD6" s="16">
        <f>INDEX('C-P-RollAdj'!$F$4:$F$76,MATCH(INT(AC6),'C-P-RollAdj'!$E$4:$E$76,FALSE),0)</f>
        <v>-1.5</v>
      </c>
      <c r="AE6" s="17">
        <f>+((LeagueRatings!$I$17-E6)*5)+9.5</f>
        <v>17.064387243706364</v>
      </c>
      <c r="AF6" s="17">
        <f>IF(AE6&lt;4,4,AE6)</f>
        <v>17.064387243706364</v>
      </c>
      <c r="AG6" s="17">
        <f>IF(M6&lt;L6,((1-(M6/L6))*7)-0.07,(1-(M6/L6))*5)</f>
        <v>1.3711764705882354</v>
      </c>
      <c r="AH6" s="4">
        <f>+AA6+AD6+AF6+AG6</f>
        <v>17.115563714294598</v>
      </c>
      <c r="AJ6" s="5" t="s">
        <v>142</v>
      </c>
      <c r="AK6" s="219">
        <f>INDEX('C-P-RollAdj'!$J$4:$J$76,MATCH(INT(Z6),'C-P-RollAdj'!$I$4:$I$76,FALSE),0)</f>
        <v>-12</v>
      </c>
      <c r="AL6" s="219">
        <f>INDEX('C-P-RollAdj'!$J$4:$J$76,MATCH(INT(AC6),'C-P-RollAdj'!$I$4:$I$76,FALSE),0)</f>
        <v>41</v>
      </c>
      <c r="AM6" s="262">
        <f>+AR6*LeagueRatings!$K$27</f>
        <v>18.888888888888889</v>
      </c>
      <c r="AN6" s="72">
        <f>F6*LeagueRatings!$K$27</f>
        <v>21.666666666666668</v>
      </c>
      <c r="AO6" s="72">
        <f>G6*LeagueRatings!$K$27</f>
        <v>0</v>
      </c>
      <c r="AP6" s="72">
        <f>T6*LeagueRatings!$K$27</f>
        <v>76.666666666666671</v>
      </c>
      <c r="AQ6" s="24"/>
      <c r="AR6" s="14">
        <f>ROUNDUP(L6,0)</f>
        <v>34</v>
      </c>
    </row>
    <row r="7" spans="1:50" s="24" customFormat="1" x14ac:dyDescent="0.2">
      <c r="A7" s="41" t="s">
        <v>477</v>
      </c>
      <c r="B7" s="76" t="s">
        <v>146</v>
      </c>
      <c r="C7" s="76">
        <v>0</v>
      </c>
      <c r="D7" s="76">
        <v>2</v>
      </c>
      <c r="E7" s="76">
        <v>6.39</v>
      </c>
      <c r="F7" s="76">
        <v>18</v>
      </c>
      <c r="G7" s="76">
        <v>0</v>
      </c>
      <c r="H7" s="76">
        <v>0</v>
      </c>
      <c r="I7" s="76">
        <v>0</v>
      </c>
      <c r="J7" s="76">
        <v>0</v>
      </c>
      <c r="K7" s="76">
        <v>3</v>
      </c>
      <c r="L7" s="258">
        <f>INDEX('C-P-RollAdj'!$P$4:$P$900,MATCH((U7),'C-P-RollAdj'!$O$4:$O$900,FALSE),0)</f>
        <v>12.67</v>
      </c>
      <c r="M7" s="76">
        <v>13</v>
      </c>
      <c r="N7" s="76">
        <v>9</v>
      </c>
      <c r="O7" s="76">
        <v>9</v>
      </c>
      <c r="P7" s="76">
        <v>2</v>
      </c>
      <c r="Q7" s="76">
        <v>8</v>
      </c>
      <c r="R7" s="76">
        <v>0</v>
      </c>
      <c r="S7" s="76">
        <v>12</v>
      </c>
      <c r="T7" s="76">
        <v>60</v>
      </c>
      <c r="U7" s="76">
        <v>12.2</v>
      </c>
      <c r="V7" s="100">
        <v>0.255</v>
      </c>
      <c r="W7" s="76">
        <v>1.66</v>
      </c>
      <c r="X7" s="76"/>
      <c r="Y7" s="50">
        <f>+(Q7-R7)/(T7-R7)*100</f>
        <v>13.333333333333334</v>
      </c>
      <c r="Z7" s="6">
        <f>IF(Y7&lt;LeagueRatings!$K$10,((LeagueRatings!$K$10-Y7)/LeagueRatings!$K$10)*36,(LeagueRatings!$K$10-Y7)*6.48)</f>
        <v>-30.234219505806344</v>
      </c>
      <c r="AA7" s="16">
        <f>INDEX('C-P-RollAdj'!$B$4:$B$76,MATCH(INT(Z7),'C-P-RollAdj'!$A$4:$A$76,FALSE),0)</f>
        <v>4.3899999999999997</v>
      </c>
      <c r="AB7" s="16">
        <f>(P7/(T7-R7))*100</f>
        <v>3.3333333333333335</v>
      </c>
      <c r="AC7" s="6">
        <f>IF(AB7&lt;LeagueRatings!$K$8,((LeagueRatings!$K$8-AB7)/LeagueRatings!$K$8)*36,(LeagueRatings!$K$8-AB7)/LeagueRatings!$K$11)</f>
        <v>-1.0411169956668271</v>
      </c>
      <c r="AD7" s="16">
        <f>INDEX('C-P-RollAdj'!$F$4:$F$76,MATCH(INT(AC7),'C-P-RollAdj'!$E$4:$E$76,FALSE),0)</f>
        <v>0.16</v>
      </c>
      <c r="AE7" s="17">
        <f>+((LeagueRatings!$I$17-E7)*5)+9.5</f>
        <v>-1.6356127562936358</v>
      </c>
      <c r="AF7" s="17">
        <f>IF(AE7&lt;4,4,AE7)</f>
        <v>4</v>
      </c>
      <c r="AG7" s="17">
        <f>IF(M7&lt;L7,((1-(M7/L7))*7)-0.07,(1-(M7/L7))*5)</f>
        <v>-0.13022888713496439</v>
      </c>
      <c r="AH7" s="4">
        <f>+AA7+AD7+AF7+AG7</f>
        <v>8.4197711128650354</v>
      </c>
      <c r="AJ7" s="5" t="s">
        <v>16</v>
      </c>
      <c r="AK7" s="219">
        <f>INDEX('C-P-RollAdj'!$J$4:$J$76,MATCH(INT(Z7),'C-P-RollAdj'!$I$4:$I$76,FALSE),0)</f>
        <v>-61</v>
      </c>
      <c r="AL7" s="219">
        <f>INDEX('C-P-RollAdj'!$J$4:$J$76,MATCH(INT(AC7),'C-P-RollAdj'!$I$4:$I$76,FALSE),0)</f>
        <v>-12</v>
      </c>
      <c r="AM7" s="262">
        <f>+AR7*LeagueRatings!$K$27</f>
        <v>7.2222222222222223</v>
      </c>
      <c r="AN7" s="72">
        <f>F7*LeagueRatings!$K$27</f>
        <v>10</v>
      </c>
      <c r="AO7" s="72">
        <f>G7*LeagueRatings!$K$27</f>
        <v>0</v>
      </c>
      <c r="AP7" s="72">
        <f>T7*LeagueRatings!$K$27</f>
        <v>33.333333333333336</v>
      </c>
      <c r="AR7" s="14">
        <f>ROUNDUP(L7,0)</f>
        <v>13</v>
      </c>
    </row>
    <row r="8" spans="1:50" x14ac:dyDescent="0.2">
      <c r="A8" s="9"/>
      <c r="B8" s="129"/>
      <c r="L8" s="157">
        <f>(L6/100)/((L6+L7)/100)</f>
        <v>0.7285193914720377</v>
      </c>
      <c r="T8" s="158"/>
      <c r="U8" s="158"/>
      <c r="V8" s="282"/>
      <c r="W8" s="158"/>
      <c r="X8" s="158"/>
      <c r="Y8" s="153"/>
      <c r="Z8" s="152">
        <f>Z6*L8</f>
        <v>-0.73630733227803047</v>
      </c>
      <c r="AA8" s="153"/>
      <c r="AB8" s="153"/>
      <c r="AC8" s="152">
        <f>AC6*L8</f>
        <v>14.182334916480549</v>
      </c>
      <c r="AD8" s="153"/>
      <c r="AE8" s="103"/>
      <c r="AF8" s="103"/>
      <c r="AG8" s="103"/>
      <c r="AH8" s="154">
        <f>AH6*L8</f>
        <v>12.469020061838791</v>
      </c>
      <c r="AJ8" s="5"/>
      <c r="AK8" s="5"/>
      <c r="AL8" s="5"/>
      <c r="AN8" s="72"/>
      <c r="AO8" s="72"/>
      <c r="AP8" s="72"/>
      <c r="AQ8" s="30"/>
      <c r="AR8" s="14"/>
    </row>
    <row r="9" spans="1:50" x14ac:dyDescent="0.2">
      <c r="A9" s="9"/>
      <c r="B9" s="129"/>
      <c r="L9" s="157">
        <f>(L7/100)/((L6+L7)/100)</f>
        <v>0.2714806085279623</v>
      </c>
      <c r="T9" s="158"/>
      <c r="U9" s="158"/>
      <c r="V9" s="282"/>
      <c r="W9" s="158"/>
      <c r="X9" s="158"/>
      <c r="Y9" s="153"/>
      <c r="Z9" s="152">
        <f>Z7*L9</f>
        <v>-8.2080043098042932</v>
      </c>
      <c r="AA9" s="153"/>
      <c r="AB9" s="153"/>
      <c r="AC9" s="152">
        <f>AC7*L9</f>
        <v>-0.28264307553243412</v>
      </c>
      <c r="AD9" s="153"/>
      <c r="AE9" s="103"/>
      <c r="AF9" s="103"/>
      <c r="AG9" s="103"/>
      <c r="AH9" s="154">
        <f>AH7*L9</f>
        <v>2.2858045853867583</v>
      </c>
      <c r="AJ9" s="5"/>
      <c r="AK9" s="5"/>
      <c r="AL9" s="5"/>
      <c r="AN9" s="72"/>
      <c r="AO9" s="72"/>
      <c r="AP9" s="72"/>
      <c r="AQ9" s="30"/>
      <c r="AR9" s="14"/>
    </row>
    <row r="10" spans="1:50" x14ac:dyDescent="0.2">
      <c r="A10" s="9"/>
      <c r="B10" s="129"/>
      <c r="T10" s="158"/>
      <c r="U10" s="158"/>
      <c r="V10" s="282"/>
      <c r="W10" s="158"/>
      <c r="X10" s="158"/>
      <c r="Y10" s="153"/>
      <c r="Z10" s="152">
        <f>SUM(Z8:Z9)</f>
        <v>-8.9443116420823241</v>
      </c>
      <c r="AA10" s="153"/>
      <c r="AB10" s="153"/>
      <c r="AC10" s="152">
        <f>SUM(AC8:AC9)</f>
        <v>13.899691840948115</v>
      </c>
      <c r="AD10" s="153"/>
      <c r="AE10" s="103"/>
      <c r="AF10" s="103"/>
      <c r="AG10" s="103"/>
      <c r="AH10" s="153">
        <f>SUM(AH8:AH9)</f>
        <v>14.754824647225549</v>
      </c>
      <c r="AI10" s="41" t="s">
        <v>477</v>
      </c>
      <c r="AJ10" s="5" t="s">
        <v>14</v>
      </c>
      <c r="AK10" s="219">
        <f>INDEX('C-P-RollAdj'!$J$4:$J$76,MATCH(INT(Z10),'C-P-RollAdj'!$I$4:$I$76,FALSE),0)</f>
        <v>-23</v>
      </c>
      <c r="AL10" s="219">
        <f>INDEX('C-P-RollAdj'!$J$4:$J$76,MATCH(INT(AC10),'C-P-RollAdj'!$I$4:$I$76,FALSE),0)</f>
        <v>31</v>
      </c>
      <c r="AM10" s="262">
        <f>SUM(AM6:AM9)</f>
        <v>26.111111111111111</v>
      </c>
      <c r="AN10" s="14">
        <f>SUM(AN6:AN9)</f>
        <v>31.666666666666668</v>
      </c>
      <c r="AO10" s="14">
        <f>SUM(AO6:AO9)</f>
        <v>0</v>
      </c>
      <c r="AP10" s="14">
        <f>SUM(AP6:AP9)</f>
        <v>110</v>
      </c>
      <c r="AQ10" s="30"/>
      <c r="AR10" s="14"/>
    </row>
    <row r="11" spans="1:50" x14ac:dyDescent="0.2">
      <c r="B11" s="155"/>
      <c r="AN11" s="72"/>
      <c r="AO11" s="72"/>
      <c r="AP11" s="72"/>
      <c r="AQ11" s="30"/>
      <c r="AR11" s="14"/>
    </row>
    <row r="12" spans="1:50" x14ac:dyDescent="0.2">
      <c r="A12" t="s">
        <v>772</v>
      </c>
      <c r="B12" s="76" t="s">
        <v>160</v>
      </c>
      <c r="C12" s="76">
        <v>3</v>
      </c>
      <c r="D12" s="76">
        <v>1</v>
      </c>
      <c r="E12" s="76">
        <v>3</v>
      </c>
      <c r="F12" s="76">
        <v>16</v>
      </c>
      <c r="G12" s="76">
        <v>0</v>
      </c>
      <c r="H12" s="76">
        <v>0</v>
      </c>
      <c r="I12" s="76">
        <v>0</v>
      </c>
      <c r="J12" s="76">
        <v>0</v>
      </c>
      <c r="K12" s="76">
        <v>0</v>
      </c>
      <c r="L12" s="258">
        <f>INDEX('C-P-RollAdj'!$P$4:$P$900,MATCH((U12),'C-P-RollAdj'!$O$4:$O$900,FALSE),0)</f>
        <v>15</v>
      </c>
      <c r="M12" s="76">
        <v>11</v>
      </c>
      <c r="N12" s="76">
        <v>5</v>
      </c>
      <c r="O12" s="76">
        <v>5</v>
      </c>
      <c r="P12" s="76">
        <v>3</v>
      </c>
      <c r="Q12" s="76">
        <v>5</v>
      </c>
      <c r="R12" s="76">
        <v>2</v>
      </c>
      <c r="S12" s="76">
        <v>28</v>
      </c>
      <c r="T12" s="76">
        <v>61</v>
      </c>
      <c r="U12" s="76">
        <v>15</v>
      </c>
      <c r="V12" s="100">
        <v>0.2</v>
      </c>
      <c r="W12" s="76">
        <v>1.07</v>
      </c>
      <c r="Y12" s="50">
        <f>+(Q12-R12)/(T12-R12)*100</f>
        <v>5.0847457627118651</v>
      </c>
      <c r="Z12" s="6">
        <f>IF(Y12&lt;LeagueRatings!$K$21,((LeagueRatings!$K$21-Y12)/LeagueRatings!$K$21)*36,(LeagueRatings!$K$21-Y12)*6.48)</f>
        <v>15.554280258318787</v>
      </c>
      <c r="AA12" s="16">
        <f>INDEX('C-P-RollAdj'!$B$4:$B$76,MATCH(INT(Z12),'C-P-RollAdj'!$A$4:$A$76,FALSE),0)</f>
        <v>-1.29</v>
      </c>
      <c r="AB12" s="16">
        <f>(P12/(T12-R12))*100</f>
        <v>5.0847457627118651</v>
      </c>
      <c r="AC12" s="6">
        <f>IF(AB12&lt;LeagueRatings!$K$19,((LeagueRatings!$K$19-AB12)/LeagueRatings!$K$19)*36,(LeagueRatings!$K$19-AB12)/LeagueRatings!$K$22)</f>
        <v>-17.588061182306742</v>
      </c>
      <c r="AD12" s="16">
        <f>INDEX('C-P-RollAdj'!$F$4:$F$76,MATCH(INT(AC12),'C-P-RollAdj'!$E$4:$E$76,FALSE),0)</f>
        <v>1.8900000000000001</v>
      </c>
      <c r="AE12" s="17">
        <f>+((LeagueRatings!$I$17-E12)*5)+9.5</f>
        <v>15.314387243706364</v>
      </c>
      <c r="AF12" s="17">
        <f>IF(AE12&lt;4,4,AE12)</f>
        <v>15.314387243706364</v>
      </c>
      <c r="AG12" s="17">
        <f>IF(M12&lt;L12,((1-(M12/L12))*7)-0.07,(1-(M12/L12))*5)</f>
        <v>1.7966666666666671</v>
      </c>
      <c r="AH12" s="4">
        <f>+AA12+AD12+AF12+AG12</f>
        <v>17.711053910373032</v>
      </c>
      <c r="AI12" s="24"/>
      <c r="AJ12" s="58">
        <v>13</v>
      </c>
      <c r="AK12" s="219">
        <f>INDEX('C-P-RollAdj'!$J$4:$J$76,MATCH(INT(Z12),'C-P-RollAdj'!$I$4:$I$76,FALSE),0)</f>
        <v>33</v>
      </c>
      <c r="AL12" s="219">
        <f>INDEX('C-P-RollAdj'!$J$4:$J$76,MATCH(INT(AC12),'C-P-RollAdj'!$I$4:$I$76,FALSE),0)</f>
        <v>-36</v>
      </c>
      <c r="AM12" s="262">
        <f>+AR12*LeagueRatings!$K$27</f>
        <v>8.3333333333333339</v>
      </c>
      <c r="AN12" s="72">
        <f>F12*LeagueRatings!$K$27</f>
        <v>8.8888888888888893</v>
      </c>
      <c r="AO12" s="72">
        <f>G12*LeagueRatings!$K$27</f>
        <v>0</v>
      </c>
      <c r="AP12" s="72">
        <f>T12*LeagueRatings!$K$27</f>
        <v>33.888888888888893</v>
      </c>
      <c r="AQ12" s="24"/>
      <c r="AR12" s="14">
        <f>ROUNDUP(L12,0)</f>
        <v>15</v>
      </c>
    </row>
    <row r="13" spans="1:50" s="33" customFormat="1" x14ac:dyDescent="0.2">
      <c r="A13" s="41" t="s">
        <v>772</v>
      </c>
      <c r="B13" s="76" t="s">
        <v>155</v>
      </c>
      <c r="C13" s="76">
        <v>0</v>
      </c>
      <c r="D13" s="76">
        <v>0</v>
      </c>
      <c r="E13" s="76">
        <v>7.71</v>
      </c>
      <c r="F13" s="76">
        <v>10</v>
      </c>
      <c r="G13" s="76">
        <v>0</v>
      </c>
      <c r="H13" s="76">
        <v>0</v>
      </c>
      <c r="I13" s="76">
        <v>0</v>
      </c>
      <c r="J13" s="76">
        <v>0</v>
      </c>
      <c r="K13" s="76">
        <v>0</v>
      </c>
      <c r="L13" s="258">
        <f>INDEX('C-P-RollAdj'!$P$4:$P$900,MATCH((U13),'C-P-RollAdj'!$O$4:$O$900,FALSE),0)</f>
        <v>11.67</v>
      </c>
      <c r="M13" s="76">
        <v>17</v>
      </c>
      <c r="N13" s="76">
        <v>11</v>
      </c>
      <c r="O13" s="76">
        <v>10</v>
      </c>
      <c r="P13" s="76">
        <v>3</v>
      </c>
      <c r="Q13" s="76">
        <v>2</v>
      </c>
      <c r="R13" s="76">
        <v>0</v>
      </c>
      <c r="S13" s="76">
        <v>13</v>
      </c>
      <c r="T13" s="76">
        <v>52</v>
      </c>
      <c r="U13" s="76">
        <v>11.2</v>
      </c>
      <c r="V13" s="100">
        <v>0.36199999999999999</v>
      </c>
      <c r="W13" s="76">
        <v>1.63</v>
      </c>
      <c r="X13" s="76"/>
      <c r="Y13" s="50">
        <f>+(Q13-R13)/(T13-R13)*100</f>
        <v>3.8461538461538463</v>
      </c>
      <c r="Z13" s="6">
        <f>IF(Y13&lt;LeagueRatings!$K$10,((LeagueRatings!$K$10-Y13)/LeagueRatings!$K$10)*36,(LeagueRatings!$K$10-Y13)*6.48)</f>
        <v>20.025312898063902</v>
      </c>
      <c r="AA13" s="16">
        <f>INDEX('C-P-RollAdj'!$B$4:$B$76,MATCH(INT(Z13),'C-P-RollAdj'!$A$4:$A$76,FALSE),0)</f>
        <v>-1.79</v>
      </c>
      <c r="AB13" s="16">
        <f>(P13/(T13-R13))*100</f>
        <v>5.7692307692307692</v>
      </c>
      <c r="AC13" s="6">
        <f>IF(AB13&lt;LeagueRatings!$K$8,((LeagueRatings!$K$8-AB13)/LeagueRatings!$K$8)*36,(LeagueRatings!$K$8-AB13)/LeagueRatings!$K$11)</f>
        <v>-20.383245064997592</v>
      </c>
      <c r="AD13" s="16">
        <f>INDEX('C-P-RollAdj'!$F$4:$F$76,MATCH(INT(AC13),'C-P-RollAdj'!$E$4:$E$76,FALSE),0)</f>
        <v>2.31</v>
      </c>
      <c r="AE13" s="17">
        <f>+((LeagueRatings!$I$6-E13)*5)+9.5</f>
        <v>-8.0419485447225973</v>
      </c>
      <c r="AF13" s="17">
        <f>IF(AE13&lt;4,4,AE13)</f>
        <v>4</v>
      </c>
      <c r="AG13" s="17">
        <f>IF(M13&lt;L13,((1-(M13/L13))*7)-0.07,(1-(M13/L13))*5)</f>
        <v>-2.2836332476435306</v>
      </c>
      <c r="AH13" s="4">
        <f>+AA13+AD13+AF13+AG13</f>
        <v>2.236366752356469</v>
      </c>
      <c r="AJ13" s="5" t="s">
        <v>78</v>
      </c>
      <c r="AK13" s="219">
        <f>INDEX('C-P-RollAdj'!$J$4:$J$76,MATCH(INT(Z13),'C-P-RollAdj'!$I$4:$I$76,FALSE),0)</f>
        <v>42</v>
      </c>
      <c r="AL13" s="219">
        <f>INDEX('C-P-RollAdj'!$J$4:$J$76,MATCH(INT(AC13),'C-P-RollAdj'!$I$4:$I$76,FALSE),0)</f>
        <v>-43</v>
      </c>
      <c r="AM13" s="262">
        <f>+AR13*LeagueRatings!$K$27</f>
        <v>6.666666666666667</v>
      </c>
      <c r="AN13" s="72">
        <f>F13*LeagueRatings!$K$27</f>
        <v>5.5555555555555554</v>
      </c>
      <c r="AO13" s="72">
        <f>G13*LeagueRatings!$K$27</f>
        <v>0</v>
      </c>
      <c r="AP13" s="72">
        <f>T13*LeagueRatings!$K$27</f>
        <v>28.888888888888889</v>
      </c>
      <c r="AQ13"/>
      <c r="AR13" s="72">
        <f>ROUNDUP(L13,0)</f>
        <v>12</v>
      </c>
      <c r="AS13" s="113"/>
      <c r="AT13" s="113"/>
      <c r="AU13" s="113"/>
      <c r="AV13"/>
      <c r="AW13" s="97">
        <v>141.66999999999999</v>
      </c>
    </row>
    <row r="14" spans="1:50" x14ac:dyDescent="0.2">
      <c r="A14" s="9"/>
      <c r="B14" s="129"/>
      <c r="L14" s="157">
        <f>(L12/100)/((L12+L13)/100)</f>
        <v>0.56242969628796402</v>
      </c>
      <c r="T14" s="158"/>
      <c r="U14" s="158"/>
      <c r="V14" s="282"/>
      <c r="W14" s="158"/>
      <c r="X14" s="158"/>
      <c r="Y14" s="153"/>
      <c r="Z14" s="152">
        <f>Z12*L14</f>
        <v>8.7481891216641099</v>
      </c>
      <c r="AA14" s="153"/>
      <c r="AB14" s="153"/>
      <c r="AC14" s="152">
        <f>AC12*L14</f>
        <v>-9.8920479090589097</v>
      </c>
      <c r="AD14" s="153"/>
      <c r="AE14" s="103"/>
      <c r="AF14" s="103"/>
      <c r="AG14" s="103"/>
      <c r="AH14" s="154">
        <f>AH12*L14</f>
        <v>9.9612226717508623</v>
      </c>
      <c r="AJ14" s="5"/>
      <c r="AK14" s="5"/>
      <c r="AL14" s="5"/>
      <c r="AN14" s="72"/>
      <c r="AO14" s="72"/>
      <c r="AP14" s="72"/>
      <c r="AR14" s="14"/>
    </row>
    <row r="15" spans="1:50" x14ac:dyDescent="0.2">
      <c r="A15" s="9"/>
      <c r="B15" s="129"/>
      <c r="L15" s="157">
        <f>(L13/100)/((L12+L13)/100)</f>
        <v>0.43757030371203598</v>
      </c>
      <c r="T15" s="158"/>
      <c r="U15" s="158"/>
      <c r="V15" s="282"/>
      <c r="W15" s="158"/>
      <c r="X15" s="158"/>
      <c r="Y15" s="153"/>
      <c r="Z15" s="152">
        <f>Z13*L15</f>
        <v>8.7624822467343737</v>
      </c>
      <c r="AA15" s="153"/>
      <c r="AB15" s="153"/>
      <c r="AC15" s="152">
        <f>AC13*L15</f>
        <v>-8.9191027337278541</v>
      </c>
      <c r="AD15" s="153"/>
      <c r="AE15" s="103"/>
      <c r="AF15" s="103"/>
      <c r="AG15" s="103"/>
      <c r="AH15" s="154">
        <f>AH13*L15</f>
        <v>0.97856767904011965</v>
      </c>
      <c r="AJ15" s="5"/>
      <c r="AK15" s="5"/>
      <c r="AL15" s="5"/>
      <c r="AN15" s="72"/>
      <c r="AO15" s="72"/>
      <c r="AP15" s="72"/>
      <c r="AR15" s="14"/>
    </row>
    <row r="16" spans="1:50" x14ac:dyDescent="0.2">
      <c r="A16" s="9"/>
      <c r="B16" s="129"/>
      <c r="T16" s="158"/>
      <c r="U16" s="158"/>
      <c r="V16" s="282"/>
      <c r="W16" s="158"/>
      <c r="X16" s="158"/>
      <c r="Y16" s="153"/>
      <c r="Z16" s="152">
        <f>SUM(Z14:Z15)</f>
        <v>17.510671368398484</v>
      </c>
      <c r="AA16" s="153"/>
      <c r="AB16" s="153"/>
      <c r="AC16" s="152">
        <f>SUM(AC14:AC15)</f>
        <v>-18.811150642786764</v>
      </c>
      <c r="AD16" s="153"/>
      <c r="AE16" s="103"/>
      <c r="AF16" s="103"/>
      <c r="AG16" s="103"/>
      <c r="AH16" s="153">
        <f>SUM(AH14:AH15)</f>
        <v>10.939790350790982</v>
      </c>
      <c r="AI16" s="41" t="s">
        <v>772</v>
      </c>
      <c r="AJ16" s="5" t="s">
        <v>68</v>
      </c>
      <c r="AK16" s="219">
        <f>INDEX('C-P-RollAdj'!$J$4:$J$76,MATCH(INT(Z16),'C-P-RollAdj'!$I$4:$I$76,FALSE),0)</f>
        <v>35</v>
      </c>
      <c r="AL16" s="121">
        <f>INDEX('C-P-RollAdj'!$J$4:$J$76,MATCH(INT(AC16),'C-P-RollAdj'!$I$4:$I$76,FALSE),0)</f>
        <v>-41</v>
      </c>
      <c r="AM16" s="262">
        <f>SUM(AM12:AM15)</f>
        <v>15</v>
      </c>
      <c r="AN16" s="14">
        <f>SUM(AN12:AN15)</f>
        <v>14.444444444444445</v>
      </c>
      <c r="AO16" s="14">
        <f>SUM(AO12:AO15)</f>
        <v>0</v>
      </c>
      <c r="AP16" s="14">
        <f>SUM(AP12:AP15)</f>
        <v>62.777777777777786</v>
      </c>
      <c r="AR16" s="14"/>
    </row>
    <row r="17" spans="1:49" x14ac:dyDescent="0.2">
      <c r="A17" s="204"/>
      <c r="B17" s="196"/>
      <c r="AR17" s="14"/>
    </row>
    <row r="18" spans="1:49" x14ac:dyDescent="0.2">
      <c r="A18" t="s">
        <v>1201</v>
      </c>
      <c r="B18" s="76" t="s">
        <v>168</v>
      </c>
      <c r="C18" s="76">
        <v>3</v>
      </c>
      <c r="D18" s="76">
        <v>1</v>
      </c>
      <c r="E18" s="76">
        <v>6.4</v>
      </c>
      <c r="F18" s="76">
        <v>33</v>
      </c>
      <c r="G18" s="76">
        <v>0</v>
      </c>
      <c r="H18" s="76">
        <v>0</v>
      </c>
      <c r="I18" s="76">
        <v>0</v>
      </c>
      <c r="J18" s="76">
        <v>0</v>
      </c>
      <c r="K18" s="76">
        <v>1</v>
      </c>
      <c r="L18" s="258">
        <f>INDEX('C-P-RollAdj'!$P$4:$P$900,MATCH((U18),'C-P-RollAdj'!$O$4:$O$900,FALSE),0)</f>
        <v>32.33</v>
      </c>
      <c r="M18" s="76">
        <v>32</v>
      </c>
      <c r="N18" s="76">
        <v>23</v>
      </c>
      <c r="O18" s="76">
        <v>23</v>
      </c>
      <c r="P18" s="76">
        <v>6</v>
      </c>
      <c r="Q18" s="76">
        <v>15</v>
      </c>
      <c r="R18" s="76">
        <v>0</v>
      </c>
      <c r="S18" s="76">
        <v>33</v>
      </c>
      <c r="T18" s="76">
        <v>144</v>
      </c>
      <c r="U18" s="76">
        <v>32.1</v>
      </c>
      <c r="V18" s="100">
        <v>0.26</v>
      </c>
      <c r="W18" s="76">
        <v>1.45</v>
      </c>
      <c r="Y18" s="50">
        <f>+(Q18-R18)/(T18-R18)*100</f>
        <v>10.416666666666668</v>
      </c>
      <c r="Z18" s="6">
        <f>IF(Y18&lt;LeagueRatings!$K$21,((LeagueRatings!$K$21-Y18)/LeagueRatings!$K$21)*36,(LeagueRatings!$K$21-Y18)*6.48)</f>
        <v>-9.4844590206689752</v>
      </c>
      <c r="AA18" s="16">
        <f>INDEX('C-P-RollAdj'!$B$4:$B$76,MATCH(INT(Z18),'C-P-RollAdj'!$A$4:$A$76,FALSE),0)</f>
        <v>0.98</v>
      </c>
      <c r="AB18" s="16">
        <f>(P18/(T18-R18))*100</f>
        <v>4.1666666666666661</v>
      </c>
      <c r="AC18" s="6">
        <f>IF(AB18&lt;LeagueRatings!$K$19,((LeagueRatings!$K$19-AB18)/LeagueRatings!$K$19)*36,(LeagueRatings!$K$19-AB18)/LeagueRatings!$K$22)</f>
        <v>-10.169999999999995</v>
      </c>
      <c r="AD18" s="16">
        <f>INDEX('C-P-RollAdj'!$F$4:$F$76,MATCH(INT(AC18),'C-P-RollAdj'!$E$4:$E$76,FALSE),0)</f>
        <v>1.03</v>
      </c>
      <c r="AE18" s="17">
        <f>+((LeagueRatings!$I$17-E18)*5)+9.5</f>
        <v>-1.68561275629364</v>
      </c>
      <c r="AF18" s="17">
        <f>IF(AE18&lt;4,4,AE18)</f>
        <v>4</v>
      </c>
      <c r="AG18" s="17">
        <f>IF(M18&lt;L18,((1-(M18/L18))*7)-0.07,(1-(M18/L18))*5)</f>
        <v>1.4506650170117985E-3</v>
      </c>
      <c r="AH18" s="4">
        <f>+AA18+AD18+AF18+AG18</f>
        <v>6.0114506650170112</v>
      </c>
      <c r="AI18" s="24"/>
      <c r="AJ18" s="58">
        <v>1</v>
      </c>
      <c r="AK18" s="219">
        <f>INDEX('C-P-RollAdj'!$J$4:$J$76,MATCH(INT(Z18),'C-P-RollAdj'!$I$4:$I$76,FALSE),0)</f>
        <v>-24</v>
      </c>
      <c r="AL18" s="219">
        <f>INDEX('C-P-RollAdj'!$J$4:$J$76,MATCH(INT(AC18),'C-P-RollAdj'!$I$4:$I$76,FALSE),0)</f>
        <v>-25</v>
      </c>
      <c r="AM18" s="262">
        <f>+AR18*LeagueRatings!$K$27</f>
        <v>18.333333333333336</v>
      </c>
      <c r="AN18" s="72">
        <f>F18*LeagueRatings!$K$27</f>
        <v>18.333333333333336</v>
      </c>
      <c r="AO18" s="72">
        <f>G18*LeagueRatings!$K$27</f>
        <v>0</v>
      </c>
      <c r="AP18" s="72">
        <f>T18*LeagueRatings!$K$27</f>
        <v>80</v>
      </c>
      <c r="AQ18" s="24"/>
      <c r="AR18" s="14">
        <f>ROUNDUP(L18,0)</f>
        <v>33</v>
      </c>
    </row>
    <row r="19" spans="1:49" s="24" customFormat="1" x14ac:dyDescent="0.2">
      <c r="A19" s="41" t="s">
        <v>1201</v>
      </c>
      <c r="B19" s="76" t="s">
        <v>143</v>
      </c>
      <c r="C19" s="76">
        <v>0</v>
      </c>
      <c r="D19" s="76">
        <v>0</v>
      </c>
      <c r="E19" s="76">
        <v>2.38</v>
      </c>
      <c r="F19" s="76">
        <v>12</v>
      </c>
      <c r="G19" s="76">
        <v>0</v>
      </c>
      <c r="H19" s="76">
        <v>0</v>
      </c>
      <c r="I19" s="76">
        <v>0</v>
      </c>
      <c r="J19" s="76">
        <v>6</v>
      </c>
      <c r="K19" s="76">
        <v>6</v>
      </c>
      <c r="L19" s="258">
        <f>INDEX('C-P-RollAdj'!$P$4:$P$900,MATCH((U19),'C-P-RollAdj'!$O$4:$O$900,FALSE),0)</f>
        <v>11.33</v>
      </c>
      <c r="M19" s="76">
        <v>9</v>
      </c>
      <c r="N19" s="76">
        <v>3</v>
      </c>
      <c r="O19" s="76">
        <v>3</v>
      </c>
      <c r="P19" s="76">
        <v>1</v>
      </c>
      <c r="Q19" s="76">
        <v>2</v>
      </c>
      <c r="R19" s="76">
        <v>0</v>
      </c>
      <c r="S19" s="76">
        <v>8</v>
      </c>
      <c r="T19" s="76">
        <v>46</v>
      </c>
      <c r="U19" s="76">
        <v>11.1</v>
      </c>
      <c r="V19" s="100">
        <v>0.214</v>
      </c>
      <c r="W19" s="76">
        <v>0.97</v>
      </c>
      <c r="X19" s="76"/>
      <c r="Y19" s="50">
        <f>+(Q19-R19)/(T19-R19)*100</f>
        <v>4.3478260869565215</v>
      </c>
      <c r="Z19" s="6">
        <f>IF(Y19&lt;LeagueRatings!$K$10,((LeagueRatings!$K$10-Y19)/LeagueRatings!$K$10)*36,(LeagueRatings!$K$10-Y19)*6.48)</f>
        <v>17.94165805868094</v>
      </c>
      <c r="AA19" s="16">
        <f>INDEX('C-P-RollAdj'!$B$4:$B$76,MATCH(INT(Z19),'C-P-RollAdj'!$A$4:$A$76,FALSE),0)</f>
        <v>-1.49</v>
      </c>
      <c r="AB19" s="16">
        <f>(P19/(T19-R19))*100</f>
        <v>2.1739130434782608</v>
      </c>
      <c r="AC19" s="6">
        <f>IF(AB19&lt;LeagueRatings!$K$8,((LeagueRatings!$K$8-AB19)/LeagueRatings!$K$8)*36,(LeagueRatings!$K$8-AB19)/LeagueRatings!$K$11)</f>
        <v>11.560416110962926</v>
      </c>
      <c r="AD19" s="16">
        <f>INDEX('C-P-RollAdj'!$F$4:$F$76,MATCH(INT(AC19),'C-P-RollAdj'!$E$4:$E$76,FALSE),0)</f>
        <v>-0.81</v>
      </c>
      <c r="AE19" s="17">
        <f>+((LeagueRatings!$I$17-E19)*5)+9.5</f>
        <v>18.414387243706365</v>
      </c>
      <c r="AF19" s="17">
        <f>IF(AE19&lt;4,4,AE19)</f>
        <v>18.414387243706365</v>
      </c>
      <c r="AG19" s="17">
        <f>IF(M19&lt;L19,((1-(M19/L19))*7)-0.07,(1-(M19/L19))*5)</f>
        <v>1.3695410414827889</v>
      </c>
      <c r="AH19" s="4">
        <f>+AA19+AD19+AF19+AG19</f>
        <v>17.483928285189155</v>
      </c>
      <c r="AJ19" s="58">
        <v>1</v>
      </c>
      <c r="AK19" s="219">
        <f>INDEX('C-P-RollAdj'!$J$4:$J$76,MATCH(INT(Z19),'C-P-RollAdj'!$I$4:$I$76,FALSE),0)</f>
        <v>35</v>
      </c>
      <c r="AL19" s="219">
        <f>INDEX('C-P-RollAdj'!$J$4:$J$76,MATCH(INT(AC19),'C-P-RollAdj'!$I$4:$I$76,FALSE),0)</f>
        <v>25</v>
      </c>
      <c r="AM19" s="262">
        <f>+AR19*LeagueRatings!$K$27</f>
        <v>6.666666666666667</v>
      </c>
      <c r="AN19" s="72">
        <f>F19*LeagueRatings!$K$27</f>
        <v>6.666666666666667</v>
      </c>
      <c r="AO19" s="72">
        <f>G19*LeagueRatings!$K$27</f>
        <v>0</v>
      </c>
      <c r="AP19" s="72">
        <f>T19*LeagueRatings!$K$27</f>
        <v>25.555555555555557</v>
      </c>
      <c r="AR19" s="14">
        <f>ROUNDUP(L19,0)</f>
        <v>12</v>
      </c>
    </row>
    <row r="20" spans="1:49" x14ac:dyDescent="0.2">
      <c r="A20" s="9"/>
      <c r="B20" s="129"/>
      <c r="L20" s="157">
        <f>(L18/100)/((L18+L19)/100)</f>
        <v>0.7404947320201557</v>
      </c>
      <c r="T20" s="158"/>
      <c r="U20" s="158"/>
      <c r="V20" s="282"/>
      <c r="W20" s="158"/>
      <c r="X20" s="158"/>
      <c r="Y20" s="153"/>
      <c r="Z20" s="152">
        <f>Z18*L20</f>
        <v>-7.023191940866421</v>
      </c>
      <c r="AA20" s="153"/>
      <c r="AB20" s="153"/>
      <c r="AC20" s="152">
        <f>AC18*L20</f>
        <v>-7.5308314246449797</v>
      </c>
      <c r="AD20" s="153"/>
      <c r="AE20" s="103"/>
      <c r="AF20" s="103"/>
      <c r="AG20" s="103"/>
      <c r="AH20" s="154">
        <f>AH18*L20</f>
        <v>4.4514475492441585</v>
      </c>
      <c r="AJ20" s="5"/>
      <c r="AK20" s="5"/>
      <c r="AL20" s="5"/>
      <c r="AN20" s="72"/>
      <c r="AO20" s="72"/>
      <c r="AP20" s="72"/>
      <c r="AR20" s="14"/>
    </row>
    <row r="21" spans="1:49" x14ac:dyDescent="0.2">
      <c r="A21" s="9"/>
      <c r="B21" s="129"/>
      <c r="L21" s="157">
        <f>(L19/100)/((L18+L19)/100)</f>
        <v>0.25950526797984425</v>
      </c>
      <c r="T21" s="158"/>
      <c r="U21" s="158"/>
      <c r="V21" s="282"/>
      <c r="W21" s="158"/>
      <c r="X21" s="158"/>
      <c r="Y21" s="153"/>
      <c r="Z21" s="152">
        <f>Z19*L21</f>
        <v>4.6559547825207295</v>
      </c>
      <c r="AA21" s="153"/>
      <c r="AB21" s="153"/>
      <c r="AC21" s="152">
        <f>AC19*L21</f>
        <v>2.9999888808339428</v>
      </c>
      <c r="AD21" s="153"/>
      <c r="AE21" s="103"/>
      <c r="AF21" s="103"/>
      <c r="AG21" s="103"/>
      <c r="AH21" s="154">
        <f>AH19*L21</f>
        <v>4.5371714949883906</v>
      </c>
      <c r="AJ21" s="5"/>
      <c r="AK21" s="5"/>
      <c r="AL21" s="5"/>
      <c r="AN21" s="72"/>
      <c r="AO21" s="72"/>
      <c r="AP21" s="72"/>
      <c r="AR21" s="14"/>
    </row>
    <row r="22" spans="1:49" x14ac:dyDescent="0.2">
      <c r="A22" s="9"/>
      <c r="B22" s="129"/>
      <c r="T22" s="158"/>
      <c r="U22" s="158"/>
      <c r="V22" s="282"/>
      <c r="W22" s="158"/>
      <c r="X22" s="158"/>
      <c r="Y22" s="153"/>
      <c r="Z22" s="152">
        <f>SUM(Z20:Z21)</f>
        <v>-2.3672371583456915</v>
      </c>
      <c r="AA22" s="153"/>
      <c r="AB22" s="153"/>
      <c r="AC22" s="152">
        <f>SUM(AC20:AC21)</f>
        <v>-4.5308425438110369</v>
      </c>
      <c r="AD22" s="153"/>
      <c r="AE22" s="103"/>
      <c r="AF22" s="103"/>
      <c r="AG22" s="103"/>
      <c r="AH22" s="153">
        <f>SUM(AH20:AH21)</f>
        <v>8.98861904423255</v>
      </c>
      <c r="AI22" s="41" t="s">
        <v>1201</v>
      </c>
      <c r="AJ22" s="5" t="s">
        <v>34</v>
      </c>
      <c r="AK22" s="219">
        <f>INDEX('C-P-RollAdj'!$J$4:$J$76,MATCH(INT(Z22),'C-P-RollAdj'!$I$4:$I$76,FALSE),0)</f>
        <v>-13</v>
      </c>
      <c r="AL22" s="121">
        <f>INDEX('C-P-RollAdj'!$J$4:$J$76,MATCH(INT(AC22),'C-P-RollAdj'!$I$4:$I$76,FALSE),0)</f>
        <v>-15</v>
      </c>
      <c r="AM22" s="262">
        <f>SUM(AM18:AM21)</f>
        <v>25.000000000000004</v>
      </c>
      <c r="AN22" s="14">
        <f>SUM(AN18:AN21)</f>
        <v>25.000000000000004</v>
      </c>
      <c r="AO22" s="14">
        <f>SUM(AO18:AO21)</f>
        <v>0</v>
      </c>
      <c r="AP22" s="14">
        <f>SUM(AP18:AP21)</f>
        <v>105.55555555555556</v>
      </c>
      <c r="AR22" s="14"/>
    </row>
    <row r="23" spans="1:49" x14ac:dyDescent="0.2">
      <c r="B23" s="155"/>
      <c r="AR23" s="14"/>
    </row>
    <row r="24" spans="1:49" x14ac:dyDescent="0.2">
      <c r="A24" t="s">
        <v>418</v>
      </c>
      <c r="B24" s="76" t="s">
        <v>167</v>
      </c>
      <c r="C24" s="76">
        <v>0</v>
      </c>
      <c r="D24" s="76">
        <v>0</v>
      </c>
      <c r="E24" s="76">
        <v>4.74</v>
      </c>
      <c r="F24" s="76">
        <v>41</v>
      </c>
      <c r="G24" s="76">
        <v>0</v>
      </c>
      <c r="H24" s="76">
        <v>0</v>
      </c>
      <c r="I24" s="76">
        <v>0</v>
      </c>
      <c r="J24" s="76">
        <v>0</v>
      </c>
      <c r="K24" s="76">
        <v>1</v>
      </c>
      <c r="L24" s="258">
        <f>INDEX('C-P-RollAdj'!$P$4:$P$900,MATCH((U24),'C-P-RollAdj'!$O$4:$O$900,FALSE),0)</f>
        <v>43.67</v>
      </c>
      <c r="M24" s="76">
        <v>41</v>
      </c>
      <c r="N24" s="76">
        <v>24</v>
      </c>
      <c r="O24" s="76">
        <v>23</v>
      </c>
      <c r="P24" s="76">
        <v>8</v>
      </c>
      <c r="Q24" s="76">
        <v>21</v>
      </c>
      <c r="R24" s="76">
        <v>2</v>
      </c>
      <c r="S24" s="76">
        <v>46</v>
      </c>
      <c r="T24" s="76">
        <v>195</v>
      </c>
      <c r="U24" s="76">
        <v>43.2</v>
      </c>
      <c r="V24" s="100">
        <v>0.24399999999999999</v>
      </c>
      <c r="W24" s="76">
        <v>1.42</v>
      </c>
      <c r="Y24" s="50">
        <f>+(Q24-R24)/(T24-R24)*100</f>
        <v>9.8445595854922274</v>
      </c>
      <c r="Z24" s="6">
        <f>IF(Y24&lt;LeagueRatings!$K$21,((LeagueRatings!$K$21-Y24)/LeagueRatings!$K$21)*36,(LeagueRatings!$K$21-Y24)*6.48)</f>
        <v>-5.7772051346586011</v>
      </c>
      <c r="AA24" s="16">
        <f>INDEX('C-P-RollAdj'!$B$4:$B$76,MATCH(INT(Z24),'C-P-RollAdj'!$A$4:$A$76,FALSE),0)</f>
        <v>0.54</v>
      </c>
      <c r="AB24" s="16">
        <f>(P24/(T24-R24))*100</f>
        <v>4.1450777202072544</v>
      </c>
      <c r="AC24" s="6">
        <f>IF(AB24&lt;LeagueRatings!$K$19,((LeagueRatings!$K$19-AB24)/LeagueRatings!$K$19)*36,(LeagueRatings!$K$19-AB24)/LeagueRatings!$K$22)</f>
        <v>-9.9955617338556841</v>
      </c>
      <c r="AD24" s="16">
        <f>INDEX('C-P-RollAdj'!$F$4:$F$76,MATCH(INT(AC24),'C-P-RollAdj'!$E$4:$E$76,FALSE),0)</f>
        <v>0.92</v>
      </c>
      <c r="AE24" s="17">
        <f>+((LeagueRatings!$I$6-E24)*5)+9.5</f>
        <v>6.8080514552774023</v>
      </c>
      <c r="AF24" s="17">
        <f>IF(AE24&lt;4,4,AE24)</f>
        <v>6.8080514552774023</v>
      </c>
      <c r="AG24" s="17">
        <f>IF(M24&lt;L24,((1-(M24/L24))*7)-0.07,(1-(M24/L24))*5)</f>
        <v>0.35798259674833993</v>
      </c>
      <c r="AH24" s="4">
        <f>+AA24+AD24+AF24+AG24</f>
        <v>8.6260340520257408</v>
      </c>
      <c r="AJ24" s="5" t="s">
        <v>19</v>
      </c>
      <c r="AK24" s="219">
        <f>INDEX('C-P-RollAdj'!$J$4:$J$76,MATCH(INT(Z24),'C-P-RollAdj'!$I$4:$I$76,FALSE),0)</f>
        <v>-16</v>
      </c>
      <c r="AL24" s="219">
        <f>INDEX('C-P-RollAdj'!$J$4:$J$76,MATCH(INT(AC24),'C-P-RollAdj'!$I$4:$I$76,FALSE),0)</f>
        <v>-24</v>
      </c>
      <c r="AM24" s="262">
        <f>+AR24*LeagueRatings!$K$27</f>
        <v>24.444444444444446</v>
      </c>
      <c r="AN24" s="72">
        <f>F24*LeagueRatings!$K$27</f>
        <v>22.777777777777779</v>
      </c>
      <c r="AO24" s="72">
        <f>G24*LeagueRatings!$K$27</f>
        <v>0</v>
      </c>
      <c r="AP24" s="72">
        <f>T24*LeagueRatings!$K$27</f>
        <v>108.33333333333334</v>
      </c>
      <c r="AQ24" s="24"/>
      <c r="AR24" s="72">
        <f>ROUNDUP(L24,0)</f>
        <v>44</v>
      </c>
    </row>
    <row r="25" spans="1:49" s="24" customFormat="1" x14ac:dyDescent="0.2">
      <c r="A25" s="41" t="s">
        <v>418</v>
      </c>
      <c r="B25" s="76" t="s">
        <v>169</v>
      </c>
      <c r="C25" s="76">
        <v>3</v>
      </c>
      <c r="D25" s="76">
        <v>0</v>
      </c>
      <c r="E25" s="76">
        <v>4.13</v>
      </c>
      <c r="F25" s="76">
        <v>28</v>
      </c>
      <c r="G25" s="76">
        <v>0</v>
      </c>
      <c r="H25" s="76">
        <v>0</v>
      </c>
      <c r="I25" s="76">
        <v>0</v>
      </c>
      <c r="J25" s="76">
        <v>0</v>
      </c>
      <c r="K25" s="76">
        <v>1</v>
      </c>
      <c r="L25" s="258">
        <f>INDEX('C-P-RollAdj'!$P$4:$P$900,MATCH((U25),'C-P-RollAdj'!$O$4:$O$900,FALSE),0)</f>
        <v>24</v>
      </c>
      <c r="M25" s="76">
        <v>19</v>
      </c>
      <c r="N25" s="76">
        <v>13</v>
      </c>
      <c r="O25" s="76">
        <v>11</v>
      </c>
      <c r="P25" s="76">
        <v>3</v>
      </c>
      <c r="Q25" s="76">
        <v>11</v>
      </c>
      <c r="R25" s="76">
        <v>1</v>
      </c>
      <c r="S25" s="76">
        <v>28</v>
      </c>
      <c r="T25" s="76">
        <v>102</v>
      </c>
      <c r="U25" s="76">
        <v>24</v>
      </c>
      <c r="V25" s="100">
        <v>0.216</v>
      </c>
      <c r="W25" s="76">
        <v>1.25</v>
      </c>
      <c r="X25" s="76"/>
      <c r="Y25" s="50">
        <f>+(Q25-R25)/(T25-R25)*100</f>
        <v>9.9009900990099009</v>
      </c>
      <c r="Z25" s="6">
        <f>IF(Y25&lt;LeagueRatings!$K$21,((LeagueRatings!$K$21-Y25)/LeagueRatings!$K$21)*36,(LeagueRatings!$K$21-Y25)*6.48)</f>
        <v>-6.1428748622531248</v>
      </c>
      <c r="AA25" s="16">
        <f>INDEX('C-P-RollAdj'!$B$4:$B$76,MATCH(INT(Z25),'C-P-RollAdj'!$A$4:$A$76,FALSE),0)</f>
        <v>0.65</v>
      </c>
      <c r="AB25" s="16">
        <f>(P25/(T25-R25))*100</f>
        <v>2.9702970297029703</v>
      </c>
      <c r="AC25" s="6">
        <f>IF(AB25&lt;LeagueRatings!$K$19,((LeagueRatings!$K$19-AB25)/LeagueRatings!$K$19)*36,(LeagueRatings!$K$19-AB25)/LeagueRatings!$K$22)</f>
        <v>-0.50335667713112642</v>
      </c>
      <c r="AD25" s="16">
        <f>INDEX('C-P-RollAdj'!$F$4:$F$76,MATCH(INT(AC25),'C-P-RollAdj'!$E$4:$E$76,FALSE),0)</f>
        <v>0.08</v>
      </c>
      <c r="AE25" s="17">
        <f>+((LeagueRatings!$I$17-E25)*5)+9.5</f>
        <v>9.6643872437063632</v>
      </c>
      <c r="AF25" s="17">
        <f>IF(AE25&lt;4,4,AE25)</f>
        <v>9.6643872437063632</v>
      </c>
      <c r="AG25" s="17">
        <f>IF(M25&lt;L25,((1-(M25/L25))*7)-0.07,(1-(M25/L25))*5)</f>
        <v>1.3883333333333334</v>
      </c>
      <c r="AH25" s="4">
        <f>+AA25+AD25+AF25+AG25</f>
        <v>11.782720577039697</v>
      </c>
      <c r="AJ25" s="58">
        <v>4</v>
      </c>
      <c r="AK25" s="219">
        <f>INDEX('C-P-RollAdj'!$J$4:$J$76,MATCH(INT(Z25),'C-P-RollAdj'!$I$4:$I$76,FALSE),0)</f>
        <v>-21</v>
      </c>
      <c r="AL25" s="219">
        <f>INDEX('C-P-RollAdj'!$J$4:$J$76,MATCH(INT(AC25),'C-P-RollAdj'!$I$4:$I$76,FALSE),0)</f>
        <v>-11</v>
      </c>
      <c r="AM25" s="262">
        <f>+AR25*LeagueRatings!$K$27</f>
        <v>13.333333333333334</v>
      </c>
      <c r="AN25" s="72">
        <f>F25*LeagueRatings!$K$27</f>
        <v>15.555555555555557</v>
      </c>
      <c r="AO25" s="72">
        <f>G25*LeagueRatings!$K$27</f>
        <v>0</v>
      </c>
      <c r="AP25" s="72">
        <f>T25*LeagueRatings!$K$27</f>
        <v>56.666666666666671</v>
      </c>
      <c r="AR25" s="14">
        <f>ROUNDUP(L25,0)</f>
        <v>24</v>
      </c>
    </row>
    <row r="26" spans="1:49" x14ac:dyDescent="0.2">
      <c r="A26" s="9"/>
      <c r="B26" s="129"/>
      <c r="L26" s="157">
        <f>(L24/100)/((L24+L25)/100)</f>
        <v>0.64533766809516779</v>
      </c>
      <c r="T26" s="158"/>
      <c r="U26" s="158"/>
      <c r="V26" s="282"/>
      <c r="W26" s="158"/>
      <c r="X26" s="158"/>
      <c r="Y26" s="153"/>
      <c r="Z26" s="152">
        <f>Z24*L26</f>
        <v>-3.7282480897080115</v>
      </c>
      <c r="AA26" s="153"/>
      <c r="AB26" s="153"/>
      <c r="AC26" s="152">
        <f>AC24*L26</f>
        <v>-6.4505125006277195</v>
      </c>
      <c r="AD26" s="153"/>
      <c r="AE26" s="103"/>
      <c r="AF26" s="103"/>
      <c r="AG26" s="103"/>
      <c r="AH26" s="154">
        <f>AH24*L26</f>
        <v>5.566704700043803</v>
      </c>
      <c r="AJ26" s="5"/>
      <c r="AK26" s="5"/>
      <c r="AL26" s="5"/>
      <c r="AN26" s="72"/>
      <c r="AR26" s="14"/>
    </row>
    <row r="27" spans="1:49" x14ac:dyDescent="0.2">
      <c r="A27" s="9"/>
      <c r="B27" s="129"/>
      <c r="L27" s="157">
        <f>(L25/100)/((L24+L25)/100)</f>
        <v>0.35466233190483226</v>
      </c>
      <c r="T27" s="158"/>
      <c r="U27" s="158"/>
      <c r="V27" s="282"/>
      <c r="W27" s="158"/>
      <c r="X27" s="158"/>
      <c r="Y27" s="153"/>
      <c r="Z27" s="152">
        <f>Z25*L27</f>
        <v>-2.1786463232462685</v>
      </c>
      <c r="AA27" s="153"/>
      <c r="AB27" s="153"/>
      <c r="AC27" s="152">
        <f>AC25*L27</f>
        <v>-0.17852165289119304</v>
      </c>
      <c r="AD27" s="153"/>
      <c r="AE27" s="103"/>
      <c r="AF27" s="103"/>
      <c r="AG27" s="103"/>
      <c r="AH27" s="154">
        <f>AH25*L27</f>
        <v>4.17888715603595</v>
      </c>
      <c r="AJ27" s="5"/>
      <c r="AK27" s="5"/>
      <c r="AL27" s="5"/>
      <c r="AN27" s="72"/>
      <c r="AR27" s="14"/>
    </row>
    <row r="28" spans="1:49" x14ac:dyDescent="0.2">
      <c r="A28" s="9"/>
      <c r="B28" s="129"/>
      <c r="T28" s="158"/>
      <c r="U28" s="158"/>
      <c r="V28" s="282"/>
      <c r="W28" s="158"/>
      <c r="X28" s="158"/>
      <c r="Y28" s="153"/>
      <c r="Z28" s="152">
        <f>SUM(Z26:Z27)</f>
        <v>-5.90689441295428</v>
      </c>
      <c r="AA28" s="153"/>
      <c r="AB28" s="153"/>
      <c r="AC28" s="152">
        <f>SUM(AC26:AC27)</f>
        <v>-6.6290341535189121</v>
      </c>
      <c r="AD28" s="153"/>
      <c r="AE28" s="103"/>
      <c r="AF28" s="103"/>
      <c r="AG28" s="103"/>
      <c r="AH28" s="153">
        <f>SUM(AH26:AH27)</f>
        <v>9.7455918560797521</v>
      </c>
      <c r="AI28" s="41" t="s">
        <v>418</v>
      </c>
      <c r="AJ28" s="5" t="s">
        <v>39</v>
      </c>
      <c r="AK28" s="219">
        <f>INDEX('C-P-RollAdj'!$J$4:$J$76,MATCH(INT(Z28),'C-P-RollAdj'!$I$4:$I$76,FALSE),0)</f>
        <v>-16</v>
      </c>
      <c r="AL28" s="219">
        <f>INDEX('C-P-RollAdj'!$J$4:$J$76,MATCH(INT(AC28),'C-P-RollAdj'!$I$4:$I$76,FALSE),0)</f>
        <v>-21</v>
      </c>
      <c r="AM28" s="262">
        <f>SUM(AM24:AM27)</f>
        <v>37.777777777777779</v>
      </c>
      <c r="AN28" s="14">
        <f>SUM(AN24:AN27)</f>
        <v>38.333333333333336</v>
      </c>
      <c r="AO28" s="14">
        <f>SUM(AO24:AO27)</f>
        <v>0</v>
      </c>
      <c r="AP28" s="14">
        <f>SUM(AP24:AP27)</f>
        <v>165</v>
      </c>
      <c r="AR28" s="14"/>
    </row>
    <row r="29" spans="1:49" x14ac:dyDescent="0.2">
      <c r="B29" s="155"/>
      <c r="AR29" s="14"/>
    </row>
    <row r="30" spans="1:49" x14ac:dyDescent="0.2">
      <c r="A30" t="s">
        <v>535</v>
      </c>
      <c r="B30" s="76" t="s">
        <v>154</v>
      </c>
      <c r="C30" s="76">
        <v>1</v>
      </c>
      <c r="D30" s="76">
        <v>1</v>
      </c>
      <c r="E30" s="76">
        <v>5.18</v>
      </c>
      <c r="F30" s="76">
        <v>26</v>
      </c>
      <c r="G30" s="76">
        <v>0</v>
      </c>
      <c r="H30" s="76">
        <v>0</v>
      </c>
      <c r="I30" s="76">
        <v>0</v>
      </c>
      <c r="J30" s="76">
        <v>0</v>
      </c>
      <c r="K30" s="76">
        <v>2</v>
      </c>
      <c r="L30" s="258">
        <f>INDEX('C-P-RollAdj'!$P$4:$P$900,MATCH((U30),'C-P-RollAdj'!$O$4:$O$900,FALSE),0)</f>
        <v>24.33</v>
      </c>
      <c r="M30" s="76">
        <v>20</v>
      </c>
      <c r="N30" s="76">
        <v>16</v>
      </c>
      <c r="O30" s="76">
        <v>14</v>
      </c>
      <c r="P30" s="76">
        <v>4</v>
      </c>
      <c r="Q30" s="76">
        <v>15</v>
      </c>
      <c r="R30" s="76">
        <v>1</v>
      </c>
      <c r="S30" s="76">
        <v>28</v>
      </c>
      <c r="T30" s="76">
        <v>111</v>
      </c>
      <c r="U30" s="76">
        <v>24.1</v>
      </c>
      <c r="V30" s="100">
        <v>0.215</v>
      </c>
      <c r="W30" s="76">
        <v>1.44</v>
      </c>
      <c r="Y30" s="50">
        <f>+(Q30-R30)/(T30-R30)*100</f>
        <v>12.727272727272727</v>
      </c>
      <c r="Z30" s="6">
        <f>IF(Y30&lt;LeagueRatings!$K$10,((LeagueRatings!$K$10-Y30)/LeagueRatings!$K$10)*36,(LeagueRatings!$K$10-Y30)*6.48)</f>
        <v>-26.306946778533611</v>
      </c>
      <c r="AA30" s="16">
        <f>INDEX('C-P-RollAdj'!$B$4:$B$76,MATCH(INT(Z30),'C-P-RollAdj'!$A$4:$A$76,FALSE),0)</f>
        <v>3.61</v>
      </c>
      <c r="AB30" s="16">
        <f>(P30/(T30-R30))*100</f>
        <v>3.6363636363636362</v>
      </c>
      <c r="AC30" s="6">
        <f>IF(AB30&lt;LeagueRatings!$K$8,((LeagueRatings!$K$8-AB30)/LeagueRatings!$K$8)*36,(LeagueRatings!$K$8-AB30)/LeagueRatings!$K$11)</f>
        <v>-3.447314745918499</v>
      </c>
      <c r="AD30" s="16">
        <f>INDEX('C-P-RollAdj'!$F$4:$F$76,MATCH(INT(AC30),'C-P-RollAdj'!$E$4:$E$76,FALSE),0)</f>
        <v>0.32999999999999996</v>
      </c>
      <c r="AE30" s="17">
        <f>+((LeagueRatings!$I$17-E30)*5)+9.5</f>
        <v>4.414387243706364</v>
      </c>
      <c r="AF30" s="17">
        <f>IF(AE30&lt;4,4,AE30)</f>
        <v>4.414387243706364</v>
      </c>
      <c r="AG30" s="17">
        <f>IF(M30&lt;L30,((1-(M30/L30))*7)-0.07,(1-(M30/L30))*5)</f>
        <v>1.1757870941224822</v>
      </c>
      <c r="AH30" s="4">
        <f>+AA30+AD30+AF30+AG30</f>
        <v>9.5301743378288464</v>
      </c>
      <c r="AJ30" s="5" t="s">
        <v>14</v>
      </c>
      <c r="AK30" s="219">
        <f>INDEX('C-P-RollAdj'!$J$4:$J$76,MATCH(INT(Z30),'C-P-RollAdj'!$I$4:$I$76,FALSE),0)</f>
        <v>-53</v>
      </c>
      <c r="AL30" s="219">
        <f>INDEX('C-P-RollAdj'!$J$4:$J$76,MATCH(INT(AC30),'C-P-RollAdj'!$I$4:$I$76,FALSE),0)</f>
        <v>-14</v>
      </c>
      <c r="AM30" s="262">
        <f>+AR30*LeagueRatings!$K$27</f>
        <v>0</v>
      </c>
      <c r="AN30" s="72">
        <f>F30*LeagueRatings!$K$27</f>
        <v>14.444444444444445</v>
      </c>
      <c r="AO30" s="72">
        <f>G30*LeagueRatings!$K$27</f>
        <v>0</v>
      </c>
      <c r="AP30" s="72">
        <f>T30*LeagueRatings!$K$27</f>
        <v>61.666666666666671</v>
      </c>
      <c r="AQ30" s="30"/>
      <c r="AR30" s="14"/>
    </row>
    <row r="31" spans="1:49" s="26" customFormat="1" x14ac:dyDescent="0.2">
      <c r="A31" s="41" t="s">
        <v>535</v>
      </c>
      <c r="B31" s="76" t="s">
        <v>156</v>
      </c>
      <c r="C31" s="76">
        <v>2</v>
      </c>
      <c r="D31" s="76">
        <v>0</v>
      </c>
      <c r="E31" s="76">
        <v>0.38</v>
      </c>
      <c r="F31" s="76">
        <v>25</v>
      </c>
      <c r="G31" s="76">
        <v>0</v>
      </c>
      <c r="H31" s="76">
        <v>0</v>
      </c>
      <c r="I31" s="76">
        <v>0</v>
      </c>
      <c r="J31" s="76">
        <v>1</v>
      </c>
      <c r="K31" s="76">
        <v>3</v>
      </c>
      <c r="L31" s="258">
        <f>INDEX('C-P-RollAdj'!$P$4:$P$900,MATCH((U31),'C-P-RollAdj'!$O$4:$O$900,FALSE),0)</f>
        <v>23.67</v>
      </c>
      <c r="M31" s="76">
        <v>17</v>
      </c>
      <c r="N31" s="76">
        <v>1</v>
      </c>
      <c r="O31" s="76">
        <v>1</v>
      </c>
      <c r="P31" s="76">
        <v>1</v>
      </c>
      <c r="Q31" s="76">
        <v>9</v>
      </c>
      <c r="R31" s="76">
        <v>0</v>
      </c>
      <c r="S31" s="76">
        <v>24</v>
      </c>
      <c r="T31" s="76">
        <v>93</v>
      </c>
      <c r="U31" s="76">
        <v>23.2</v>
      </c>
      <c r="V31" s="100">
        <v>0.20499999999999999</v>
      </c>
      <c r="W31" s="76">
        <v>1.1000000000000001</v>
      </c>
      <c r="X31" s="76"/>
      <c r="Y31" s="52">
        <f>+(Q31-R31)/(T31-R31)*100</f>
        <v>9.67741935483871</v>
      </c>
      <c r="Z31" s="6">
        <f>IF(Y31&lt;LeagueRatings!$K$10,((LeagueRatings!$K$10-Y31)/LeagueRatings!$K$10)*36,(LeagueRatings!$K$10-Y31)*6.48)</f>
        <v>-6.5438969251611807</v>
      </c>
      <c r="AA31" s="16">
        <f>INDEX('C-P-RollAdj'!$B$4:$B$76,MATCH(INT(Z31),'C-P-RollAdj'!$A$4:$A$76,FALSE),0)</f>
        <v>0.65</v>
      </c>
      <c r="AB31" s="54">
        <f>(P31/(T31-R31))*100</f>
        <v>1.0752688172043012</v>
      </c>
      <c r="AC31" s="6">
        <f>IF(AB31&lt;LeagueRatings!$K$8,((LeagueRatings!$K$8-AB31)/LeagueRatings!$K$8)*36,(LeagueRatings!$K$8-AB31)/LeagueRatings!$K$11)</f>
        <v>23.911603667788114</v>
      </c>
      <c r="AD31" s="16">
        <f>INDEX('C-P-RollAdj'!$F$4:$F$76,MATCH(INT(AC31),'C-P-RollAdj'!$E$4:$E$76,FALSE),0)</f>
        <v>-1.88</v>
      </c>
      <c r="AE31" s="17">
        <f>+((LeagueRatings!$I$6-E31)*5)+9.5</f>
        <v>28.608051455277405</v>
      </c>
      <c r="AF31" s="55">
        <f>IF(AE31&lt;4,4,AE31)</f>
        <v>28.608051455277405</v>
      </c>
      <c r="AG31" s="17">
        <f>IF(M31&lt;L31,((1-(M31/L31))*7)-0.07,(1-(M31/L31))*5)</f>
        <v>1.9025390790029573</v>
      </c>
      <c r="AH31" s="56">
        <f>+AA31+AD31+AF31+AG31</f>
        <v>29.280590534280361</v>
      </c>
      <c r="AJ31" s="5" t="s">
        <v>31</v>
      </c>
      <c r="AK31" s="219">
        <f>INDEX('C-P-RollAdj'!$J$4:$J$76,MATCH(INT(Z31),'C-P-RollAdj'!$I$4:$I$76,FALSE),0)</f>
        <v>-21</v>
      </c>
      <c r="AL31" s="219">
        <f>INDEX('C-P-RollAdj'!$J$4:$J$76,MATCH(INT(AC31),'C-P-RollAdj'!$I$4:$I$76,FALSE),0)</f>
        <v>45</v>
      </c>
      <c r="AM31" s="262">
        <f>+AR31*LeagueRatings!$K$27</f>
        <v>13.333333333333334</v>
      </c>
      <c r="AN31" s="72">
        <f>F31*LeagueRatings!$K$27</f>
        <v>13.888888888888889</v>
      </c>
      <c r="AO31" s="72">
        <f>G31*LeagueRatings!$K$27</f>
        <v>0</v>
      </c>
      <c r="AP31" s="72">
        <f>T31*LeagueRatings!$K$27</f>
        <v>51.666666666666671</v>
      </c>
      <c r="AQ31" s="24"/>
      <c r="AR31" s="72">
        <f>ROUNDUP(L31,0)</f>
        <v>24</v>
      </c>
      <c r="AS31" s="113"/>
      <c r="AT31" s="113"/>
      <c r="AU31" s="113"/>
      <c r="AV31" s="24"/>
      <c r="AW31" s="97">
        <v>20.329999999999998</v>
      </c>
    </row>
    <row r="32" spans="1:49" x14ac:dyDescent="0.2">
      <c r="A32" s="9"/>
      <c r="B32" s="129"/>
      <c r="L32" s="157">
        <f>(L30/100)/((L30+L31)/100)</f>
        <v>0.50687499999999996</v>
      </c>
      <c r="T32" s="158"/>
      <c r="U32" s="158"/>
      <c r="V32" s="282"/>
      <c r="W32" s="158"/>
      <c r="X32" s="158"/>
      <c r="Y32" s="153"/>
      <c r="Z32" s="152">
        <f>Z30*L32</f>
        <v>-13.334333648369222</v>
      </c>
      <c r="AA32" s="153"/>
      <c r="AB32" s="153"/>
      <c r="AC32" s="152">
        <f>AC30*L32</f>
        <v>-1.7473576618374391</v>
      </c>
      <c r="AD32" s="153"/>
      <c r="AE32" s="103"/>
      <c r="AF32" s="103"/>
      <c r="AG32" s="103"/>
      <c r="AH32" s="154">
        <f>AH30*L32</f>
        <v>4.8306071174869958</v>
      </c>
      <c r="AJ32" s="5"/>
      <c r="AK32" s="5"/>
      <c r="AL32" s="5"/>
      <c r="AN32" s="72"/>
      <c r="AO32" s="72"/>
      <c r="AP32" s="72"/>
      <c r="AQ32" s="30"/>
      <c r="AR32" s="14"/>
    </row>
    <row r="33" spans="1:44" x14ac:dyDescent="0.2">
      <c r="A33" s="9"/>
      <c r="B33" s="129"/>
      <c r="L33" s="157">
        <f>(L31/100)/((L30+L31)/100)</f>
        <v>0.49312500000000004</v>
      </c>
      <c r="T33" s="158"/>
      <c r="U33" s="158"/>
      <c r="V33" s="282"/>
      <c r="W33" s="158"/>
      <c r="X33" s="158"/>
      <c r="Y33" s="153"/>
      <c r="Z33" s="152">
        <f>Z31*L33</f>
        <v>-3.2269591712201073</v>
      </c>
      <c r="AA33" s="153"/>
      <c r="AB33" s="153"/>
      <c r="AC33" s="152">
        <f>AC31*L33</f>
        <v>11.791409558678014</v>
      </c>
      <c r="AD33" s="153"/>
      <c r="AE33" s="103"/>
      <c r="AF33" s="103"/>
      <c r="AG33" s="103"/>
      <c r="AH33" s="154">
        <f>AH31*L33</f>
        <v>14.438991207217004</v>
      </c>
      <c r="AJ33" s="5"/>
      <c r="AK33" s="5"/>
      <c r="AL33" s="5"/>
      <c r="AN33" s="72"/>
      <c r="AO33" s="72"/>
      <c r="AP33" s="72"/>
      <c r="AQ33" s="30"/>
      <c r="AR33" s="14"/>
    </row>
    <row r="34" spans="1:44" x14ac:dyDescent="0.2">
      <c r="A34" s="9"/>
      <c r="B34" s="129"/>
      <c r="T34" s="158"/>
      <c r="U34" s="158"/>
      <c r="V34" s="282"/>
      <c r="W34" s="158"/>
      <c r="X34" s="158"/>
      <c r="Y34" s="153"/>
      <c r="Z34" s="152">
        <f>SUM(Z32:Z33)</f>
        <v>-16.56129281958933</v>
      </c>
      <c r="AA34" s="153"/>
      <c r="AB34" s="153"/>
      <c r="AC34" s="152">
        <f>SUM(AC32:AC33)</f>
        <v>10.044051896840575</v>
      </c>
      <c r="AD34" s="153"/>
      <c r="AE34" s="103"/>
      <c r="AF34" s="103"/>
      <c r="AG34" s="103"/>
      <c r="AH34" s="153">
        <f>SUM(AH32:AH33)</f>
        <v>19.269598324703999</v>
      </c>
      <c r="AI34" s="41" t="s">
        <v>535</v>
      </c>
      <c r="AJ34" s="5" t="s">
        <v>67</v>
      </c>
      <c r="AK34" s="219">
        <f>INDEX('C-P-RollAdj'!$J$4:$J$76,MATCH(INT(Z34),'C-P-RollAdj'!$I$4:$I$76,FALSE),0)</f>
        <v>-35</v>
      </c>
      <c r="AL34" s="219">
        <f>INDEX('C-P-RollAdj'!$J$4:$J$76,MATCH(INT(AC34),'C-P-RollAdj'!$I$4:$I$76,FALSE),0)</f>
        <v>24</v>
      </c>
      <c r="AM34" s="262">
        <f>SUM(AM30:AM33)</f>
        <v>13.333333333333334</v>
      </c>
      <c r="AN34" s="14">
        <f>SUM(AN30:AN33)</f>
        <v>28.333333333333336</v>
      </c>
      <c r="AO34" s="14">
        <f>SUM(AO30:AO33)</f>
        <v>0</v>
      </c>
      <c r="AP34" s="14">
        <f>SUM(AP30:AP33)</f>
        <v>113.33333333333334</v>
      </c>
      <c r="AQ34" s="30"/>
      <c r="AR34" s="14"/>
    </row>
    <row r="35" spans="1:44" x14ac:dyDescent="0.2">
      <c r="B35" s="155"/>
      <c r="AN35" s="72"/>
      <c r="AO35" s="72"/>
      <c r="AP35" s="72"/>
      <c r="AQ35" s="30"/>
      <c r="AR35" s="14"/>
    </row>
    <row r="36" spans="1:44" x14ac:dyDescent="0.2">
      <c r="A36" t="s">
        <v>389</v>
      </c>
      <c r="B36" s="76" t="s">
        <v>169</v>
      </c>
      <c r="C36" s="76">
        <v>1</v>
      </c>
      <c r="D36" s="76">
        <v>2</v>
      </c>
      <c r="E36" s="76">
        <v>3.51</v>
      </c>
      <c r="F36" s="76">
        <v>39</v>
      </c>
      <c r="G36" s="76">
        <v>0</v>
      </c>
      <c r="H36" s="76">
        <v>0</v>
      </c>
      <c r="I36" s="76">
        <v>0</v>
      </c>
      <c r="J36" s="76">
        <v>1</v>
      </c>
      <c r="K36" s="76">
        <v>2</v>
      </c>
      <c r="L36" s="258">
        <f>INDEX('C-P-RollAdj'!$P$4:$P$900,MATCH((U36),'C-P-RollAdj'!$O$4:$O$900,FALSE),0)</f>
        <v>41</v>
      </c>
      <c r="M36" s="76">
        <v>46</v>
      </c>
      <c r="N36" s="76">
        <v>17</v>
      </c>
      <c r="O36" s="76">
        <v>16</v>
      </c>
      <c r="P36" s="76">
        <v>4</v>
      </c>
      <c r="Q36" s="76">
        <v>22</v>
      </c>
      <c r="R36" s="76">
        <v>0</v>
      </c>
      <c r="S36" s="76">
        <v>32</v>
      </c>
      <c r="T36" s="76">
        <v>187</v>
      </c>
      <c r="U36" s="76">
        <v>41</v>
      </c>
      <c r="V36" s="100">
        <v>0.28899999999999998</v>
      </c>
      <c r="W36" s="76">
        <v>1.66</v>
      </c>
      <c r="Y36" s="50">
        <f>+(Q36-R36)/(T36-R36)*100</f>
        <v>11.76470588235294</v>
      </c>
      <c r="Z36" s="6">
        <f>IF(Y36&lt;LeagueRatings!$K$21,((LeagueRatings!$K$21-Y36)/LeagueRatings!$K$21)*36,(LeagueRatings!$K$21-Y36)*6.48)</f>
        <v>-18.219753138316019</v>
      </c>
      <c r="AA36" s="16">
        <f>INDEX('C-P-RollAdj'!$B$4:$B$76,MATCH(INT(Z36),'C-P-RollAdj'!$A$4:$A$76,FALSE),0)</f>
        <v>2.23</v>
      </c>
      <c r="AB36" s="16">
        <f>(P36/(T36-R36))*100</f>
        <v>2.1390374331550799</v>
      </c>
      <c r="AC36" s="6">
        <f>IF(AB36&lt;LeagueRatings!$K$19,((LeagueRatings!$K$19-AB36)/LeagueRatings!$K$19)*36,(LeagueRatings!$K$19-AB36)/LeagueRatings!$K$22)</f>
        <v>9.5194839452291369</v>
      </c>
      <c r="AD36" s="16">
        <f>INDEX('C-P-RollAdj'!$F$4:$F$76,MATCH(INT(AC36),'C-P-RollAdj'!$E$4:$E$76,FALSE),0)</f>
        <v>-0.65</v>
      </c>
      <c r="AE36" s="17">
        <f>+((LeagueRatings!$I$6-E36)*5)+9.5</f>
        <v>12.958051455277404</v>
      </c>
      <c r="AF36" s="17">
        <f>IF(AE36&lt;4,4,AE36)</f>
        <v>12.958051455277404</v>
      </c>
      <c r="AG36" s="17">
        <f>IF(M36&lt;L36,((1-(M36/L36))*7)-0.07,(1-(M36/L36))*5)</f>
        <v>-0.60975609756097615</v>
      </c>
      <c r="AH36" s="4">
        <f>+AA36+AD36+AF36+AG36</f>
        <v>13.928295357716429</v>
      </c>
      <c r="AI36" s="24"/>
      <c r="AJ36" s="5" t="s">
        <v>1284</v>
      </c>
      <c r="AK36" s="219">
        <f>INDEX('C-P-RollAdj'!$J$4:$J$76,MATCH(INT(Z36),'C-P-RollAdj'!$I$4:$I$76,FALSE),0)</f>
        <v>-41</v>
      </c>
      <c r="AL36" s="219">
        <f>INDEX('C-P-RollAdj'!$J$4:$J$76,MATCH(INT(AC36),'C-P-RollAdj'!$I$4:$I$76,FALSE),0)</f>
        <v>23</v>
      </c>
      <c r="AM36" s="262">
        <f>+AR36*LeagueRatings!$K$27</f>
        <v>22.777777777777779</v>
      </c>
      <c r="AN36" s="72">
        <f>F36*LeagueRatings!$K$27</f>
        <v>21.666666666666668</v>
      </c>
      <c r="AO36" s="72">
        <f>G36*LeagueRatings!$K$27</f>
        <v>0</v>
      </c>
      <c r="AP36" s="72">
        <f>T36*LeagueRatings!$K$27</f>
        <v>103.8888888888889</v>
      </c>
      <c r="AQ36" s="24"/>
      <c r="AR36" s="72">
        <f>ROUNDUP(L36,0)</f>
        <v>41</v>
      </c>
    </row>
    <row r="37" spans="1:44" s="24" customFormat="1" x14ac:dyDescent="0.2">
      <c r="A37" s="41" t="s">
        <v>389</v>
      </c>
      <c r="B37" s="76" t="s">
        <v>154</v>
      </c>
      <c r="C37" s="76">
        <v>1</v>
      </c>
      <c r="D37" s="76">
        <v>1</v>
      </c>
      <c r="E37" s="76">
        <v>3.66</v>
      </c>
      <c r="F37" s="76">
        <v>18</v>
      </c>
      <c r="G37" s="76">
        <v>0</v>
      </c>
      <c r="H37" s="76">
        <v>0</v>
      </c>
      <c r="I37" s="76">
        <v>0</v>
      </c>
      <c r="J37" s="76">
        <v>0</v>
      </c>
      <c r="K37" s="76">
        <v>1</v>
      </c>
      <c r="L37" s="258">
        <f>INDEX('C-P-RollAdj'!$P$4:$P$900,MATCH((U37),'C-P-RollAdj'!$O$4:$O$900,FALSE),0)</f>
        <v>19.670000000000002</v>
      </c>
      <c r="M37" s="76">
        <v>21</v>
      </c>
      <c r="N37" s="76">
        <v>14</v>
      </c>
      <c r="O37" s="76">
        <v>8</v>
      </c>
      <c r="P37" s="76">
        <v>3</v>
      </c>
      <c r="Q37" s="76">
        <v>11</v>
      </c>
      <c r="R37" s="76">
        <v>1</v>
      </c>
      <c r="S37" s="76">
        <v>18</v>
      </c>
      <c r="T37" s="76">
        <v>93</v>
      </c>
      <c r="U37" s="76">
        <v>19.2</v>
      </c>
      <c r="V37" s="100">
        <v>0.26300000000000001</v>
      </c>
      <c r="W37" s="76">
        <v>1.63</v>
      </c>
      <c r="X37" s="76"/>
      <c r="Y37" s="50">
        <f>+(Q37-R37)/(T37-R37)*100</f>
        <v>10.869565217391305</v>
      </c>
      <c r="Z37" s="6">
        <f>IF(Y37&lt;LeagueRatings!$K$10,((LeagueRatings!$K$10-Y37)/LeagueRatings!$K$10)*36,(LeagueRatings!$K$10-Y37)*6.48)</f>
        <v>-14.269002114501994</v>
      </c>
      <c r="AA37" s="16">
        <f>INDEX('C-P-RollAdj'!$B$4:$B$76,MATCH(INT(Z37),'C-P-RollAdj'!$A$4:$A$76,FALSE),0)</f>
        <v>1.63</v>
      </c>
      <c r="AB37" s="16">
        <f>(P37/(T37-R37))*100</f>
        <v>3.2608695652173911</v>
      </c>
      <c r="AC37" s="6">
        <f>IF(AB37&lt;LeagueRatings!$K$8,((LeagueRatings!$K$8-AB37)/LeagueRatings!$K$8)*36,(LeagueRatings!$K$8-AB37)/LeagueRatings!$K$11)</f>
        <v>-0.4657218814762068</v>
      </c>
      <c r="AD37" s="16">
        <f>INDEX('C-P-RollAdj'!$F$4:$F$76,MATCH(INT(AC37),'C-P-RollAdj'!$E$4:$E$76,FALSE),0)</f>
        <v>0.08</v>
      </c>
      <c r="AE37" s="17">
        <f>+((LeagueRatings!$I$17-E37)*5)+9.5</f>
        <v>12.014387243706363</v>
      </c>
      <c r="AF37" s="17">
        <f>IF(AE37&lt;4,4,AE37)</f>
        <v>12.014387243706363</v>
      </c>
      <c r="AG37" s="17">
        <f>IF(M37&lt;L37,((1-(M37/L37))*7)-0.07,(1-(M37/L37))*5)</f>
        <v>-0.33807829181494609</v>
      </c>
      <c r="AH37" s="4">
        <f>+AA37+AD37+AF37+AG37</f>
        <v>13.386308951891417</v>
      </c>
      <c r="AJ37" s="58">
        <v>26</v>
      </c>
      <c r="AK37" s="219">
        <f>INDEX('C-P-RollAdj'!$J$4:$J$76,MATCH(INT(Z37),'C-P-RollAdj'!$I$4:$I$76,FALSE),0)</f>
        <v>-33</v>
      </c>
      <c r="AL37" s="219">
        <f>INDEX('C-P-RollAdj'!$J$4:$J$76,MATCH(INT(AC37),'C-P-RollAdj'!$I$4:$I$76,FALSE),0)</f>
        <v>-11</v>
      </c>
      <c r="AM37" s="262">
        <f>+AR37*LeagueRatings!$K$27</f>
        <v>11.111111111111111</v>
      </c>
      <c r="AN37" s="72">
        <f>F37*LeagueRatings!$K$27</f>
        <v>10</v>
      </c>
      <c r="AO37" s="72">
        <f>G37*LeagueRatings!$K$27</f>
        <v>0</v>
      </c>
      <c r="AP37" s="72">
        <f>T37*LeagueRatings!$K$27</f>
        <v>51.666666666666671</v>
      </c>
      <c r="AR37" s="14">
        <f>ROUNDUP(L37,0)</f>
        <v>20</v>
      </c>
    </row>
    <row r="38" spans="1:44" x14ac:dyDescent="0.2">
      <c r="A38" s="9"/>
      <c r="B38" s="129"/>
      <c r="L38" s="157">
        <f>(L36/100)/((L36+L37)/100)</f>
        <v>0.67578704466787531</v>
      </c>
      <c r="T38" s="158"/>
      <c r="U38" s="158"/>
      <c r="V38" s="282"/>
      <c r="W38" s="158"/>
      <c r="X38" s="158"/>
      <c r="Y38" s="153"/>
      <c r="Z38" s="152">
        <f>Z36*L38</f>
        <v>-12.31267312792083</v>
      </c>
      <c r="AA38" s="153"/>
      <c r="AB38" s="153"/>
      <c r="AC38" s="152">
        <f>AC36*L38</f>
        <v>6.4331439221096849</v>
      </c>
      <c r="AD38" s="153"/>
      <c r="AE38" s="103"/>
      <c r="AF38" s="103"/>
      <c r="AG38" s="103"/>
      <c r="AH38" s="154">
        <f>AH36*L38</f>
        <v>9.4125615570524737</v>
      </c>
      <c r="AJ38" s="5"/>
      <c r="AK38" s="5"/>
      <c r="AL38" s="5"/>
      <c r="AN38" s="72"/>
      <c r="AO38" s="72"/>
      <c r="AP38" s="72"/>
      <c r="AQ38" s="30"/>
      <c r="AR38" s="14"/>
    </row>
    <row r="39" spans="1:44" x14ac:dyDescent="0.2">
      <c r="A39" s="9"/>
      <c r="B39" s="129"/>
      <c r="L39" s="157">
        <f>(L37/100)/((L36+L37)/100)</f>
        <v>0.32421295533212463</v>
      </c>
      <c r="T39" s="158"/>
      <c r="U39" s="158"/>
      <c r="V39" s="282"/>
      <c r="W39" s="158"/>
      <c r="X39" s="158"/>
      <c r="Y39" s="153"/>
      <c r="Z39" s="152">
        <f>Z37*L39</f>
        <v>-4.6261953451830271</v>
      </c>
      <c r="AA39" s="153"/>
      <c r="AB39" s="153"/>
      <c r="AC39" s="152">
        <f>AC37*L39</f>
        <v>-0.15099306755623848</v>
      </c>
      <c r="AD39" s="153"/>
      <c r="AE39" s="103"/>
      <c r="AF39" s="103"/>
      <c r="AG39" s="103"/>
      <c r="AH39" s="154">
        <f>AH37*L39</f>
        <v>4.3400147862815919</v>
      </c>
      <c r="AJ39" s="5"/>
      <c r="AK39" s="5"/>
      <c r="AL39" s="5"/>
      <c r="AN39" s="72"/>
      <c r="AO39" s="72"/>
      <c r="AP39" s="72"/>
      <c r="AQ39" s="30"/>
      <c r="AR39" s="14"/>
    </row>
    <row r="40" spans="1:44" x14ac:dyDescent="0.2">
      <c r="A40" s="9"/>
      <c r="B40" s="129"/>
      <c r="T40" s="158"/>
      <c r="U40" s="158"/>
      <c r="V40" s="282"/>
      <c r="W40" s="158"/>
      <c r="X40" s="158"/>
      <c r="Y40" s="153"/>
      <c r="Z40" s="152">
        <f>SUM(Z38:Z39)</f>
        <v>-16.938868473103856</v>
      </c>
      <c r="AA40" s="153"/>
      <c r="AB40" s="153"/>
      <c r="AC40" s="152">
        <f>SUM(AC38:AC39)</f>
        <v>6.2821508545534464</v>
      </c>
      <c r="AD40" s="153"/>
      <c r="AE40" s="103"/>
      <c r="AF40" s="103"/>
      <c r="AG40" s="103"/>
      <c r="AH40" s="153">
        <f>SUM(AH38:AH39)</f>
        <v>13.752576343334066</v>
      </c>
      <c r="AI40" s="41" t="s">
        <v>389</v>
      </c>
      <c r="AJ40" s="5" t="s">
        <v>21</v>
      </c>
      <c r="AK40" s="219">
        <f>INDEX('C-P-RollAdj'!$J$4:$J$76,MATCH(INT(Z40),'C-P-RollAdj'!$I$4:$I$76,FALSE),0)</f>
        <v>-35</v>
      </c>
      <c r="AL40" s="219">
        <f>INDEX('C-P-RollAdj'!$J$4:$J$76,MATCH(INT(AC40),'C-P-RollAdj'!$I$4:$I$76,FALSE),0)</f>
        <v>16</v>
      </c>
      <c r="AM40" s="262">
        <f>SUM(AM36:AM39)</f>
        <v>33.888888888888886</v>
      </c>
      <c r="AN40" s="14">
        <f>SUM(AN36:AN39)</f>
        <v>31.666666666666668</v>
      </c>
      <c r="AO40" s="14">
        <f>SUM(AO36:AO39)</f>
        <v>0</v>
      </c>
      <c r="AP40" s="14">
        <f>SUM(AP36:AP39)</f>
        <v>155.55555555555557</v>
      </c>
      <c r="AQ40" s="30"/>
      <c r="AR40" s="14"/>
    </row>
    <row r="41" spans="1:44" x14ac:dyDescent="0.2">
      <c r="B41" s="155"/>
      <c r="AN41" s="72"/>
      <c r="AO41" s="72"/>
      <c r="AP41" s="72"/>
      <c r="AQ41" s="30"/>
      <c r="AR41" s="14"/>
    </row>
    <row r="42" spans="1:44" x14ac:dyDescent="0.2">
      <c r="A42" t="s">
        <v>442</v>
      </c>
      <c r="B42" s="76" t="s">
        <v>170</v>
      </c>
      <c r="C42" s="76">
        <v>4</v>
      </c>
      <c r="D42" s="76">
        <v>7</v>
      </c>
      <c r="E42" s="76">
        <v>4.76</v>
      </c>
      <c r="F42" s="76">
        <v>16</v>
      </c>
      <c r="G42" s="76">
        <v>16</v>
      </c>
      <c r="H42" s="76">
        <v>0</v>
      </c>
      <c r="I42" s="76">
        <v>0</v>
      </c>
      <c r="J42" s="76">
        <v>0</v>
      </c>
      <c r="K42" s="76">
        <v>0</v>
      </c>
      <c r="L42" s="258">
        <f>INDEX('C-P-RollAdj'!$P$4:$P$900,MATCH((U42),'C-P-RollAdj'!$O$4:$O$900,FALSE),0)</f>
        <v>79.33</v>
      </c>
      <c r="M42" s="76">
        <v>80</v>
      </c>
      <c r="N42" s="76">
        <v>47</v>
      </c>
      <c r="O42" s="76">
        <v>42</v>
      </c>
      <c r="P42" s="76">
        <v>13</v>
      </c>
      <c r="Q42" s="76">
        <v>30</v>
      </c>
      <c r="R42" s="76">
        <v>0</v>
      </c>
      <c r="S42" s="76">
        <v>67</v>
      </c>
      <c r="T42" s="76">
        <v>347</v>
      </c>
      <c r="U42" s="76">
        <v>79.099999999999994</v>
      </c>
      <c r="V42" s="100">
        <v>0.26400000000000001</v>
      </c>
      <c r="W42" s="76">
        <v>1.39</v>
      </c>
      <c r="Y42" s="50">
        <f>+(Q42-R42)/(T42-R42)*100</f>
        <v>8.6455331412103753</v>
      </c>
      <c r="Z42" s="6">
        <f>IF(Y42&lt;LeagueRatings!$K$21,((LeagueRatings!$K$21-Y42)/LeagueRatings!$K$21)*36,(LeagueRatings!$K$21-Y42)*6.48)</f>
        <v>1.2363843008878541</v>
      </c>
      <c r="AA42" s="16">
        <f>INDEX('C-P-RollAdj'!$B$4:$B$76,MATCH(INT(Z42),'C-P-RollAdj'!$A$4:$A$76,FALSE),0)</f>
        <v>-0.08</v>
      </c>
      <c r="AB42" s="16">
        <f>(P42/(T42-R42))*100</f>
        <v>3.7463976945244957</v>
      </c>
      <c r="AC42" s="6">
        <f>IF(AB42&lt;LeagueRatings!$K$19,((LeagueRatings!$K$19-AB42)/LeagueRatings!$K$19)*36,(LeagueRatings!$K$19-AB42)/LeagueRatings!$K$22)</f>
        <v>-6.7742349054614452</v>
      </c>
      <c r="AD42" s="16">
        <f>INDEX('C-P-RollAdj'!$F$4:$F$76,MATCH(INT(AC42),'C-P-RollAdj'!$E$4:$E$76,FALSE),0)</f>
        <v>0.61</v>
      </c>
      <c r="AE42" s="17">
        <f>+((LeagueRatings!$I$17-E42)*5)+9.5</f>
        <v>6.5143872437063637</v>
      </c>
      <c r="AF42" s="17">
        <f>IF(AE42&lt;4,4,AE42)</f>
        <v>6.5143872437063637</v>
      </c>
      <c r="AG42" s="17">
        <f>IF(M42&lt;L42,((1-(M42/L42))*7)-0.07,(1-(M42/L42))*5)</f>
        <v>-4.2228665069961036E-2</v>
      </c>
      <c r="AH42" s="4">
        <f>+AA42+AD42+AF42+AG42</f>
        <v>7.0021585786364025</v>
      </c>
      <c r="AI42" s="24"/>
      <c r="AJ42" s="58">
        <v>5</v>
      </c>
      <c r="AK42" s="219">
        <f>INDEX('C-P-RollAdj'!$J$4:$J$76,MATCH(INT(Z42),'C-P-RollAdj'!$I$4:$I$76,FALSE),0)</f>
        <v>11</v>
      </c>
      <c r="AL42" s="219">
        <f>INDEX('C-P-RollAdj'!$J$4:$J$76,MATCH(INT(AC42),'C-P-RollAdj'!$I$4:$I$76,FALSE),0)</f>
        <v>-21</v>
      </c>
      <c r="AM42" s="262">
        <f>+AR42*LeagueRatings!$K$27</f>
        <v>44.444444444444443</v>
      </c>
      <c r="AN42" s="72">
        <f>F42*LeagueRatings!$K$27</f>
        <v>8.8888888888888893</v>
      </c>
      <c r="AO42" s="72">
        <f>G42*LeagueRatings!$K$27</f>
        <v>8.8888888888888893</v>
      </c>
      <c r="AP42" s="72">
        <f>T42*LeagueRatings!$K$27</f>
        <v>192.7777777777778</v>
      </c>
      <c r="AQ42" s="24"/>
      <c r="AR42" s="14">
        <f>ROUNDUP(L42,0)</f>
        <v>80</v>
      </c>
    </row>
    <row r="43" spans="1:44" s="24" customFormat="1" x14ac:dyDescent="0.2">
      <c r="A43" s="41" t="s">
        <v>442</v>
      </c>
      <c r="B43" s="76" t="s">
        <v>244</v>
      </c>
      <c r="C43" s="76">
        <v>1</v>
      </c>
      <c r="D43" s="76">
        <v>4</v>
      </c>
      <c r="E43" s="76">
        <v>5.98</v>
      </c>
      <c r="F43" s="76">
        <v>12</v>
      </c>
      <c r="G43" s="76">
        <v>11</v>
      </c>
      <c r="H43" s="76">
        <v>0</v>
      </c>
      <c r="I43" s="76">
        <v>0</v>
      </c>
      <c r="J43" s="76">
        <v>0</v>
      </c>
      <c r="K43" s="76">
        <v>0</v>
      </c>
      <c r="L43" s="258">
        <f>INDEX('C-P-RollAdj'!$P$4:$P$900,MATCH((U43),'C-P-RollAdj'!$O$4:$O$900,FALSE),0)</f>
        <v>52.67</v>
      </c>
      <c r="M43" s="76">
        <v>62</v>
      </c>
      <c r="N43" s="76">
        <v>36</v>
      </c>
      <c r="O43" s="76">
        <v>35</v>
      </c>
      <c r="P43" s="76">
        <v>6</v>
      </c>
      <c r="Q43" s="76">
        <v>30</v>
      </c>
      <c r="R43" s="76">
        <v>3</v>
      </c>
      <c r="S43" s="76">
        <v>45</v>
      </c>
      <c r="T43" s="76">
        <v>241</v>
      </c>
      <c r="U43" s="76">
        <v>52.2</v>
      </c>
      <c r="V43" s="100">
        <v>0.30099999999999999</v>
      </c>
      <c r="W43" s="76">
        <v>1.75</v>
      </c>
      <c r="X43" s="76"/>
      <c r="Y43" s="50">
        <f>+(Q43-R43)/(T43-R43)*100</f>
        <v>11.344537815126051</v>
      </c>
      <c r="Z43" s="6">
        <f>IF(Y43&lt;LeagueRatings!$K$21,((LeagueRatings!$K$21-Y43)/LeagueRatings!$K$21)*36,(LeagueRatings!$K$21-Y43)*6.48)</f>
        <v>-15.497064062685778</v>
      </c>
      <c r="AA43" s="16">
        <f>INDEX('C-P-RollAdj'!$B$4:$B$76,MATCH(INT(Z43),'C-P-RollAdj'!$A$4:$A$76,FALSE),0)</f>
        <v>1.7799999999999998</v>
      </c>
      <c r="AB43" s="16">
        <f>(P43/(T43-R43))*100</f>
        <v>2.5210084033613445</v>
      </c>
      <c r="AC43" s="6">
        <f>IF(AB43&lt;LeagueRatings!$K$19,((LeagueRatings!$K$19-AB43)/LeagueRatings!$K$19)*36,(LeagueRatings!$K$19-AB43)/LeagueRatings!$K$22)</f>
        <v>4.7908203640200497</v>
      </c>
      <c r="AD43" s="16">
        <f>INDEX('C-P-RollAdj'!$F$4:$F$76,MATCH(INT(AC43),'C-P-RollAdj'!$E$4:$E$76,FALSE),0)</f>
        <v>-0.28000000000000003</v>
      </c>
      <c r="AE43" s="17">
        <f>+((LeagueRatings!$I$17-E43)*5)+9.5</f>
        <v>0.41438724370636137</v>
      </c>
      <c r="AF43" s="17">
        <f>IF(AE43&lt;4,4,AE43)</f>
        <v>4</v>
      </c>
      <c r="AG43" s="55">
        <f>IF(M43&lt;L43,((1-(M43/L43))*7)-0.07,(1-(M43/L43))*5)</f>
        <v>-0.88570343649136074</v>
      </c>
      <c r="AH43" s="4">
        <f>+AA43+AD43+AF43+AG43</f>
        <v>4.6142965635086393</v>
      </c>
      <c r="AJ43" s="58">
        <v>24</v>
      </c>
      <c r="AK43" s="219">
        <f>INDEX('C-P-RollAdj'!$J$4:$J$76,MATCH(INT(Z43),'C-P-RollAdj'!$I$4:$I$76,FALSE),0)</f>
        <v>-34</v>
      </c>
      <c r="AL43" s="219">
        <f>INDEX('C-P-RollAdj'!$J$4:$J$76,MATCH(INT(AC43),'C-P-RollAdj'!$I$4:$I$76,FALSE),0)</f>
        <v>14</v>
      </c>
      <c r="AM43" s="262">
        <f>+AR43*LeagueRatings!$K$27</f>
        <v>29.444444444444446</v>
      </c>
      <c r="AN43" s="72">
        <f>F43*LeagueRatings!$K$27</f>
        <v>6.666666666666667</v>
      </c>
      <c r="AO43" s="72">
        <f>G43*LeagueRatings!$K$27</f>
        <v>6.1111111111111116</v>
      </c>
      <c r="AP43" s="72">
        <f>T43*LeagueRatings!$K$27</f>
        <v>133.88888888888889</v>
      </c>
      <c r="AR43" s="14">
        <f>ROUNDUP(L43,0)</f>
        <v>53</v>
      </c>
    </row>
    <row r="44" spans="1:44" x14ac:dyDescent="0.2">
      <c r="A44" s="9"/>
      <c r="B44" s="129"/>
      <c r="L44" s="157">
        <f>(L42/100)/((L42+L43)/100)</f>
        <v>0.60098484848484846</v>
      </c>
      <c r="T44" s="158"/>
      <c r="U44" s="158"/>
      <c r="V44" s="282"/>
      <c r="W44" s="158"/>
      <c r="X44" s="158"/>
      <c r="Y44" s="153"/>
      <c r="Z44" s="152">
        <f>Z42*L44</f>
        <v>0.74304823173813228</v>
      </c>
      <c r="AA44" s="153"/>
      <c r="AB44" s="153"/>
      <c r="AC44" s="152">
        <f>AC42*L44</f>
        <v>-4.0712125382595188</v>
      </c>
      <c r="AD44" s="153"/>
      <c r="AE44" s="103"/>
      <c r="AF44" s="103"/>
      <c r="AG44" s="103"/>
      <c r="AH44" s="154">
        <f>AH42*L44</f>
        <v>4.2081912124486802</v>
      </c>
      <c r="AJ44" s="5"/>
      <c r="AK44" s="5"/>
      <c r="AL44" s="5"/>
      <c r="AN44" s="72"/>
      <c r="AO44" s="72"/>
      <c r="AP44" s="72"/>
      <c r="AR44" s="14"/>
    </row>
    <row r="45" spans="1:44" x14ac:dyDescent="0.2">
      <c r="A45" s="9"/>
      <c r="B45" s="129"/>
      <c r="L45" s="157">
        <f>(L43/100)/((L42+L43)/100)</f>
        <v>0.39901515151515154</v>
      </c>
      <c r="T45" s="158"/>
      <c r="U45" s="158"/>
      <c r="V45" s="282"/>
      <c r="W45" s="158"/>
      <c r="X45" s="158"/>
      <c r="Y45" s="153"/>
      <c r="Z45" s="152">
        <f>Z43*L45</f>
        <v>-6.1835633650125761</v>
      </c>
      <c r="AA45" s="153"/>
      <c r="AB45" s="153"/>
      <c r="AC45" s="152">
        <f>AC43*L45</f>
        <v>1.9116099134313336</v>
      </c>
      <c r="AD45" s="153"/>
      <c r="AE45" s="103"/>
      <c r="AF45" s="103"/>
      <c r="AG45" s="103"/>
      <c r="AH45" s="154">
        <f>AH43*L45</f>
        <v>1.8411742424242428</v>
      </c>
      <c r="AJ45" s="5"/>
      <c r="AK45" s="5"/>
      <c r="AL45" s="5"/>
      <c r="AN45" s="72"/>
      <c r="AO45" s="72"/>
      <c r="AP45" s="72"/>
      <c r="AR45" s="14"/>
    </row>
    <row r="46" spans="1:44" x14ac:dyDescent="0.2">
      <c r="A46" s="9"/>
      <c r="B46" s="129"/>
      <c r="T46" s="158"/>
      <c r="U46" s="158"/>
      <c r="V46" s="282"/>
      <c r="W46" s="158"/>
      <c r="X46" s="158"/>
      <c r="Y46" s="153"/>
      <c r="Z46" s="152">
        <f>SUM(Z44:Z45)</f>
        <v>-5.4405151332744435</v>
      </c>
      <c r="AA46" s="153"/>
      <c r="AB46" s="153"/>
      <c r="AC46" s="152">
        <f>SUM(AC44:AC45)</f>
        <v>-2.1596026248281852</v>
      </c>
      <c r="AD46" s="153"/>
      <c r="AE46" s="103"/>
      <c r="AF46" s="103"/>
      <c r="AG46" s="103"/>
      <c r="AH46" s="153">
        <f>SUM(AH44:AH45)</f>
        <v>6.0493654548729232</v>
      </c>
      <c r="AI46" s="41" t="s">
        <v>442</v>
      </c>
      <c r="AJ46" s="5" t="s">
        <v>66</v>
      </c>
      <c r="AK46" s="219">
        <f>INDEX('C-P-RollAdj'!$J$4:$J$76,MATCH(INT(Z46),'C-P-RollAdj'!$I$4:$I$76,FALSE),0)</f>
        <v>-16</v>
      </c>
      <c r="AL46" s="121">
        <f>INDEX('C-P-RollAdj'!$J$4:$J$76,MATCH(INT(AC46),'C-P-RollAdj'!$I$4:$I$76,FALSE),0)</f>
        <v>-13</v>
      </c>
      <c r="AM46" s="262">
        <f>SUM(AM42:AM45)</f>
        <v>73.888888888888886</v>
      </c>
      <c r="AN46" s="14">
        <f>SUM(AN42:AN45)</f>
        <v>15.555555555555557</v>
      </c>
      <c r="AO46" s="14">
        <f>SUM(AO42:AO45)</f>
        <v>15</v>
      </c>
      <c r="AP46" s="14">
        <f>SUM(AP42:AP45)</f>
        <v>326.66666666666669</v>
      </c>
      <c r="AR46" s="14"/>
    </row>
    <row r="47" spans="1:44" x14ac:dyDescent="0.2">
      <c r="AR47" s="14"/>
    </row>
    <row r="48" spans="1:44" x14ac:dyDescent="0.2">
      <c r="A48" t="s">
        <v>1415</v>
      </c>
      <c r="B48" s="76" t="s">
        <v>160</v>
      </c>
      <c r="C48" s="76">
        <v>1</v>
      </c>
      <c r="D48" s="76">
        <v>0</v>
      </c>
      <c r="E48" s="76">
        <v>3.18</v>
      </c>
      <c r="F48" s="76">
        <v>50</v>
      </c>
      <c r="G48" s="76">
        <v>0</v>
      </c>
      <c r="H48" s="76">
        <v>0</v>
      </c>
      <c r="I48" s="76">
        <v>0</v>
      </c>
      <c r="J48" s="76">
        <v>0</v>
      </c>
      <c r="K48" s="76">
        <v>0</v>
      </c>
      <c r="L48" s="258">
        <f>INDEX('C-P-RollAdj'!$P$4:$P$900,MATCH((U48),'C-P-RollAdj'!$O$4:$O$900,FALSE),0)</f>
        <v>34</v>
      </c>
      <c r="M48" s="76">
        <v>20</v>
      </c>
      <c r="N48" s="76">
        <v>14</v>
      </c>
      <c r="O48" s="76">
        <v>12</v>
      </c>
      <c r="P48" s="76">
        <v>2</v>
      </c>
      <c r="Q48" s="76">
        <v>23</v>
      </c>
      <c r="R48" s="76">
        <v>5</v>
      </c>
      <c r="S48" s="76">
        <v>35</v>
      </c>
      <c r="T48" s="76">
        <v>139</v>
      </c>
      <c r="U48" s="76">
        <v>34</v>
      </c>
      <c r="V48" s="100">
        <v>0.17499999999999999</v>
      </c>
      <c r="W48" s="76">
        <v>1.26</v>
      </c>
      <c r="Y48" s="50">
        <f>+(Q48-R48)/(T48-R48)*100</f>
        <v>13.432835820895523</v>
      </c>
      <c r="Z48" s="6">
        <f>IF(Y48&lt;LeagueRatings!$K$21,((LeagueRatings!$K$21-Y48)/LeagueRatings!$K$21)*36,(LeagueRatings!$K$21-Y48)*6.48)</f>
        <v>-29.029235140071957</v>
      </c>
      <c r="AA48" s="16">
        <f>INDEX('C-P-RollAdj'!$B$4:$B$76,MATCH(INT(Z48),'C-P-RollAdj'!$A$4:$A$76,FALSE),0)</f>
        <v>4.18</v>
      </c>
      <c r="AB48" s="16">
        <f>(P48/(T48-R48))*100</f>
        <v>1.4925373134328357</v>
      </c>
      <c r="AC48" s="6">
        <f>IF(AB48&lt;LeagueRatings!$K$19,((LeagueRatings!$K$19-AB48)/LeagueRatings!$K$19)*36,(LeagueRatings!$K$19-AB48)/LeagueRatings!$K$22)</f>
        <v>17.52292349909645</v>
      </c>
      <c r="AD48" s="16">
        <f>INDEX('C-P-RollAdj'!$F$4:$F$76,MATCH(INT(AC48),'C-P-RollAdj'!$E$4:$E$76,FALSE),0)</f>
        <v>-1.32</v>
      </c>
      <c r="AE48" s="17">
        <f>+((LeagueRatings!$I$17-E48)*5)+9.5</f>
        <v>14.414387243706361</v>
      </c>
      <c r="AF48" s="17">
        <f>IF(AE48&lt;4,4,AE48)</f>
        <v>14.414387243706361</v>
      </c>
      <c r="AG48" s="17">
        <f>IF(M48&lt;L48,((1-(M48/L48))*7)-0.07,(1-(M48/L48))*5)</f>
        <v>2.8123529411764707</v>
      </c>
      <c r="AH48" s="4">
        <f>+AA48+AD48+AF48+AG48</f>
        <v>20.086740184882832</v>
      </c>
      <c r="AI48" s="24"/>
      <c r="AJ48" s="7" t="s">
        <v>39</v>
      </c>
      <c r="AK48" s="219">
        <f>INDEX('C-P-RollAdj'!$J$4:$J$76,MATCH(INT(Z48),'C-P-RollAdj'!$I$4:$I$76,FALSE),0)</f>
        <v>-56</v>
      </c>
      <c r="AL48" s="219">
        <f>INDEX('C-P-RollAdj'!$J$4:$J$76,MATCH(INT(AC48),'C-P-RollAdj'!$I$4:$I$76,FALSE),0)</f>
        <v>35</v>
      </c>
      <c r="AM48" s="262">
        <f>+AR48*LeagueRatings!$K$27</f>
        <v>18.888888888888889</v>
      </c>
      <c r="AN48" s="72">
        <f>F48*LeagueRatings!$K$27</f>
        <v>27.777777777777779</v>
      </c>
      <c r="AO48" s="72">
        <f>G48*LeagueRatings!$K$27</f>
        <v>0</v>
      </c>
      <c r="AP48" s="72">
        <f>T48*LeagueRatings!$K$27</f>
        <v>77.222222222222229</v>
      </c>
      <c r="AQ48" s="24"/>
      <c r="AR48" s="14">
        <f>ROUNDUP(L48,0)</f>
        <v>34</v>
      </c>
    </row>
    <row r="49" spans="1:50" s="24" customFormat="1" x14ac:dyDescent="0.2">
      <c r="A49" s="41" t="s">
        <v>1415</v>
      </c>
      <c r="B49" s="76" t="s">
        <v>244</v>
      </c>
      <c r="C49" s="76">
        <v>0</v>
      </c>
      <c r="D49" s="76">
        <v>0</v>
      </c>
      <c r="E49" s="76">
        <v>4.82</v>
      </c>
      <c r="F49" s="76">
        <v>18</v>
      </c>
      <c r="G49" s="76">
        <v>0</v>
      </c>
      <c r="H49" s="76">
        <v>0</v>
      </c>
      <c r="I49" s="76">
        <v>0</v>
      </c>
      <c r="J49" s="76">
        <v>0</v>
      </c>
      <c r="K49" s="76">
        <v>0</v>
      </c>
      <c r="L49" s="258">
        <f>INDEX('C-P-RollAdj'!$P$4:$P$900,MATCH((U49),'C-P-RollAdj'!$O$4:$O$900,FALSE),0)</f>
        <v>9.33</v>
      </c>
      <c r="M49" s="76">
        <v>11</v>
      </c>
      <c r="N49" s="76">
        <v>5</v>
      </c>
      <c r="O49" s="76">
        <v>5</v>
      </c>
      <c r="P49" s="76">
        <v>1</v>
      </c>
      <c r="Q49" s="76">
        <v>5</v>
      </c>
      <c r="R49" s="76">
        <v>0</v>
      </c>
      <c r="S49" s="76">
        <v>7</v>
      </c>
      <c r="T49" s="76">
        <v>43</v>
      </c>
      <c r="U49" s="76">
        <v>9.1</v>
      </c>
      <c r="V49" s="100">
        <v>0.28899999999999998</v>
      </c>
      <c r="W49" s="76">
        <v>1.71</v>
      </c>
      <c r="X49" s="76"/>
      <c r="Y49" s="50">
        <f>+(Q49-R49)/(T49-R49)*100</f>
        <v>11.627906976744185</v>
      </c>
      <c r="Z49" s="6">
        <f>IF(Y49&lt;LeagueRatings!$K$21,((LeagueRatings!$K$21-Y49)/LeagueRatings!$K$21)*36,(LeagueRatings!$K$21-Y49)*6.48)</f>
        <v>-17.333296229971289</v>
      </c>
      <c r="AA49" s="16">
        <f>INDEX('C-P-RollAdj'!$B$4:$B$76,MATCH(INT(Z49),'C-P-RollAdj'!$A$4:$A$76,FALSE),0)</f>
        <v>2.08</v>
      </c>
      <c r="AB49" s="16">
        <f>(P49/(T49-R49))*100</f>
        <v>2.3255813953488373</v>
      </c>
      <c r="AC49" s="6">
        <f>IF(AB49&lt;LeagueRatings!$K$19,((LeagueRatings!$K$19-AB49)/LeagueRatings!$K$19)*36,(LeagueRatings!$K$19-AB49)/LeagueRatings!$K$22)</f>
        <v>7.2101366148712067</v>
      </c>
      <c r="AD49" s="16">
        <f>INDEX('C-P-RollAdj'!$F$4:$F$76,MATCH(INT(AC49),'C-P-RollAdj'!$E$4:$E$76,FALSE),0)</f>
        <v>-0.49000000000000005</v>
      </c>
      <c r="AE49" s="17">
        <f>+((LeagueRatings!$I$6-E49)*5)+9.5</f>
        <v>6.4080514552774019</v>
      </c>
      <c r="AF49" s="17">
        <f>IF(AE49&lt;4,4,AE49)</f>
        <v>6.4080514552774019</v>
      </c>
      <c r="AG49" s="17">
        <f>IF(M49&lt;L49,((1-(M49/L49))*7)-0.07,(1-(M49/L49))*5)</f>
        <v>-0.89496248660235755</v>
      </c>
      <c r="AH49" s="4">
        <f>+AA49+AD49+AF49+AG49</f>
        <v>7.1030889686750438</v>
      </c>
      <c r="AJ49" s="5" t="s">
        <v>68</v>
      </c>
      <c r="AK49" s="219">
        <f>INDEX('C-P-RollAdj'!$J$4:$J$76,MATCH(INT(Z49),'C-P-RollAdj'!$I$4:$I$76,FALSE),0)</f>
        <v>-36</v>
      </c>
      <c r="AL49" s="219">
        <f>INDEX('C-P-RollAdj'!$J$4:$J$76,MATCH(INT(AC49),'C-P-RollAdj'!$I$4:$I$76,FALSE),0)</f>
        <v>21</v>
      </c>
      <c r="AM49" s="262">
        <f>+AR49*LeagueRatings!$K$27</f>
        <v>5.5555555555555554</v>
      </c>
      <c r="AN49" s="72">
        <f>F49*LeagueRatings!$K$27</f>
        <v>10</v>
      </c>
      <c r="AO49" s="72">
        <f>G49*LeagueRatings!$K$27</f>
        <v>0</v>
      </c>
      <c r="AP49" s="72">
        <f>T49*LeagueRatings!$K$27</f>
        <v>23.888888888888889</v>
      </c>
      <c r="AR49" s="72">
        <f>ROUNDUP(L49,0)</f>
        <v>10</v>
      </c>
      <c r="AS49" s="113"/>
      <c r="AT49" s="113"/>
      <c r="AU49" s="113"/>
      <c r="AW49" s="144">
        <v>52.67</v>
      </c>
    </row>
    <row r="50" spans="1:50" x14ac:dyDescent="0.2">
      <c r="A50" s="9"/>
      <c r="B50" s="129"/>
      <c r="L50" s="157">
        <f>(L48/100)/((L48+L49)/100)</f>
        <v>0.78467574428802223</v>
      </c>
      <c r="T50" s="158"/>
      <c r="U50" s="158"/>
      <c r="V50" s="282"/>
      <c r="W50" s="158"/>
      <c r="X50" s="158"/>
      <c r="Y50" s="153"/>
      <c r="Z50" s="152">
        <f>Z48*L50</f>
        <v>-22.778536689647972</v>
      </c>
      <c r="AA50" s="153"/>
      <c r="AB50" s="153"/>
      <c r="AC50" s="152">
        <f>AC48*L50</f>
        <v>13.749813038755581</v>
      </c>
      <c r="AD50" s="153"/>
      <c r="AE50" s="103"/>
      <c r="AF50" s="103"/>
      <c r="AG50" s="103"/>
      <c r="AH50" s="154">
        <f>AH48*L50</f>
        <v>15.761577804893061</v>
      </c>
      <c r="AJ50" s="5"/>
      <c r="AK50" s="5"/>
      <c r="AL50" s="5"/>
      <c r="AN50" s="72"/>
      <c r="AO50" s="72"/>
      <c r="AP50" s="72"/>
      <c r="AQ50" s="30"/>
      <c r="AR50" s="14"/>
    </row>
    <row r="51" spans="1:50" x14ac:dyDescent="0.2">
      <c r="A51" s="9"/>
      <c r="B51" s="129"/>
      <c r="L51" s="157">
        <f>(L49/100)/((L48+L49)/100)</f>
        <v>0.21532425571197786</v>
      </c>
      <c r="T51" s="158"/>
      <c r="U51" s="158"/>
      <c r="V51" s="282"/>
      <c r="W51" s="158"/>
      <c r="X51" s="158"/>
      <c r="Y51" s="153"/>
      <c r="Z51" s="152">
        <f>Z49*L51</f>
        <v>-3.7322791097537995</v>
      </c>
      <c r="AA51" s="153"/>
      <c r="AB51" s="153"/>
      <c r="AC51" s="152">
        <f>AC49*L51</f>
        <v>1.5525173001788222</v>
      </c>
      <c r="AD51" s="153"/>
      <c r="AE51" s="103"/>
      <c r="AF51" s="103"/>
      <c r="AG51" s="103"/>
      <c r="AH51" s="154">
        <f>AH49*L51</f>
        <v>1.5294673454359142</v>
      </c>
      <c r="AJ51" s="5"/>
      <c r="AK51" s="5"/>
      <c r="AL51" s="5"/>
      <c r="AN51" s="72"/>
      <c r="AO51" s="72"/>
      <c r="AP51" s="72"/>
      <c r="AQ51" s="30"/>
      <c r="AR51" s="14"/>
    </row>
    <row r="52" spans="1:50" x14ac:dyDescent="0.2">
      <c r="A52" s="9"/>
      <c r="B52" s="129"/>
      <c r="T52" s="158"/>
      <c r="U52" s="158"/>
      <c r="V52" s="282"/>
      <c r="W52" s="158"/>
      <c r="X52" s="158"/>
      <c r="Y52" s="153"/>
      <c r="Z52" s="152">
        <f>SUM(Z50:Z51)</f>
        <v>-26.510815799401772</v>
      </c>
      <c r="AA52" s="153"/>
      <c r="AB52" s="153"/>
      <c r="AC52" s="152">
        <f>SUM(AC50:AC51)</f>
        <v>15.302330338934404</v>
      </c>
      <c r="AD52" s="153"/>
      <c r="AE52" s="103"/>
      <c r="AF52" s="103"/>
      <c r="AG52" s="103"/>
      <c r="AH52" s="153">
        <f>SUM(AH50:AH51)</f>
        <v>17.291045150328976</v>
      </c>
      <c r="AI52" s="41" t="s">
        <v>1415</v>
      </c>
      <c r="AJ52" s="5" t="s">
        <v>53</v>
      </c>
      <c r="AK52" s="219">
        <f>INDEX('C-P-RollAdj'!$J$4:$J$76,MATCH(INT(Z52),'C-P-RollAdj'!$I$4:$I$76,FALSE),0)</f>
        <v>-53</v>
      </c>
      <c r="AL52" s="219">
        <f>INDEX('C-P-RollAdj'!$J$4:$J$76,MATCH(INT(AC52),'C-P-RollAdj'!$I$4:$I$76,FALSE),0)</f>
        <v>33</v>
      </c>
      <c r="AM52" s="262">
        <f>SUM(AM48:AM51)</f>
        <v>24.444444444444443</v>
      </c>
      <c r="AN52" s="14">
        <f>SUM(AN48:AN51)</f>
        <v>37.777777777777779</v>
      </c>
      <c r="AO52" s="14">
        <f>SUM(AO48:AO51)</f>
        <v>0</v>
      </c>
      <c r="AP52" s="14">
        <f>SUM(AP48:AP51)</f>
        <v>101.11111111111111</v>
      </c>
      <c r="AQ52" s="30"/>
      <c r="AR52" s="14"/>
    </row>
    <row r="53" spans="1:50" x14ac:dyDescent="0.2">
      <c r="A53" s="204"/>
      <c r="B53" s="196"/>
      <c r="AN53" s="72"/>
      <c r="AO53" s="72"/>
      <c r="AP53" s="72"/>
      <c r="AQ53" s="30"/>
      <c r="AR53" s="14"/>
    </row>
    <row r="54" spans="1:50" x14ac:dyDescent="0.2">
      <c r="A54" t="s">
        <v>365</v>
      </c>
      <c r="B54" s="76" t="s">
        <v>160</v>
      </c>
      <c r="C54" s="76">
        <v>1</v>
      </c>
      <c r="D54" s="76">
        <v>2</v>
      </c>
      <c r="E54" s="76">
        <v>5.4</v>
      </c>
      <c r="F54" s="76">
        <v>5</v>
      </c>
      <c r="G54" s="76">
        <v>5</v>
      </c>
      <c r="H54" s="76">
        <v>0</v>
      </c>
      <c r="I54" s="76">
        <v>0</v>
      </c>
      <c r="J54" s="76">
        <v>0</v>
      </c>
      <c r="K54" s="76">
        <v>0</v>
      </c>
      <c r="L54" s="258">
        <f>INDEX('C-P-RollAdj'!$P$4:$P$900,MATCH((U54),'C-P-RollAdj'!$O$4:$O$900,FALSE),0)</f>
        <v>26.67</v>
      </c>
      <c r="M54" s="76">
        <v>29</v>
      </c>
      <c r="N54" s="76">
        <v>17</v>
      </c>
      <c r="O54" s="76">
        <v>16</v>
      </c>
      <c r="P54" s="76">
        <v>4</v>
      </c>
      <c r="Q54" s="76">
        <v>8</v>
      </c>
      <c r="R54" s="76">
        <v>0</v>
      </c>
      <c r="S54" s="76">
        <v>27</v>
      </c>
      <c r="T54" s="76">
        <v>117</v>
      </c>
      <c r="U54" s="76">
        <v>26.2</v>
      </c>
      <c r="V54" s="100">
        <v>0.27400000000000002</v>
      </c>
      <c r="W54" s="76">
        <v>1.39</v>
      </c>
      <c r="Y54" s="50">
        <f>+(Q54-R54)/(T54-R54)*100</f>
        <v>6.8376068376068382</v>
      </c>
      <c r="Z54" s="6">
        <f>IF(Y54&lt;LeagueRatings!$K$21,((LeagueRatings!$K$21-Y54)/LeagueRatings!$K$21)*36,(LeagueRatings!$K$21-Y54)*6.48)</f>
        <v>8.5060406892491969</v>
      </c>
      <c r="AA54" s="16">
        <f>INDEX('C-P-RollAdj'!$B$4:$B$76,MATCH(INT(Z54),'C-P-RollAdj'!$A$4:$A$76,FALSE),0)</f>
        <v>-0.65</v>
      </c>
      <c r="AB54" s="16">
        <f>(P54/(T54-R54))*100</f>
        <v>3.4188034188034191</v>
      </c>
      <c r="AC54" s="6">
        <f>IF(AB54&lt;LeagueRatings!$K$19,((LeagueRatings!$K$19-AB54)/LeagueRatings!$K$19)*36,(LeagueRatings!$K$19-AB54)/LeagueRatings!$K$22)</f>
        <v>-4.1272795497185752</v>
      </c>
      <c r="AD54" s="16">
        <f>INDEX('C-P-RollAdj'!$F$4:$F$76,MATCH(INT(AC54),'C-P-RollAdj'!$E$4:$E$76,FALSE),0)</f>
        <v>0.42</v>
      </c>
      <c r="AE54" s="17">
        <f>+((LeagueRatings!$I$17-E54)*5)+9.5</f>
        <v>3.3143872437063608</v>
      </c>
      <c r="AF54" s="17">
        <f>IF(AE54&lt;4,4,AE54)</f>
        <v>4</v>
      </c>
      <c r="AG54" s="17">
        <f>IF(M54&lt;L54,((1-(M54/L54))*7)-0.07,(1-(M54/L54))*5)</f>
        <v>-0.4368203974503182</v>
      </c>
      <c r="AH54" s="4">
        <f>+AA54+AD54+AF54+AG54</f>
        <v>3.3331796025496816</v>
      </c>
      <c r="AI54" s="24"/>
      <c r="AJ54" s="58">
        <v>20</v>
      </c>
      <c r="AK54" s="219">
        <f>INDEX('C-P-RollAdj'!$J$4:$J$76,MATCH(INT(Z54),'C-P-RollAdj'!$I$4:$I$76,FALSE),0)</f>
        <v>22</v>
      </c>
      <c r="AL54" s="219">
        <f>INDEX('C-P-RollAdj'!$J$4:$J$76,MATCH(INT(AC54),'C-P-RollAdj'!$I$4:$I$76,FALSE),0)</f>
        <v>-15</v>
      </c>
      <c r="AM54" s="262">
        <f>+AR54*LeagueRatings!$K$27</f>
        <v>15</v>
      </c>
      <c r="AN54" s="72">
        <f>F54*LeagueRatings!$K$27</f>
        <v>2.7777777777777777</v>
      </c>
      <c r="AO54" s="72">
        <f>G54*LeagueRatings!$K$27</f>
        <v>2.7777777777777777</v>
      </c>
      <c r="AP54" s="72">
        <f>T54*LeagueRatings!$K$27</f>
        <v>65</v>
      </c>
      <c r="AQ54" s="24"/>
      <c r="AR54" s="14">
        <f>ROUNDUP(L54,0)</f>
        <v>27</v>
      </c>
    </row>
    <row r="55" spans="1:50" s="23" customFormat="1" ht="12.75" customHeight="1" x14ac:dyDescent="0.2">
      <c r="A55" s="41" t="s">
        <v>365</v>
      </c>
      <c r="B55" s="76" t="s">
        <v>143</v>
      </c>
      <c r="C55" s="76">
        <v>5</v>
      </c>
      <c r="D55" s="76">
        <v>6</v>
      </c>
      <c r="E55" s="76">
        <v>4.68</v>
      </c>
      <c r="F55" s="76">
        <v>29</v>
      </c>
      <c r="G55" s="76">
        <v>17</v>
      </c>
      <c r="H55" s="76">
        <v>1</v>
      </c>
      <c r="I55" s="76">
        <v>0</v>
      </c>
      <c r="J55" s="76">
        <v>0</v>
      </c>
      <c r="K55" s="76">
        <v>0</v>
      </c>
      <c r="L55" s="258">
        <f>INDEX('C-P-RollAdj'!$P$4:$P$900,MATCH((U55),'C-P-RollAdj'!$O$4:$O$900,FALSE),0)</f>
        <v>117.33</v>
      </c>
      <c r="M55" s="76">
        <v>124</v>
      </c>
      <c r="N55" s="76">
        <v>64</v>
      </c>
      <c r="O55" s="76">
        <v>61</v>
      </c>
      <c r="P55" s="76">
        <v>10</v>
      </c>
      <c r="Q55" s="76">
        <v>47</v>
      </c>
      <c r="R55" s="76">
        <v>4</v>
      </c>
      <c r="S55" s="76">
        <v>92</v>
      </c>
      <c r="T55" s="76">
        <v>515</v>
      </c>
      <c r="U55" s="76">
        <v>117.1</v>
      </c>
      <c r="V55" s="100">
        <v>0.27200000000000002</v>
      </c>
      <c r="W55" s="76">
        <v>1.46</v>
      </c>
      <c r="X55" s="76"/>
      <c r="Y55" s="50">
        <f>+(Q55-R55)/(T55-R55)*100</f>
        <v>8.4148727984344411</v>
      </c>
      <c r="Z55" s="6">
        <f>IF(Y55&lt;LeagueRatings!$K$10,((LeagueRatings!$K$10-Y55)/LeagueRatings!$K$10)*36,(LeagueRatings!$K$10-Y55)*6.48)</f>
        <v>1.0495104110282802</v>
      </c>
      <c r="AA55" s="16">
        <f>INDEX('C-P-RollAdj'!$B$4:$B$76,MATCH(INT(Z55),'C-P-RollAdj'!$A$4:$A$76,FALSE),0)</f>
        <v>-0.08</v>
      </c>
      <c r="AB55" s="16">
        <f>(P55/(T55-R55))*100</f>
        <v>1.9569471624266144</v>
      </c>
      <c r="AC55" s="6">
        <f>IF(AB55&lt;LeagueRatings!$K$8,((LeagueRatings!$K$8-AB55)/LeagueRatings!$K$8)*36,(LeagueRatings!$K$8-AB55)/LeagueRatings!$K$11)</f>
        <v>13.999591802432379</v>
      </c>
      <c r="AD55" s="16">
        <f>INDEX('C-P-RollAdj'!$F$4:$F$76,MATCH(INT(AC55),'C-P-RollAdj'!$E$4:$E$76,FALSE),0)</f>
        <v>-0.97</v>
      </c>
      <c r="AE55" s="17">
        <f>+((LeagueRatings!$I$6-E55)*5)+9.5</f>
        <v>7.1080514552774048</v>
      </c>
      <c r="AF55" s="17">
        <f>IF(AE55&lt;4,4,AE55)</f>
        <v>7.1080514552774048</v>
      </c>
      <c r="AG55" s="17">
        <f>IF(M55&lt;L55,((1-(M55/L55))*7)-0.07,(1-(M55/L55))*5)</f>
        <v>-0.28424102957470443</v>
      </c>
      <c r="AH55" s="4">
        <f>+AA55+AD55+AF55+AG55</f>
        <v>5.7738104257027008</v>
      </c>
      <c r="AJ55" s="5" t="s">
        <v>34</v>
      </c>
      <c r="AK55" s="219">
        <f>INDEX('C-P-RollAdj'!$J$4:$J$76,MATCH(INT(Z55),'C-P-RollAdj'!$I$4:$I$76,FALSE),0)</f>
        <v>11</v>
      </c>
      <c r="AL55" s="219">
        <f>INDEX('C-P-RollAdj'!$J$4:$J$76,MATCH(INT(AC55),'C-P-RollAdj'!$I$4:$I$76,FALSE),0)</f>
        <v>31</v>
      </c>
      <c r="AM55" s="262">
        <f>+AR55*LeagueRatings!$K$27</f>
        <v>65.555555555555557</v>
      </c>
      <c r="AN55" s="72">
        <f>F55*LeagueRatings!$K$27</f>
        <v>16.111111111111111</v>
      </c>
      <c r="AO55" s="72">
        <f>G55*LeagueRatings!$K$27</f>
        <v>9.4444444444444446</v>
      </c>
      <c r="AP55" s="72">
        <f>T55*LeagueRatings!$K$27</f>
        <v>286.11111111111114</v>
      </c>
      <c r="AQ55" s="24"/>
      <c r="AR55" s="72">
        <f>ROUNDUP(L55,0)</f>
        <v>118</v>
      </c>
      <c r="AS55" s="113"/>
      <c r="AT55" s="113"/>
      <c r="AU55" s="113"/>
      <c r="AV55" s="24"/>
      <c r="AW55" s="97">
        <v>68</v>
      </c>
      <c r="AX55" s="24"/>
    </row>
    <row r="56" spans="1:50" x14ac:dyDescent="0.2">
      <c r="A56" s="9"/>
      <c r="B56" s="129"/>
      <c r="L56" s="157">
        <f>(L54/100)/((L54+L55)/100)</f>
        <v>0.18520833333333334</v>
      </c>
      <c r="T56" s="158"/>
      <c r="U56" s="158"/>
      <c r="V56" s="282"/>
      <c r="W56" s="158"/>
      <c r="X56" s="158"/>
      <c r="Y56" s="153"/>
      <c r="Z56" s="152">
        <f>Z54*L56</f>
        <v>1.5753896193213617</v>
      </c>
      <c r="AA56" s="153"/>
      <c r="AB56" s="153"/>
      <c r="AC56" s="152">
        <f>AC54*L56</f>
        <v>-0.76440656660412776</v>
      </c>
      <c r="AD56" s="153"/>
      <c r="AE56" s="103"/>
      <c r="AF56" s="103"/>
      <c r="AG56" s="103"/>
      <c r="AH56" s="154">
        <f>AH54*L56</f>
        <v>0.61733263888888901</v>
      </c>
      <c r="AJ56" s="5"/>
      <c r="AK56" s="5"/>
      <c r="AL56" s="5"/>
      <c r="AN56" s="72"/>
      <c r="AO56" s="72"/>
      <c r="AP56" s="72"/>
      <c r="AR56" s="14"/>
    </row>
    <row r="57" spans="1:50" x14ac:dyDescent="0.2">
      <c r="A57" s="9"/>
      <c r="B57" s="129"/>
      <c r="L57" s="157">
        <f>(L55/100)/((L54+L55)/100)</f>
        <v>0.81479166666666669</v>
      </c>
      <c r="T57" s="158"/>
      <c r="U57" s="158"/>
      <c r="V57" s="282"/>
      <c r="W57" s="158"/>
      <c r="X57" s="158"/>
      <c r="Y57" s="153"/>
      <c r="Z57" s="152">
        <f>Z55*L57</f>
        <v>0.85513233698575086</v>
      </c>
      <c r="AA57" s="153"/>
      <c r="AB57" s="153"/>
      <c r="AC57" s="152">
        <f>AC55*L57</f>
        <v>11.406750737356882</v>
      </c>
      <c r="AD57" s="153"/>
      <c r="AE57" s="103"/>
      <c r="AF57" s="103"/>
      <c r="AG57" s="103"/>
      <c r="AH57" s="154">
        <f>AH55*L57</f>
        <v>4.7044526197756795</v>
      </c>
      <c r="AJ57" s="5"/>
      <c r="AK57" s="5"/>
      <c r="AL57" s="5"/>
      <c r="AN57" s="72"/>
      <c r="AO57" s="72"/>
      <c r="AP57" s="72"/>
      <c r="AR57" s="14"/>
    </row>
    <row r="58" spans="1:50" x14ac:dyDescent="0.2">
      <c r="A58" s="9"/>
      <c r="B58" s="129"/>
      <c r="T58" s="158"/>
      <c r="U58" s="158"/>
      <c r="V58" s="282"/>
      <c r="W58" s="158"/>
      <c r="X58" s="158"/>
      <c r="Y58" s="153"/>
      <c r="Z58" s="152">
        <f>SUM(Z56:Z57)</f>
        <v>2.4305219563071123</v>
      </c>
      <c r="AA58" s="153"/>
      <c r="AB58" s="153"/>
      <c r="AC58" s="152">
        <f>SUM(AC56:AC57)</f>
        <v>10.642344170752754</v>
      </c>
      <c r="AD58" s="153"/>
      <c r="AE58" s="103"/>
      <c r="AF58" s="103"/>
      <c r="AG58" s="103"/>
      <c r="AH58" s="153">
        <f>SUM(AH56:AH57)</f>
        <v>5.3217852586645682</v>
      </c>
      <c r="AI58" s="41" t="s">
        <v>365</v>
      </c>
      <c r="AJ58" s="5" t="s">
        <v>24</v>
      </c>
      <c r="AK58" s="219">
        <f>INDEX('C-P-RollAdj'!$J$4:$J$76,MATCH(INT(Z58),'C-P-RollAdj'!$I$4:$I$76,FALSE),0)</f>
        <v>12</v>
      </c>
      <c r="AL58" s="219">
        <f>INDEX('C-P-RollAdj'!$J$4:$J$76,MATCH(INT(AC58),'C-P-RollAdj'!$I$4:$I$76,FALSE),0)</f>
        <v>24</v>
      </c>
      <c r="AM58" s="262">
        <f>SUM(AM54:AM57)</f>
        <v>80.555555555555557</v>
      </c>
      <c r="AN58" s="14">
        <f>SUM(AN54:AN57)</f>
        <v>18.888888888888889</v>
      </c>
      <c r="AO58" s="14">
        <f>SUM(AO54:AO57)</f>
        <v>12.222222222222221</v>
      </c>
      <c r="AP58" s="14">
        <f>SUM(AP54:AP57)</f>
        <v>351.11111111111114</v>
      </c>
      <c r="AR58" s="14"/>
    </row>
    <row r="59" spans="1:50" x14ac:dyDescent="0.2">
      <c r="B59" s="155"/>
      <c r="AR59" s="14"/>
    </row>
    <row r="60" spans="1:50" s="122" customFormat="1" x14ac:dyDescent="0.2">
      <c r="A60" t="s">
        <v>355</v>
      </c>
      <c r="B60" s="76" t="s">
        <v>152</v>
      </c>
      <c r="C60" s="76">
        <v>3</v>
      </c>
      <c r="D60" s="76">
        <v>0</v>
      </c>
      <c r="E60" s="76">
        <v>2.0099999999999998</v>
      </c>
      <c r="F60" s="76">
        <v>31</v>
      </c>
      <c r="G60" s="76">
        <v>0</v>
      </c>
      <c r="H60" s="76">
        <v>0</v>
      </c>
      <c r="I60" s="76">
        <v>0</v>
      </c>
      <c r="J60" s="76">
        <v>20</v>
      </c>
      <c r="K60" s="76">
        <v>21</v>
      </c>
      <c r="L60" s="258">
        <f>INDEX('C-P-RollAdj'!$P$4:$P$900,MATCH((U60),'C-P-RollAdj'!$O$4:$O$900,FALSE),0)</f>
        <v>31.33</v>
      </c>
      <c r="M60" s="76">
        <v>20</v>
      </c>
      <c r="N60" s="76">
        <v>8</v>
      </c>
      <c r="O60" s="76">
        <v>7</v>
      </c>
      <c r="P60" s="76">
        <v>2</v>
      </c>
      <c r="Q60" s="76">
        <v>8</v>
      </c>
      <c r="R60" s="76">
        <v>0</v>
      </c>
      <c r="S60" s="76">
        <v>44</v>
      </c>
      <c r="T60" s="76">
        <v>120</v>
      </c>
      <c r="U60" s="76">
        <v>31.1</v>
      </c>
      <c r="V60" s="100">
        <v>0.17899999999999999</v>
      </c>
      <c r="W60" s="76">
        <v>0.89</v>
      </c>
      <c r="X60" s="196"/>
      <c r="Y60" s="50">
        <f>+(Q60-R60)/(T60-R60)*100</f>
        <v>6.666666666666667</v>
      </c>
      <c r="Z60" s="6">
        <f>IF(Y60&lt;LeagueRatings!$K$10,((LeagueRatings!$K$10-Y60)/LeagueRatings!$K$10)*36,(LeagueRatings!$K$10-Y60)*6.48)</f>
        <v>8.3105423566441061</v>
      </c>
      <c r="AA60" s="16">
        <f>INDEX('C-P-RollAdj'!$B$4:$B$76,MATCH(INT(Z60),'C-P-RollAdj'!$A$4:$A$76,FALSE),0)</f>
        <v>-0.65</v>
      </c>
      <c r="AB60" s="16">
        <f>(P60/(T60-R60))*100</f>
        <v>1.6666666666666667</v>
      </c>
      <c r="AC60" s="6">
        <f>IF(AB60&lt;LeagueRatings!$K$8,((LeagueRatings!$K$8-AB60)/LeagueRatings!$K$8)*36,(LeagueRatings!$K$8-AB60)/LeagueRatings!$K$11)</f>
        <v>17.262985685071577</v>
      </c>
      <c r="AD60" s="16">
        <f>INDEX('C-P-RollAdj'!$F$4:$F$76,MATCH(INT(AC60),'C-P-RollAdj'!$E$4:$E$76,FALSE),0)</f>
        <v>-1.32</v>
      </c>
      <c r="AE60" s="17">
        <f>+((LeagueRatings!$I$17-E60)*5)+9.5</f>
        <v>20.264387243706363</v>
      </c>
      <c r="AF60" s="17">
        <f>IF(AE60&lt;4,4,AE60)</f>
        <v>20.264387243706363</v>
      </c>
      <c r="AG60" s="17">
        <f>IF(M60&lt;L60,((1-(M60/L60))*7)-0.07,(1-(M60/L60))*5)</f>
        <v>2.4614395148420041</v>
      </c>
      <c r="AH60" s="4">
        <f>+AA60+AD60+AF60+AG60</f>
        <v>20.755826758548366</v>
      </c>
      <c r="AI60" s="213"/>
      <c r="AJ60" s="7" t="s">
        <v>72</v>
      </c>
      <c r="AK60" s="219">
        <f>INDEX('C-P-RollAdj'!$J$4:$J$76,MATCH(INT(Z60),'C-P-RollAdj'!$I$4:$I$76,FALSE),0)</f>
        <v>22</v>
      </c>
      <c r="AL60" s="219">
        <f>INDEX('C-P-RollAdj'!$J$4:$J$76,MATCH(INT(AC60),'C-P-RollAdj'!$I$4:$I$76,FALSE),0)</f>
        <v>35</v>
      </c>
      <c r="AM60" s="262">
        <f>+AR60*LeagueRatings!$K$27</f>
        <v>17.777777777777779</v>
      </c>
      <c r="AN60" s="72">
        <f>F60*LeagueRatings!$K$27</f>
        <v>17.222222222222221</v>
      </c>
      <c r="AO60" s="72">
        <f>G60*LeagueRatings!$K$27</f>
        <v>0</v>
      </c>
      <c r="AP60" s="72">
        <f>T60*LeagueRatings!$K$27</f>
        <v>66.666666666666671</v>
      </c>
      <c r="AR60" s="14">
        <f>ROUNDUP(L60,0)</f>
        <v>32</v>
      </c>
      <c r="AS60" s="123"/>
      <c r="AT60" s="123"/>
      <c r="AU60" s="123"/>
      <c r="AW60" s="71"/>
      <c r="AX60" s="71"/>
    </row>
    <row r="61" spans="1:50" s="24" customFormat="1" x14ac:dyDescent="0.2">
      <c r="A61" s="41" t="s">
        <v>355</v>
      </c>
      <c r="B61" s="76" t="s">
        <v>161</v>
      </c>
      <c r="C61" s="76">
        <v>1</v>
      </c>
      <c r="D61" s="76">
        <v>1</v>
      </c>
      <c r="E61" s="76">
        <v>1.01</v>
      </c>
      <c r="F61" s="76">
        <v>28</v>
      </c>
      <c r="G61" s="76">
        <v>0</v>
      </c>
      <c r="H61" s="76">
        <v>0</v>
      </c>
      <c r="I61" s="76">
        <v>0</v>
      </c>
      <c r="J61" s="76">
        <v>16</v>
      </c>
      <c r="K61" s="76">
        <v>18</v>
      </c>
      <c r="L61" s="258">
        <f>INDEX('C-P-RollAdj'!$P$4:$P$900,MATCH((U61),'C-P-RollAdj'!$O$4:$O$900,FALSE),0)</f>
        <v>26.67</v>
      </c>
      <c r="M61" s="76">
        <v>12</v>
      </c>
      <c r="N61" s="76">
        <v>4</v>
      </c>
      <c r="O61" s="76">
        <v>3</v>
      </c>
      <c r="P61" s="76">
        <v>0</v>
      </c>
      <c r="Q61" s="76">
        <v>10</v>
      </c>
      <c r="R61" s="76">
        <v>0</v>
      </c>
      <c r="S61" s="76">
        <v>46</v>
      </c>
      <c r="T61" s="76">
        <v>102</v>
      </c>
      <c r="U61" s="76">
        <v>26.2</v>
      </c>
      <c r="V61" s="100">
        <v>0.13200000000000001</v>
      </c>
      <c r="W61" s="76">
        <v>0.82</v>
      </c>
      <c r="X61" s="76"/>
      <c r="Y61" s="50">
        <f>+(Q61-R61)/(T61-R61)*100</f>
        <v>9.8039215686274517</v>
      </c>
      <c r="Z61" s="6">
        <f>IF(Y61&lt;LeagueRatings!$K$21,((LeagueRatings!$K$21-Y61)/LeagueRatings!$K$21)*36,(LeagueRatings!$K$21-Y61)*6.48)</f>
        <v>-5.5138707853748539</v>
      </c>
      <c r="AA61" s="16">
        <f>INDEX('C-P-RollAdj'!$B$4:$B$76,MATCH(INT(Z61),'C-P-RollAdj'!$A$4:$A$76,FALSE),0)</f>
        <v>0.54</v>
      </c>
      <c r="AB61" s="16">
        <f>(P61/(T61-R61))*100</f>
        <v>0</v>
      </c>
      <c r="AC61" s="6">
        <f>IF(AB61&lt;LeagueRatings!$K$19,((LeagueRatings!$K$19-AB61)/LeagueRatings!$K$19)*36,(LeagueRatings!$K$19-AB61)/LeagueRatings!$K$22)</f>
        <v>36</v>
      </c>
      <c r="AD61" s="16">
        <f>INDEX('C-P-RollAdj'!$F$4:$F$76,MATCH(INT(AC61),'C-P-RollAdj'!$E$4:$E$76,FALSE),0)</f>
        <v>-3.26</v>
      </c>
      <c r="AE61" s="17">
        <f>+((LeagueRatings!$I$17-E61)*5)+9.5</f>
        <v>25.264387243706363</v>
      </c>
      <c r="AF61" s="17">
        <f>IF(AE61&lt;4,4,AE61)</f>
        <v>25.264387243706363</v>
      </c>
      <c r="AG61" s="17">
        <f>IF(M61&lt;L61,((1-(M61/L61))*7)-0.07,(1-(M61/L61))*5)</f>
        <v>3.780393700787402</v>
      </c>
      <c r="AH61" s="4">
        <f>+AA61+AD61+AF61+AG61</f>
        <v>26.324780944493767</v>
      </c>
      <c r="AJ61" s="5" t="s">
        <v>31</v>
      </c>
      <c r="AK61" s="219">
        <f>INDEX('C-P-RollAdj'!$J$4:$J$76,MATCH(INT(Z61),'C-P-RollAdj'!$I$4:$I$76,FALSE),0)</f>
        <v>-16</v>
      </c>
      <c r="AL61" s="219">
        <f>INDEX('C-P-RollAdj'!$J$4:$J$76,MATCH(INT(AC61),'C-P-RollAdj'!$I$4:$I$76,FALSE),0)</f>
        <v>66</v>
      </c>
      <c r="AM61" s="262">
        <f>+AR61*LeagueRatings!$K$27</f>
        <v>15</v>
      </c>
      <c r="AN61" s="72">
        <f>F61*LeagueRatings!$K$27</f>
        <v>15.555555555555557</v>
      </c>
      <c r="AO61" s="72">
        <f>G61*LeagueRatings!$K$27</f>
        <v>0</v>
      </c>
      <c r="AP61" s="72">
        <f>T61*LeagueRatings!$K$27</f>
        <v>56.666666666666671</v>
      </c>
      <c r="AR61" s="14">
        <f>ROUNDUP(L61,0)</f>
        <v>27</v>
      </c>
    </row>
    <row r="62" spans="1:50" s="122" customFormat="1" x14ac:dyDescent="0.2">
      <c r="A62" s="9"/>
      <c r="B62" s="129"/>
      <c r="C62" s="205"/>
      <c r="D62" s="196"/>
      <c r="E62" s="205"/>
      <c r="F62" s="196"/>
      <c r="G62" s="196"/>
      <c r="H62" s="196"/>
      <c r="I62" s="206"/>
      <c r="J62" s="206"/>
      <c r="K62" s="206"/>
      <c r="L62" s="157">
        <f>(L60/100)/((L60+L61)/100)</f>
        <v>0.54017241379310343</v>
      </c>
      <c r="M62" s="146"/>
      <c r="N62" s="146"/>
      <c r="O62" s="146"/>
      <c r="P62" s="146"/>
      <c r="Q62" s="146"/>
      <c r="R62" s="146"/>
      <c r="S62" s="146"/>
      <c r="T62" s="158"/>
      <c r="U62" s="158"/>
      <c r="V62" s="282"/>
      <c r="W62" s="158"/>
      <c r="X62" s="158"/>
      <c r="Y62" s="153"/>
      <c r="Z62" s="152">
        <f>Z60*L62</f>
        <v>4.4891257247182734</v>
      </c>
      <c r="AA62" s="153"/>
      <c r="AB62" s="153"/>
      <c r="AC62" s="152">
        <f>AC60*L62</f>
        <v>9.3249886467809056</v>
      </c>
      <c r="AD62" s="153"/>
      <c r="AE62" s="103"/>
      <c r="AF62" s="103"/>
      <c r="AG62" s="103"/>
      <c r="AH62" s="154">
        <f>AH60*L62</f>
        <v>11.211725040436557</v>
      </c>
      <c r="AI62" s="168"/>
      <c r="AJ62" s="5"/>
      <c r="AK62" s="5"/>
      <c r="AL62" s="5"/>
      <c r="AM62" s="262"/>
      <c r="AN62" s="72"/>
      <c r="AO62" s="72"/>
      <c r="AP62" s="72"/>
      <c r="AR62" s="112"/>
      <c r="AS62" s="123"/>
      <c r="AT62" s="123"/>
      <c r="AU62" s="123"/>
      <c r="AW62" s="71"/>
      <c r="AX62" s="71"/>
    </row>
    <row r="63" spans="1:50" s="122" customFormat="1" x14ac:dyDescent="0.2">
      <c r="A63" s="9"/>
      <c r="B63" s="129"/>
      <c r="C63" s="205"/>
      <c r="D63" s="196"/>
      <c r="E63" s="205"/>
      <c r="F63" s="196"/>
      <c r="G63" s="196"/>
      <c r="H63" s="196"/>
      <c r="I63" s="206"/>
      <c r="J63" s="206"/>
      <c r="K63" s="206"/>
      <c r="L63" s="157">
        <f>(L61/100)/((L60+L61)/100)</f>
        <v>0.45982758620689657</v>
      </c>
      <c r="M63" s="146"/>
      <c r="N63" s="146"/>
      <c r="O63" s="146"/>
      <c r="P63" s="146"/>
      <c r="Q63" s="146"/>
      <c r="R63" s="146"/>
      <c r="S63" s="146"/>
      <c r="T63" s="158"/>
      <c r="U63" s="158"/>
      <c r="V63" s="282"/>
      <c r="W63" s="158"/>
      <c r="X63" s="158"/>
      <c r="Y63" s="153"/>
      <c r="Z63" s="152">
        <f>Z61*L63</f>
        <v>-2.5354298938956439</v>
      </c>
      <c r="AA63" s="153"/>
      <c r="AB63" s="153"/>
      <c r="AC63" s="152">
        <f>AC61*L63</f>
        <v>16.553793103448278</v>
      </c>
      <c r="AD63" s="153"/>
      <c r="AE63" s="103"/>
      <c r="AF63" s="103"/>
      <c r="AG63" s="103"/>
      <c r="AH63" s="154">
        <f>AH61*L63</f>
        <v>12.104860479131876</v>
      </c>
      <c r="AI63" s="168"/>
      <c r="AJ63" s="5"/>
      <c r="AK63" s="5"/>
      <c r="AL63" s="5"/>
      <c r="AM63" s="262"/>
      <c r="AN63" s="72"/>
      <c r="AO63" s="72"/>
      <c r="AP63" s="72"/>
      <c r="AR63" s="112"/>
      <c r="AS63" s="123"/>
      <c r="AT63" s="123"/>
      <c r="AU63" s="123"/>
      <c r="AW63" s="71"/>
      <c r="AX63" s="71"/>
    </row>
    <row r="64" spans="1:50" s="122" customFormat="1" x14ac:dyDescent="0.2">
      <c r="A64" s="9"/>
      <c r="B64" s="129"/>
      <c r="C64" s="205"/>
      <c r="D64" s="196"/>
      <c r="E64" s="205"/>
      <c r="F64" s="196"/>
      <c r="G64" s="196"/>
      <c r="H64" s="196"/>
      <c r="I64" s="206"/>
      <c r="J64" s="206"/>
      <c r="K64" s="206"/>
      <c r="L64" s="157"/>
      <c r="M64" s="146"/>
      <c r="N64" s="146"/>
      <c r="O64" s="146"/>
      <c r="P64" s="146"/>
      <c r="Q64" s="146"/>
      <c r="R64" s="146"/>
      <c r="S64" s="146"/>
      <c r="T64" s="158"/>
      <c r="U64" s="158"/>
      <c r="V64" s="282"/>
      <c r="W64" s="158"/>
      <c r="X64" s="158"/>
      <c r="Y64" s="153"/>
      <c r="Z64" s="152">
        <f>SUM(Z62:Z63)</f>
        <v>1.9536958308226295</v>
      </c>
      <c r="AA64" s="153"/>
      <c r="AB64" s="153"/>
      <c r="AC64" s="152">
        <f>SUM(AC62:AC63)</f>
        <v>25.878781750229184</v>
      </c>
      <c r="AD64" s="153"/>
      <c r="AE64" s="103"/>
      <c r="AF64" s="103"/>
      <c r="AG64" s="103"/>
      <c r="AH64" s="153">
        <f>SUM(AH62:AH63)</f>
        <v>23.316585519568434</v>
      </c>
      <c r="AI64" s="41" t="s">
        <v>355</v>
      </c>
      <c r="AJ64" s="5" t="s">
        <v>668</v>
      </c>
      <c r="AK64" s="219">
        <f>INDEX('C-P-RollAdj'!$J$4:$J$76,MATCH(INT(Z64),'C-P-RollAdj'!$I$4:$I$76,FALSE),0)</f>
        <v>11</v>
      </c>
      <c r="AL64" s="219">
        <f>INDEX('C-P-RollAdj'!$J$4:$J$76,MATCH(INT(AC64),'C-P-RollAdj'!$I$4:$I$76,FALSE),0)</f>
        <v>51</v>
      </c>
      <c r="AM64" s="262">
        <f>SUM(AM60:AM63)</f>
        <v>32.777777777777779</v>
      </c>
      <c r="AN64" s="14">
        <f>SUM(AN60:AN63)</f>
        <v>32.777777777777779</v>
      </c>
      <c r="AO64" s="14">
        <f>SUM(AO60:AO63)</f>
        <v>0</v>
      </c>
      <c r="AP64" s="14">
        <f>SUM(AP60:AP63)</f>
        <v>123.33333333333334</v>
      </c>
      <c r="AR64" s="112"/>
      <c r="AS64" s="123"/>
      <c r="AT64" s="123"/>
      <c r="AU64" s="123"/>
      <c r="AW64" s="71"/>
      <c r="AX64" s="71"/>
    </row>
    <row r="65" spans="1:50" s="122" customFormat="1" x14ac:dyDescent="0.2">
      <c r="A65" s="204"/>
      <c r="B65" s="196"/>
      <c r="C65" s="205"/>
      <c r="D65" s="196"/>
      <c r="E65" s="205"/>
      <c r="F65" s="196"/>
      <c r="G65" s="196"/>
      <c r="H65" s="196"/>
      <c r="I65" s="206"/>
      <c r="J65" s="206"/>
      <c r="K65" s="206"/>
      <c r="L65" s="205"/>
      <c r="M65" s="196"/>
      <c r="N65" s="196"/>
      <c r="O65" s="196"/>
      <c r="P65" s="196"/>
      <c r="Q65" s="196"/>
      <c r="R65" s="196"/>
      <c r="S65" s="196"/>
      <c r="T65" s="196"/>
      <c r="U65" s="196"/>
      <c r="V65" s="277"/>
      <c r="W65" s="196"/>
      <c r="X65" s="196"/>
      <c r="Y65" s="207"/>
      <c r="Z65" s="208"/>
      <c r="AA65" s="209"/>
      <c r="AB65" s="210"/>
      <c r="AC65" s="208"/>
      <c r="AD65" s="209"/>
      <c r="AE65" s="211"/>
      <c r="AF65" s="211"/>
      <c r="AG65" s="211"/>
      <c r="AH65" s="212"/>
      <c r="AI65" s="213"/>
      <c r="AJ65" s="214"/>
      <c r="AK65" s="214"/>
      <c r="AL65" s="214"/>
      <c r="AM65" s="206"/>
      <c r="AN65" s="121"/>
      <c r="AO65" s="121"/>
      <c r="AP65" s="121"/>
      <c r="AR65" s="112"/>
      <c r="AS65" s="123"/>
      <c r="AT65" s="123"/>
      <c r="AU65" s="123"/>
      <c r="AW65" s="71"/>
      <c r="AX65" s="71"/>
    </row>
    <row r="66" spans="1:50" x14ac:dyDescent="0.2">
      <c r="A66" t="s">
        <v>600</v>
      </c>
      <c r="B66" s="76" t="s">
        <v>156</v>
      </c>
      <c r="C66" s="76">
        <v>1</v>
      </c>
      <c r="D66" s="76">
        <v>2</v>
      </c>
      <c r="E66" s="76">
        <v>4.57</v>
      </c>
      <c r="F66" s="76">
        <v>39</v>
      </c>
      <c r="G66" s="76">
        <v>0</v>
      </c>
      <c r="H66" s="76">
        <v>0</v>
      </c>
      <c r="I66" s="76">
        <v>0</v>
      </c>
      <c r="J66" s="76">
        <v>0</v>
      </c>
      <c r="K66" s="76">
        <v>2</v>
      </c>
      <c r="L66" s="258">
        <f>INDEX('C-P-RollAdj'!$P$4:$P$900,MATCH((U66),'C-P-RollAdj'!$O$4:$O$900,FALSE),0)</f>
        <v>41.33</v>
      </c>
      <c r="M66" s="76">
        <v>43</v>
      </c>
      <c r="N66" s="76">
        <v>22</v>
      </c>
      <c r="O66" s="76">
        <v>21</v>
      </c>
      <c r="P66" s="76">
        <v>9</v>
      </c>
      <c r="Q66" s="76">
        <v>10</v>
      </c>
      <c r="R66" s="76">
        <v>0</v>
      </c>
      <c r="S66" s="76">
        <v>42</v>
      </c>
      <c r="T66" s="76">
        <v>173</v>
      </c>
      <c r="U66" s="76">
        <v>41.1</v>
      </c>
      <c r="V66" s="100">
        <v>0.26900000000000002</v>
      </c>
      <c r="W66" s="76">
        <v>1.28</v>
      </c>
      <c r="Y66" s="50">
        <f>+(Q66-R66)/(T66-R66)*100</f>
        <v>5.7803468208092488</v>
      </c>
      <c r="Z66" s="6">
        <f>IF(Y66&lt;LeagueRatings!$K$10,((LeagueRatings!$K$10-Y66)/LeagueRatings!$K$10)*36,(LeagueRatings!$K$10-Y66)*6.48)</f>
        <v>11.991799731194313</v>
      </c>
      <c r="AA66" s="16">
        <f>INDEX('C-P-RollAdj'!$B$4:$B$76,MATCH(INT(Z66),'C-P-RollAdj'!$A$4:$A$76,FALSE),0)</f>
        <v>-0.92</v>
      </c>
      <c r="AB66" s="16">
        <f>(P66/(T66-R66))*100</f>
        <v>5.202312138728324</v>
      </c>
      <c r="AC66" s="6">
        <f>IF(AB66&lt;LeagueRatings!$K$8,((LeagueRatings!$K$8-AB66)/LeagueRatings!$K$8)*36,(LeagueRatings!$K$8-AB66)/LeagueRatings!$K$11)</f>
        <v>-15.881654565138136</v>
      </c>
      <c r="AD66" s="16">
        <f>INDEX('C-P-RollAdj'!$F$4:$F$76,MATCH(INT(AC66),'C-P-RollAdj'!$E$4:$E$76,FALSE),0)</f>
        <v>1.63</v>
      </c>
      <c r="AE66" s="17">
        <f>+((LeagueRatings!$I$6-E66)*5)+9.5</f>
        <v>7.6580514552774019</v>
      </c>
      <c r="AF66" s="17">
        <f>IF(AE66&lt;4,4,AE66)</f>
        <v>7.6580514552774019</v>
      </c>
      <c r="AG66" s="17">
        <f>IF(M66&lt;L66,((1-(M66/L66))*7)-0.07,(1-(M66/L66))*5)</f>
        <v>-0.20203242196951354</v>
      </c>
      <c r="AH66" s="4">
        <f>+AA66+AD66+AF66+AG66</f>
        <v>8.1660190333078866</v>
      </c>
      <c r="AJ66" s="5" t="s">
        <v>55</v>
      </c>
      <c r="AK66" s="219">
        <f>INDEX('C-P-RollAdj'!$J$4:$J$76,MATCH(INT(Z66),'C-P-RollAdj'!$I$4:$I$76,FALSE),0)</f>
        <v>25</v>
      </c>
      <c r="AL66" s="219">
        <f>INDEX('C-P-RollAdj'!$J$4:$J$76,MATCH(INT(AC66),'C-P-RollAdj'!$I$4:$I$76,FALSE),0)</f>
        <v>-34</v>
      </c>
      <c r="AM66" s="262">
        <f>+AR66*LeagueRatings!$K$27</f>
        <v>23.333333333333336</v>
      </c>
      <c r="AN66" s="72">
        <f>F66*LeagueRatings!$K$27</f>
        <v>21.666666666666668</v>
      </c>
      <c r="AO66" s="72">
        <f>G66*LeagueRatings!$K$27</f>
        <v>0</v>
      </c>
      <c r="AP66" s="72">
        <f>T66*LeagueRatings!$K$27</f>
        <v>96.111111111111114</v>
      </c>
      <c r="AQ66" s="24"/>
      <c r="AR66" s="72">
        <f>ROUNDUP(L66,0)</f>
        <v>42</v>
      </c>
    </row>
    <row r="67" spans="1:50" s="24" customFormat="1" x14ac:dyDescent="0.2">
      <c r="A67" s="41" t="s">
        <v>600</v>
      </c>
      <c r="B67" s="76" t="s">
        <v>165</v>
      </c>
      <c r="C67" s="76">
        <v>1</v>
      </c>
      <c r="D67" s="76">
        <v>0</v>
      </c>
      <c r="E67" s="76">
        <v>4.21</v>
      </c>
      <c r="F67" s="76">
        <v>23</v>
      </c>
      <c r="G67" s="76">
        <v>0</v>
      </c>
      <c r="H67" s="76">
        <v>0</v>
      </c>
      <c r="I67" s="76">
        <v>0</v>
      </c>
      <c r="J67" s="76">
        <v>0</v>
      </c>
      <c r="K67" s="76">
        <v>1</v>
      </c>
      <c r="L67" s="258">
        <f>INDEX('C-P-RollAdj'!$P$4:$P$900,MATCH((U67),'C-P-RollAdj'!$O$4:$O$900,FALSE),0)</f>
        <v>25.67</v>
      </c>
      <c r="M67" s="76">
        <v>28</v>
      </c>
      <c r="N67" s="76">
        <v>14</v>
      </c>
      <c r="O67" s="76">
        <v>12</v>
      </c>
      <c r="P67" s="76">
        <v>3</v>
      </c>
      <c r="Q67" s="76">
        <v>8</v>
      </c>
      <c r="R67" s="76">
        <v>3</v>
      </c>
      <c r="S67" s="76">
        <v>21</v>
      </c>
      <c r="T67" s="76">
        <v>109</v>
      </c>
      <c r="U67" s="76">
        <v>25.2</v>
      </c>
      <c r="V67" s="100">
        <v>0.27700000000000002</v>
      </c>
      <c r="W67" s="76">
        <v>1.4</v>
      </c>
      <c r="X67" s="76"/>
      <c r="Y67" s="50">
        <f>+(Q67-R67)/(T67-R67)*100</f>
        <v>4.716981132075472</v>
      </c>
      <c r="Z67" s="6">
        <f>IF(Y67&lt;LeagueRatings!$K$21,((LeagueRatings!$K$21-Y67)/LeagueRatings!$K$21)*36,(LeagueRatings!$K$21-Y67)*6.48)</f>
        <v>17.033058730201393</v>
      </c>
      <c r="AA67" s="16">
        <f>INDEX('C-P-RollAdj'!$B$4:$B$76,MATCH(INT(Z67),'C-P-RollAdj'!$A$4:$A$76,FALSE),0)</f>
        <v>-1.49</v>
      </c>
      <c r="AB67" s="16">
        <f>(P67/(T67-R67))*100</f>
        <v>2.8301886792452833</v>
      </c>
      <c r="AC67" s="6">
        <f>IF(AB67&lt;LeagueRatings!$K$19,((LeagueRatings!$K$19-AB67)/LeagueRatings!$K$19)*36,(LeagueRatings!$K$19-AB67)/LeagueRatings!$K$22)</f>
        <v>0.96327946526778763</v>
      </c>
      <c r="AD67" s="16">
        <f>INDEX('C-P-RollAdj'!$F$4:$F$76,MATCH(INT(AC67),'C-P-RollAdj'!$E$4:$E$76,FALSE),0)</f>
        <v>0</v>
      </c>
      <c r="AE67" s="17">
        <f>+((LeagueRatings!$I$6-E67)*5)+9.5</f>
        <v>9.4580514552774027</v>
      </c>
      <c r="AF67" s="17">
        <f>IF(AE67&lt;4,4,AE67)</f>
        <v>9.4580514552774027</v>
      </c>
      <c r="AG67" s="17">
        <f>IF(M67&lt;L67,((1-(M67/L67))*7)-0.07,(1-(M67/L67))*5)</f>
        <v>-0.45383716400467455</v>
      </c>
      <c r="AH67" s="4">
        <f>+AA67+AD67+AF67+AG67</f>
        <v>7.5142142912727277</v>
      </c>
      <c r="AJ67" s="5" t="s">
        <v>19</v>
      </c>
      <c r="AK67" s="219">
        <f>INDEX('C-P-RollAdj'!$J$4:$J$76,MATCH(INT(Z67),'C-P-RollAdj'!$I$4:$I$76,FALSE),0)</f>
        <v>35</v>
      </c>
      <c r="AL67" s="219">
        <f>INDEX('C-P-RollAdj'!$J$4:$J$76,MATCH(INT(AC67),'C-P-RollAdj'!$I$4:$I$76,FALSE),0)</f>
        <v>0</v>
      </c>
      <c r="AM67" s="262">
        <f>+AR67*LeagueRatings!$K$27</f>
        <v>14.444444444444445</v>
      </c>
      <c r="AN67" s="72">
        <f>F67*LeagueRatings!$K$27</f>
        <v>12.777777777777779</v>
      </c>
      <c r="AO67" s="72">
        <f>G67*LeagueRatings!$K$27</f>
        <v>0</v>
      </c>
      <c r="AP67" s="72">
        <f>T67*LeagueRatings!$K$27</f>
        <v>60.555555555555557</v>
      </c>
      <c r="AR67" s="72">
        <f>ROUNDUP(L67,0)</f>
        <v>26</v>
      </c>
      <c r="AS67" s="113"/>
      <c r="AT67" s="113"/>
      <c r="AU67" s="113"/>
      <c r="AW67" s="97">
        <v>40.33</v>
      </c>
    </row>
    <row r="68" spans="1:50" x14ac:dyDescent="0.2">
      <c r="A68" s="9"/>
      <c r="B68" s="129"/>
      <c r="L68" s="157">
        <f>(L66/100)/((L66+L67)/100)</f>
        <v>0.61686567164179096</v>
      </c>
      <c r="T68" s="158"/>
      <c r="U68" s="158"/>
      <c r="V68" s="282"/>
      <c r="W68" s="158"/>
      <c r="X68" s="158"/>
      <c r="Y68" s="153"/>
      <c r="Z68" s="152">
        <f>Z66*L68</f>
        <v>7.3973295953770277</v>
      </c>
      <c r="AA68" s="153"/>
      <c r="AB68" s="153"/>
      <c r="AC68" s="152">
        <f>AC66*L68</f>
        <v>-9.7968475101068524</v>
      </c>
      <c r="AD68" s="153"/>
      <c r="AE68" s="103"/>
      <c r="AF68" s="103"/>
      <c r="AG68" s="103"/>
      <c r="AH68" s="154">
        <f>AH66*L68</f>
        <v>5.037336815621118</v>
      </c>
      <c r="AJ68" s="5"/>
      <c r="AK68" s="5"/>
      <c r="AL68" s="5"/>
      <c r="AN68" s="72"/>
      <c r="AR68" s="14"/>
    </row>
    <row r="69" spans="1:50" x14ac:dyDescent="0.2">
      <c r="A69" s="9"/>
      <c r="B69" s="129"/>
      <c r="L69" s="157">
        <f>(L67/100)/((L66+L67)/100)</f>
        <v>0.38313432835820899</v>
      </c>
      <c r="T69" s="158"/>
      <c r="U69" s="158"/>
      <c r="V69" s="282"/>
      <c r="W69" s="158"/>
      <c r="X69" s="158"/>
      <c r="Y69" s="153"/>
      <c r="Z69" s="152">
        <f>Z67*L69</f>
        <v>6.5259495164816386</v>
      </c>
      <c r="AA69" s="153"/>
      <c r="AB69" s="153"/>
      <c r="AC69" s="152">
        <f>AC67*L69</f>
        <v>0.36906543094662853</v>
      </c>
      <c r="AD69" s="153"/>
      <c r="AE69" s="103"/>
      <c r="AF69" s="103"/>
      <c r="AG69" s="103"/>
      <c r="AH69" s="154">
        <f>AH67*L69</f>
        <v>2.8789534456264319</v>
      </c>
      <c r="AJ69" s="5"/>
      <c r="AK69" s="5"/>
      <c r="AL69" s="5"/>
      <c r="AN69" s="72"/>
      <c r="AR69" s="14"/>
    </row>
    <row r="70" spans="1:50" x14ac:dyDescent="0.2">
      <c r="A70" s="9"/>
      <c r="B70" s="129"/>
      <c r="T70" s="158"/>
      <c r="U70" s="158"/>
      <c r="V70" s="282"/>
      <c r="W70" s="158"/>
      <c r="X70" s="158"/>
      <c r="Y70" s="153"/>
      <c r="Z70" s="152">
        <f>SUM(Z68:Z69)</f>
        <v>13.923279111858665</v>
      </c>
      <c r="AA70" s="153"/>
      <c r="AB70" s="153"/>
      <c r="AC70" s="152">
        <f>SUM(AC68:AC69)</f>
        <v>-9.4277820791602238</v>
      </c>
      <c r="AD70" s="153"/>
      <c r="AE70" s="103"/>
      <c r="AF70" s="103"/>
      <c r="AG70" s="103"/>
      <c r="AH70" s="153">
        <f>SUM(AH68:AH69)</f>
        <v>7.9162902612475499</v>
      </c>
      <c r="AI70" s="41" t="s">
        <v>600</v>
      </c>
      <c r="AJ70" s="5" t="s">
        <v>55</v>
      </c>
      <c r="AK70" s="219">
        <f>INDEX('C-P-RollAdj'!$J$4:$J$76,MATCH(INT(Z70),'C-P-RollAdj'!$I$4:$I$76,FALSE),0)</f>
        <v>31</v>
      </c>
      <c r="AL70" s="219">
        <f>INDEX('C-P-RollAdj'!$J$4:$J$76,MATCH(INT(AC70),'C-P-RollAdj'!$I$4:$I$76,FALSE),0)</f>
        <v>-24</v>
      </c>
      <c r="AM70" s="262">
        <f>SUM(AM66:AM69)</f>
        <v>37.777777777777779</v>
      </c>
      <c r="AN70" s="14">
        <f>SUM(AN66:AN69)</f>
        <v>34.444444444444443</v>
      </c>
      <c r="AO70" s="14">
        <f>SUM(AO66:AO69)</f>
        <v>0</v>
      </c>
      <c r="AP70" s="14">
        <f>SUM(AP66:AP69)</f>
        <v>156.66666666666669</v>
      </c>
      <c r="AR70" s="14"/>
    </row>
    <row r="71" spans="1:50" x14ac:dyDescent="0.2">
      <c r="B71" s="155"/>
      <c r="AR71" s="14"/>
    </row>
    <row r="72" spans="1:50" x14ac:dyDescent="0.2">
      <c r="A72" t="s">
        <v>1454</v>
      </c>
      <c r="B72" s="76" t="s">
        <v>244</v>
      </c>
      <c r="C72" s="76">
        <v>1</v>
      </c>
      <c r="D72" s="76">
        <v>0</v>
      </c>
      <c r="E72" s="76">
        <v>6.3</v>
      </c>
      <c r="F72" s="76">
        <v>2</v>
      </c>
      <c r="G72" s="76">
        <v>2</v>
      </c>
      <c r="H72" s="76">
        <v>0</v>
      </c>
      <c r="I72" s="76">
        <v>0</v>
      </c>
      <c r="J72" s="76">
        <v>0</v>
      </c>
      <c r="K72" s="76">
        <v>0</v>
      </c>
      <c r="L72" s="258">
        <f>INDEX('C-P-RollAdj'!$P$4:$P$900,MATCH((U72),'C-P-RollAdj'!$O$4:$O$900,FALSE),0)</f>
        <v>10</v>
      </c>
      <c r="M72" s="76">
        <v>11</v>
      </c>
      <c r="N72" s="76">
        <v>7</v>
      </c>
      <c r="O72" s="76">
        <v>7</v>
      </c>
      <c r="P72" s="76">
        <v>5</v>
      </c>
      <c r="Q72" s="76">
        <v>8</v>
      </c>
      <c r="R72" s="76">
        <v>0</v>
      </c>
      <c r="S72" s="76">
        <v>6</v>
      </c>
      <c r="T72" s="76">
        <v>47</v>
      </c>
      <c r="U72" s="76">
        <v>10</v>
      </c>
      <c r="V72" s="100">
        <v>0.28899999999999998</v>
      </c>
      <c r="W72" s="76">
        <v>1.9</v>
      </c>
      <c r="Y72" s="50">
        <f>+(Q72-R72)/(T72-R72)*100</f>
        <v>17.021276595744681</v>
      </c>
      <c r="Z72" s="6">
        <f>IF(Y72&lt;LeagueRatings!$K$21,((LeagueRatings!$K$21-Y72)/LeagueRatings!$K$21)*36,(LeagueRatings!$K$21-Y72)*6.48)</f>
        <v>-52.282331361094499</v>
      </c>
      <c r="AA72" s="260">
        <v>5.44</v>
      </c>
      <c r="AB72" s="16">
        <f>(P72/(T72-R72))*100</f>
        <v>10.638297872340425</v>
      </c>
      <c r="AC72" s="6">
        <f>IF(AB72&lt;LeagueRatings!$K$19,((LeagueRatings!$K$19-AB72)/LeagueRatings!$K$19)*36,(LeagueRatings!$K$19-AB72)/LeagueRatings!$K$22)</f>
        <v>-62.460653866113127</v>
      </c>
      <c r="AD72" s="260">
        <v>4.8600000000000003</v>
      </c>
      <c r="AE72" s="17">
        <f>+((LeagueRatings!$I$6-E72)*5)+9.5</f>
        <v>-0.99194854472259664</v>
      </c>
      <c r="AF72" s="17">
        <f>IF(AE72&lt;4,4,AE72)</f>
        <v>4</v>
      </c>
      <c r="AG72" s="17">
        <f>IF(M72&lt;L72,((1-(M72/L72))*7)-0.07,(1-(M72/L72))*5)</f>
        <v>-0.50000000000000044</v>
      </c>
      <c r="AH72" s="4">
        <f>+AA72+AD72+AF72+AG72</f>
        <v>13.8</v>
      </c>
      <c r="AJ72" s="5" t="s">
        <v>34</v>
      </c>
      <c r="AK72" s="219">
        <v>-66</v>
      </c>
      <c r="AL72" s="219">
        <v>-66</v>
      </c>
      <c r="AM72" s="262">
        <f>+AR72*LeagueRatings!$K$27</f>
        <v>5.5555555555555554</v>
      </c>
      <c r="AN72" s="72">
        <f>F72*LeagueRatings!$K$27</f>
        <v>1.1111111111111112</v>
      </c>
      <c r="AO72" s="72">
        <f>G72*LeagueRatings!$K$27</f>
        <v>1.1111111111111112</v>
      </c>
      <c r="AP72" s="72">
        <f>T72*LeagueRatings!$K$27</f>
        <v>26.111111111111111</v>
      </c>
      <c r="AQ72"/>
      <c r="AR72" s="72">
        <f>ROUNDUP(L72,0)</f>
        <v>10</v>
      </c>
    </row>
    <row r="73" spans="1:50" s="12" customFormat="1" x14ac:dyDescent="0.2">
      <c r="A73" s="41" t="s">
        <v>1454</v>
      </c>
      <c r="B73" s="76" t="s">
        <v>170</v>
      </c>
      <c r="C73" s="76">
        <v>3</v>
      </c>
      <c r="D73" s="76">
        <v>5</v>
      </c>
      <c r="E73" s="76">
        <v>3.67</v>
      </c>
      <c r="F73" s="76">
        <v>16</v>
      </c>
      <c r="G73" s="76">
        <v>12</v>
      </c>
      <c r="H73" s="76">
        <v>0</v>
      </c>
      <c r="I73" s="76">
        <v>0</v>
      </c>
      <c r="J73" s="76">
        <v>0</v>
      </c>
      <c r="K73" s="76">
        <v>1</v>
      </c>
      <c r="L73" s="258">
        <f>INDEX('C-P-RollAdj'!$P$4:$P$900,MATCH((U73),'C-P-RollAdj'!$O$4:$O$900,FALSE),0)</f>
        <v>61.33</v>
      </c>
      <c r="M73" s="76">
        <v>61</v>
      </c>
      <c r="N73" s="76">
        <v>32</v>
      </c>
      <c r="O73" s="76">
        <v>25</v>
      </c>
      <c r="P73" s="76">
        <v>9</v>
      </c>
      <c r="Q73" s="76">
        <v>23</v>
      </c>
      <c r="R73" s="76">
        <v>0</v>
      </c>
      <c r="S73" s="76">
        <v>47</v>
      </c>
      <c r="T73" s="76">
        <v>267</v>
      </c>
      <c r="U73" s="76">
        <v>61.1</v>
      </c>
      <c r="V73" s="100">
        <v>0.25700000000000001</v>
      </c>
      <c r="W73" s="76">
        <v>1.37</v>
      </c>
      <c r="X73" s="76"/>
      <c r="Y73" s="50">
        <f>+(Q73-R73)/(T73-R73)*100</f>
        <v>8.6142322097378283</v>
      </c>
      <c r="Z73" s="6">
        <f>IF(Y73&lt;LeagueRatings!$K$21,((LeagueRatings!$K$21-Y73)/LeagueRatings!$K$21)*36,(LeagueRatings!$K$21-Y73)*6.48)</f>
        <v>1.3622450818209693</v>
      </c>
      <c r="AA73" s="16">
        <f>INDEX('C-P-RollAdj'!$B$4:$B$76,MATCH(INT(Z73),'C-P-RollAdj'!$A$4:$A$76,FALSE),0)</f>
        <v>-0.08</v>
      </c>
      <c r="AB73" s="16">
        <f>(P73/(T73-R73))*100</f>
        <v>3.3707865168539324</v>
      </c>
      <c r="AC73" s="6">
        <f>IF(AB73&lt;LeagueRatings!$K$19,((LeagueRatings!$K$19-AB73)/LeagueRatings!$K$19)*36,(LeagueRatings!$K$19-AB73)/LeagueRatings!$K$22)</f>
        <v>-3.7393039188818826</v>
      </c>
      <c r="AD73" s="16">
        <f>INDEX('C-P-RollAdj'!$F$4:$F$76,MATCH(INT(AC73),'C-P-RollAdj'!$E$4:$E$76,FALSE),0)</f>
        <v>0.32999999999999996</v>
      </c>
      <c r="AE73" s="17">
        <f>+((LeagueRatings!$I$17-E73)*5)+9.5</f>
        <v>11.964387243706362</v>
      </c>
      <c r="AF73" s="17">
        <f>IF(AE73&lt;4,4,AE73)</f>
        <v>11.964387243706362</v>
      </c>
      <c r="AG73" s="17">
        <f>IF(M73&lt;L73,((1-(M73/L73))*7)-0.07,(1-(M73/L73))*5)</f>
        <v>-3.2334909505951359E-2</v>
      </c>
      <c r="AH73" s="4">
        <f>+AA73+AD73+AF73+AG73</f>
        <v>12.18205233420041</v>
      </c>
      <c r="AJ73" s="5" t="s">
        <v>26</v>
      </c>
      <c r="AK73" s="219">
        <f>INDEX('C-P-RollAdj'!$J$4:$J$76,MATCH(INT(Z73),'C-P-RollAdj'!$I$4:$I$76,FALSE),0)</f>
        <v>11</v>
      </c>
      <c r="AL73" s="219">
        <f>INDEX('C-P-RollAdj'!$J$4:$J$76,MATCH(INT(AC73),'C-P-RollAdj'!$I$4:$I$76,FALSE),0)</f>
        <v>-14</v>
      </c>
      <c r="AM73" s="262">
        <f>+AR73*LeagueRatings!$K$27</f>
        <v>34.444444444444443</v>
      </c>
      <c r="AN73" s="72">
        <f>F73*LeagueRatings!$K$27</f>
        <v>8.8888888888888893</v>
      </c>
      <c r="AO73" s="72">
        <f>G73*LeagueRatings!$K$27</f>
        <v>6.666666666666667</v>
      </c>
      <c r="AP73" s="72">
        <f>T73*LeagueRatings!$K$27</f>
        <v>148.33333333333334</v>
      </c>
      <c r="AR73" s="14">
        <f>ROUNDUP(L73,0)</f>
        <v>62</v>
      </c>
    </row>
    <row r="74" spans="1:50" x14ac:dyDescent="0.2">
      <c r="A74" s="9"/>
      <c r="B74" s="129"/>
      <c r="L74" s="157">
        <f>(L72/100)/((L72+L73)/100)</f>
        <v>0.14019346698443855</v>
      </c>
      <c r="T74" s="158"/>
      <c r="U74" s="158"/>
      <c r="V74" s="282"/>
      <c r="W74" s="158"/>
      <c r="X74" s="158"/>
      <c r="Y74" s="153"/>
      <c r="Z74" s="152">
        <f>Z72*L74</f>
        <v>-7.3296412955410775</v>
      </c>
      <c r="AA74" s="153"/>
      <c r="AB74" s="153"/>
      <c r="AC74" s="152">
        <f>AC72*L74</f>
        <v>-8.7565756156053745</v>
      </c>
      <c r="AD74" s="153"/>
      <c r="AE74" s="103"/>
      <c r="AF74" s="103"/>
      <c r="AG74" s="103"/>
      <c r="AH74" s="154">
        <f>AH72*L74</f>
        <v>1.9346698443852521</v>
      </c>
      <c r="AJ74" s="5"/>
      <c r="AK74" s="5"/>
      <c r="AL74" s="5"/>
      <c r="AN74" s="72"/>
      <c r="AO74" s="72"/>
      <c r="AP74" s="72"/>
      <c r="AQ74" s="30"/>
      <c r="AR74" s="14"/>
    </row>
    <row r="75" spans="1:50" x14ac:dyDescent="0.2">
      <c r="A75" s="9"/>
      <c r="B75" s="129"/>
      <c r="L75" s="157">
        <f>(L73/100)/((L72+L73)/100)</f>
        <v>0.85980653301556154</v>
      </c>
      <c r="T75" s="158"/>
      <c r="U75" s="158"/>
      <c r="V75" s="282"/>
      <c r="W75" s="158"/>
      <c r="X75" s="158"/>
      <c r="Y75" s="153"/>
      <c r="Z75" s="152">
        <f>Z73*L75</f>
        <v>1.1712672209179875</v>
      </c>
      <c r="AA75" s="153"/>
      <c r="AB75" s="153"/>
      <c r="AC75" s="152">
        <f>AC73*L75</f>
        <v>-3.2150779383853338</v>
      </c>
      <c r="AD75" s="153"/>
      <c r="AE75" s="103"/>
      <c r="AF75" s="103"/>
      <c r="AG75" s="103"/>
      <c r="AH75" s="154">
        <f>AH73*L75</f>
        <v>10.474208182482984</v>
      </c>
      <c r="AJ75" s="5"/>
      <c r="AK75" s="5"/>
      <c r="AL75" s="5"/>
      <c r="AN75" s="72"/>
      <c r="AO75" s="72"/>
      <c r="AP75" s="72"/>
      <c r="AQ75" s="30"/>
      <c r="AR75" s="14"/>
    </row>
    <row r="76" spans="1:50" x14ac:dyDescent="0.2">
      <c r="A76" s="9"/>
      <c r="B76" s="129"/>
      <c r="T76" s="158"/>
      <c r="U76" s="158"/>
      <c r="V76" s="282"/>
      <c r="W76" s="158"/>
      <c r="X76" s="158"/>
      <c r="Y76" s="153"/>
      <c r="Z76" s="152">
        <f>SUM(Z74:Z75)</f>
        <v>-6.1583740746230902</v>
      </c>
      <c r="AA76" s="153"/>
      <c r="AB76" s="153"/>
      <c r="AC76" s="152">
        <f>SUM(AC74:AC75)</f>
        <v>-11.971653553990709</v>
      </c>
      <c r="AD76" s="153"/>
      <c r="AE76" s="103"/>
      <c r="AF76" s="103"/>
      <c r="AG76" s="103"/>
      <c r="AH76" s="153">
        <f>SUM(AH74:AH75)</f>
        <v>12.408878026868237</v>
      </c>
      <c r="AI76" s="41" t="s">
        <v>1454</v>
      </c>
      <c r="AJ76" s="5" t="s">
        <v>16</v>
      </c>
      <c r="AK76" s="219">
        <f>INDEX('C-P-RollAdj'!$J$4:$J$76,MATCH(INT(Z76),'C-P-RollAdj'!$I$4:$I$76,FALSE),0)</f>
        <v>-21</v>
      </c>
      <c r="AL76" s="219">
        <f>INDEX('C-P-RollAdj'!$J$4:$J$76,MATCH(INT(AC76),'C-P-RollAdj'!$I$4:$I$76,FALSE),0)</f>
        <v>-26</v>
      </c>
      <c r="AM76" s="262">
        <f>SUM(AM72:AM75)</f>
        <v>40</v>
      </c>
      <c r="AN76" s="14">
        <f>SUM(AN72:AN75)</f>
        <v>10</v>
      </c>
      <c r="AO76" s="14">
        <f>SUM(AO72:AO75)</f>
        <v>7.7777777777777786</v>
      </c>
      <c r="AP76" s="14">
        <f>SUM(AP72:AP75)</f>
        <v>174.44444444444446</v>
      </c>
      <c r="AQ76" s="30"/>
      <c r="AR76" s="14"/>
    </row>
    <row r="77" spans="1:50" x14ac:dyDescent="0.2">
      <c r="A77" s="204"/>
      <c r="B77" s="196"/>
      <c r="AN77" s="72"/>
      <c r="AO77" s="72"/>
      <c r="AP77" s="72"/>
      <c r="AQ77" s="30"/>
      <c r="AR77" s="14"/>
    </row>
    <row r="78" spans="1:50" x14ac:dyDescent="0.2">
      <c r="A78" t="s">
        <v>474</v>
      </c>
      <c r="B78" s="76" t="s">
        <v>159</v>
      </c>
      <c r="C78" s="76">
        <v>2</v>
      </c>
      <c r="D78" s="76">
        <v>3</v>
      </c>
      <c r="E78" s="76">
        <v>4.3</v>
      </c>
      <c r="F78" s="76">
        <v>40</v>
      </c>
      <c r="G78" s="76">
        <v>0</v>
      </c>
      <c r="H78" s="76">
        <v>0</v>
      </c>
      <c r="I78" s="76">
        <v>0</v>
      </c>
      <c r="J78" s="76">
        <v>1</v>
      </c>
      <c r="K78" s="76">
        <v>3</v>
      </c>
      <c r="L78" s="258">
        <f>INDEX('C-P-RollAdj'!$P$4:$P$900,MATCH((U78),'C-P-RollAdj'!$O$4:$O$900,FALSE),0)</f>
        <v>37.67</v>
      </c>
      <c r="M78" s="76">
        <v>34</v>
      </c>
      <c r="N78" s="76">
        <v>18</v>
      </c>
      <c r="O78" s="76">
        <v>18</v>
      </c>
      <c r="P78" s="76">
        <v>7</v>
      </c>
      <c r="Q78" s="76">
        <v>15</v>
      </c>
      <c r="R78" s="76">
        <v>0</v>
      </c>
      <c r="S78" s="76">
        <v>46</v>
      </c>
      <c r="T78" s="76">
        <v>155</v>
      </c>
      <c r="U78" s="76">
        <v>37.200000000000003</v>
      </c>
      <c r="V78" s="100">
        <v>0.245</v>
      </c>
      <c r="W78" s="76">
        <v>1.3</v>
      </c>
      <c r="Y78" s="50">
        <f>+(Q78-R78)/(T78-R78)*100</f>
        <v>9.67741935483871</v>
      </c>
      <c r="Z78" s="6">
        <f>IF(Y78&lt;LeagueRatings!$K$21,((LeagueRatings!$K$21-Y78)/LeagueRatings!$K$21)*36,(LeagueRatings!$K$21-Y78)*6.48)</f>
        <v>-4.6941364400238079</v>
      </c>
      <c r="AA78" s="16">
        <f>INDEX('C-P-RollAdj'!$B$4:$B$76,MATCH(INT(Z78),'C-P-RollAdj'!$A$4:$A$76,FALSE),0)</f>
        <v>0.44999999999999996</v>
      </c>
      <c r="AB78" s="16">
        <f>(P78/(T78-R78))*100</f>
        <v>4.5161290322580641</v>
      </c>
      <c r="AC78" s="6">
        <f>IF(AB78&lt;LeagueRatings!$K$19,((LeagueRatings!$K$19-AB78)/LeagueRatings!$K$19)*36,(LeagueRatings!$K$19-AB78)/LeagueRatings!$K$22)</f>
        <v>-12.993649095200626</v>
      </c>
      <c r="AD78" s="16">
        <f>INDEX('C-P-RollAdj'!$F$4:$F$76,MATCH(INT(AC78),'C-P-RollAdj'!$E$4:$E$76,FALSE),0)</f>
        <v>1.2599999999999998</v>
      </c>
      <c r="AE78" s="17">
        <f>+((LeagueRatings!$I$6-E78)*5)+9.5</f>
        <v>9.0080514552774034</v>
      </c>
      <c r="AF78" s="17">
        <f>IF(AE78&lt;4,4,AE78)</f>
        <v>9.0080514552774034</v>
      </c>
      <c r="AG78" s="17">
        <f>IF(M78&lt;L78,((1-(M78/L78))*7)-0.07,(1-(M78/L78))*5)</f>
        <v>0.61197504645606582</v>
      </c>
      <c r="AH78" s="4">
        <f>+AA78+AD78+AF78+AG78</f>
        <v>11.330026501733467</v>
      </c>
      <c r="AI78" s="24"/>
      <c r="AJ78" s="5" t="s">
        <v>31</v>
      </c>
      <c r="AK78" s="219">
        <v>-66</v>
      </c>
      <c r="AL78" s="219">
        <f>INDEX('C-P-RollAdj'!$J$4:$J$76,MATCH(INT(AC78),'C-P-RollAdj'!$I$4:$I$76,FALSE),0)</f>
        <v>-31</v>
      </c>
      <c r="AM78" s="262">
        <f>+AR78*LeagueRatings!$K$27</f>
        <v>21.111111111111111</v>
      </c>
      <c r="AN78" s="72">
        <f>F78*LeagueRatings!$K$27</f>
        <v>22.222222222222221</v>
      </c>
      <c r="AO78" s="72">
        <f>G78*LeagueRatings!$K$27</f>
        <v>0</v>
      </c>
      <c r="AP78" s="72">
        <f>T78*LeagueRatings!$K$27</f>
        <v>86.111111111111114</v>
      </c>
      <c r="AQ78" s="24"/>
      <c r="AR78" s="72">
        <f>ROUNDUP(L78,0)</f>
        <v>38</v>
      </c>
    </row>
    <row r="79" spans="1:50" customFormat="1" x14ac:dyDescent="0.2">
      <c r="A79" s="41" t="s">
        <v>474</v>
      </c>
      <c r="B79" s="76" t="s">
        <v>152</v>
      </c>
      <c r="C79" s="76">
        <v>2</v>
      </c>
      <c r="D79" s="76">
        <v>3</v>
      </c>
      <c r="E79" s="76">
        <v>2.4900000000000002</v>
      </c>
      <c r="F79" s="76">
        <v>29</v>
      </c>
      <c r="G79" s="76">
        <v>0</v>
      </c>
      <c r="H79" s="76">
        <v>0</v>
      </c>
      <c r="I79" s="76">
        <v>0</v>
      </c>
      <c r="J79" s="76">
        <v>2</v>
      </c>
      <c r="K79" s="76">
        <v>3</v>
      </c>
      <c r="L79" s="258">
        <f>INDEX('C-P-RollAdj'!$P$4:$P$900,MATCH((U79),'C-P-RollAdj'!$O$4:$O$900,FALSE),0)</f>
        <v>25.33</v>
      </c>
      <c r="M79" s="76">
        <v>20</v>
      </c>
      <c r="N79" s="76">
        <v>9</v>
      </c>
      <c r="O79" s="76">
        <v>7</v>
      </c>
      <c r="P79" s="76">
        <v>3</v>
      </c>
      <c r="Q79" s="76">
        <v>11</v>
      </c>
      <c r="R79" s="76">
        <v>2</v>
      </c>
      <c r="S79" s="76">
        <v>26</v>
      </c>
      <c r="T79" s="76">
        <v>107</v>
      </c>
      <c r="U79" s="76">
        <v>25.1</v>
      </c>
      <c r="V79" s="100">
        <v>0.21099999999999999</v>
      </c>
      <c r="W79" s="76">
        <v>1.22</v>
      </c>
      <c r="X79" s="76"/>
      <c r="Y79" s="50">
        <f>+(Q79-R79)/(T79-R79)*100</f>
        <v>8.5714285714285712</v>
      </c>
      <c r="Z79" s="6">
        <f>IF(Y79&lt;LeagueRatings!$K$10,((LeagueRatings!$K$10-Y79)/LeagueRatings!$K$10)*36,(LeagueRatings!$K$10-Y79)*6.48)</f>
        <v>0.39926874425670955</v>
      </c>
      <c r="AA79" s="16">
        <f>INDEX('C-P-RollAdj'!$B$4:$B$76,MATCH(INT(Z79),'C-P-RollAdj'!$A$4:$A$76,FALSE),0)</f>
        <v>0</v>
      </c>
      <c r="AB79" s="16">
        <f>(P79/(T79-R79))*100</f>
        <v>2.8571428571428572</v>
      </c>
      <c r="AC79" s="6">
        <f>IF(AB79&lt;LeagueRatings!$K$8,((LeagueRatings!$K$8-AB79)/LeagueRatings!$K$8)*36,(LeagueRatings!$K$8-AB79)/LeagueRatings!$K$11)</f>
        <v>3.8794040315512719</v>
      </c>
      <c r="AD79" s="16">
        <f>INDEX('C-P-RollAdj'!$F$4:$F$76,MATCH(INT(AC79),'C-P-RollAdj'!$E$4:$E$76,FALSE),0)</f>
        <v>-0.21000000000000002</v>
      </c>
      <c r="AE79" s="17">
        <f>+((LeagueRatings!$I$17-E79)*5)+9.5</f>
        <v>17.864387243706361</v>
      </c>
      <c r="AF79" s="17">
        <f>IF(AE79&lt;4,4,AE79)</f>
        <v>17.864387243706361</v>
      </c>
      <c r="AG79" s="17">
        <f>IF(M79&lt;L79,((1-(M79/L79))*7)-0.07,(1-(M79/L79))*5)</f>
        <v>1.4029569680221077</v>
      </c>
      <c r="AH79" s="4">
        <f>+AA79+AD79+AF79+AG79</f>
        <v>19.057344211728466</v>
      </c>
      <c r="AI79" s="168"/>
      <c r="AJ79" s="5" t="s">
        <v>19</v>
      </c>
      <c r="AK79" s="219">
        <f>INDEX('C-P-RollAdj'!$J$4:$J$76,MATCH(INT(Z79),'C-P-RollAdj'!$I$4:$I$76,FALSE),0)</f>
        <v>0</v>
      </c>
      <c r="AL79" s="219">
        <f>INDEX('C-P-RollAdj'!$J$4:$J$76,MATCH(INT(AC79),'C-P-RollAdj'!$I$4:$I$76,FALSE),0)</f>
        <v>13</v>
      </c>
      <c r="AM79" s="262">
        <f>+AR79*LeagueRatings!$K$27</f>
        <v>14.444444444444445</v>
      </c>
      <c r="AN79" s="72">
        <f>F79*LeagueRatings!$K$27</f>
        <v>16.111111111111111</v>
      </c>
      <c r="AO79" s="72">
        <f>G79*LeagueRatings!$K$27</f>
        <v>0</v>
      </c>
      <c r="AP79" s="72">
        <f>T79*LeagueRatings!$K$27</f>
        <v>59.44444444444445</v>
      </c>
      <c r="AR79" s="14">
        <f>ROUNDUP(L79,0)</f>
        <v>26</v>
      </c>
    </row>
    <row r="80" spans="1:50" x14ac:dyDescent="0.2">
      <c r="A80" s="9"/>
      <c r="B80" s="129"/>
      <c r="L80" s="157">
        <f>(L78/100)/((L78+L79)/100)</f>
        <v>0.59793650793650799</v>
      </c>
      <c r="T80" s="158"/>
      <c r="U80" s="158"/>
      <c r="V80" s="282"/>
      <c r="W80" s="158"/>
      <c r="X80" s="158"/>
      <c r="Y80" s="153"/>
      <c r="Z80" s="152">
        <f>Z78*L80</f>
        <v>-2.8067955507253468</v>
      </c>
      <c r="AA80" s="153"/>
      <c r="AB80" s="153"/>
      <c r="AC80" s="152">
        <f>AC78*L80</f>
        <v>-7.7693771653366284</v>
      </c>
      <c r="AD80" s="153"/>
      <c r="AE80" s="103"/>
      <c r="AF80" s="103"/>
      <c r="AG80" s="103"/>
      <c r="AH80" s="154">
        <f>AH78*L80</f>
        <v>6.7746364812745989</v>
      </c>
      <c r="AJ80" s="5"/>
      <c r="AK80" s="5"/>
      <c r="AL80" s="5"/>
      <c r="AN80" s="72"/>
      <c r="AO80" s="72"/>
      <c r="AP80" s="72"/>
      <c r="AQ80" s="30"/>
      <c r="AR80" s="14"/>
    </row>
    <row r="81" spans="1:50" x14ac:dyDescent="0.2">
      <c r="A81" s="9"/>
      <c r="B81" s="129"/>
      <c r="L81" s="157">
        <f>(L79/100)/((L78+L79)/100)</f>
        <v>0.40206349206349201</v>
      </c>
      <c r="T81" s="158"/>
      <c r="U81" s="158"/>
      <c r="V81" s="282"/>
      <c r="W81" s="158"/>
      <c r="X81" s="158"/>
      <c r="Y81" s="153"/>
      <c r="Z81" s="152">
        <f>Z79*L81</f>
        <v>0.16053138558765795</v>
      </c>
      <c r="AA81" s="153"/>
      <c r="AB81" s="153"/>
      <c r="AC81" s="152">
        <f>AC79*L81</f>
        <v>1.5597667320506938</v>
      </c>
      <c r="AD81" s="153"/>
      <c r="AE81" s="103"/>
      <c r="AF81" s="103"/>
      <c r="AG81" s="103"/>
      <c r="AH81" s="154">
        <f>AH79*L81</f>
        <v>7.6622623632235234</v>
      </c>
      <c r="AJ81" s="5"/>
      <c r="AK81" s="5"/>
      <c r="AL81" s="5"/>
      <c r="AN81" s="72"/>
      <c r="AO81" s="72"/>
      <c r="AP81" s="72"/>
      <c r="AQ81" s="30"/>
      <c r="AR81" s="14"/>
    </row>
    <row r="82" spans="1:50" x14ac:dyDescent="0.2">
      <c r="A82" s="9"/>
      <c r="B82" s="129"/>
      <c r="T82" s="158"/>
      <c r="U82" s="158"/>
      <c r="V82" s="282"/>
      <c r="W82" s="158"/>
      <c r="X82" s="158"/>
      <c r="Y82" s="153"/>
      <c r="Z82" s="152">
        <f>SUM(Z80:Z81)</f>
        <v>-2.6462641651376888</v>
      </c>
      <c r="AA82" s="153"/>
      <c r="AB82" s="153"/>
      <c r="AC82" s="152">
        <f>SUM(AC80:AC81)</f>
        <v>-6.2096104332859348</v>
      </c>
      <c r="AD82" s="153"/>
      <c r="AE82" s="103"/>
      <c r="AF82" s="103"/>
      <c r="AG82" s="103"/>
      <c r="AH82" s="153">
        <f>SUM(AH80:AH81)</f>
        <v>14.436898844498122</v>
      </c>
      <c r="AI82" s="41" t="s">
        <v>474</v>
      </c>
      <c r="AJ82" s="5" t="s">
        <v>21</v>
      </c>
      <c r="AK82" s="219">
        <f>INDEX('C-P-RollAdj'!$J$4:$J$76,MATCH(INT(Z82),'C-P-RollAdj'!$I$4:$I$76,FALSE),0)</f>
        <v>-13</v>
      </c>
      <c r="AL82" s="219">
        <f>INDEX('C-P-RollAdj'!$J$4:$J$76,MATCH(INT(AC82),'C-P-RollAdj'!$I$4:$I$76,FALSE),0)</f>
        <v>-21</v>
      </c>
      <c r="AM82" s="262">
        <f>SUM(AM78:AM81)</f>
        <v>35.555555555555557</v>
      </c>
      <c r="AN82" s="14">
        <f>SUM(AN78:AN81)</f>
        <v>38.333333333333329</v>
      </c>
      <c r="AO82" s="14">
        <f>SUM(AO78:AO81)</f>
        <v>0</v>
      </c>
      <c r="AP82" s="14">
        <f>SUM(AP78:AP81)</f>
        <v>145.55555555555557</v>
      </c>
      <c r="AQ82" s="30"/>
      <c r="AR82" s="14"/>
    </row>
    <row r="83" spans="1:50" x14ac:dyDescent="0.2">
      <c r="A83" s="204"/>
      <c r="B83" s="196"/>
      <c r="AN83" s="72"/>
      <c r="AO83" s="72"/>
      <c r="AP83" s="72"/>
      <c r="AQ83" s="30"/>
      <c r="AR83" s="14"/>
    </row>
    <row r="84" spans="1:50" x14ac:dyDescent="0.2">
      <c r="A84" t="s">
        <v>547</v>
      </c>
      <c r="B84" s="76" t="s">
        <v>244</v>
      </c>
      <c r="C84" s="76">
        <v>0</v>
      </c>
      <c r="D84" s="76">
        <v>1</v>
      </c>
      <c r="E84" s="76">
        <v>5.95</v>
      </c>
      <c r="F84" s="76">
        <v>4</v>
      </c>
      <c r="G84" s="76">
        <v>4</v>
      </c>
      <c r="H84" s="76">
        <v>0</v>
      </c>
      <c r="I84" s="76">
        <v>0</v>
      </c>
      <c r="J84" s="76">
        <v>0</v>
      </c>
      <c r="K84" s="76">
        <v>0</v>
      </c>
      <c r="L84" s="258">
        <f>INDEX('C-P-RollAdj'!$P$4:$P$900,MATCH((U84),'C-P-RollAdj'!$O$4:$O$900,FALSE),0)</f>
        <v>19.670000000000002</v>
      </c>
      <c r="M84" s="76">
        <v>19</v>
      </c>
      <c r="N84" s="76">
        <v>14</v>
      </c>
      <c r="O84" s="76">
        <v>13</v>
      </c>
      <c r="P84" s="76">
        <v>0</v>
      </c>
      <c r="Q84" s="76">
        <v>16</v>
      </c>
      <c r="R84" s="76">
        <v>2</v>
      </c>
      <c r="S84" s="76">
        <v>11</v>
      </c>
      <c r="T84" s="76">
        <v>92</v>
      </c>
      <c r="U84" s="76">
        <v>19.2</v>
      </c>
      <c r="V84" s="100">
        <v>0.25700000000000001</v>
      </c>
      <c r="W84" s="76">
        <v>1.78</v>
      </c>
      <c r="Y84" s="50">
        <f>+(Q84-R84)/(T84-R84)*100</f>
        <v>15.555555555555555</v>
      </c>
      <c r="Z84" s="6">
        <f>IF(Y84&lt;LeagueRatings!$K$21,((LeagueRatings!$K$21-Y84)/LeagueRatings!$K$21)*36,(LeagueRatings!$K$21-Y84)*6.48)</f>
        <v>-42.784459020668969</v>
      </c>
      <c r="AA84" s="260">
        <v>5.44</v>
      </c>
      <c r="AB84" s="16">
        <f>(P84/(T84-R84))*100</f>
        <v>0</v>
      </c>
      <c r="AC84" s="6">
        <f>IF(AB84&lt;LeagueRatings!$K$19,((LeagueRatings!$K$19-AB84)/LeagueRatings!$K$19)*36,(LeagueRatings!$K$19-AB84)/LeagueRatings!$K$22)</f>
        <v>36</v>
      </c>
      <c r="AD84" s="16">
        <f>INDEX('C-P-RollAdj'!$F$4:$F$76,MATCH(INT(AC84),'C-P-RollAdj'!$E$4:$E$76,FALSE),0)</f>
        <v>-3.26</v>
      </c>
      <c r="AE84" s="17">
        <f>+((LeagueRatings!$I$17-E84)*5)+9.5</f>
        <v>0.56438724370636173</v>
      </c>
      <c r="AF84" s="17">
        <f>IF(AE84&lt;4,4,AE84)</f>
        <v>4</v>
      </c>
      <c r="AG84" s="17">
        <f>IF(M84&lt;L84,((1-(M84/L84))*7)-0.07,(1-(M84/L84))*5)</f>
        <v>0.16843416370106784</v>
      </c>
      <c r="AH84" s="4">
        <f>+AA84+AD84+AF84+AG84</f>
        <v>6.3484341637010688</v>
      </c>
      <c r="AI84" s="24"/>
      <c r="AJ84" s="58">
        <v>10</v>
      </c>
      <c r="AK84" s="219">
        <v>-66</v>
      </c>
      <c r="AL84" s="219">
        <f>INDEX('C-P-RollAdj'!$J$4:$J$76,MATCH(INT(AC84),'C-P-RollAdj'!$I$4:$I$76,FALSE),0)</f>
        <v>66</v>
      </c>
      <c r="AM84" s="262">
        <f>+AR84*LeagueRatings!$K$27</f>
        <v>11.111111111111111</v>
      </c>
      <c r="AN84" s="72">
        <f>F84*LeagueRatings!$K$27</f>
        <v>2.2222222222222223</v>
      </c>
      <c r="AO84" s="72">
        <f>G84*LeagueRatings!$K$27</f>
        <v>2.2222222222222223</v>
      </c>
      <c r="AP84" s="72">
        <f>T84*LeagueRatings!$K$27</f>
        <v>51.111111111111114</v>
      </c>
      <c r="AQ84" s="24"/>
      <c r="AR84" s="14">
        <f>ROUNDUP(L84,0)</f>
        <v>20</v>
      </c>
    </row>
    <row r="85" spans="1:50" x14ac:dyDescent="0.2">
      <c r="A85" s="41" t="s">
        <v>547</v>
      </c>
      <c r="B85" s="76" t="s">
        <v>170</v>
      </c>
      <c r="C85" s="76">
        <v>0</v>
      </c>
      <c r="D85" s="76">
        <v>3</v>
      </c>
      <c r="E85" s="76">
        <v>6.03</v>
      </c>
      <c r="F85" s="76">
        <v>9</v>
      </c>
      <c r="G85" s="76">
        <v>9</v>
      </c>
      <c r="H85" s="76">
        <v>0</v>
      </c>
      <c r="I85" s="76">
        <v>0</v>
      </c>
      <c r="J85" s="76">
        <v>0</v>
      </c>
      <c r="K85" s="76">
        <v>0</v>
      </c>
      <c r="L85" s="258">
        <f>INDEX('C-P-RollAdj'!$P$4:$P$900,MATCH((U85),'C-P-RollAdj'!$O$4:$O$900,FALSE),0)</f>
        <v>37.33</v>
      </c>
      <c r="M85" s="76">
        <v>42</v>
      </c>
      <c r="N85" s="76">
        <v>27</v>
      </c>
      <c r="O85" s="76">
        <v>25</v>
      </c>
      <c r="P85" s="76">
        <v>4</v>
      </c>
      <c r="Q85" s="76">
        <v>23</v>
      </c>
      <c r="R85" s="76">
        <v>0</v>
      </c>
      <c r="S85" s="76">
        <v>27</v>
      </c>
      <c r="T85" s="76">
        <v>176</v>
      </c>
      <c r="U85" s="76">
        <v>37.1</v>
      </c>
      <c r="V85" s="100">
        <v>0.27800000000000002</v>
      </c>
      <c r="W85" s="76">
        <v>1.74</v>
      </c>
      <c r="X85" s="76"/>
      <c r="Y85" s="50">
        <f>+(Q85-R85)/(T85-R85)*100</f>
        <v>13.068181818181818</v>
      </c>
      <c r="Z85" s="6">
        <f>IF(Y85&lt;LeagueRatings!$K$21,((LeagueRatings!$K$21-Y85)/LeagueRatings!$K$21)*36,(LeagueRatings!$K$21-Y85)*6.48)</f>
        <v>-26.666277202487151</v>
      </c>
      <c r="AA85" s="16">
        <f>INDEX('C-P-RollAdj'!$B$4:$B$76,MATCH(INT(Z85),'C-P-RollAdj'!$A$4:$A$76,FALSE),0)</f>
        <v>3.61</v>
      </c>
      <c r="AB85" s="16">
        <f>(P85/(T85-R85))*100</f>
        <v>2.2727272727272729</v>
      </c>
      <c r="AC85" s="6">
        <f>IF(AB85&lt;LeagueRatings!$K$19,((LeagueRatings!$K$19-AB85)/LeagueRatings!$K$19)*36,(LeagueRatings!$K$19-AB85)/LeagueRatings!$K$22)</f>
        <v>7.8644516918059511</v>
      </c>
      <c r="AD85" s="16">
        <f>INDEX('C-P-RollAdj'!$F$4:$F$76,MATCH(INT(AC85),'C-P-RollAdj'!$E$4:$E$76,FALSE),0)</f>
        <v>-0.49000000000000005</v>
      </c>
      <c r="AE85" s="17">
        <f>+((LeagueRatings!$I$17-E85)*5)+9.5</f>
        <v>0.16438724370636137</v>
      </c>
      <c r="AF85" s="17">
        <f>IF(AE85&lt;4,4,AE85)</f>
        <v>4</v>
      </c>
      <c r="AG85" s="17">
        <f>IF(M85&lt;L85,((1-(M85/L85))*7)-0.07,(1-(M85/L85))*5)</f>
        <v>-0.62550227698901728</v>
      </c>
      <c r="AH85" s="4">
        <f>+AA85+AD85+AF85+AG85</f>
        <v>6.4944977230109817</v>
      </c>
      <c r="AI85" s="24"/>
      <c r="AJ85" s="5" t="s">
        <v>55</v>
      </c>
      <c r="AK85" s="219">
        <f>INDEX('C-P-RollAdj'!$J$4:$J$76,MATCH(INT(Z85),'C-P-RollAdj'!$I$4:$I$76,FALSE),0)</f>
        <v>-53</v>
      </c>
      <c r="AL85" s="219">
        <f>INDEX('C-P-RollAdj'!$J$4:$J$76,MATCH(INT(AC85),'C-P-RollAdj'!$I$4:$I$76,FALSE),0)</f>
        <v>21</v>
      </c>
      <c r="AM85" s="262">
        <f>+AR85*LeagueRatings!$K$27</f>
        <v>21.111111111111111</v>
      </c>
      <c r="AN85" s="72">
        <f>F85*LeagueRatings!$K$27</f>
        <v>5</v>
      </c>
      <c r="AO85" s="72">
        <f>G85*LeagueRatings!$K$27</f>
        <v>5</v>
      </c>
      <c r="AP85" s="72">
        <f>T85*LeagueRatings!$K$27</f>
        <v>97.777777777777786</v>
      </c>
      <c r="AQ85" s="24"/>
      <c r="AR85" s="14">
        <f>ROUNDUP(L85,0)</f>
        <v>38</v>
      </c>
    </row>
    <row r="86" spans="1:50" x14ac:dyDescent="0.2">
      <c r="A86" s="204"/>
      <c r="B86" s="196"/>
      <c r="L86" s="157">
        <f>(L84/100)/((L84+L85)/100)</f>
        <v>0.34508771929824567</v>
      </c>
      <c r="T86" s="158"/>
      <c r="U86" s="158"/>
      <c r="V86" s="282"/>
      <c r="W86" s="158"/>
      <c r="X86" s="158"/>
      <c r="Y86" s="153"/>
      <c r="Z86" s="152">
        <f>Z84*L86</f>
        <v>-14.764391384851908</v>
      </c>
      <c r="AA86" s="153"/>
      <c r="AB86" s="153"/>
      <c r="AC86" s="152">
        <f>AC84*L86</f>
        <v>12.423157894736844</v>
      </c>
      <c r="AD86" s="153"/>
      <c r="AE86" s="103"/>
      <c r="AF86" s="103"/>
      <c r="AG86" s="103"/>
      <c r="AH86" s="154">
        <f>AH84*L86</f>
        <v>2.1907666666666672</v>
      </c>
      <c r="AJ86" s="5"/>
      <c r="AK86" s="5"/>
      <c r="AL86" s="5"/>
      <c r="AN86" s="72"/>
      <c r="AO86" s="72"/>
      <c r="AP86" s="72"/>
      <c r="AR86" s="14"/>
    </row>
    <row r="87" spans="1:50" x14ac:dyDescent="0.2">
      <c r="B87" s="155"/>
      <c r="L87" s="157">
        <f>(L85/100)/((L84+L85)/100)</f>
        <v>0.65491228070175433</v>
      </c>
      <c r="T87" s="158"/>
      <c r="U87" s="158"/>
      <c r="V87" s="282"/>
      <c r="W87" s="158"/>
      <c r="X87" s="158"/>
      <c r="Y87" s="153"/>
      <c r="Z87" s="152">
        <f>Z85*L87</f>
        <v>-17.464072420506056</v>
      </c>
      <c r="AA87" s="153"/>
      <c r="AB87" s="153"/>
      <c r="AC87" s="152">
        <f>AC85*L87</f>
        <v>5.1505259939494055</v>
      </c>
      <c r="AD87" s="153"/>
      <c r="AE87" s="103"/>
      <c r="AF87" s="103"/>
      <c r="AG87" s="103"/>
      <c r="AH87" s="154">
        <f>AH85*L87</f>
        <v>4.2533263157894723</v>
      </c>
      <c r="AJ87" s="5"/>
      <c r="AK87" s="5"/>
      <c r="AL87" s="5"/>
      <c r="AN87" s="72"/>
      <c r="AO87" s="72"/>
      <c r="AP87" s="72"/>
      <c r="AR87" s="14"/>
    </row>
    <row r="88" spans="1:50" x14ac:dyDescent="0.2">
      <c r="A88" s="221"/>
      <c r="B88" s="221"/>
      <c r="T88" s="158"/>
      <c r="U88" s="158"/>
      <c r="V88" s="282"/>
      <c r="W88" s="158"/>
      <c r="X88" s="158"/>
      <c r="Y88" s="153"/>
      <c r="Z88" s="152">
        <f>SUM(Z86:Z87)</f>
        <v>-32.228463805357961</v>
      </c>
      <c r="AA88" s="153"/>
      <c r="AB88" s="153"/>
      <c r="AC88" s="152">
        <f>SUM(AC86:AC87)</f>
        <v>17.573683888686251</v>
      </c>
      <c r="AD88" s="153"/>
      <c r="AE88" s="103"/>
      <c r="AF88" s="103"/>
      <c r="AG88" s="103"/>
      <c r="AH88" s="153">
        <f>SUM(AH86:AH87)</f>
        <v>6.444092982456139</v>
      </c>
      <c r="AI88" s="41" t="s">
        <v>547</v>
      </c>
      <c r="AJ88" s="5" t="s">
        <v>66</v>
      </c>
      <c r="AK88" s="219">
        <f>INDEX('C-P-RollAdj'!$J$4:$J$76,MATCH(INT(Z88),'C-P-RollAdj'!$I$4:$I$76,FALSE),0)</f>
        <v>-63</v>
      </c>
      <c r="AL88" s="121">
        <f>INDEX('C-P-RollAdj'!$J$4:$J$76,MATCH(INT(AC88),'C-P-RollAdj'!$I$4:$I$76,FALSE),0)</f>
        <v>35</v>
      </c>
      <c r="AM88" s="262">
        <f>SUM(AM84:AM87)</f>
        <v>32.222222222222221</v>
      </c>
      <c r="AN88" s="14">
        <f>SUM(AN84:AN87)</f>
        <v>7.2222222222222223</v>
      </c>
      <c r="AO88" s="14">
        <f>SUM(AO84:AO87)</f>
        <v>7.2222222222222223</v>
      </c>
      <c r="AP88" s="14">
        <f>SUM(AP84:AP87)</f>
        <v>148.88888888888891</v>
      </c>
      <c r="AR88" s="14"/>
    </row>
    <row r="89" spans="1:50" x14ac:dyDescent="0.2">
      <c r="A89" s="122"/>
      <c r="B89" s="122"/>
      <c r="AR89" s="14"/>
    </row>
    <row r="90" spans="1:50" x14ac:dyDescent="0.2">
      <c r="A90" t="s">
        <v>354</v>
      </c>
      <c r="B90" s="76" t="s">
        <v>147</v>
      </c>
      <c r="C90" s="76">
        <v>2</v>
      </c>
      <c r="D90" s="76">
        <v>0</v>
      </c>
      <c r="E90" s="76">
        <v>2.63</v>
      </c>
      <c r="F90" s="76">
        <v>53</v>
      </c>
      <c r="G90" s="76">
        <v>0</v>
      </c>
      <c r="H90" s="76">
        <v>0</v>
      </c>
      <c r="I90" s="76">
        <v>0</v>
      </c>
      <c r="J90" s="76">
        <v>1</v>
      </c>
      <c r="K90" s="76">
        <v>4</v>
      </c>
      <c r="L90" s="258">
        <f>INDEX('C-P-RollAdj'!$P$4:$P$900,MATCH((U90),'C-P-RollAdj'!$O$4:$O$900,FALSE),0)</f>
        <v>37.67</v>
      </c>
      <c r="M90" s="76">
        <v>31</v>
      </c>
      <c r="N90" s="76">
        <v>11</v>
      </c>
      <c r="O90" s="76">
        <v>11</v>
      </c>
      <c r="P90" s="76">
        <v>2</v>
      </c>
      <c r="Q90" s="76">
        <v>16</v>
      </c>
      <c r="R90" s="76">
        <v>3</v>
      </c>
      <c r="S90" s="76">
        <v>42</v>
      </c>
      <c r="T90" s="76">
        <v>159</v>
      </c>
      <c r="U90" s="76">
        <v>37.200000000000003</v>
      </c>
      <c r="V90" s="100">
        <v>0.22500000000000001</v>
      </c>
      <c r="W90" s="76">
        <v>1.25</v>
      </c>
      <c r="Y90" s="50">
        <f>+(Q90-R90)/(T90-R90)*100</f>
        <v>8.3333333333333321</v>
      </c>
      <c r="Z90" s="6">
        <f>IF(Y90&lt;LeagueRatings!$K$10,((LeagueRatings!$K$10-Y90)/LeagueRatings!$K$10)*36,(LeagueRatings!$K$10-Y90)*6.48)</f>
        <v>1.3881779458051384</v>
      </c>
      <c r="AA90" s="16">
        <f>INDEX('C-P-RollAdj'!$B$4:$B$76,MATCH(INT(Z90),'C-P-RollAdj'!$A$4:$A$76,FALSE),0)</f>
        <v>-0.08</v>
      </c>
      <c r="AB90" s="16">
        <f>(P90/(T90-R90))*100</f>
        <v>1.2820512820512819</v>
      </c>
      <c r="AC90" s="6">
        <f>IF(AB90&lt;LeagueRatings!$K$8,((LeagueRatings!$K$8-AB90)/LeagueRatings!$K$8)*36,(LeagueRatings!$K$8-AB90)/LeagueRatings!$K$11)</f>
        <v>21.586912065439677</v>
      </c>
      <c r="AD90" s="16">
        <f>INDEX('C-P-RollAdj'!$F$4:$F$76,MATCH(INT(AC90),'C-P-RollAdj'!$E$4:$E$76,FALSE),0)</f>
        <v>-1.6800000000000002</v>
      </c>
      <c r="AE90" s="17">
        <f>+((LeagueRatings!$I$6-E90)*5)+9.5</f>
        <v>17.358051455277405</v>
      </c>
      <c r="AF90" s="17">
        <f>IF(AE90&lt;4,4,AE90)</f>
        <v>17.358051455277405</v>
      </c>
      <c r="AG90" s="17">
        <f>IF(M90&lt;L90,((1-(M90/L90))*7)-0.07,(1-(M90/L90))*5)</f>
        <v>1.1694478364746481</v>
      </c>
      <c r="AH90" s="4">
        <f>+AA90+AD90+AF90+AG90</f>
        <v>16.767499291752053</v>
      </c>
      <c r="AJ90" s="94" t="s">
        <v>26</v>
      </c>
      <c r="AK90" s="219">
        <f>INDEX('C-P-RollAdj'!$J$4:$J$76,MATCH(INT(Z90),'C-P-RollAdj'!$I$4:$I$76,FALSE),0)</f>
        <v>11</v>
      </c>
      <c r="AL90" s="219">
        <f>INDEX('C-P-RollAdj'!$J$4:$J$76,MATCH(INT(AC90),'C-P-RollAdj'!$I$4:$I$76,FALSE),0)</f>
        <v>43</v>
      </c>
      <c r="AM90" s="262">
        <f>+AR90*LeagueRatings!$K$27</f>
        <v>21.111111111111111</v>
      </c>
      <c r="AN90" s="72">
        <f>F90*LeagueRatings!$K$27</f>
        <v>29.444444444444446</v>
      </c>
      <c r="AO90" s="72">
        <f>G90*LeagueRatings!$K$27</f>
        <v>0</v>
      </c>
      <c r="AP90" s="72">
        <f>T90*LeagueRatings!$K$27</f>
        <v>88.333333333333343</v>
      </c>
      <c r="AQ90" s="76"/>
      <c r="AR90" s="72">
        <f>ROUNDUP(L90,0)</f>
        <v>38</v>
      </c>
    </row>
    <row r="91" spans="1:50" s="24" customFormat="1" x14ac:dyDescent="0.2">
      <c r="A91" s="41" t="s">
        <v>354</v>
      </c>
      <c r="B91" s="76" t="s">
        <v>172</v>
      </c>
      <c r="C91" s="76">
        <v>0</v>
      </c>
      <c r="D91" s="76">
        <v>1</v>
      </c>
      <c r="E91" s="76">
        <v>1.93</v>
      </c>
      <c r="F91" s="76">
        <v>28</v>
      </c>
      <c r="G91" s="76">
        <v>0</v>
      </c>
      <c r="H91" s="76">
        <v>0</v>
      </c>
      <c r="I91" s="76">
        <v>0</v>
      </c>
      <c r="J91" s="76">
        <v>1</v>
      </c>
      <c r="K91" s="76">
        <v>1</v>
      </c>
      <c r="L91" s="258">
        <f>INDEX('C-P-RollAdj'!$P$4:$P$900,MATCH((U91),'C-P-RollAdj'!$O$4:$O$900,FALSE),0)</f>
        <v>23.33</v>
      </c>
      <c r="M91" s="76">
        <v>17</v>
      </c>
      <c r="N91" s="76">
        <v>5</v>
      </c>
      <c r="O91" s="76">
        <v>5</v>
      </c>
      <c r="P91" s="76">
        <v>0</v>
      </c>
      <c r="Q91" s="76">
        <v>13</v>
      </c>
      <c r="R91" s="76">
        <v>0</v>
      </c>
      <c r="S91" s="76">
        <v>26</v>
      </c>
      <c r="T91" s="76">
        <v>99</v>
      </c>
      <c r="U91" s="76">
        <v>23.1</v>
      </c>
      <c r="V91" s="100">
        <v>0.20499999999999999</v>
      </c>
      <c r="W91" s="76">
        <v>1.29</v>
      </c>
      <c r="X91" s="76"/>
      <c r="Y91" s="50">
        <f>+(Q91-R91)/(T91-R91)*100</f>
        <v>13.131313131313133</v>
      </c>
      <c r="Z91" s="6">
        <f>IF(Y91&lt;LeagueRatings!$K$21,((LeagueRatings!$K$21-Y91)/LeagueRatings!$K$21)*36,(LeagueRatings!$K$21-Y91)*6.48)</f>
        <v>-27.075368111578072</v>
      </c>
      <c r="AA91" s="16">
        <f>INDEX('C-P-RollAdj'!$B$4:$B$76,MATCH(INT(Z91),'C-P-RollAdj'!$A$4:$A$76,FALSE),0)</f>
        <v>3.8</v>
      </c>
      <c r="AB91" s="16">
        <f>(P91/(T91-R91))*100</f>
        <v>0</v>
      </c>
      <c r="AC91" s="6">
        <f>IF(AB91&lt;LeagueRatings!$K$19,((LeagueRatings!$K$19-AB91)/LeagueRatings!$K$19)*36,(LeagueRatings!$K$19-AB91)/LeagueRatings!$K$22)</f>
        <v>36</v>
      </c>
      <c r="AD91" s="16">
        <f>INDEX('C-P-RollAdj'!$F$4:$F$76,MATCH(INT(AC91),'C-P-RollAdj'!$E$4:$E$76,FALSE),0)</f>
        <v>-3.26</v>
      </c>
      <c r="AE91" s="17">
        <f>+((LeagueRatings!$I$6-E91)*5)+9.5</f>
        <v>20.858051455277405</v>
      </c>
      <c r="AF91" s="17">
        <f>IF(AE91&lt;4,4,AE91)</f>
        <v>20.858051455277405</v>
      </c>
      <c r="AG91" s="17">
        <f>IF(M91&lt;L91,((1-(M91/L91))*7)-0.07,(1-(M91/L91))*5)</f>
        <v>1.8292713244749246</v>
      </c>
      <c r="AH91" s="4">
        <f>+AA91+AD91+AF91+AG91</f>
        <v>23.227322779752328</v>
      </c>
      <c r="AJ91" s="94" t="s">
        <v>24</v>
      </c>
      <c r="AK91" s="219">
        <f>INDEX('C-P-RollAdj'!$J$4:$J$76,MATCH(INT(Z91),'C-P-RollAdj'!$I$4:$I$76,FALSE),0)</f>
        <v>-54</v>
      </c>
      <c r="AL91" s="219">
        <f>INDEX('C-P-RollAdj'!$J$4:$J$76,MATCH(INT(AC91),'C-P-RollAdj'!$I$4:$I$76,FALSE),0)</f>
        <v>66</v>
      </c>
      <c r="AM91" s="262">
        <f>+AR91*LeagueRatings!$K$27</f>
        <v>13.333333333333334</v>
      </c>
      <c r="AN91" s="72">
        <f>F91*LeagueRatings!$K$27</f>
        <v>15.555555555555557</v>
      </c>
      <c r="AO91" s="72">
        <f>G91*LeagueRatings!$K$27</f>
        <v>0</v>
      </c>
      <c r="AP91" s="72">
        <f>T91*LeagueRatings!$K$27</f>
        <v>55</v>
      </c>
      <c r="AQ91" s="76"/>
      <c r="AR91" s="72">
        <f>ROUNDUP(L91,0)</f>
        <v>24</v>
      </c>
      <c r="AS91" s="113"/>
      <c r="AT91" s="113"/>
      <c r="AU91" s="113"/>
      <c r="AV91" s="76"/>
      <c r="AW91" s="97">
        <v>67.33</v>
      </c>
      <c r="AX91"/>
    </row>
    <row r="92" spans="1:50" x14ac:dyDescent="0.2">
      <c r="A92" s="9"/>
      <c r="B92" s="129"/>
      <c r="L92" s="157">
        <f>(L90/100)/((L90+L91)/100)</f>
        <v>0.6175409836065574</v>
      </c>
      <c r="T92" s="158"/>
      <c r="U92" s="158"/>
      <c r="V92" s="282"/>
      <c r="W92" s="158"/>
      <c r="X92" s="158"/>
      <c r="Y92" s="153"/>
      <c r="Z92" s="152">
        <f>Z90*L92</f>
        <v>0.85725677407343548</v>
      </c>
      <c r="AA92" s="153"/>
      <c r="AB92" s="153"/>
      <c r="AC92" s="152">
        <f>AC90*L92</f>
        <v>13.33080290991988</v>
      </c>
      <c r="AD92" s="153"/>
      <c r="AE92" s="103"/>
      <c r="AF92" s="103"/>
      <c r="AG92" s="103"/>
      <c r="AH92" s="154">
        <f>AH90*L92</f>
        <v>10.354618005250817</v>
      </c>
      <c r="AJ92" s="5"/>
      <c r="AK92" s="5"/>
      <c r="AL92" s="5"/>
      <c r="AN92" s="72"/>
      <c r="AO92" s="72"/>
      <c r="AP92" s="72"/>
      <c r="AQ92" s="30"/>
      <c r="AR92" s="14"/>
    </row>
    <row r="93" spans="1:50" s="122" customFormat="1" x14ac:dyDescent="0.2">
      <c r="A93" s="9"/>
      <c r="B93" s="129"/>
      <c r="C93" s="205"/>
      <c r="D93" s="196"/>
      <c r="E93" s="205"/>
      <c r="F93" s="196"/>
      <c r="G93" s="196"/>
      <c r="H93" s="196"/>
      <c r="I93" s="206"/>
      <c r="J93" s="206"/>
      <c r="K93" s="206"/>
      <c r="L93" s="157">
        <f>(L91/100)/((L90+L91)/100)</f>
        <v>0.3824590163934426</v>
      </c>
      <c r="M93" s="146"/>
      <c r="N93" s="146"/>
      <c r="O93" s="146"/>
      <c r="P93" s="146"/>
      <c r="Q93" s="146"/>
      <c r="R93" s="146"/>
      <c r="S93" s="146"/>
      <c r="T93" s="158"/>
      <c r="U93" s="158"/>
      <c r="V93" s="282"/>
      <c r="W93" s="158"/>
      <c r="X93" s="158"/>
      <c r="Y93" s="153"/>
      <c r="Z93" s="152">
        <f>Z91*L93</f>
        <v>-10.355218656444531</v>
      </c>
      <c r="AA93" s="153"/>
      <c r="AB93" s="153"/>
      <c r="AC93" s="152">
        <f>AC91*L93</f>
        <v>13.768524590163933</v>
      </c>
      <c r="AD93" s="153"/>
      <c r="AE93" s="103"/>
      <c r="AF93" s="103"/>
      <c r="AG93" s="103"/>
      <c r="AH93" s="154">
        <f>AH91*L93</f>
        <v>8.8834990237970786</v>
      </c>
      <c r="AI93" s="168"/>
      <c r="AJ93" s="5"/>
      <c r="AK93" s="5"/>
      <c r="AL93" s="5"/>
      <c r="AM93" s="262"/>
      <c r="AN93" s="72"/>
      <c r="AO93" s="72"/>
      <c r="AP93" s="72"/>
      <c r="AQ93" s="30"/>
      <c r="AR93" s="14"/>
      <c r="AS93" s="123"/>
      <c r="AT93" s="123"/>
      <c r="AU93" s="123"/>
      <c r="AW93" s="71"/>
      <c r="AX93" s="71"/>
    </row>
    <row r="94" spans="1:50" x14ac:dyDescent="0.2">
      <c r="A94" s="9"/>
      <c r="B94" s="129"/>
      <c r="T94" s="158"/>
      <c r="U94" s="158"/>
      <c r="V94" s="282"/>
      <c r="W94" s="158"/>
      <c r="X94" s="158"/>
      <c r="Y94" s="153"/>
      <c r="Z94" s="152">
        <f>SUM(Z92:Z93)</f>
        <v>-9.4979618823710954</v>
      </c>
      <c r="AA94" s="153"/>
      <c r="AB94" s="153"/>
      <c r="AC94" s="152">
        <f>SUM(AC92:AC93)</f>
        <v>27.099327500083813</v>
      </c>
      <c r="AD94" s="153"/>
      <c r="AE94" s="103"/>
      <c r="AF94" s="103"/>
      <c r="AG94" s="103"/>
      <c r="AH94" s="153">
        <f>SUM(AH92:AH93)</f>
        <v>19.238117029047896</v>
      </c>
      <c r="AI94" s="41" t="s">
        <v>354</v>
      </c>
      <c r="AJ94" s="5" t="s">
        <v>67</v>
      </c>
      <c r="AK94" s="219">
        <f>INDEX('C-P-RollAdj'!$J$4:$J$76,MATCH(INT(Z94),'C-P-RollAdj'!$I$4:$I$76,FALSE),0)</f>
        <v>-24</v>
      </c>
      <c r="AL94" s="219">
        <f>INDEX('C-P-RollAdj'!$J$4:$J$76,MATCH(INT(AC94),'C-P-RollAdj'!$I$4:$I$76,FALSE),0)</f>
        <v>53</v>
      </c>
      <c r="AM94" s="262">
        <f>SUM(AM90:AM93)</f>
        <v>34.444444444444443</v>
      </c>
      <c r="AN94" s="14">
        <f>SUM(AN90:AN93)</f>
        <v>45</v>
      </c>
      <c r="AO94" s="14">
        <f>SUM(AO90:AO93)</f>
        <v>0</v>
      </c>
      <c r="AP94" s="14">
        <f>SUM(AP90:AP93)</f>
        <v>143.33333333333334</v>
      </c>
      <c r="AQ94" s="30"/>
      <c r="AR94" s="14"/>
    </row>
    <row r="95" spans="1:50" x14ac:dyDescent="0.2">
      <c r="B95" s="155"/>
      <c r="AN95" s="72"/>
      <c r="AO95" s="72"/>
      <c r="AP95" s="72"/>
      <c r="AQ95" s="30"/>
      <c r="AR95" s="14"/>
    </row>
    <row r="96" spans="1:50" x14ac:dyDescent="0.2">
      <c r="A96" t="s">
        <v>345</v>
      </c>
      <c r="B96" s="76" t="s">
        <v>164</v>
      </c>
      <c r="C96" s="76">
        <v>5</v>
      </c>
      <c r="D96" s="76">
        <v>3</v>
      </c>
      <c r="E96" s="76">
        <v>2.9</v>
      </c>
      <c r="F96" s="76">
        <v>26</v>
      </c>
      <c r="G96" s="76">
        <v>5</v>
      </c>
      <c r="H96" s="76">
        <v>0</v>
      </c>
      <c r="I96" s="76">
        <v>0</v>
      </c>
      <c r="J96" s="76">
        <v>0</v>
      </c>
      <c r="K96" s="76">
        <v>1</v>
      </c>
      <c r="L96" s="258">
        <f>INDEX('C-P-RollAdj'!$P$4:$P$900,MATCH((U96),'C-P-RollAdj'!$O$4:$O$900,FALSE),0)</f>
        <v>62</v>
      </c>
      <c r="M96" s="76">
        <v>64</v>
      </c>
      <c r="N96" s="76">
        <v>27</v>
      </c>
      <c r="O96" s="76">
        <v>20</v>
      </c>
      <c r="P96" s="76">
        <v>8</v>
      </c>
      <c r="Q96" s="76">
        <v>13</v>
      </c>
      <c r="R96" s="76">
        <v>3</v>
      </c>
      <c r="S96" s="76">
        <v>42</v>
      </c>
      <c r="T96" s="76">
        <v>265</v>
      </c>
      <c r="U96" s="76">
        <v>62</v>
      </c>
      <c r="V96" s="100">
        <v>0.26400000000000001</v>
      </c>
      <c r="W96" s="76">
        <v>1.24</v>
      </c>
      <c r="Y96" s="50">
        <f>+(Q96-R96)/(T96-R96)*100</f>
        <v>3.8167938931297711</v>
      </c>
      <c r="Z96" s="6">
        <f>IF(Y96&lt;LeagueRatings!$K$10,((LeagueRatings!$K$10-Y96)/LeagueRatings!$K$10)*36,(LeagueRatings!$K$10-Y96)*6.48)</f>
        <v>20.147257074414561</v>
      </c>
      <c r="AA96" s="16">
        <f>INDEX('C-P-RollAdj'!$B$4:$B$76,MATCH(INT(Z96),'C-P-RollAdj'!$A$4:$A$76,FALSE),0)</f>
        <v>-1.79</v>
      </c>
      <c r="AB96" s="16">
        <f>(P96/(T96-R96))*100</f>
        <v>3.0534351145038165</v>
      </c>
      <c r="AC96" s="6">
        <f>IF(AB96&lt;LeagueRatings!$K$8,((LeagueRatings!$K$8-AB96)/LeagueRatings!$K$8)*36,(LeagueRatings!$K$8-AB96)/LeagueRatings!$K$11)</f>
        <v>1.6726455299021259</v>
      </c>
      <c r="AD96" s="16">
        <f>INDEX('C-P-RollAdj'!$F$4:$F$76,MATCH(INT(AC96),'C-P-RollAdj'!$E$4:$E$76,FALSE),0)</f>
        <v>-7.0000000000000007E-2</v>
      </c>
      <c r="AE96" s="17">
        <f>+((LeagueRatings!$I$17-E96)*5)+9.5</f>
        <v>15.814387243706364</v>
      </c>
      <c r="AF96" s="17">
        <f>IF(AE96&lt;4,4,AE96)</f>
        <v>15.814387243706364</v>
      </c>
      <c r="AG96" s="17">
        <f>IF(M96&lt;L96,((1-(M96/L96))*7)-0.07,(1-(M96/L96))*5)</f>
        <v>-0.16129032258064502</v>
      </c>
      <c r="AH96" s="4">
        <f>+AA96+AD96+AF96+AG96</f>
        <v>13.79309692112572</v>
      </c>
      <c r="AJ96" s="58">
        <v>11</v>
      </c>
      <c r="AK96" s="219">
        <f>INDEX('C-P-RollAdj'!$J$4:$J$76,MATCH(INT(Z96),'C-P-RollAdj'!$I$4:$I$76,FALSE),0)</f>
        <v>42</v>
      </c>
      <c r="AL96" s="219">
        <f>INDEX('C-P-RollAdj'!$J$4:$J$76,MATCH(INT(AC96),'C-P-RollAdj'!$I$4:$I$76,FALSE),0)</f>
        <v>11</v>
      </c>
      <c r="AM96" s="262">
        <f>+AR96*LeagueRatings!$K$27</f>
        <v>34.444444444444443</v>
      </c>
      <c r="AN96" s="72">
        <f>F96*LeagueRatings!$K$27</f>
        <v>14.444444444444445</v>
      </c>
      <c r="AO96" s="72">
        <f>G96*LeagueRatings!$K$27</f>
        <v>2.7777777777777777</v>
      </c>
      <c r="AP96" s="72">
        <f>T96*LeagueRatings!$K$27</f>
        <v>147.22222222222223</v>
      </c>
      <c r="AQ96" s="24"/>
      <c r="AR96" s="14">
        <f>ROUNDUP(L96,0)</f>
        <v>62</v>
      </c>
    </row>
    <row r="97" spans="1:49" s="24" customFormat="1" x14ac:dyDescent="0.2">
      <c r="A97" s="41" t="s">
        <v>345</v>
      </c>
      <c r="B97" s="76" t="s">
        <v>156</v>
      </c>
      <c r="C97" s="76">
        <v>2</v>
      </c>
      <c r="D97" s="76">
        <v>1</v>
      </c>
      <c r="E97" s="76">
        <v>8.4</v>
      </c>
      <c r="F97" s="76">
        <v>14</v>
      </c>
      <c r="G97" s="76">
        <v>0</v>
      </c>
      <c r="H97" s="76">
        <v>0</v>
      </c>
      <c r="I97" s="76">
        <v>0</v>
      </c>
      <c r="J97" s="76">
        <v>0</v>
      </c>
      <c r="K97" s="76">
        <v>0</v>
      </c>
      <c r="L97" s="258">
        <f>INDEX('C-P-RollAdj'!$P$4:$P$900,MATCH((U97),'C-P-RollAdj'!$O$4:$O$900,FALSE),0)</f>
        <v>15</v>
      </c>
      <c r="M97" s="76">
        <v>23</v>
      </c>
      <c r="N97" s="76">
        <v>15</v>
      </c>
      <c r="O97" s="76">
        <v>14</v>
      </c>
      <c r="P97" s="76">
        <v>2</v>
      </c>
      <c r="Q97" s="76">
        <v>6</v>
      </c>
      <c r="R97" s="76">
        <v>0</v>
      </c>
      <c r="S97" s="76">
        <v>14</v>
      </c>
      <c r="T97" s="76">
        <v>73</v>
      </c>
      <c r="U97" s="76">
        <v>15</v>
      </c>
      <c r="V97" s="100">
        <v>0.34799999999999998</v>
      </c>
      <c r="W97" s="76">
        <v>1.93</v>
      </c>
      <c r="X97" s="76"/>
      <c r="Y97" s="50">
        <f>+(Q97-R97)/(T97-R97)*100</f>
        <v>8.2191780821917799</v>
      </c>
      <c r="Z97" s="6">
        <f>IF(Y97&lt;LeagueRatings!$K$10,((LeagueRatings!$K$10-Y97)/LeagueRatings!$K$10)*36,(LeagueRatings!$K$10-Y97)*6.48)</f>
        <v>1.8623124944927381</v>
      </c>
      <c r="AA97" s="16">
        <f>INDEX('C-P-RollAdj'!$B$4:$B$76,MATCH(INT(Z97),'C-P-RollAdj'!$A$4:$A$76,FALSE),0)</f>
        <v>-0.08</v>
      </c>
      <c r="AB97" s="16">
        <f>(P97/(T97-R97))*100</f>
        <v>2.7397260273972601</v>
      </c>
      <c r="AC97" s="6">
        <f>IF(AB97&lt;LeagueRatings!$K$8,((LeagueRatings!$K$8-AB97)/LeagueRatings!$K$8)*36,(LeagueRatings!$K$8-AB97)/LeagueRatings!$K$11)</f>
        <v>5.1994285234053308</v>
      </c>
      <c r="AD97" s="16">
        <f>INDEX('C-P-RollAdj'!$F$4:$F$76,MATCH(INT(AC97),'C-P-RollAdj'!$E$4:$E$76,FALSE),0)</f>
        <v>-0.35000000000000003</v>
      </c>
      <c r="AE97" s="17">
        <f>+((LeagueRatings!$I$17-E97)*5)+9.5</f>
        <v>-11.68561275629364</v>
      </c>
      <c r="AF97" s="17">
        <f>IF(AE97&lt;4,4,AE97)</f>
        <v>4</v>
      </c>
      <c r="AG97" s="17">
        <f>IF(M97&lt;L97,((1-(M97/L97))*7)-0.07,(1-(M97/L97))*5)</f>
        <v>-2.666666666666667</v>
      </c>
      <c r="AH97" s="4">
        <f>+AA97+AD97+AF97+AG97</f>
        <v>0.90333333333333288</v>
      </c>
      <c r="AJ97" s="58">
        <v>10</v>
      </c>
      <c r="AK97" s="219">
        <f>INDEX('C-P-RollAdj'!$J$4:$J$76,MATCH(INT(Z97),'C-P-RollAdj'!$I$4:$I$76,FALSE),0)</f>
        <v>11</v>
      </c>
      <c r="AL97" s="219">
        <f>INDEX('C-P-RollAdj'!$J$4:$J$76,MATCH(INT(AC97),'C-P-RollAdj'!$I$4:$I$76,FALSE),0)</f>
        <v>15</v>
      </c>
      <c r="AM97" s="262">
        <f>+AR97*LeagueRatings!$K$27</f>
        <v>8.3333333333333339</v>
      </c>
      <c r="AN97" s="72">
        <f>F97*LeagueRatings!$K$27</f>
        <v>7.7777777777777786</v>
      </c>
      <c r="AO97" s="72">
        <f>G97*LeagueRatings!$K$27</f>
        <v>0</v>
      </c>
      <c r="AP97" s="72">
        <f>T97*LeagueRatings!$K$27</f>
        <v>40.555555555555557</v>
      </c>
      <c r="AR97" s="14">
        <f>ROUNDUP(L97,0)</f>
        <v>15</v>
      </c>
    </row>
    <row r="98" spans="1:49" x14ac:dyDescent="0.2">
      <c r="A98" s="9"/>
      <c r="B98" s="129"/>
      <c r="L98" s="157">
        <f>(L96/100)/((L96+L97)/100)</f>
        <v>0.80519480519480513</v>
      </c>
      <c r="T98" s="158"/>
      <c r="U98" s="158"/>
      <c r="V98" s="282"/>
      <c r="W98" s="158"/>
      <c r="X98" s="158"/>
      <c r="Y98" s="153"/>
      <c r="Z98" s="152">
        <f>Z96*L98</f>
        <v>16.222466735242893</v>
      </c>
      <c r="AA98" s="153"/>
      <c r="AB98" s="153"/>
      <c r="AC98" s="152">
        <f>AC96*L98</f>
        <v>1.3468054916095038</v>
      </c>
      <c r="AD98" s="153"/>
      <c r="AE98" s="103"/>
      <c r="AF98" s="103"/>
      <c r="AG98" s="103"/>
      <c r="AH98" s="154">
        <f>AH96*L98</f>
        <v>11.106129988438891</v>
      </c>
      <c r="AJ98" s="5"/>
      <c r="AK98" s="5"/>
      <c r="AL98" s="5"/>
      <c r="AN98" s="72"/>
      <c r="AO98" s="72"/>
      <c r="AP98" s="72"/>
      <c r="AQ98" s="30"/>
      <c r="AR98" s="14"/>
    </row>
    <row r="99" spans="1:49" x14ac:dyDescent="0.2">
      <c r="A99" s="9"/>
      <c r="B99" s="129"/>
      <c r="L99" s="157">
        <f>(L97/100)/((L96+L97)/100)</f>
        <v>0.19480519480519479</v>
      </c>
      <c r="T99" s="158"/>
      <c r="U99" s="158"/>
      <c r="V99" s="282"/>
      <c r="W99" s="158"/>
      <c r="X99" s="158"/>
      <c r="Y99" s="153"/>
      <c r="Z99" s="152">
        <f>Z97*L99</f>
        <v>0.36278814827780609</v>
      </c>
      <c r="AA99" s="153"/>
      <c r="AB99" s="153"/>
      <c r="AC99" s="152">
        <f>AC97*L99</f>
        <v>1.0128756863776618</v>
      </c>
      <c r="AD99" s="153"/>
      <c r="AE99" s="103"/>
      <c r="AF99" s="103"/>
      <c r="AG99" s="103"/>
      <c r="AH99" s="154">
        <f>AH97*L99</f>
        <v>0.17597402597402587</v>
      </c>
      <c r="AJ99" s="5"/>
      <c r="AK99" s="5"/>
      <c r="AL99" s="5"/>
      <c r="AN99" s="72"/>
      <c r="AO99" s="72"/>
      <c r="AP99" s="72"/>
      <c r="AQ99" s="30"/>
      <c r="AR99" s="14"/>
    </row>
    <row r="100" spans="1:49" x14ac:dyDescent="0.2">
      <c r="A100" s="9"/>
      <c r="B100" s="129"/>
      <c r="T100" s="158"/>
      <c r="U100" s="158"/>
      <c r="V100" s="282"/>
      <c r="W100" s="158"/>
      <c r="X100" s="158"/>
      <c r="Y100" s="153"/>
      <c r="Z100" s="152">
        <f>SUM(Z98:Z99)</f>
        <v>16.585254883520697</v>
      </c>
      <c r="AA100" s="153"/>
      <c r="AB100" s="153"/>
      <c r="AC100" s="152">
        <f>SUM(AC98:AC99)</f>
        <v>2.3596811779871656</v>
      </c>
      <c r="AD100" s="153"/>
      <c r="AE100" s="103"/>
      <c r="AF100" s="103"/>
      <c r="AG100" s="103"/>
      <c r="AH100" s="153">
        <f>SUM(AH98:AH99)</f>
        <v>11.282104014412917</v>
      </c>
      <c r="AI100" s="41" t="s">
        <v>345</v>
      </c>
      <c r="AJ100" s="5" t="s">
        <v>59</v>
      </c>
      <c r="AK100" s="219">
        <f>INDEX('C-P-RollAdj'!$J$4:$J$76,MATCH(INT(Z100),'C-P-RollAdj'!$I$4:$I$76,FALSE),0)</f>
        <v>34</v>
      </c>
      <c r="AL100" s="219">
        <f>INDEX('C-P-RollAdj'!$J$4:$J$76,MATCH(INT(AC100),'C-P-RollAdj'!$I$4:$I$76,FALSE),0)</f>
        <v>12</v>
      </c>
      <c r="AM100" s="262">
        <f>SUM(AM96:AM99)</f>
        <v>42.777777777777779</v>
      </c>
      <c r="AN100" s="14">
        <f>SUM(AN96:AN99)</f>
        <v>22.222222222222221</v>
      </c>
      <c r="AO100" s="14">
        <f>SUM(AO96:AO99)</f>
        <v>2.7777777777777777</v>
      </c>
      <c r="AP100" s="14">
        <f>SUM(AP96:AP99)</f>
        <v>187.77777777777777</v>
      </c>
      <c r="AQ100" s="30"/>
      <c r="AR100" s="14"/>
    </row>
    <row r="101" spans="1:49" x14ac:dyDescent="0.2">
      <c r="B101" s="155"/>
      <c r="AN101" s="72"/>
      <c r="AO101" s="72"/>
      <c r="AP101" s="72"/>
      <c r="AQ101" s="30"/>
      <c r="AR101" s="14"/>
    </row>
    <row r="102" spans="1:49" x14ac:dyDescent="0.2">
      <c r="A102" t="s">
        <v>428</v>
      </c>
      <c r="B102" s="76" t="s">
        <v>160</v>
      </c>
      <c r="C102" s="76">
        <v>1</v>
      </c>
      <c r="D102" s="76">
        <v>2</v>
      </c>
      <c r="E102" s="76">
        <v>5.29</v>
      </c>
      <c r="F102" s="76">
        <v>21</v>
      </c>
      <c r="G102" s="76">
        <v>0</v>
      </c>
      <c r="H102" s="76">
        <v>0</v>
      </c>
      <c r="I102" s="76">
        <v>0</v>
      </c>
      <c r="J102" s="76">
        <v>2</v>
      </c>
      <c r="K102" s="76">
        <v>4</v>
      </c>
      <c r="L102" s="258">
        <f>INDEX('C-P-RollAdj'!$P$4:$P$900,MATCH((U102),'C-P-RollAdj'!$O$4:$O$900,FALSE),0)</f>
        <v>17</v>
      </c>
      <c r="M102" s="76">
        <v>16</v>
      </c>
      <c r="N102" s="76">
        <v>11</v>
      </c>
      <c r="O102" s="76">
        <v>10</v>
      </c>
      <c r="P102" s="76">
        <v>2</v>
      </c>
      <c r="Q102" s="76">
        <v>13</v>
      </c>
      <c r="R102" s="76">
        <v>1</v>
      </c>
      <c r="S102" s="76">
        <v>23</v>
      </c>
      <c r="T102" s="76">
        <v>81</v>
      </c>
      <c r="U102" s="76">
        <v>17</v>
      </c>
      <c r="V102" s="100">
        <v>0.24199999999999999</v>
      </c>
      <c r="W102" s="76">
        <v>1.71</v>
      </c>
      <c r="Y102" s="50">
        <f>+(Q102-R102)/(T102-R102)*100</f>
        <v>15</v>
      </c>
      <c r="Z102" s="6">
        <f>IF(Y102&lt;LeagueRatings!$K$21,((LeagueRatings!$K$21-Y102)/LeagueRatings!$K$21)*36,(LeagueRatings!$K$21-Y102)*6.48)</f>
        <v>-39.184459020668967</v>
      </c>
      <c r="AA102" s="260">
        <v>5.44</v>
      </c>
      <c r="AB102" s="16">
        <f>(P102/(T102-R102))*100</f>
        <v>2.5</v>
      </c>
      <c r="AC102" s="6">
        <f>IF(AB102&lt;LeagueRatings!$K$19,((LeagueRatings!$K$19-AB102)/LeagueRatings!$K$19)*36,(LeagueRatings!$K$19-AB102)/LeagueRatings!$K$22)</f>
        <v>5.0508968609865486</v>
      </c>
      <c r="AD102" s="16">
        <f>INDEX('C-P-RollAdj'!$F$4:$F$76,MATCH(INT(AC102),'C-P-RollAdj'!$E$4:$E$76,FALSE),0)</f>
        <v>-0.35000000000000003</v>
      </c>
      <c r="AE102" s="17">
        <f>+((LeagueRatings!$I$17-E102)*5)+9.5</f>
        <v>3.8643872437063624</v>
      </c>
      <c r="AF102" s="17">
        <f>IF(AE102&lt;4,4,AE102)</f>
        <v>4</v>
      </c>
      <c r="AG102" s="17">
        <f>IF(M102&lt;L102,((1-(M102/L102))*7)-0.07,(1-(M102/L102))*5)</f>
        <v>0.34176470588235303</v>
      </c>
      <c r="AH102" s="4">
        <f>+AA102+AD102+AF102+AG102</f>
        <v>9.4317647058823528</v>
      </c>
      <c r="AI102" s="12"/>
      <c r="AJ102" s="5" t="s">
        <v>60</v>
      </c>
      <c r="AK102" s="219">
        <v>-66</v>
      </c>
      <c r="AL102" s="219">
        <f>INDEX('C-P-RollAdj'!$J$4:$J$76,MATCH(INT(AC102),'C-P-RollAdj'!$I$4:$I$76,FALSE),0)</f>
        <v>15</v>
      </c>
      <c r="AM102" s="262">
        <f>+AR102*LeagueRatings!$K$27</f>
        <v>9.4444444444444446</v>
      </c>
      <c r="AN102" s="72">
        <f>F102*LeagueRatings!$K$27</f>
        <v>11.666666666666668</v>
      </c>
      <c r="AO102" s="72">
        <f>G102*LeagueRatings!$K$27</f>
        <v>0</v>
      </c>
      <c r="AP102" s="72">
        <f>T102*LeagueRatings!$K$27</f>
        <v>45</v>
      </c>
      <c r="AQ102" s="12"/>
      <c r="AR102" s="14">
        <f>ROUNDUP(L102,0)</f>
        <v>17</v>
      </c>
    </row>
    <row r="103" spans="1:49" s="24" customFormat="1" x14ac:dyDescent="0.2">
      <c r="A103" s="41" t="s">
        <v>428</v>
      </c>
      <c r="B103" s="76" t="s">
        <v>156</v>
      </c>
      <c r="C103" s="76">
        <v>6</v>
      </c>
      <c r="D103" s="76">
        <v>4</v>
      </c>
      <c r="E103" s="76">
        <v>3.64</v>
      </c>
      <c r="F103" s="76">
        <v>46</v>
      </c>
      <c r="G103" s="76">
        <v>0</v>
      </c>
      <c r="H103" s="76">
        <v>0</v>
      </c>
      <c r="I103" s="76">
        <v>0</v>
      </c>
      <c r="J103" s="76">
        <v>2</v>
      </c>
      <c r="K103" s="76">
        <v>4</v>
      </c>
      <c r="L103" s="258">
        <f>INDEX('C-P-RollAdj'!$P$4:$P$900,MATCH((U103),'C-P-RollAdj'!$O$4:$O$900,FALSE),0)</f>
        <v>42</v>
      </c>
      <c r="M103" s="76">
        <v>28</v>
      </c>
      <c r="N103" s="76">
        <v>17</v>
      </c>
      <c r="O103" s="76">
        <v>17</v>
      </c>
      <c r="P103" s="76">
        <v>8</v>
      </c>
      <c r="Q103" s="76">
        <v>19</v>
      </c>
      <c r="R103" s="76">
        <v>0</v>
      </c>
      <c r="S103" s="76">
        <v>58</v>
      </c>
      <c r="T103" s="76">
        <v>170</v>
      </c>
      <c r="U103" s="76">
        <v>42</v>
      </c>
      <c r="V103" s="100">
        <v>0.189</v>
      </c>
      <c r="W103" s="76">
        <v>1.1200000000000001</v>
      </c>
      <c r="X103" s="98"/>
      <c r="Y103" s="50">
        <f>+(Q103-R103)/(T103-R103)*100</f>
        <v>11.176470588235295</v>
      </c>
      <c r="Z103" s="6">
        <f>IF(Y103&lt;LeagueRatings!$K$10,((LeagueRatings!$K$10-Y103)/LeagueRatings!$K$10)*36,(LeagueRatings!$K$10-Y103)*6.48)</f>
        <v>-16.257748917571053</v>
      </c>
      <c r="AA103" s="16">
        <f>INDEX('C-P-RollAdj'!$B$4:$B$76,MATCH(INT(Z103),'C-P-RollAdj'!$A$4:$A$76,FALSE),0)</f>
        <v>1.93</v>
      </c>
      <c r="AB103" s="16">
        <f>(P103/(T103-R103))*100</f>
        <v>4.7058823529411766</v>
      </c>
      <c r="AC103" s="6">
        <f>IF(AB103&lt;LeagueRatings!$K$8,((LeagueRatings!$K$8-AB103)/LeagueRatings!$K$8)*36,(LeagueRatings!$K$8-AB103)/LeagueRatings!$K$11)</f>
        <v>-11.939777393865587</v>
      </c>
      <c r="AD103" s="16">
        <f>INDEX('C-P-RollAdj'!$F$4:$F$76,MATCH(INT(AC103),'C-P-RollAdj'!$E$4:$E$76,FALSE),0)</f>
        <v>1.1400000000000001</v>
      </c>
      <c r="AE103" s="17">
        <f>+((LeagueRatings!$I$6-E103)*5)+9.5</f>
        <v>12.308051455277402</v>
      </c>
      <c r="AF103" s="17">
        <f>IF(AE103&lt;4,4,AE103)</f>
        <v>12.308051455277402</v>
      </c>
      <c r="AG103" s="17">
        <f>IF(M103&lt;L103,((1-(M103/L103))*7)-0.07,(1-(M103/L103))*5)</f>
        <v>2.2633333333333336</v>
      </c>
      <c r="AH103" s="4">
        <f>+AA103+AD103+AF103+AG103</f>
        <v>17.641384788610736</v>
      </c>
      <c r="AJ103" s="5" t="s">
        <v>66</v>
      </c>
      <c r="AK103" s="219">
        <f>INDEX('C-P-RollAdj'!$J$4:$J$76,MATCH(INT(Z103),'C-P-RollAdj'!$I$4:$I$76,FALSE),0)</f>
        <v>-35</v>
      </c>
      <c r="AL103" s="219">
        <f>INDEX('C-P-RollAdj'!$J$4:$J$76,MATCH(INT(AC103),'C-P-RollAdj'!$I$4:$I$76,FALSE),0)</f>
        <v>-26</v>
      </c>
      <c r="AM103" s="262">
        <f>+AR103*LeagueRatings!$K$27</f>
        <v>23.333333333333336</v>
      </c>
      <c r="AN103" s="72">
        <f>F103*LeagueRatings!$K$27</f>
        <v>25.555555555555557</v>
      </c>
      <c r="AO103" s="72">
        <f>G103*LeagueRatings!$K$27</f>
        <v>0</v>
      </c>
      <c r="AP103" s="72">
        <f>T103*LeagueRatings!$K$27</f>
        <v>94.444444444444443</v>
      </c>
      <c r="AR103" s="72">
        <f>ROUNDUP(L103,0)</f>
        <v>42</v>
      </c>
      <c r="AS103" s="113"/>
      <c r="AT103" s="113"/>
      <c r="AU103" s="113"/>
      <c r="AW103" s="144">
        <v>162.33000000000001</v>
      </c>
    </row>
    <row r="104" spans="1:49" x14ac:dyDescent="0.2">
      <c r="A104" s="9"/>
      <c r="B104" s="129"/>
      <c r="L104" s="157">
        <f>(L102/100)/((L102+L103)/100)</f>
        <v>0.28813559322033899</v>
      </c>
      <c r="T104" s="158"/>
      <c r="U104" s="158"/>
      <c r="V104" s="282"/>
      <c r="W104" s="158"/>
      <c r="X104" s="158"/>
      <c r="Y104" s="153"/>
      <c r="Z104" s="152">
        <f>Z102*L104</f>
        <v>-11.290437344938516</v>
      </c>
      <c r="AA104" s="153"/>
      <c r="AB104" s="153"/>
      <c r="AC104" s="152">
        <f>AC102*L104</f>
        <v>1.4553431633351073</v>
      </c>
      <c r="AD104" s="153"/>
      <c r="AE104" s="103"/>
      <c r="AF104" s="103"/>
      <c r="AG104" s="103"/>
      <c r="AH104" s="154">
        <f>AH102*L104</f>
        <v>2.7176271186440677</v>
      </c>
      <c r="AJ104" s="5"/>
      <c r="AK104" s="5"/>
      <c r="AL104" s="5"/>
      <c r="AN104" s="72"/>
      <c r="AO104" s="72"/>
      <c r="AP104" s="72"/>
      <c r="AQ104" s="30"/>
      <c r="AR104" s="14"/>
    </row>
    <row r="105" spans="1:49" x14ac:dyDescent="0.2">
      <c r="A105" s="9"/>
      <c r="B105" s="129"/>
      <c r="L105" s="157">
        <f>(L103/100)/((L102+L103)/100)</f>
        <v>0.71186440677966101</v>
      </c>
      <c r="T105" s="158"/>
      <c r="U105" s="158"/>
      <c r="V105" s="282"/>
      <c r="W105" s="158"/>
      <c r="X105" s="158"/>
      <c r="Y105" s="153"/>
      <c r="Z105" s="152">
        <f>Z103*L105</f>
        <v>-11.573312788779393</v>
      </c>
      <c r="AA105" s="153"/>
      <c r="AB105" s="153"/>
      <c r="AC105" s="152">
        <f>AC103*L105</f>
        <v>-8.4995025515653335</v>
      </c>
      <c r="AD105" s="153"/>
      <c r="AE105" s="103"/>
      <c r="AF105" s="103"/>
      <c r="AG105" s="103"/>
      <c r="AH105" s="154">
        <f>AH103*L105</f>
        <v>12.558273917316118</v>
      </c>
      <c r="AJ105" s="5"/>
      <c r="AK105" s="5"/>
      <c r="AL105" s="5"/>
      <c r="AN105" s="72"/>
      <c r="AO105" s="72"/>
      <c r="AP105" s="72"/>
      <c r="AQ105" s="30"/>
      <c r="AR105" s="14"/>
    </row>
    <row r="106" spans="1:49" x14ac:dyDescent="0.2">
      <c r="A106" s="9"/>
      <c r="B106" s="129"/>
      <c r="T106" s="158"/>
      <c r="U106" s="158"/>
      <c r="V106" s="282"/>
      <c r="W106" s="158"/>
      <c r="X106" s="158"/>
      <c r="Y106" s="153"/>
      <c r="Z106" s="152">
        <f>SUM(Z104:Z105)</f>
        <v>-22.863750133717907</v>
      </c>
      <c r="AA106" s="153"/>
      <c r="AB106" s="153"/>
      <c r="AC106" s="152">
        <f>SUM(AC104:AC105)</f>
        <v>-7.0441593882302262</v>
      </c>
      <c r="AD106" s="153"/>
      <c r="AE106" s="103"/>
      <c r="AF106" s="103"/>
      <c r="AG106" s="103"/>
      <c r="AH106" s="153">
        <f>SUM(AH104:AH105)</f>
        <v>15.275901035960185</v>
      </c>
      <c r="AI106" s="41" t="s">
        <v>428</v>
      </c>
      <c r="AJ106" s="5" t="s">
        <v>68</v>
      </c>
      <c r="AK106" s="219">
        <f>INDEX('C-P-RollAdj'!$J$4:$J$76,MATCH(INT(Z106),'C-P-RollAdj'!$I$4:$I$76,FALSE),0)</f>
        <v>-45</v>
      </c>
      <c r="AL106" s="219">
        <f>INDEX('C-P-RollAdj'!$J$4:$J$76,MATCH(INT(AC106),'C-P-RollAdj'!$I$4:$I$76,FALSE),0)</f>
        <v>-22</v>
      </c>
      <c r="AM106" s="262">
        <f>SUM(AM102:AM105)</f>
        <v>32.777777777777779</v>
      </c>
      <c r="AN106" s="14">
        <f>SUM(AN102:AN105)</f>
        <v>37.222222222222229</v>
      </c>
      <c r="AO106" s="14">
        <f>SUM(AO102:AO105)</f>
        <v>0</v>
      </c>
      <c r="AP106" s="14">
        <f>SUM(AP102:AP105)</f>
        <v>139.44444444444446</v>
      </c>
      <c r="AQ106" s="30"/>
      <c r="AR106" s="14"/>
    </row>
    <row r="107" spans="1:49" x14ac:dyDescent="0.2">
      <c r="AN107" s="72"/>
      <c r="AO107" s="72"/>
      <c r="AP107" s="72"/>
      <c r="AQ107" s="30"/>
      <c r="AR107" s="14"/>
    </row>
    <row r="108" spans="1:49" x14ac:dyDescent="0.2">
      <c r="A108" t="s">
        <v>1091</v>
      </c>
      <c r="B108" s="76" t="s">
        <v>159</v>
      </c>
      <c r="C108" s="76">
        <v>0</v>
      </c>
      <c r="D108" s="76">
        <v>0</v>
      </c>
      <c r="E108" s="76">
        <v>9</v>
      </c>
      <c r="F108" s="76">
        <v>2</v>
      </c>
      <c r="G108" s="76">
        <v>0</v>
      </c>
      <c r="H108" s="76">
        <v>0</v>
      </c>
      <c r="I108" s="76">
        <v>0</v>
      </c>
      <c r="J108" s="76">
        <v>0</v>
      </c>
      <c r="K108" s="76">
        <v>0</v>
      </c>
      <c r="L108" s="258">
        <f>INDEX('C-P-RollAdj'!$P$4:$P$900,MATCH((U108),'C-P-RollAdj'!$O$4:$O$900,FALSE),0)</f>
        <v>3</v>
      </c>
      <c r="M108" s="76">
        <v>5</v>
      </c>
      <c r="N108" s="76">
        <v>3</v>
      </c>
      <c r="O108" s="76">
        <v>3</v>
      </c>
      <c r="P108" s="76">
        <v>0</v>
      </c>
      <c r="Q108" s="76">
        <v>2</v>
      </c>
      <c r="R108" s="76">
        <v>0</v>
      </c>
      <c r="S108" s="76">
        <v>2</v>
      </c>
      <c r="T108" s="76">
        <v>17</v>
      </c>
      <c r="U108" s="76">
        <v>3</v>
      </c>
      <c r="V108" s="100">
        <v>0.35699999999999998</v>
      </c>
      <c r="W108" s="76">
        <v>2.33</v>
      </c>
      <c r="Y108" s="50">
        <f>+(Q108-R108)/(T108-R108)*100</f>
        <v>11.76470588235294</v>
      </c>
      <c r="Z108" s="6">
        <f>IF(Y108&lt;LeagueRatings!$K$21,((LeagueRatings!$K$21-Y108)/LeagueRatings!$K$21)*36,(LeagueRatings!$K$21-Y108)*6.48)</f>
        <v>-18.219753138316019</v>
      </c>
      <c r="AA108" s="16">
        <f>INDEX('C-P-RollAdj'!$B$4:$B$76,MATCH(INT(Z108),'C-P-RollAdj'!$A$4:$A$76,FALSE),0)</f>
        <v>2.23</v>
      </c>
      <c r="AB108" s="16">
        <f>(P108/(T108-R108))*100</f>
        <v>0</v>
      </c>
      <c r="AC108" s="6">
        <f>IF(AB108&lt;LeagueRatings!$K$19,((LeagueRatings!$K$19-AB108)/LeagueRatings!$K$19)*36,(LeagueRatings!$K$19-AB108)/LeagueRatings!$K$22)</f>
        <v>36</v>
      </c>
      <c r="AD108" s="16">
        <f>INDEX('C-P-RollAdj'!$F$4:$F$76,MATCH(INT(AC108),'C-P-RollAdj'!$E$4:$E$76,FALSE),0)</f>
        <v>-3.26</v>
      </c>
      <c r="AE108" s="17">
        <f>+((LeagueRatings!$I$17-E108)*5)+9.5</f>
        <v>-14.685612756293636</v>
      </c>
      <c r="AF108" s="17">
        <f>IF(AE108&lt;4,4,AE108)</f>
        <v>4</v>
      </c>
      <c r="AG108" s="17">
        <f>IF(M108&lt;L108,((1-(M108/L108))*7)-0.07,(1-(M108/L108))*5)</f>
        <v>-3.3333333333333339</v>
      </c>
      <c r="AH108" s="4">
        <f>+AA108+AD108+AF108+AG108</f>
        <v>-0.36333333333333373</v>
      </c>
      <c r="AI108" s="12"/>
      <c r="AJ108" s="5" t="s">
        <v>19</v>
      </c>
      <c r="AK108" s="219">
        <f>INDEX('C-P-RollAdj'!$J$4:$J$76,MATCH(INT(Z108),'C-P-RollAdj'!$I$4:$I$76,FALSE),0)</f>
        <v>-41</v>
      </c>
      <c r="AL108" s="219">
        <f>INDEX('C-P-RollAdj'!$J$4:$J$76,MATCH(INT(AC108),'C-P-RollAdj'!$I$4:$I$76,FALSE),0)</f>
        <v>66</v>
      </c>
      <c r="AM108" s="262">
        <f>+AR108*LeagueRatings!$K$27</f>
        <v>1.6666666666666667</v>
      </c>
      <c r="AN108" s="72">
        <f>F108*LeagueRatings!$K$27</f>
        <v>1.1111111111111112</v>
      </c>
      <c r="AO108" s="72">
        <f>G108*LeagueRatings!$K$27</f>
        <v>0</v>
      </c>
      <c r="AP108" s="72">
        <f>T108*LeagueRatings!$K$27</f>
        <v>9.4444444444444446</v>
      </c>
      <c r="AQ108" s="12"/>
      <c r="AR108" s="14">
        <f>ROUNDUP(L108,0)</f>
        <v>3</v>
      </c>
    </row>
    <row r="109" spans="1:49" s="24" customFormat="1" x14ac:dyDescent="0.2">
      <c r="A109" s="41" t="s">
        <v>1091</v>
      </c>
      <c r="B109" s="76" t="s">
        <v>170</v>
      </c>
      <c r="C109" s="76">
        <v>1</v>
      </c>
      <c r="D109" s="76">
        <v>0</v>
      </c>
      <c r="E109" s="76">
        <v>3.38</v>
      </c>
      <c r="F109" s="76">
        <v>15</v>
      </c>
      <c r="G109" s="76">
        <v>0</v>
      </c>
      <c r="H109" s="76">
        <v>0</v>
      </c>
      <c r="I109" s="76">
        <v>0</v>
      </c>
      <c r="J109" s="76">
        <v>0</v>
      </c>
      <c r="K109" s="76">
        <v>0</v>
      </c>
      <c r="L109" s="258">
        <f>INDEX('C-P-RollAdj'!$P$4:$P$900,MATCH((U109),'C-P-RollAdj'!$O$4:$O$900,FALSE),0)</f>
        <v>18.670000000000002</v>
      </c>
      <c r="M109" s="76">
        <v>19</v>
      </c>
      <c r="N109" s="76">
        <v>7</v>
      </c>
      <c r="O109" s="76">
        <v>7</v>
      </c>
      <c r="P109" s="76">
        <v>2</v>
      </c>
      <c r="Q109" s="76">
        <v>11</v>
      </c>
      <c r="R109" s="76">
        <v>2</v>
      </c>
      <c r="S109" s="76">
        <v>9</v>
      </c>
      <c r="T109" s="76">
        <v>86</v>
      </c>
      <c r="U109" s="76">
        <v>18.2</v>
      </c>
      <c r="V109" s="100">
        <v>0.25700000000000001</v>
      </c>
      <c r="W109" s="76">
        <v>1.61</v>
      </c>
      <c r="X109" s="76"/>
      <c r="Y109" s="50">
        <f>+(Q109-R109)/(T109-R109)*100</f>
        <v>10.714285714285714</v>
      </c>
      <c r="Z109" s="6">
        <f>IF(Y109&lt;LeagueRatings!$K$21,((LeagueRatings!$K$21-Y109)/LeagueRatings!$K$21)*36,(LeagueRatings!$K$21-Y109)*6.48)</f>
        <v>-11.413030449240392</v>
      </c>
      <c r="AA109" s="16">
        <f>INDEX('C-P-RollAdj'!$B$4:$B$76,MATCH(INT(Z109),'C-P-RollAdj'!$A$4:$A$76,FALSE),0)</f>
        <v>1.24</v>
      </c>
      <c r="AB109" s="16">
        <f>(P109/(T109-R109))*100</f>
        <v>2.3809523809523809</v>
      </c>
      <c r="AC109" s="6">
        <f>IF(AB109&lt;LeagueRatings!$K$19,((LeagueRatings!$K$19-AB109)/LeagueRatings!$K$19)*36,(LeagueRatings!$K$19-AB109)/LeagueRatings!$K$22)</f>
        <v>6.5246636771300466</v>
      </c>
      <c r="AD109" s="16">
        <f>INDEX('C-P-RollAdj'!$F$4:$F$76,MATCH(INT(AC109),'C-P-RollAdj'!$E$4:$E$76,FALSE),0)</f>
        <v>-0.42000000000000004</v>
      </c>
      <c r="AE109" s="17">
        <f>+((LeagueRatings!$I$6-E109)*5)+9.5</f>
        <v>13.608051455277405</v>
      </c>
      <c r="AF109" s="17">
        <f>IF(AE109&lt;4,4,AE109)</f>
        <v>13.608051455277405</v>
      </c>
      <c r="AG109" s="17">
        <f>IF(M109&lt;L109,((1-(M109/L109))*7)-0.07,(1-(M109/L109))*5)</f>
        <v>-8.8377075522227955E-2</v>
      </c>
      <c r="AH109" s="4">
        <f>+AA109+AD109+AF109+AG109</f>
        <v>14.339674379755177</v>
      </c>
      <c r="AJ109" s="5" t="s">
        <v>66</v>
      </c>
      <c r="AK109" s="219">
        <f>INDEX('C-P-RollAdj'!$J$4:$J$76,MATCH(INT(Z109),'C-P-RollAdj'!$I$4:$I$76,FALSE),0)</f>
        <v>-26</v>
      </c>
      <c r="AL109" s="219">
        <f>INDEX('C-P-RollAdj'!$J$4:$J$76,MATCH(INT(AC109),'C-P-RollAdj'!$I$4:$I$76,FALSE),0)</f>
        <v>16</v>
      </c>
      <c r="AM109" s="262">
        <f>+AR109*LeagueRatings!$K$27</f>
        <v>10.555555555555555</v>
      </c>
      <c r="AN109" s="72">
        <f>F109*LeagueRatings!$K$27</f>
        <v>8.3333333333333339</v>
      </c>
      <c r="AO109" s="72">
        <f>G109*LeagueRatings!$K$27</f>
        <v>0</v>
      </c>
      <c r="AP109" s="72">
        <f>T109*LeagueRatings!$K$27</f>
        <v>47.777777777777779</v>
      </c>
      <c r="AR109" s="72">
        <f>ROUNDUP(L109,0)</f>
        <v>19</v>
      </c>
      <c r="AS109" s="113"/>
      <c r="AT109" s="113"/>
      <c r="AU109" s="113"/>
      <c r="AW109" s="97">
        <v>156.33000000000001</v>
      </c>
    </row>
    <row r="110" spans="1:49" x14ac:dyDescent="0.2">
      <c r="A110" s="9"/>
      <c r="B110" s="129"/>
      <c r="L110" s="157">
        <f>(L108/100)/((L108+L109)/100)</f>
        <v>0.13844023996308261</v>
      </c>
      <c r="T110" s="158"/>
      <c r="U110" s="158"/>
      <c r="V110" s="282"/>
      <c r="W110" s="158"/>
      <c r="X110" s="158"/>
      <c r="Y110" s="153"/>
      <c r="Z110" s="152">
        <f>Z108*L110</f>
        <v>-2.522346996536597</v>
      </c>
      <c r="AA110" s="153"/>
      <c r="AB110" s="153"/>
      <c r="AC110" s="152">
        <f>AC108*L110</f>
        <v>4.9838486386709739</v>
      </c>
      <c r="AD110" s="153"/>
      <c r="AE110" s="103"/>
      <c r="AF110" s="103"/>
      <c r="AG110" s="103"/>
      <c r="AH110" s="154">
        <f>AH108*L110</f>
        <v>-5.02999538532534E-2</v>
      </c>
      <c r="AJ110" s="5"/>
      <c r="AK110" s="5"/>
      <c r="AL110" s="5"/>
      <c r="AN110" s="72"/>
      <c r="AR110" s="14"/>
    </row>
    <row r="111" spans="1:49" x14ac:dyDescent="0.2">
      <c r="A111" s="9"/>
      <c r="B111" s="129"/>
      <c r="L111" s="157">
        <f>(L109/100)/((L108+L109)/100)</f>
        <v>0.86155976003691737</v>
      </c>
      <c r="T111" s="158"/>
      <c r="U111" s="158"/>
      <c r="V111" s="282"/>
      <c r="W111" s="158"/>
      <c r="X111" s="158"/>
      <c r="Y111" s="153"/>
      <c r="Z111" s="152">
        <f>Z109*L111</f>
        <v>-9.8330077751415832</v>
      </c>
      <c r="AA111" s="153"/>
      <c r="AB111" s="153"/>
      <c r="AC111" s="152">
        <f>AC109*L111</f>
        <v>5.621387671989754</v>
      </c>
      <c r="AD111" s="153"/>
      <c r="AE111" s="103"/>
      <c r="AF111" s="103"/>
      <c r="AG111" s="103"/>
      <c r="AH111" s="154">
        <f>AH109*L111</f>
        <v>12.354486417629403</v>
      </c>
      <c r="AJ111" s="5"/>
      <c r="AK111" s="5"/>
      <c r="AL111" s="5"/>
      <c r="AN111" s="72"/>
      <c r="AR111" s="14"/>
    </row>
    <row r="112" spans="1:49" x14ac:dyDescent="0.2">
      <c r="A112" s="9"/>
      <c r="B112" s="129"/>
      <c r="T112" s="158"/>
      <c r="U112" s="158"/>
      <c r="V112" s="282"/>
      <c r="W112" s="158"/>
      <c r="X112" s="158"/>
      <c r="Y112" s="153"/>
      <c r="Z112" s="152">
        <f>SUM(Z110:Z111)</f>
        <v>-12.355354771678179</v>
      </c>
      <c r="AA112" s="153"/>
      <c r="AB112" s="153"/>
      <c r="AC112" s="152">
        <f>SUM(AC110:AC111)</f>
        <v>10.605236310660729</v>
      </c>
      <c r="AD112" s="153"/>
      <c r="AE112" s="103"/>
      <c r="AF112" s="103"/>
      <c r="AG112" s="103"/>
      <c r="AH112" s="153">
        <f>SUM(AH110:AH111)</f>
        <v>12.30418646377615</v>
      </c>
      <c r="AI112" s="41" t="s">
        <v>1091</v>
      </c>
      <c r="AJ112" s="5" t="s">
        <v>16</v>
      </c>
      <c r="AK112" s="219">
        <f>INDEX('C-P-RollAdj'!$J$4:$J$76,MATCH(INT(Z112),'C-P-RollAdj'!$I$4:$I$76,FALSE),0)</f>
        <v>-31</v>
      </c>
      <c r="AL112" s="219">
        <f>INDEX('C-P-RollAdj'!$J$4:$J$76,MATCH(INT(AC112),'C-P-RollAdj'!$I$4:$I$76,FALSE),0)</f>
        <v>24</v>
      </c>
      <c r="AM112" s="262">
        <f>SUM(AM108:AM111)</f>
        <v>12.222222222222221</v>
      </c>
      <c r="AN112" s="14">
        <f>SUM(AN108:AN111)</f>
        <v>9.4444444444444446</v>
      </c>
      <c r="AO112" s="14">
        <f>SUM(AO108:AO111)</f>
        <v>0</v>
      </c>
      <c r="AP112" s="14">
        <f>SUM(AP108:AP111)</f>
        <v>57.222222222222221</v>
      </c>
      <c r="AR112" s="14"/>
    </row>
    <row r="113" spans="1:50" x14ac:dyDescent="0.2">
      <c r="AR113" s="14"/>
    </row>
    <row r="114" spans="1:50" s="122" customFormat="1" x14ac:dyDescent="0.2">
      <c r="A114" t="s">
        <v>532</v>
      </c>
      <c r="B114" s="76" t="s">
        <v>153</v>
      </c>
      <c r="C114" s="76">
        <v>9</v>
      </c>
      <c r="D114" s="76">
        <v>3</v>
      </c>
      <c r="E114" s="76">
        <v>2.25</v>
      </c>
      <c r="F114" s="76">
        <v>14</v>
      </c>
      <c r="G114" s="76">
        <v>14</v>
      </c>
      <c r="H114" s="76">
        <v>0</v>
      </c>
      <c r="I114" s="76">
        <v>0</v>
      </c>
      <c r="J114" s="76">
        <v>0</v>
      </c>
      <c r="K114" s="76">
        <v>0</v>
      </c>
      <c r="L114" s="258">
        <f>INDEX('C-P-RollAdj'!$P$4:$P$900,MATCH((U114),'C-P-RollAdj'!$O$4:$O$900,FALSE),0)</f>
        <v>76</v>
      </c>
      <c r="M114" s="76">
        <v>55</v>
      </c>
      <c r="N114" s="76">
        <v>22</v>
      </c>
      <c r="O114" s="76">
        <v>19</v>
      </c>
      <c r="P114" s="76">
        <v>2</v>
      </c>
      <c r="Q114" s="76">
        <v>28</v>
      </c>
      <c r="R114" s="76">
        <v>0</v>
      </c>
      <c r="S114" s="76">
        <v>90</v>
      </c>
      <c r="T114" s="76">
        <v>311</v>
      </c>
      <c r="U114" s="76">
        <v>76</v>
      </c>
      <c r="V114" s="100">
        <v>0.20100000000000001</v>
      </c>
      <c r="W114" s="76">
        <v>1.0900000000000001</v>
      </c>
      <c r="X114" s="196"/>
      <c r="Y114" s="50">
        <f>+(Q114-R114)/(T114-R114)*100</f>
        <v>9.0032154340836019</v>
      </c>
      <c r="Z114" s="6">
        <f>IF(Y114&lt;LeagueRatings!$K$10,((LeagueRatings!$K$10-Y114)/LeagueRatings!$K$10)*36,(LeagueRatings!$K$10-Y114)*6.48)</f>
        <v>-2.17505551866808</v>
      </c>
      <c r="AA114" s="16">
        <f>INDEX('C-P-RollAdj'!$B$4:$B$76,MATCH(INT(Z114),'C-P-RollAdj'!$A$4:$A$76,FALSE),0)</f>
        <v>0.27</v>
      </c>
      <c r="AB114" s="16">
        <f>(P114/(T114-R114))*100</f>
        <v>0.64308681672025725</v>
      </c>
      <c r="AC114" s="6">
        <f>IF(AB114&lt;LeagueRatings!$K$8,((LeagueRatings!$K$8-AB114)/LeagueRatings!$K$8)*36,(LeagueRatings!$K$8-AB114)/LeagueRatings!$K$11)</f>
        <v>28.770283865622478</v>
      </c>
      <c r="AD114" s="16">
        <f>INDEX('C-P-RollAdj'!$F$4:$F$76,MATCH(INT(AC114),'C-P-RollAdj'!$E$4:$E$76,FALSE),0)</f>
        <v>-2.38</v>
      </c>
      <c r="AE114" s="17">
        <f>+((LeagueRatings!$I$17-E114)*5)+9.5</f>
        <v>19.064387243706364</v>
      </c>
      <c r="AF114" s="17">
        <f>IF(AE114&lt;4,4,AE114)</f>
        <v>19.064387243706364</v>
      </c>
      <c r="AG114" s="17">
        <f>IF(M114&lt;L114,((1-(M114/L114))*7)-0.07,(1-(M114/L114))*5)</f>
        <v>1.8642105263157893</v>
      </c>
      <c r="AH114" s="4">
        <f>+AA114+AD114+AF114+AG114</f>
        <v>18.818597770022155</v>
      </c>
      <c r="AI114" s="213"/>
      <c r="AJ114" s="5" t="s">
        <v>31</v>
      </c>
      <c r="AK114" s="219">
        <f>INDEX('C-P-RollAdj'!$J$4:$J$76,MATCH(INT(Z114),'C-P-RollAdj'!$I$4:$I$76,FALSE),0)</f>
        <v>-13</v>
      </c>
      <c r="AL114" s="219">
        <f>INDEX('C-P-RollAdj'!$J$4:$J$76,MATCH(INT(AC114),'C-P-RollAdj'!$I$4:$I$76,FALSE),0)</f>
        <v>54</v>
      </c>
      <c r="AM114" s="262">
        <f>+AR114*LeagueRatings!$K$27</f>
        <v>42.222222222222221</v>
      </c>
      <c r="AN114" s="72">
        <f>F114*LeagueRatings!$K$27</f>
        <v>7.7777777777777786</v>
      </c>
      <c r="AO114" s="72">
        <f>G114*LeagueRatings!$K$27</f>
        <v>7.7777777777777786</v>
      </c>
      <c r="AP114" s="72">
        <f>T114*LeagueRatings!$K$27</f>
        <v>172.77777777777777</v>
      </c>
      <c r="AQ114" s="24"/>
      <c r="AR114" s="14">
        <f>ROUNDUP(L114,0)</f>
        <v>76</v>
      </c>
      <c r="AS114" s="123"/>
      <c r="AT114" s="123"/>
      <c r="AU114" s="123"/>
      <c r="AW114" s="71"/>
      <c r="AX114" s="71"/>
    </row>
    <row r="115" spans="1:50" s="24" customFormat="1" x14ac:dyDescent="0.2">
      <c r="A115" s="41" t="s">
        <v>532</v>
      </c>
      <c r="B115" s="76" t="s">
        <v>165</v>
      </c>
      <c r="C115" s="76">
        <v>3</v>
      </c>
      <c r="D115" s="76">
        <v>2</v>
      </c>
      <c r="E115" s="76">
        <v>1.83</v>
      </c>
      <c r="F115" s="76">
        <v>6</v>
      </c>
      <c r="G115" s="76">
        <v>6</v>
      </c>
      <c r="H115" s="76">
        <v>0</v>
      </c>
      <c r="I115" s="76">
        <v>0</v>
      </c>
      <c r="J115" s="76">
        <v>0</v>
      </c>
      <c r="K115" s="76">
        <v>0</v>
      </c>
      <c r="L115" s="258">
        <f>INDEX('C-P-RollAdj'!$P$4:$P$900,MATCH((U115),'C-P-RollAdj'!$O$4:$O$900,FALSE),0)</f>
        <v>34.33</v>
      </c>
      <c r="M115" s="76">
        <v>22</v>
      </c>
      <c r="N115" s="76">
        <v>7</v>
      </c>
      <c r="O115" s="76">
        <v>7</v>
      </c>
      <c r="P115" s="76">
        <v>2</v>
      </c>
      <c r="Q115" s="76">
        <v>5</v>
      </c>
      <c r="R115" s="76">
        <v>0</v>
      </c>
      <c r="S115" s="76">
        <v>39</v>
      </c>
      <c r="T115" s="76">
        <v>128</v>
      </c>
      <c r="U115" s="76">
        <v>34.1</v>
      </c>
      <c r="V115" s="100">
        <v>0.182</v>
      </c>
      <c r="W115" s="76">
        <v>0.79</v>
      </c>
      <c r="X115" s="76"/>
      <c r="Y115" s="50">
        <f>+(Q115-R115)/(T115-R115)*100</f>
        <v>3.90625</v>
      </c>
      <c r="Z115" s="6">
        <f>IF(Y115&lt;LeagueRatings!$K$21,((LeagueRatings!$K$21-Y115)/LeagueRatings!$K$21)*36,(LeagueRatings!$K$21-Y115)*6.48)</f>
        <v>20.29300176094803</v>
      </c>
      <c r="AA115" s="16">
        <f>INDEX('C-P-RollAdj'!$B$4:$B$76,MATCH(INT(Z115),'C-P-RollAdj'!$A$4:$A$76,FALSE),0)</f>
        <v>-1.79</v>
      </c>
      <c r="AB115" s="16">
        <f>(P115/(T115-R115))*100</f>
        <v>1.5625</v>
      </c>
      <c r="AC115" s="6">
        <f>IF(AB115&lt;LeagueRatings!$K$19,((LeagueRatings!$K$19-AB115)/LeagueRatings!$K$19)*36,(LeagueRatings!$K$19-AB115)/LeagueRatings!$K$22)</f>
        <v>16.656810538116591</v>
      </c>
      <c r="AD115" s="16">
        <f>INDEX('C-P-RollAdj'!$F$4:$F$76,MATCH(INT(AC115),'C-P-RollAdj'!$E$4:$E$76,FALSE),0)</f>
        <v>-1.23</v>
      </c>
      <c r="AE115" s="17">
        <f>+((LeagueRatings!$I$6-E115)*5)+9.5</f>
        <v>21.358051455277405</v>
      </c>
      <c r="AF115" s="17">
        <f>IF(AE115&lt;4,4,AE115)</f>
        <v>21.358051455277405</v>
      </c>
      <c r="AG115" s="17">
        <f>IF(M115&lt;L115,((1-(M115/L115))*7)-0.07,(1-(M115/L115))*5)</f>
        <v>2.4441275852024464</v>
      </c>
      <c r="AH115" s="4">
        <f>+AA115+AD115+AF115+AG115</f>
        <v>20.782179040479853</v>
      </c>
      <c r="AJ115" s="5" t="s">
        <v>60</v>
      </c>
      <c r="AK115" s="219">
        <f>INDEX('C-P-RollAdj'!$J$4:$J$76,MATCH(INT(Z115),'C-P-RollAdj'!$I$4:$I$76,FALSE),0)</f>
        <v>42</v>
      </c>
      <c r="AL115" s="219">
        <f>INDEX('C-P-RollAdj'!$J$4:$J$76,MATCH(INT(AC115),'C-P-RollAdj'!$I$4:$I$76,FALSE),0)</f>
        <v>34</v>
      </c>
      <c r="AM115" s="262">
        <f>+AR115*LeagueRatings!$K$27</f>
        <v>19.444444444444446</v>
      </c>
      <c r="AN115" s="72">
        <f>F115*LeagueRatings!$K$27</f>
        <v>3.3333333333333335</v>
      </c>
      <c r="AO115" s="72">
        <f>G115*LeagueRatings!$K$27</f>
        <v>3.3333333333333335</v>
      </c>
      <c r="AP115" s="72">
        <f>T115*LeagueRatings!$K$27</f>
        <v>71.111111111111114</v>
      </c>
      <c r="AQ115" s="26"/>
      <c r="AR115" s="72">
        <f>ROUNDUP(L115,0)</f>
        <v>35</v>
      </c>
      <c r="AS115" s="113"/>
      <c r="AT115" s="113"/>
      <c r="AU115" s="113"/>
      <c r="AV115" s="26"/>
      <c r="AW115" s="97">
        <v>29.67</v>
      </c>
      <c r="AX115" s="26"/>
    </row>
    <row r="116" spans="1:50" s="122" customFormat="1" x14ac:dyDescent="0.2">
      <c r="A116" s="9"/>
      <c r="B116" s="129"/>
      <c r="C116" s="205"/>
      <c r="D116" s="196"/>
      <c r="E116" s="205"/>
      <c r="F116" s="196"/>
      <c r="G116" s="196"/>
      <c r="H116" s="196"/>
      <c r="I116" s="206"/>
      <c r="J116" s="206"/>
      <c r="K116" s="206"/>
      <c r="L116" s="157">
        <f>(L114/100)/((L114+L115)/100)</f>
        <v>0.6888425632194326</v>
      </c>
      <c r="M116" s="146"/>
      <c r="N116" s="146"/>
      <c r="O116" s="146"/>
      <c r="P116" s="146"/>
      <c r="Q116" s="146"/>
      <c r="R116" s="146"/>
      <c r="S116" s="146"/>
      <c r="T116" s="158"/>
      <c r="U116" s="158"/>
      <c r="V116" s="282"/>
      <c r="W116" s="158"/>
      <c r="X116" s="158"/>
      <c r="Y116" s="153"/>
      <c r="Z116" s="152">
        <f>Z114*L116</f>
        <v>-1.4982708186238927</v>
      </c>
      <c r="AA116" s="153"/>
      <c r="AB116" s="153"/>
      <c r="AC116" s="152">
        <f>AC114*L116</f>
        <v>19.818196082546073</v>
      </c>
      <c r="AD116" s="153"/>
      <c r="AE116" s="103"/>
      <c r="AF116" s="103"/>
      <c r="AG116" s="103"/>
      <c r="AH116" s="154">
        <f>AH114*L116</f>
        <v>12.963051124097559</v>
      </c>
      <c r="AI116" s="168"/>
      <c r="AJ116" s="5"/>
      <c r="AK116" s="5"/>
      <c r="AL116" s="5"/>
      <c r="AM116" s="262"/>
      <c r="AN116" s="72"/>
      <c r="AO116" s="72"/>
      <c r="AP116" s="72"/>
      <c r="AQ116" s="30"/>
      <c r="AR116" s="14"/>
      <c r="AS116" s="123"/>
      <c r="AT116" s="123"/>
      <c r="AU116" s="123"/>
      <c r="AW116" s="71"/>
      <c r="AX116" s="71"/>
    </row>
    <row r="117" spans="1:50" s="122" customFormat="1" x14ac:dyDescent="0.2">
      <c r="A117" s="9"/>
      <c r="B117" s="129"/>
      <c r="C117" s="205"/>
      <c r="D117" s="196"/>
      <c r="E117" s="205"/>
      <c r="F117" s="196"/>
      <c r="G117" s="196"/>
      <c r="H117" s="196"/>
      <c r="I117" s="206"/>
      <c r="J117" s="206"/>
      <c r="K117" s="206"/>
      <c r="L117" s="157">
        <f>(L115/100)/((L114+L115)/100)</f>
        <v>0.3111574367805674</v>
      </c>
      <c r="M117" s="146"/>
      <c r="N117" s="146"/>
      <c r="O117" s="146"/>
      <c r="P117" s="146"/>
      <c r="Q117" s="146"/>
      <c r="R117" s="146"/>
      <c r="S117" s="146"/>
      <c r="T117" s="158"/>
      <c r="U117" s="158"/>
      <c r="V117" s="282"/>
      <c r="W117" s="158"/>
      <c r="X117" s="158"/>
      <c r="Y117" s="153"/>
      <c r="Z117" s="152">
        <f>Z115*L117</f>
        <v>6.3143184125201293</v>
      </c>
      <c r="AA117" s="153"/>
      <c r="AB117" s="153"/>
      <c r="AC117" s="152">
        <f>AC115*L117</f>
        <v>5.1828904719799018</v>
      </c>
      <c r="AD117" s="153"/>
      <c r="AE117" s="103"/>
      <c r="AF117" s="103"/>
      <c r="AG117" s="103"/>
      <c r="AH117" s="154">
        <f>AH115*L117</f>
        <v>6.4665295609505424</v>
      </c>
      <c r="AI117" s="168"/>
      <c r="AJ117" s="5"/>
      <c r="AK117" s="5"/>
      <c r="AL117" s="5"/>
      <c r="AM117" s="262"/>
      <c r="AN117" s="72"/>
      <c r="AO117" s="72"/>
      <c r="AP117" s="72"/>
      <c r="AR117" s="112"/>
      <c r="AS117" s="123"/>
      <c r="AT117" s="123"/>
      <c r="AU117" s="123"/>
      <c r="AW117" s="71"/>
      <c r="AX117" s="71"/>
    </row>
    <row r="118" spans="1:50" s="122" customFormat="1" x14ac:dyDescent="0.2">
      <c r="A118" s="9"/>
      <c r="B118" s="129"/>
      <c r="C118" s="205"/>
      <c r="D118" s="196"/>
      <c r="E118" s="205"/>
      <c r="F118" s="196"/>
      <c r="G118" s="196"/>
      <c r="H118" s="196"/>
      <c r="I118" s="206"/>
      <c r="J118" s="206"/>
      <c r="K118" s="206"/>
      <c r="L118" s="157"/>
      <c r="M118" s="146"/>
      <c r="N118" s="146"/>
      <c r="O118" s="146"/>
      <c r="P118" s="146"/>
      <c r="Q118" s="146"/>
      <c r="R118" s="146"/>
      <c r="S118" s="146"/>
      <c r="T118" s="158"/>
      <c r="U118" s="158"/>
      <c r="V118" s="282"/>
      <c r="W118" s="158"/>
      <c r="X118" s="158"/>
      <c r="Y118" s="153"/>
      <c r="Z118" s="152">
        <f>SUM(Z116:Z117)</f>
        <v>4.8160475938962364</v>
      </c>
      <c r="AA118" s="153"/>
      <c r="AB118" s="153"/>
      <c r="AC118" s="152">
        <f>SUM(AC116:AC117)</f>
        <v>25.001086554525976</v>
      </c>
      <c r="AD118" s="153"/>
      <c r="AE118" s="103"/>
      <c r="AF118" s="103"/>
      <c r="AG118" s="103"/>
      <c r="AH118" s="153">
        <f>SUM(AH116:AH117)</f>
        <v>19.429580685048101</v>
      </c>
      <c r="AI118" s="41" t="s">
        <v>532</v>
      </c>
      <c r="AJ118" s="5" t="s">
        <v>67</v>
      </c>
      <c r="AK118" s="219">
        <f>INDEX('C-P-RollAdj'!$J$4:$J$76,MATCH(INT(Z118),'C-P-RollAdj'!$I$4:$I$76,FALSE),0)</f>
        <v>14</v>
      </c>
      <c r="AL118" s="219">
        <f>INDEX('C-P-RollAdj'!$J$4:$J$76,MATCH(INT(AC118),'C-P-RollAdj'!$I$4:$I$76,FALSE),0)</f>
        <v>51</v>
      </c>
      <c r="AM118" s="262">
        <f>SUM(AM114:AM117)</f>
        <v>61.666666666666671</v>
      </c>
      <c r="AN118" s="14">
        <f>SUM(AN114:AN117)</f>
        <v>11.111111111111112</v>
      </c>
      <c r="AO118" s="14">
        <f>SUM(AO114:AO117)</f>
        <v>11.111111111111112</v>
      </c>
      <c r="AP118" s="14">
        <f>SUM(AP114:AP117)</f>
        <v>243.88888888888889</v>
      </c>
      <c r="AR118" s="112"/>
      <c r="AS118" s="123"/>
      <c r="AT118" s="123"/>
      <c r="AU118" s="123"/>
      <c r="AW118" s="71"/>
      <c r="AX118" s="71"/>
    </row>
    <row r="119" spans="1:50" s="122" customFormat="1" x14ac:dyDescent="0.2">
      <c r="A119" s="146"/>
      <c r="B119" s="155"/>
      <c r="C119" s="205"/>
      <c r="D119" s="196"/>
      <c r="E119" s="205"/>
      <c r="F119" s="196"/>
      <c r="G119" s="196"/>
      <c r="H119" s="196"/>
      <c r="I119" s="206"/>
      <c r="J119" s="206"/>
      <c r="K119" s="206"/>
      <c r="L119" s="205"/>
      <c r="M119" s="196"/>
      <c r="N119" s="196"/>
      <c r="O119" s="196"/>
      <c r="P119" s="196"/>
      <c r="Q119" s="196"/>
      <c r="R119" s="196"/>
      <c r="S119" s="196"/>
      <c r="T119" s="196"/>
      <c r="U119" s="196"/>
      <c r="V119" s="277"/>
      <c r="W119" s="196"/>
      <c r="X119" s="196"/>
      <c r="Y119" s="207"/>
      <c r="Z119" s="208"/>
      <c r="AA119" s="209"/>
      <c r="AB119" s="210"/>
      <c r="AC119" s="208"/>
      <c r="AD119" s="209"/>
      <c r="AE119" s="211"/>
      <c r="AF119" s="211"/>
      <c r="AG119" s="211"/>
      <c r="AH119" s="212"/>
      <c r="AI119" s="213"/>
      <c r="AJ119" s="214"/>
      <c r="AK119" s="214"/>
      <c r="AL119" s="214"/>
      <c r="AM119" s="206"/>
      <c r="AN119" s="121"/>
      <c r="AO119" s="121"/>
      <c r="AP119" s="121"/>
      <c r="AR119" s="112"/>
      <c r="AS119" s="123"/>
      <c r="AT119" s="123"/>
      <c r="AU119" s="123"/>
      <c r="AW119" s="71"/>
      <c r="AX119" s="71"/>
    </row>
    <row r="120" spans="1:50" s="122" customFormat="1" x14ac:dyDescent="0.2">
      <c r="A120" t="s">
        <v>486</v>
      </c>
      <c r="B120" s="76" t="s">
        <v>148</v>
      </c>
      <c r="C120" s="76">
        <v>2</v>
      </c>
      <c r="D120" s="76">
        <v>2</v>
      </c>
      <c r="E120" s="76">
        <v>3.74</v>
      </c>
      <c r="F120" s="76">
        <v>21</v>
      </c>
      <c r="G120" s="76">
        <v>0</v>
      </c>
      <c r="H120" s="76">
        <v>0</v>
      </c>
      <c r="I120" s="76">
        <v>0</v>
      </c>
      <c r="J120" s="76">
        <v>0</v>
      </c>
      <c r="K120" s="76">
        <v>1</v>
      </c>
      <c r="L120" s="258">
        <f>INDEX('C-P-RollAdj'!$P$4:$P$900,MATCH((U120),'C-P-RollAdj'!$O$4:$O$900,FALSE),0)</f>
        <v>21.67</v>
      </c>
      <c r="M120" s="76">
        <v>21</v>
      </c>
      <c r="N120" s="76">
        <v>10</v>
      </c>
      <c r="O120" s="76">
        <v>9</v>
      </c>
      <c r="P120" s="76">
        <v>1</v>
      </c>
      <c r="Q120" s="76">
        <v>5</v>
      </c>
      <c r="R120" s="76">
        <v>1</v>
      </c>
      <c r="S120" s="76">
        <v>17</v>
      </c>
      <c r="T120" s="76">
        <v>90</v>
      </c>
      <c r="U120" s="76">
        <v>21.2</v>
      </c>
      <c r="V120" s="76">
        <v>0.25600000000000001</v>
      </c>
      <c r="W120" s="76">
        <v>1.2</v>
      </c>
      <c r="X120" s="196"/>
      <c r="Y120" s="50">
        <f>+(Q120-R120)/(T120-R120)*100</f>
        <v>4.4943820224719104</v>
      </c>
      <c r="Z120" s="6">
        <f>IF(Y120&lt;LeagueRatings!$K$10,((LeagueRatings!$K$10-Y120)/LeagueRatings!$K$10)*36,(LeagueRatings!$K$10-Y120)*6.48)</f>
        <v>17.332949903355576</v>
      </c>
      <c r="AA120" s="16">
        <f>INDEX('C-P-RollAdj'!$B$4:$B$76,MATCH(INT(Z120),'C-P-RollAdj'!$A$4:$A$76,FALSE),0)</f>
        <v>-1.49</v>
      </c>
      <c r="AB120" s="16">
        <f>(P120/(T120-R120))*100</f>
        <v>1.1235955056179776</v>
      </c>
      <c r="AC120" s="6">
        <f>IF(AB120&lt;LeagueRatings!$K$8,((LeagueRatings!$K$8-AB120)/LeagueRatings!$K$8)*36,(LeagueRatings!$K$8-AB120)/LeagueRatings!$K$11)</f>
        <v>23.36830495622803</v>
      </c>
      <c r="AD120" s="16">
        <f>INDEX('C-P-RollAdj'!$F$4:$F$76,MATCH(INT(AC120),'C-P-RollAdj'!$E$4:$E$76,FALSE),0)</f>
        <v>-1.88</v>
      </c>
      <c r="AE120" s="17">
        <f>+((LeagueRatings!$I$17-E120)*5)+9.5</f>
        <v>11.614387243706361</v>
      </c>
      <c r="AF120" s="17">
        <f>IF(AE120&lt;4,4,AE120)</f>
        <v>11.614387243706361</v>
      </c>
      <c r="AG120" s="17">
        <f>IF(M120&lt;L120,((1-(M120/L120))*7)-0.07,(1-(M120/L120))*5)</f>
        <v>0.14642824180895325</v>
      </c>
      <c r="AH120" s="4">
        <f>+AA120+AD120+AF120+AG120</f>
        <v>8.3908154855153132</v>
      </c>
      <c r="AI120" s="213"/>
      <c r="AJ120" s="5" t="s">
        <v>34</v>
      </c>
      <c r="AK120" s="219">
        <f>INDEX('C-P-RollAdj'!$J$4:$J$76,MATCH(INT(Z120),'C-P-RollAdj'!$I$4:$I$76,FALSE),0)</f>
        <v>35</v>
      </c>
      <c r="AL120" s="219">
        <f>INDEX('C-P-RollAdj'!$J$4:$J$76,MATCH(INT(AC120),'C-P-RollAdj'!$I$4:$I$76,FALSE),0)</f>
        <v>45</v>
      </c>
      <c r="AM120" s="262">
        <f>+AR120*LeagueRatings!$K$27</f>
        <v>12.222222222222223</v>
      </c>
      <c r="AN120" s="72">
        <f>F120*LeagueRatings!$K$27</f>
        <v>11.666666666666668</v>
      </c>
      <c r="AO120" s="72">
        <f>G120*LeagueRatings!$K$27</f>
        <v>0</v>
      </c>
      <c r="AP120" s="72">
        <f>T120*LeagueRatings!$K$27</f>
        <v>50</v>
      </c>
      <c r="AQ120" s="24"/>
      <c r="AR120" s="14">
        <f>ROUNDUP(L120,0)</f>
        <v>22</v>
      </c>
      <c r="AS120" s="123"/>
      <c r="AT120" s="123"/>
      <c r="AU120" s="123"/>
      <c r="AW120" s="71"/>
      <c r="AX120" s="71"/>
    </row>
    <row r="121" spans="1:50" s="24" customFormat="1" x14ac:dyDescent="0.2">
      <c r="A121" s="41" t="s">
        <v>486</v>
      </c>
      <c r="B121" s="76" t="s">
        <v>145</v>
      </c>
      <c r="C121" s="76">
        <v>0</v>
      </c>
      <c r="D121" s="76">
        <v>0</v>
      </c>
      <c r="E121" s="76">
        <v>2.19</v>
      </c>
      <c r="F121" s="76">
        <v>12</v>
      </c>
      <c r="G121" s="76">
        <v>0</v>
      </c>
      <c r="H121" s="76">
        <v>0</v>
      </c>
      <c r="I121" s="76">
        <v>0</v>
      </c>
      <c r="J121" s="76">
        <v>0</v>
      </c>
      <c r="K121" s="76">
        <v>0</v>
      </c>
      <c r="L121" s="258">
        <f>INDEX('C-P-RollAdj'!$P$4:$P$900,MATCH((U121),'C-P-RollAdj'!$O$4:$O$900,FALSE),0)</f>
        <v>12.33</v>
      </c>
      <c r="M121" s="76">
        <v>14</v>
      </c>
      <c r="N121" s="76">
        <v>3</v>
      </c>
      <c r="O121" s="76">
        <v>3</v>
      </c>
      <c r="P121" s="76">
        <v>0</v>
      </c>
      <c r="Q121" s="76">
        <v>3</v>
      </c>
      <c r="R121" s="76">
        <v>0</v>
      </c>
      <c r="S121" s="76">
        <v>6</v>
      </c>
      <c r="T121" s="76">
        <v>49</v>
      </c>
      <c r="U121" s="76">
        <v>12.1</v>
      </c>
      <c r="V121" s="76">
        <v>0.30399999999999999</v>
      </c>
      <c r="W121" s="76">
        <v>1.38</v>
      </c>
      <c r="X121" s="76"/>
      <c r="Y121" s="50">
        <f>+(Q121-R121)/(T121-R121)*100</f>
        <v>6.1224489795918364</v>
      </c>
      <c r="Z121" s="6">
        <f>IF(Y121&lt;LeagueRatings!$K$10,((LeagueRatings!$K$10-Y121)/LeagueRatings!$K$10)*36,(LeagueRatings!$K$10-Y121)*6.48)</f>
        <v>10.57090624589765</v>
      </c>
      <c r="AA121" s="16">
        <f>INDEX('C-P-RollAdj'!$B$4:$B$76,MATCH(INT(Z121),'C-P-RollAdj'!$A$4:$A$76,FALSE),0)</f>
        <v>-0.83000000000000007</v>
      </c>
      <c r="AB121" s="16">
        <f>(P121/(T121-R121))*100</f>
        <v>0</v>
      </c>
      <c r="AC121" s="6">
        <f>IF(AB121&lt;LeagueRatings!$K$8,((LeagueRatings!$K$8-AB121)/LeagueRatings!$K$8)*36,(LeagueRatings!$K$8-AB121)/LeagueRatings!$K$11)</f>
        <v>36</v>
      </c>
      <c r="AD121" s="16">
        <f>INDEX('C-P-RollAdj'!$F$4:$F$76,MATCH(INT(AC121),'C-P-RollAdj'!$E$4:$E$76,FALSE),0)</f>
        <v>-3.26</v>
      </c>
      <c r="AE121" s="17">
        <f>+((LeagueRatings!$I$6-E121)*5)+9.5</f>
        <v>19.558051455277404</v>
      </c>
      <c r="AF121" s="17">
        <f>IF(AE121&lt;4,4,AE121)</f>
        <v>19.558051455277404</v>
      </c>
      <c r="AG121" s="17">
        <f>IF(M121&lt;L121,((1-(M121/L121))*7)-0.07,(1-(M121/L121))*5)</f>
        <v>-0.67721005677210067</v>
      </c>
      <c r="AH121" s="4">
        <f>+AA121+AD121+AF121+AG121</f>
        <v>14.790841398505304</v>
      </c>
      <c r="AJ121" s="5" t="s">
        <v>14</v>
      </c>
      <c r="AK121" s="219">
        <f>INDEX('C-P-RollAdj'!$J$4:$J$76,MATCH(INT(Z121),'C-P-RollAdj'!$I$4:$I$76,FALSE),0)</f>
        <v>24</v>
      </c>
      <c r="AL121" s="219">
        <f>INDEX('C-P-RollAdj'!$J$4:$J$76,MATCH(INT(AC121),'C-P-RollAdj'!$I$4:$I$76,FALSE),0)</f>
        <v>66</v>
      </c>
      <c r="AM121" s="262">
        <f>+AR121*LeagueRatings!$K$27</f>
        <v>7.2222222222222223</v>
      </c>
      <c r="AN121" s="72">
        <f>F121*LeagueRatings!$K$27</f>
        <v>6.666666666666667</v>
      </c>
      <c r="AO121" s="72">
        <f>G121*LeagueRatings!$K$27</f>
        <v>0</v>
      </c>
      <c r="AP121" s="72">
        <f>T121*LeagueRatings!$K$27</f>
        <v>27.222222222222225</v>
      </c>
      <c r="AQ121" s="26"/>
      <c r="AR121" s="72">
        <f>ROUNDUP(L121,0)</f>
        <v>13</v>
      </c>
      <c r="AS121" s="113"/>
      <c r="AT121" s="113"/>
      <c r="AU121" s="113"/>
      <c r="AV121" s="26"/>
      <c r="AW121" s="97">
        <v>29.67</v>
      </c>
      <c r="AX121" s="26"/>
    </row>
    <row r="122" spans="1:50" s="122" customFormat="1" x14ac:dyDescent="0.2">
      <c r="A122" s="9"/>
      <c r="B122" s="129"/>
      <c r="C122" s="205"/>
      <c r="D122" s="196"/>
      <c r="E122" s="205"/>
      <c r="F122" s="196"/>
      <c r="G122" s="196"/>
      <c r="H122" s="196"/>
      <c r="I122" s="206"/>
      <c r="J122" s="206"/>
      <c r="K122" s="206"/>
      <c r="L122" s="157">
        <f>(L120/100)/((L120+L121)/100)</f>
        <v>0.63735294117647057</v>
      </c>
      <c r="M122" s="296"/>
      <c r="N122" s="296"/>
      <c r="O122" s="296"/>
      <c r="P122" s="296"/>
      <c r="Q122" s="296"/>
      <c r="R122" s="296"/>
      <c r="S122" s="296"/>
      <c r="T122" s="158"/>
      <c r="U122" s="158"/>
      <c r="V122" s="282"/>
      <c r="W122" s="158"/>
      <c r="X122" s="158"/>
      <c r="Y122" s="153"/>
      <c r="Z122" s="152">
        <f>Z120*L122</f>
        <v>11.047206600168098</v>
      </c>
      <c r="AA122" s="153"/>
      <c r="AB122" s="153"/>
      <c r="AC122" s="152">
        <f>AC120*L122</f>
        <v>14.893857894160629</v>
      </c>
      <c r="AD122" s="153"/>
      <c r="AE122" s="103"/>
      <c r="AF122" s="103"/>
      <c r="AG122" s="103"/>
      <c r="AH122" s="154">
        <f>AH120*L122</f>
        <v>5.3479109285622597</v>
      </c>
      <c r="AI122" s="168"/>
      <c r="AJ122" s="5"/>
      <c r="AK122" s="5"/>
      <c r="AL122" s="5"/>
      <c r="AM122" s="262"/>
      <c r="AN122" s="72"/>
      <c r="AO122" s="72"/>
      <c r="AP122" s="72"/>
      <c r="AQ122" s="30"/>
      <c r="AR122" s="14"/>
      <c r="AS122" s="123"/>
      <c r="AT122" s="123"/>
      <c r="AU122" s="123"/>
      <c r="AW122" s="71"/>
      <c r="AX122" s="71"/>
    </row>
    <row r="123" spans="1:50" s="122" customFormat="1" x14ac:dyDescent="0.2">
      <c r="A123" s="9"/>
      <c r="B123" s="129"/>
      <c r="C123" s="205"/>
      <c r="D123" s="196"/>
      <c r="E123" s="205"/>
      <c r="F123" s="196"/>
      <c r="G123" s="196"/>
      <c r="H123" s="196"/>
      <c r="I123" s="206"/>
      <c r="J123" s="206"/>
      <c r="K123" s="206"/>
      <c r="L123" s="157">
        <f>(L121/100)/((L120+L121)/100)</f>
        <v>0.36264705882352943</v>
      </c>
      <c r="M123" s="296"/>
      <c r="N123" s="296"/>
      <c r="O123" s="296"/>
      <c r="P123" s="296"/>
      <c r="Q123" s="296"/>
      <c r="R123" s="296"/>
      <c r="S123" s="296"/>
      <c r="T123" s="158"/>
      <c r="U123" s="158"/>
      <c r="V123" s="282"/>
      <c r="W123" s="158"/>
      <c r="X123" s="158"/>
      <c r="Y123" s="153"/>
      <c r="Z123" s="152">
        <f>Z121*L123</f>
        <v>3.8335080591740596</v>
      </c>
      <c r="AA123" s="153"/>
      <c r="AB123" s="153"/>
      <c r="AC123" s="152">
        <f>AC121*L123</f>
        <v>13.05529411764706</v>
      </c>
      <c r="AD123" s="153"/>
      <c r="AE123" s="103"/>
      <c r="AF123" s="103"/>
      <c r="AG123" s="103"/>
      <c r="AH123" s="154">
        <f>AH121*L123</f>
        <v>5.3638551306932474</v>
      </c>
      <c r="AI123" s="168"/>
      <c r="AJ123" s="5"/>
      <c r="AK123" s="5"/>
      <c r="AL123" s="5"/>
      <c r="AM123" s="262"/>
      <c r="AN123" s="72"/>
      <c r="AO123" s="72"/>
      <c r="AP123" s="72"/>
      <c r="AR123" s="112"/>
      <c r="AS123" s="123"/>
      <c r="AT123" s="123"/>
      <c r="AU123" s="123"/>
      <c r="AW123" s="71"/>
      <c r="AX123" s="71"/>
    </row>
    <row r="124" spans="1:50" s="122" customFormat="1" x14ac:dyDescent="0.2">
      <c r="A124" s="9"/>
      <c r="B124" s="129"/>
      <c r="C124" s="205"/>
      <c r="D124" s="196"/>
      <c r="E124" s="205"/>
      <c r="F124" s="196"/>
      <c r="G124" s="196"/>
      <c r="H124" s="196"/>
      <c r="I124" s="206"/>
      <c r="J124" s="206"/>
      <c r="K124" s="206"/>
      <c r="L124" s="157"/>
      <c r="M124" s="296"/>
      <c r="N124" s="296"/>
      <c r="O124" s="296"/>
      <c r="P124" s="296"/>
      <c r="Q124" s="296"/>
      <c r="R124" s="296"/>
      <c r="S124" s="296"/>
      <c r="T124" s="158"/>
      <c r="U124" s="158"/>
      <c r="V124" s="282"/>
      <c r="W124" s="158"/>
      <c r="X124" s="158"/>
      <c r="Y124" s="153"/>
      <c r="Z124" s="152">
        <f>SUM(Z122:Z123)</f>
        <v>14.880714659342157</v>
      </c>
      <c r="AA124" s="153"/>
      <c r="AB124" s="153"/>
      <c r="AC124" s="152">
        <f>SUM(AC122:AC123)</f>
        <v>27.949152011807691</v>
      </c>
      <c r="AD124" s="153"/>
      <c r="AE124" s="103"/>
      <c r="AF124" s="103"/>
      <c r="AG124" s="103"/>
      <c r="AH124" s="153">
        <f>SUM(AH122:AH123)</f>
        <v>10.711766059255506</v>
      </c>
      <c r="AI124" s="41" t="s">
        <v>486</v>
      </c>
      <c r="AJ124" s="5" t="s">
        <v>68</v>
      </c>
      <c r="AK124" s="219">
        <f>INDEX('C-P-RollAdj'!$J$4:$J$76,MATCH(INT(Z124),'C-P-RollAdj'!$I$4:$I$76,FALSE),0)</f>
        <v>32</v>
      </c>
      <c r="AL124" s="219">
        <f>INDEX('C-P-RollAdj'!$J$4:$J$76,MATCH(INT(AC124),'C-P-RollAdj'!$I$4:$I$76,FALSE),0)</f>
        <v>53</v>
      </c>
      <c r="AM124" s="262">
        <f>SUM(AM120:AM123)</f>
        <v>19.444444444444446</v>
      </c>
      <c r="AN124" s="14">
        <f>SUM(AN120:AN123)</f>
        <v>18.333333333333336</v>
      </c>
      <c r="AO124" s="14">
        <f>SUM(AO120:AO123)</f>
        <v>0</v>
      </c>
      <c r="AP124" s="14">
        <f>SUM(AP120:AP123)</f>
        <v>77.222222222222229</v>
      </c>
      <c r="AR124" s="112"/>
      <c r="AS124" s="123"/>
      <c r="AT124" s="123"/>
      <c r="AU124" s="123"/>
      <c r="AW124" s="71"/>
      <c r="AX124" s="71"/>
    </row>
    <row r="125" spans="1:50" s="122" customFormat="1" x14ac:dyDescent="0.2">
      <c r="A125" s="296"/>
      <c r="B125" s="155"/>
      <c r="C125" s="205"/>
      <c r="D125" s="196"/>
      <c r="E125" s="205"/>
      <c r="F125" s="196"/>
      <c r="G125" s="196"/>
      <c r="H125" s="196"/>
      <c r="I125" s="206"/>
      <c r="J125" s="206"/>
      <c r="K125" s="206"/>
      <c r="L125" s="205"/>
      <c r="M125" s="196"/>
      <c r="N125" s="196"/>
      <c r="O125" s="196"/>
      <c r="P125" s="196"/>
      <c r="Q125" s="196"/>
      <c r="R125" s="196"/>
      <c r="S125" s="196"/>
      <c r="T125" s="196"/>
      <c r="U125" s="196"/>
      <c r="V125" s="277"/>
      <c r="W125" s="196"/>
      <c r="X125" s="196"/>
      <c r="Y125" s="207"/>
      <c r="Z125" s="208"/>
      <c r="AA125" s="209"/>
      <c r="AB125" s="210"/>
      <c r="AC125" s="208"/>
      <c r="AD125" s="209"/>
      <c r="AE125" s="211"/>
      <c r="AF125" s="211"/>
      <c r="AG125" s="211"/>
      <c r="AH125" s="212"/>
      <c r="AI125" s="213"/>
      <c r="AJ125" s="214"/>
      <c r="AK125" s="214"/>
      <c r="AL125" s="214"/>
      <c r="AM125" s="206"/>
      <c r="AN125" s="121"/>
      <c r="AO125" s="121"/>
      <c r="AP125" s="121"/>
      <c r="AR125" s="112"/>
      <c r="AS125" s="123"/>
      <c r="AT125" s="123"/>
      <c r="AU125" s="123"/>
      <c r="AW125" s="71"/>
      <c r="AX125" s="71"/>
    </row>
    <row r="126" spans="1:50" x14ac:dyDescent="0.2">
      <c r="A126" t="s">
        <v>352</v>
      </c>
      <c r="B126" s="76" t="s">
        <v>244</v>
      </c>
      <c r="C126" s="76">
        <v>0</v>
      </c>
      <c r="D126" s="76">
        <v>1</v>
      </c>
      <c r="E126" s="76">
        <v>5.91</v>
      </c>
      <c r="F126" s="76">
        <v>8</v>
      </c>
      <c r="G126" s="76">
        <v>0</v>
      </c>
      <c r="H126" s="76">
        <v>0</v>
      </c>
      <c r="I126" s="76">
        <v>0</v>
      </c>
      <c r="J126" s="76">
        <v>0</v>
      </c>
      <c r="K126" s="76">
        <v>0</v>
      </c>
      <c r="L126" s="258">
        <f>INDEX('C-P-RollAdj'!$P$4:$P$900,MATCH((U126),'C-P-RollAdj'!$O$4:$O$900,FALSE),0)</f>
        <v>10.67</v>
      </c>
      <c r="M126" s="76">
        <v>13</v>
      </c>
      <c r="N126" s="76">
        <v>7</v>
      </c>
      <c r="O126" s="76">
        <v>7</v>
      </c>
      <c r="P126" s="76">
        <v>2</v>
      </c>
      <c r="Q126" s="76">
        <v>6</v>
      </c>
      <c r="R126" s="76">
        <v>1</v>
      </c>
      <c r="S126" s="76">
        <v>7</v>
      </c>
      <c r="T126" s="76">
        <v>47</v>
      </c>
      <c r="U126" s="76">
        <v>10.199999999999999</v>
      </c>
      <c r="V126" s="100">
        <v>0.317</v>
      </c>
      <c r="W126" s="76">
        <v>1.78</v>
      </c>
      <c r="Y126" s="50">
        <f>+(Q126-R126)/(T126-R126)*100</f>
        <v>10.869565217391305</v>
      </c>
      <c r="Z126" s="6">
        <f>IF(Y126&lt;LeagueRatings!$K$21,((LeagueRatings!$K$21-Y126)/LeagueRatings!$K$21)*36,(LeagueRatings!$K$21-Y126)*6.48)</f>
        <v>-12.419241629364622</v>
      </c>
      <c r="AA126" s="16">
        <f>INDEX('C-P-RollAdj'!$B$4:$B$76,MATCH(INT(Z126),'C-P-RollAdj'!$A$4:$A$76,FALSE),0)</f>
        <v>1.37</v>
      </c>
      <c r="AB126" s="16">
        <f>(P126/(T126-R126))*100</f>
        <v>4.3478260869565215</v>
      </c>
      <c r="AC126" s="6">
        <f>IF(AB126&lt;LeagueRatings!$K$19,((LeagueRatings!$K$19-AB126)/LeagueRatings!$K$19)*36,(LeagueRatings!$K$19-AB126)/LeagueRatings!$K$22)</f>
        <v>-11.633764581124069</v>
      </c>
      <c r="AD126" s="16">
        <f>INDEX('C-P-RollAdj'!$F$4:$F$76,MATCH(INT(AC126),'C-P-RollAdj'!$E$4:$E$76,FALSE),0)</f>
        <v>1.1400000000000001</v>
      </c>
      <c r="AE126" s="17">
        <f>+((LeagueRatings!$I$6-E126)*5)+9.5</f>
        <v>0.95805145527740265</v>
      </c>
      <c r="AF126" s="17">
        <f>IF(AE126&lt;4,4,AE126)</f>
        <v>4</v>
      </c>
      <c r="AG126" s="17">
        <f>IF(M126&lt;L126,((1-(M126/L126))*7)-0.07,(1-(M126/L126))*5)</f>
        <v>-1.0918462980318655</v>
      </c>
      <c r="AH126" s="4">
        <f>+AA126+AD126+AF126+AG126</f>
        <v>5.4181537019681345</v>
      </c>
      <c r="AI126" s="24"/>
      <c r="AJ126" s="94" t="s">
        <v>63</v>
      </c>
      <c r="AK126" s="219">
        <f>INDEX('C-P-RollAdj'!$J$4:$J$76,MATCH(INT(Z126),'C-P-RollAdj'!$I$4:$I$76,FALSE),0)</f>
        <v>-31</v>
      </c>
      <c r="AL126" s="219">
        <f>INDEX('C-P-RollAdj'!$J$4:$J$76,MATCH(INT(AC126),'C-P-RollAdj'!$I$4:$I$76,FALSE),0)</f>
        <v>-26</v>
      </c>
      <c r="AM126" s="262">
        <f>+AR126*LeagueRatings!$K$27</f>
        <v>6.1111111111111116</v>
      </c>
      <c r="AN126" s="72">
        <f>F126*LeagueRatings!$K$27</f>
        <v>4.4444444444444446</v>
      </c>
      <c r="AO126" s="72">
        <f>G126*LeagueRatings!$K$27</f>
        <v>0</v>
      </c>
      <c r="AP126" s="72">
        <f>T126*LeagueRatings!$K$27</f>
        <v>26.111111111111111</v>
      </c>
      <c r="AQ126" s="76"/>
      <c r="AR126" s="72">
        <f>ROUNDUP(L126,0)</f>
        <v>11</v>
      </c>
    </row>
    <row r="127" spans="1:50" s="24" customFormat="1" x14ac:dyDescent="0.2">
      <c r="A127" s="41" t="s">
        <v>352</v>
      </c>
      <c r="B127" s="76" t="s">
        <v>170</v>
      </c>
      <c r="C127" s="76">
        <v>5</v>
      </c>
      <c r="D127" s="76">
        <v>6</v>
      </c>
      <c r="E127" s="76">
        <v>5.89</v>
      </c>
      <c r="F127" s="76">
        <v>13</v>
      </c>
      <c r="G127" s="76">
        <v>13</v>
      </c>
      <c r="H127" s="76">
        <v>0</v>
      </c>
      <c r="I127" s="76">
        <v>0</v>
      </c>
      <c r="J127" s="76">
        <v>0</v>
      </c>
      <c r="K127" s="76">
        <v>0</v>
      </c>
      <c r="L127" s="258">
        <f>INDEX('C-P-RollAdj'!$P$4:$P$900,MATCH((U127),'C-P-RollAdj'!$O$4:$O$900,FALSE),0)</f>
        <v>73.33</v>
      </c>
      <c r="M127" s="76">
        <v>79</v>
      </c>
      <c r="N127" s="76">
        <v>49</v>
      </c>
      <c r="O127" s="76">
        <v>48</v>
      </c>
      <c r="P127" s="76">
        <v>12</v>
      </c>
      <c r="Q127" s="76">
        <v>35</v>
      </c>
      <c r="R127" s="76">
        <v>2</v>
      </c>
      <c r="S127" s="76">
        <v>54</v>
      </c>
      <c r="T127" s="76">
        <v>326</v>
      </c>
      <c r="U127" s="76">
        <v>73.099999999999994</v>
      </c>
      <c r="V127" s="100">
        <v>0.27800000000000002</v>
      </c>
      <c r="W127" s="76">
        <v>1.55</v>
      </c>
      <c r="X127" s="76"/>
      <c r="Y127" s="50">
        <f>+(Q127-R127)/(T127-R127)*100</f>
        <v>10.185185185185185</v>
      </c>
      <c r="Z127" s="6">
        <f>IF(Y127&lt;LeagueRatings!$K$21,((LeagueRatings!$K$21-Y127)/LeagueRatings!$K$21)*36,(LeagueRatings!$K$21-Y127)*6.48)</f>
        <v>-7.9844590206689672</v>
      </c>
      <c r="AA127" s="16">
        <f>INDEX('C-P-RollAdj'!$B$4:$B$76,MATCH(INT(Z127),'C-P-RollAdj'!$A$4:$A$76,FALSE),0)</f>
        <v>0.76</v>
      </c>
      <c r="AB127" s="16">
        <f>(P127/(T127-R127))*100</f>
        <v>3.7037037037037033</v>
      </c>
      <c r="AC127" s="6">
        <f>IF(AB127&lt;LeagueRatings!$K$19,((LeagueRatings!$K$19-AB127)/LeagueRatings!$K$19)*36,(LeagueRatings!$K$19-AB127)/LeagueRatings!$K$22)</f>
        <v>-6.4292682926829228</v>
      </c>
      <c r="AD127" s="16">
        <f>INDEX('C-P-RollAdj'!$F$4:$F$76,MATCH(INT(AC127),'C-P-RollAdj'!$E$4:$E$76,FALSE),0)</f>
        <v>0.61</v>
      </c>
      <c r="AE127" s="17">
        <f>+((LeagueRatings!$I$17-E127)*5)+9.5</f>
        <v>0.86438724370636422</v>
      </c>
      <c r="AF127" s="17">
        <f>IF(AE127&lt;4,4,AE127)</f>
        <v>4</v>
      </c>
      <c r="AG127" s="17">
        <f>IF(M127&lt;L127,((1-(M127/L127))*7)-0.07,(1-(M127/L127))*5)</f>
        <v>-0.38660848220373634</v>
      </c>
      <c r="AH127" s="4">
        <f>+AA127+AD127+AF127+AG127</f>
        <v>4.9833915177962638</v>
      </c>
      <c r="AJ127" s="58">
        <v>16</v>
      </c>
      <c r="AK127" s="219">
        <f>INDEX('C-P-RollAdj'!$J$4:$J$76,MATCH(INT(Z127),'C-P-RollAdj'!$I$4:$I$76,FALSE),0)</f>
        <v>-22</v>
      </c>
      <c r="AL127" s="219">
        <f>INDEX('C-P-RollAdj'!$J$4:$J$76,MATCH(INT(AC127),'C-P-RollAdj'!$I$4:$I$76,FALSE),0)</f>
        <v>-21</v>
      </c>
      <c r="AM127" s="262">
        <f>+AR127*LeagueRatings!$K$27</f>
        <v>41.111111111111114</v>
      </c>
      <c r="AN127" s="72">
        <f>F127*LeagueRatings!$K$27</f>
        <v>7.2222222222222223</v>
      </c>
      <c r="AO127" s="72">
        <f>G127*LeagueRatings!$K$27</f>
        <v>7.2222222222222223</v>
      </c>
      <c r="AP127" s="72">
        <f>T127*LeagueRatings!$K$27</f>
        <v>181.11111111111111</v>
      </c>
      <c r="AR127" s="14">
        <f>ROUNDUP(L127,0)</f>
        <v>74</v>
      </c>
    </row>
    <row r="128" spans="1:50" x14ac:dyDescent="0.2">
      <c r="A128" s="9"/>
      <c r="B128" s="129"/>
      <c r="L128" s="157">
        <f>(L126/100)/((L126+L127)/100)</f>
        <v>0.12702380952380954</v>
      </c>
      <c r="T128" s="158"/>
      <c r="U128" s="158"/>
      <c r="V128" s="282"/>
      <c r="W128" s="158"/>
      <c r="X128" s="158"/>
      <c r="Y128" s="153"/>
      <c r="Z128" s="152">
        <f>Z126*L128</f>
        <v>-1.5775393831585778</v>
      </c>
      <c r="AA128" s="153"/>
      <c r="AB128" s="153"/>
      <c r="AC128" s="152">
        <f>AC126*L128</f>
        <v>-1.4777650961975457</v>
      </c>
      <c r="AD128" s="153"/>
      <c r="AE128" s="103"/>
      <c r="AF128" s="103"/>
      <c r="AG128" s="103"/>
      <c r="AH128" s="154">
        <f>AH126*L128</f>
        <v>0.68823452380952388</v>
      </c>
      <c r="AJ128" s="5"/>
      <c r="AK128" s="5"/>
      <c r="AL128" s="5"/>
      <c r="AN128" s="72"/>
      <c r="AO128" s="72"/>
      <c r="AP128" s="72"/>
      <c r="AR128" s="14"/>
    </row>
    <row r="129" spans="1:49" x14ac:dyDescent="0.2">
      <c r="A129" s="9"/>
      <c r="B129" s="129"/>
      <c r="L129" s="157">
        <f>(L127/100)/((L126+L127)/100)</f>
        <v>0.87297619047619046</v>
      </c>
      <c r="T129" s="158"/>
      <c r="U129" s="158"/>
      <c r="V129" s="282"/>
      <c r="W129" s="158"/>
      <c r="X129" s="158"/>
      <c r="Y129" s="153"/>
      <c r="Z129" s="152">
        <f>Z127*L129</f>
        <v>-6.9702426188768491</v>
      </c>
      <c r="AA129" s="153"/>
      <c r="AB129" s="153"/>
      <c r="AC129" s="152">
        <f>AC127*L129</f>
        <v>-5.6125981416956989</v>
      </c>
      <c r="AD129" s="153"/>
      <c r="AE129" s="103"/>
      <c r="AF129" s="103"/>
      <c r="AG129" s="103"/>
      <c r="AH129" s="154">
        <f>AH127*L129</f>
        <v>4.3503821428571428</v>
      </c>
      <c r="AJ129" s="5"/>
      <c r="AK129" s="5"/>
      <c r="AL129" s="5"/>
      <c r="AN129" s="72"/>
      <c r="AO129" s="72"/>
      <c r="AP129" s="72"/>
      <c r="AR129" s="14"/>
    </row>
    <row r="130" spans="1:49" x14ac:dyDescent="0.2">
      <c r="A130" s="9"/>
      <c r="B130" s="129"/>
      <c r="T130" s="158"/>
      <c r="U130" s="158"/>
      <c r="V130" s="282"/>
      <c r="W130" s="158"/>
      <c r="X130" s="158"/>
      <c r="Y130" s="153"/>
      <c r="Z130" s="152">
        <f>SUM(Z128:Z129)</f>
        <v>-8.5477820020354276</v>
      </c>
      <c r="AA130" s="153"/>
      <c r="AB130" s="153"/>
      <c r="AC130" s="152">
        <f>SUM(AC128:AC129)</f>
        <v>-7.0903632378932446</v>
      </c>
      <c r="AD130" s="153"/>
      <c r="AE130" s="103"/>
      <c r="AF130" s="103"/>
      <c r="AG130" s="103"/>
      <c r="AH130" s="153">
        <f>SUM(AH128:AH129)</f>
        <v>5.038616666666667</v>
      </c>
      <c r="AI130" s="41" t="s">
        <v>352</v>
      </c>
      <c r="AJ130" s="5" t="s">
        <v>24</v>
      </c>
      <c r="AK130" s="219">
        <f>INDEX('C-P-RollAdj'!$J$4:$J$76,MATCH(INT(Z130),'C-P-RollAdj'!$I$4:$I$76,FALSE),0)</f>
        <v>-23</v>
      </c>
      <c r="AL130" s="121">
        <f>INDEX('C-P-RollAdj'!$J$4:$J$76,MATCH(INT(AC130),'C-P-RollAdj'!$I$4:$I$76,FALSE),0)</f>
        <v>-22</v>
      </c>
      <c r="AM130" s="262">
        <f>SUM(AM126:AM129)</f>
        <v>47.222222222222229</v>
      </c>
      <c r="AN130" s="14">
        <f>SUM(AN126:AN129)</f>
        <v>11.666666666666668</v>
      </c>
      <c r="AO130" s="14">
        <f>SUM(AO126:AO129)</f>
        <v>7.2222222222222223</v>
      </c>
      <c r="AP130" s="14">
        <f>SUM(AP126:AP129)</f>
        <v>207.22222222222223</v>
      </c>
      <c r="AR130" s="14"/>
    </row>
    <row r="131" spans="1:49" x14ac:dyDescent="0.2">
      <c r="A131" s="122"/>
      <c r="B131" s="122"/>
      <c r="AR131" s="14"/>
    </row>
    <row r="132" spans="1:49" x14ac:dyDescent="0.2">
      <c r="A132" t="s">
        <v>615</v>
      </c>
      <c r="B132" s="76" t="s">
        <v>166</v>
      </c>
      <c r="C132" s="76">
        <v>2</v>
      </c>
      <c r="D132" s="76">
        <v>2</v>
      </c>
      <c r="E132" s="76">
        <v>2.2200000000000002</v>
      </c>
      <c r="F132" s="76">
        <v>47</v>
      </c>
      <c r="G132" s="76">
        <v>0</v>
      </c>
      <c r="H132" s="76">
        <v>0</v>
      </c>
      <c r="I132" s="76">
        <v>0</v>
      </c>
      <c r="J132" s="76">
        <v>27</v>
      </c>
      <c r="K132" s="76">
        <v>28</v>
      </c>
      <c r="L132" s="258">
        <f>INDEX('C-P-RollAdj'!$P$4:$P$900,MATCH((U132),'C-P-RollAdj'!$O$4:$O$900,FALSE),0)</f>
        <v>44.67</v>
      </c>
      <c r="M132" s="76">
        <v>45</v>
      </c>
      <c r="N132" s="76">
        <v>13</v>
      </c>
      <c r="O132" s="76">
        <v>11</v>
      </c>
      <c r="P132" s="76">
        <v>2</v>
      </c>
      <c r="Q132" s="76">
        <v>11</v>
      </c>
      <c r="R132" s="76">
        <v>3</v>
      </c>
      <c r="S132" s="76">
        <v>35</v>
      </c>
      <c r="T132" s="76">
        <v>190</v>
      </c>
      <c r="U132" s="76">
        <v>44.2</v>
      </c>
      <c r="V132" s="100">
        <v>0.26200000000000001</v>
      </c>
      <c r="W132" s="76">
        <v>1.25</v>
      </c>
      <c r="X132" s="196"/>
      <c r="Y132" s="50">
        <f>+(Q132-R132)/(T132-R132)*100</f>
        <v>4.2780748663101598</v>
      </c>
      <c r="Z132" s="6">
        <f>IF(Y132&lt;LeagueRatings!$K$21,((LeagueRatings!$K$21-Y132)/LeagueRatings!$K$21)*36,(LeagueRatings!$K$21-Y132)*6.48)</f>
        <v>18.797897115733459</v>
      </c>
      <c r="AA132" s="16">
        <f>INDEX('C-P-RollAdj'!$B$4:$B$76,MATCH(INT(Z132),'C-P-RollAdj'!$A$4:$A$76,FALSE),0)</f>
        <v>-1.5899999999999999</v>
      </c>
      <c r="AB132" s="16">
        <f>(P132/(T132-R132))*100</f>
        <v>1.0695187165775399</v>
      </c>
      <c r="AC132" s="6">
        <f>IF(AB132&lt;LeagueRatings!$K$19,((LeagueRatings!$K$19-AB132)/LeagueRatings!$K$19)*36,(LeagueRatings!$K$19-AB132)/LeagueRatings!$K$22)</f>
        <v>22.759741972614567</v>
      </c>
      <c r="AD132" s="16">
        <f>INDEX('C-P-RollAdj'!$F$4:$F$76,MATCH(INT(AC132),'C-P-RollAdj'!$E$4:$E$76,FALSE),0)</f>
        <v>-1.78</v>
      </c>
      <c r="AE132" s="17">
        <f>+((LeagueRatings!$I$17-E132)*5)+9.5</f>
        <v>19.214387243706362</v>
      </c>
      <c r="AF132" s="17">
        <f>IF(AE132&lt;4,4,AE132)</f>
        <v>19.214387243706362</v>
      </c>
      <c r="AG132" s="17">
        <f>IF(M132&lt;L132,((1-(M132/L132))*7)-0.07,(1-(M132/L132))*5)</f>
        <v>-3.6937541974478849E-2</v>
      </c>
      <c r="AH132" s="4">
        <f>+AA132+AD132+AF132+AG132</f>
        <v>15.807449701731882</v>
      </c>
      <c r="AJ132" s="5" t="s">
        <v>55</v>
      </c>
      <c r="AK132" s="219">
        <f>INDEX('C-P-RollAdj'!$J$4:$J$76,MATCH(INT(Z132),'C-P-RollAdj'!$I$4:$I$76,FALSE),0)</f>
        <v>36</v>
      </c>
      <c r="AL132" s="219">
        <f>INDEX('C-P-RollAdj'!$J$4:$J$76,MATCH(INT(AC132),'C-P-RollAdj'!$I$4:$I$76,FALSE),0)</f>
        <v>44</v>
      </c>
      <c r="AM132" s="262">
        <f>+AR132*LeagueRatings!$K$27</f>
        <v>25</v>
      </c>
      <c r="AN132" s="72">
        <f>F132*LeagueRatings!$K$27</f>
        <v>26.111111111111111</v>
      </c>
      <c r="AO132" s="72">
        <f>G132*LeagueRatings!$K$27</f>
        <v>0</v>
      </c>
      <c r="AP132" s="72">
        <f>T132*LeagueRatings!$K$27</f>
        <v>105.55555555555556</v>
      </c>
      <c r="AQ132"/>
      <c r="AR132" s="14">
        <f>ROUNDUP(L132,0)</f>
        <v>45</v>
      </c>
    </row>
    <row r="133" spans="1:49" s="24" customFormat="1" x14ac:dyDescent="0.2">
      <c r="A133" s="41" t="s">
        <v>615</v>
      </c>
      <c r="B133" s="76" t="s">
        <v>155</v>
      </c>
      <c r="C133" s="76">
        <v>1</v>
      </c>
      <c r="D133" s="76">
        <v>0</v>
      </c>
      <c r="E133" s="76">
        <v>2.7</v>
      </c>
      <c r="F133" s="76">
        <v>12</v>
      </c>
      <c r="G133" s="76">
        <v>0</v>
      </c>
      <c r="H133" s="76">
        <v>0</v>
      </c>
      <c r="I133" s="76">
        <v>0</v>
      </c>
      <c r="J133" s="76">
        <v>0</v>
      </c>
      <c r="K133" s="76">
        <v>0</v>
      </c>
      <c r="L133" s="258">
        <f>INDEX('C-P-RollAdj'!$P$4:$P$900,MATCH((U133),'C-P-RollAdj'!$O$4:$O$900,FALSE),0)</f>
        <v>13.33</v>
      </c>
      <c r="M133" s="76">
        <v>10</v>
      </c>
      <c r="N133" s="76">
        <v>4</v>
      </c>
      <c r="O133" s="76">
        <v>4</v>
      </c>
      <c r="P133" s="76">
        <v>0</v>
      </c>
      <c r="Q133" s="76">
        <v>7</v>
      </c>
      <c r="R133" s="76">
        <v>0</v>
      </c>
      <c r="S133" s="76">
        <v>7</v>
      </c>
      <c r="T133" s="76">
        <v>51</v>
      </c>
      <c r="U133" s="76">
        <v>13.1</v>
      </c>
      <c r="V133" s="100">
        <v>0.22700000000000001</v>
      </c>
      <c r="W133" s="76">
        <v>1.28</v>
      </c>
      <c r="X133" s="76"/>
      <c r="Y133" s="50">
        <f>+(Q133-R133)/(T133-R133)*100</f>
        <v>13.725490196078432</v>
      </c>
      <c r="Z133" s="6">
        <f>IF(Y133&lt;LeagueRatings!$K$10,((LeagueRatings!$K$10-Y133)/LeagueRatings!$K$10)*36,(LeagueRatings!$K$10-Y133)*6.48)</f>
        <v>-32.775395976394584</v>
      </c>
      <c r="AA133" s="16">
        <f>INDEX('C-P-RollAdj'!$B$4:$B$76,MATCH(INT(Z133),'C-P-RollAdj'!$A$4:$A$76,FALSE),0)</f>
        <v>4.8099999999999996</v>
      </c>
      <c r="AB133" s="16">
        <f>(P133/(T133-R133))*100</f>
        <v>0</v>
      </c>
      <c r="AC133" s="6">
        <f>IF(AB133&lt;LeagueRatings!$K$8,((LeagueRatings!$K$8-AB133)/LeagueRatings!$K$8)*36,(LeagueRatings!$K$8-AB133)/LeagueRatings!$K$11)</f>
        <v>36</v>
      </c>
      <c r="AD133" s="16">
        <f>INDEX('C-P-RollAdj'!$F$4:$F$76,MATCH(INT(AC133),'C-P-RollAdj'!$E$4:$E$76,FALSE),0)</f>
        <v>-3.26</v>
      </c>
      <c r="AE133" s="17">
        <f>+((LeagueRatings!$I$6-E133)*5)+9.5</f>
        <v>17.008051455277403</v>
      </c>
      <c r="AF133" s="17">
        <f>IF(AE133&lt;4,4,AE133)</f>
        <v>17.008051455277403</v>
      </c>
      <c r="AG133" s="17">
        <f>IF(M133&lt;L133,((1-(M133/L133))*7)-0.07,(1-(M133/L133))*5)</f>
        <v>1.6786871717929486</v>
      </c>
      <c r="AH133" s="4">
        <f>+AA133+AD133+AF133+AG133</f>
        <v>20.236738627070352</v>
      </c>
      <c r="AJ133" s="5" t="s">
        <v>74</v>
      </c>
      <c r="AK133" s="219">
        <f>INDEX('C-P-RollAdj'!$J$4:$J$76,MATCH(INT(Z133),'C-P-RollAdj'!$I$4:$I$76,FALSE),0)</f>
        <v>-63</v>
      </c>
      <c r="AL133" s="219">
        <f>INDEX('C-P-RollAdj'!$J$4:$J$76,MATCH(INT(AC133),'C-P-RollAdj'!$I$4:$I$76,FALSE),0)</f>
        <v>66</v>
      </c>
      <c r="AM133" s="262">
        <f>+AR133*LeagueRatings!$K$27</f>
        <v>7.7777777777777786</v>
      </c>
      <c r="AN133" s="72">
        <f>F133*LeagueRatings!$K$27</f>
        <v>6.666666666666667</v>
      </c>
      <c r="AO133" s="72">
        <f>G133*LeagueRatings!$K$27</f>
        <v>0</v>
      </c>
      <c r="AP133" s="72">
        <f>T133*LeagueRatings!$K$27</f>
        <v>28.333333333333336</v>
      </c>
      <c r="AR133" s="72">
        <f>ROUNDUP(L133,0)</f>
        <v>14</v>
      </c>
      <c r="AS133" s="113"/>
      <c r="AT133" s="113"/>
      <c r="AU133" s="113"/>
      <c r="AW133" s="144">
        <v>57</v>
      </c>
    </row>
    <row r="134" spans="1:49" x14ac:dyDescent="0.2">
      <c r="A134" s="9"/>
      <c r="B134" s="129"/>
      <c r="L134" s="157">
        <f>(L132/100)/((L132+L133)/100)</f>
        <v>0.77017241379310353</v>
      </c>
      <c r="T134" s="158"/>
      <c r="U134" s="158"/>
      <c r="V134" s="282"/>
      <c r="W134" s="158"/>
      <c r="X134" s="158"/>
      <c r="Y134" s="153"/>
      <c r="Z134" s="152">
        <f>Z132*L134</f>
        <v>14.477621795858857</v>
      </c>
      <c r="AA134" s="153"/>
      <c r="AB134" s="153"/>
      <c r="AC134" s="152">
        <f>AC132*L134</f>
        <v>17.528925412356774</v>
      </c>
      <c r="AD134" s="153"/>
      <c r="AE134" s="103"/>
      <c r="AF134" s="103"/>
      <c r="AG134" s="103"/>
      <c r="AH134" s="154">
        <f>AH132*L134</f>
        <v>12.174461692695917</v>
      </c>
      <c r="AJ134" s="5"/>
      <c r="AK134" s="5"/>
      <c r="AL134" s="5"/>
      <c r="AN134" s="72"/>
      <c r="AO134" s="72"/>
      <c r="AP134" s="72"/>
      <c r="AQ134" s="30"/>
      <c r="AR134" s="14"/>
    </row>
    <row r="135" spans="1:49" x14ac:dyDescent="0.2">
      <c r="A135" s="9"/>
      <c r="B135" s="129"/>
      <c r="L135" s="157">
        <f>(L133/100)/((L132+L133)/100)</f>
        <v>0.22982758620689658</v>
      </c>
      <c r="T135" s="158"/>
      <c r="U135" s="158"/>
      <c r="V135" s="282"/>
      <c r="W135" s="158"/>
      <c r="X135" s="158"/>
      <c r="Y135" s="153"/>
      <c r="Z135" s="152">
        <f>Z133*L135</f>
        <v>-7.5326901442299974</v>
      </c>
      <c r="AA135" s="153"/>
      <c r="AB135" s="153"/>
      <c r="AC135" s="152">
        <f>AC133*L135</f>
        <v>8.273793103448277</v>
      </c>
      <c r="AD135" s="153"/>
      <c r="AE135" s="103"/>
      <c r="AF135" s="103"/>
      <c r="AG135" s="103"/>
      <c r="AH135" s="154">
        <f>AH133*L135</f>
        <v>4.6509607913594451</v>
      </c>
      <c r="AJ135" s="5"/>
      <c r="AK135" s="5"/>
      <c r="AL135" s="5"/>
      <c r="AN135" s="72"/>
      <c r="AO135" s="72"/>
      <c r="AP135" s="72"/>
      <c r="AQ135" s="30"/>
      <c r="AR135" s="14"/>
    </row>
    <row r="136" spans="1:49" x14ac:dyDescent="0.2">
      <c r="A136" s="9"/>
      <c r="B136" s="129"/>
      <c r="T136" s="158"/>
      <c r="U136" s="158"/>
      <c r="V136" s="282"/>
      <c r="W136" s="158"/>
      <c r="X136" s="158"/>
      <c r="Y136" s="153"/>
      <c r="Z136" s="152">
        <f>SUM(Z134:Z135)</f>
        <v>6.9449316516288597</v>
      </c>
      <c r="AA136" s="153"/>
      <c r="AB136" s="153"/>
      <c r="AC136" s="152">
        <f>SUM(AC134:AC135)</f>
        <v>25.802718515805051</v>
      </c>
      <c r="AD136" s="153"/>
      <c r="AE136" s="103"/>
      <c r="AF136" s="103"/>
      <c r="AG136" s="103"/>
      <c r="AH136" s="153">
        <f>SUM(AH134:AH135)</f>
        <v>16.825422484055363</v>
      </c>
      <c r="AI136" s="41" t="s">
        <v>615</v>
      </c>
      <c r="AJ136" s="5" t="s">
        <v>53</v>
      </c>
      <c r="AK136" s="219">
        <f>INDEX('C-P-RollAdj'!$J$4:$J$76,MATCH(INT(Z136),'C-P-RollAdj'!$I$4:$I$76,FALSE),0)</f>
        <v>16</v>
      </c>
      <c r="AL136" s="219">
        <f>INDEX('C-P-RollAdj'!$J$4:$J$76,MATCH(INT(AC136),'C-P-RollAdj'!$I$4:$I$76,FALSE),0)</f>
        <v>51</v>
      </c>
      <c r="AM136" s="262">
        <f>SUM(AM132:AM135)</f>
        <v>32.777777777777779</v>
      </c>
      <c r="AN136" s="14">
        <f>SUM(AN132:AN135)</f>
        <v>32.777777777777779</v>
      </c>
      <c r="AO136" s="14">
        <f>SUM(AO132:AO135)</f>
        <v>0</v>
      </c>
      <c r="AP136" s="14">
        <f>SUM(AP132:AP135)</f>
        <v>133.88888888888889</v>
      </c>
      <c r="AQ136" s="30"/>
      <c r="AR136" s="14"/>
    </row>
    <row r="137" spans="1:49" x14ac:dyDescent="0.2">
      <c r="B137" s="155"/>
      <c r="AN137" s="72"/>
      <c r="AO137" s="72"/>
      <c r="AP137" s="72"/>
      <c r="AQ137" s="30"/>
      <c r="AR137" s="14"/>
    </row>
    <row r="138" spans="1:49" x14ac:dyDescent="0.2">
      <c r="A138" t="s">
        <v>567</v>
      </c>
      <c r="B138" s="76" t="s">
        <v>151</v>
      </c>
      <c r="C138" s="76">
        <v>2</v>
      </c>
      <c r="D138" s="76">
        <v>5</v>
      </c>
      <c r="E138" s="76">
        <v>6.16</v>
      </c>
      <c r="F138" s="76">
        <v>33</v>
      </c>
      <c r="G138" s="76">
        <v>0</v>
      </c>
      <c r="H138" s="76">
        <v>0</v>
      </c>
      <c r="I138" s="76">
        <v>0</v>
      </c>
      <c r="J138" s="76">
        <v>7</v>
      </c>
      <c r="K138" s="76">
        <v>11</v>
      </c>
      <c r="L138" s="258">
        <f>INDEX('C-P-RollAdj'!$P$4:$P$900,MATCH((U138),'C-P-RollAdj'!$O$4:$O$900,FALSE),0)</f>
        <v>30.67</v>
      </c>
      <c r="M138" s="76">
        <v>42</v>
      </c>
      <c r="N138" s="76">
        <v>22</v>
      </c>
      <c r="O138" s="76">
        <v>21</v>
      </c>
      <c r="P138" s="76">
        <v>7</v>
      </c>
      <c r="Q138" s="76">
        <v>12</v>
      </c>
      <c r="R138" s="76">
        <v>1</v>
      </c>
      <c r="S138" s="76">
        <v>22</v>
      </c>
      <c r="T138" s="76">
        <v>141</v>
      </c>
      <c r="U138" s="76">
        <v>30.2</v>
      </c>
      <c r="V138" s="100">
        <v>0.33300000000000002</v>
      </c>
      <c r="W138" s="76">
        <v>1.76</v>
      </c>
      <c r="Y138" s="50">
        <f>+(Q138-R138)/(T138-R138)*100</f>
        <v>7.8571428571428568</v>
      </c>
      <c r="Z138" s="6">
        <f>IF(Y138&lt;LeagueRatings!$K$10,((LeagueRatings!$K$10-Y138)/LeagueRatings!$K$10)*36,(LeagueRatings!$K$10-Y138)*6.48)</f>
        <v>3.3659963489019846</v>
      </c>
      <c r="AA138" s="16">
        <f>INDEX('C-P-RollAdj'!$B$4:$B$76,MATCH(INT(Z138),'C-P-RollAdj'!$A$4:$A$76,FALSE),0)</f>
        <v>-0.24</v>
      </c>
      <c r="AB138" s="16">
        <f>(P138/(T138-R138))*100</f>
        <v>5</v>
      </c>
      <c r="AC138" s="6">
        <f>IF(AB138&lt;LeagueRatings!$K$8,((LeagueRatings!$K$8-AB138)/LeagueRatings!$K$8)*36,(LeagueRatings!$K$8-AB138)/LeagueRatings!$K$11)</f>
        <v>-14.275204622051033</v>
      </c>
      <c r="AD138" s="16">
        <f>INDEX('C-P-RollAdj'!$F$4:$F$76,MATCH(INT(AC138),'C-P-RollAdj'!$E$4:$E$76,FALSE),0)</f>
        <v>1.5</v>
      </c>
      <c r="AE138" s="17">
        <f>+((LeagueRatings!$I$17-E138)*5)+9.5</f>
        <v>-0.4856127562936372</v>
      </c>
      <c r="AF138" s="17">
        <f>IF(AE138&lt;4,4,AE138)</f>
        <v>4</v>
      </c>
      <c r="AG138" s="17">
        <f>IF(M138&lt;L138,((1-(M138/L138))*7)-0.07,(1-(M138/L138))*5)</f>
        <v>-1.847081838930551</v>
      </c>
      <c r="AH138" s="4">
        <f>+AA138+AD138+AF138+AG138</f>
        <v>3.4129181610694488</v>
      </c>
      <c r="AI138" s="24"/>
      <c r="AJ138" s="58">
        <v>10</v>
      </c>
      <c r="AK138" s="219">
        <f>INDEX('C-P-RollAdj'!$J$4:$J$76,MATCH(INT(Z138),'C-P-RollAdj'!$I$4:$I$76,FALSE),0)</f>
        <v>13</v>
      </c>
      <c r="AL138" s="219">
        <f>INDEX('C-P-RollAdj'!$J$4:$J$76,MATCH(INT(AC138),'C-P-RollAdj'!$I$4:$I$76,FALSE),0)</f>
        <v>-33</v>
      </c>
      <c r="AM138" s="262">
        <f>+AR138*LeagueRatings!$K$27</f>
        <v>17.222222222222221</v>
      </c>
      <c r="AN138" s="72">
        <f>F138*LeagueRatings!$K$27</f>
        <v>18.333333333333336</v>
      </c>
      <c r="AO138" s="72">
        <f>G138*LeagueRatings!$K$27</f>
        <v>0</v>
      </c>
      <c r="AP138" s="72">
        <f>T138*LeagueRatings!$K$27</f>
        <v>78.333333333333343</v>
      </c>
      <c r="AQ138" s="24"/>
      <c r="AR138" s="14">
        <f>ROUNDUP(L138,0)</f>
        <v>31</v>
      </c>
    </row>
    <row r="139" spans="1:49" s="24" customFormat="1" x14ac:dyDescent="0.2">
      <c r="A139" s="41" t="s">
        <v>567</v>
      </c>
      <c r="B139" s="76" t="s">
        <v>144</v>
      </c>
      <c r="C139" s="76">
        <v>0</v>
      </c>
      <c r="D139" s="76">
        <v>1</v>
      </c>
      <c r="E139" s="76">
        <v>5.68</v>
      </c>
      <c r="F139" s="76">
        <v>25</v>
      </c>
      <c r="G139" s="76">
        <v>0</v>
      </c>
      <c r="H139" s="76">
        <v>0</v>
      </c>
      <c r="I139" s="76">
        <v>0</v>
      </c>
      <c r="J139" s="76">
        <v>0</v>
      </c>
      <c r="K139" s="76">
        <v>0</v>
      </c>
      <c r="L139" s="258">
        <f>INDEX('C-P-RollAdj'!$P$4:$P$900,MATCH((U139),'C-P-RollAdj'!$O$4:$O$900,FALSE),0)</f>
        <v>19</v>
      </c>
      <c r="M139" s="76">
        <v>20</v>
      </c>
      <c r="N139" s="76">
        <v>13</v>
      </c>
      <c r="O139" s="76">
        <v>12</v>
      </c>
      <c r="P139" s="76">
        <v>5</v>
      </c>
      <c r="Q139" s="76">
        <v>9</v>
      </c>
      <c r="R139" s="76">
        <v>1</v>
      </c>
      <c r="S139" s="76">
        <v>13</v>
      </c>
      <c r="T139" s="76">
        <v>83</v>
      </c>
      <c r="U139" s="76">
        <v>19</v>
      </c>
      <c r="V139" s="100">
        <v>0.28199999999999997</v>
      </c>
      <c r="W139" s="76">
        <v>1.53</v>
      </c>
      <c r="X139" s="76"/>
      <c r="Y139" s="50">
        <f>+(Q139-R139)/(T139-R139)*100</f>
        <v>9.7560975609756095</v>
      </c>
      <c r="Z139" s="6">
        <f>IF(Y139&lt;LeagueRatings!$K$10,((LeagueRatings!$K$10-Y139)/LeagueRatings!$K$10)*36,(LeagueRatings!$K$10-Y139)*6.48)</f>
        <v>-7.0537317009282896</v>
      </c>
      <c r="AA139" s="16">
        <f>INDEX('C-P-RollAdj'!$B$4:$B$76,MATCH(INT(Z139),'C-P-RollAdj'!$A$4:$A$76,FALSE),0)</f>
        <v>0.76</v>
      </c>
      <c r="AB139" s="16">
        <f>(P139/(T139-R139))*100</f>
        <v>6.0975609756097562</v>
      </c>
      <c r="AC139" s="6">
        <f>IF(AB139&lt;LeagueRatings!$K$8,((LeagueRatings!$K$8-AB139)/LeagueRatings!$K$8)*36,(LeagueRatings!$K$8-AB139)/LeagueRatings!$K$11)</f>
        <v>-22.990335497962587</v>
      </c>
      <c r="AD139" s="16">
        <f>INDEX('C-P-RollAdj'!$F$4:$F$76,MATCH(INT(AC139),'C-P-RollAdj'!$E$4:$E$76,FALSE),0)</f>
        <v>2.61</v>
      </c>
      <c r="AE139" s="17">
        <f>+((LeagueRatings!$I$17-E139)*5)+9.5</f>
        <v>1.914387243706364</v>
      </c>
      <c r="AF139" s="17">
        <f>IF(AE139&lt;4,4,AE139)</f>
        <v>4</v>
      </c>
      <c r="AG139" s="17">
        <f>IF(M139&lt;L139,((1-(M139/L139))*7)-0.07,(1-(M139/L139))*5)</f>
        <v>-0.26315789473684181</v>
      </c>
      <c r="AH139" s="4">
        <f>+AA139+AD139+AF139+AG139</f>
        <v>7.1068421052631585</v>
      </c>
      <c r="AJ139" s="5" t="s">
        <v>55</v>
      </c>
      <c r="AK139" s="219">
        <f>INDEX('C-P-RollAdj'!$J$4:$J$76,MATCH(INT(Z139),'C-P-RollAdj'!$I$4:$I$76,FALSE),0)</f>
        <v>-22</v>
      </c>
      <c r="AL139" s="219">
        <f>INDEX('C-P-RollAdj'!$J$4:$J$76,MATCH(INT(AC139),'C-P-RollAdj'!$I$4:$I$76,FALSE),0)</f>
        <v>-45</v>
      </c>
      <c r="AM139" s="262">
        <f>+AR139*LeagueRatings!$K$27</f>
        <v>10.555555555555555</v>
      </c>
      <c r="AN139" s="72">
        <f>F139*LeagueRatings!$K$27</f>
        <v>13.888888888888889</v>
      </c>
      <c r="AO139" s="72">
        <f>G139*LeagueRatings!$K$27</f>
        <v>0</v>
      </c>
      <c r="AP139" s="72">
        <f>T139*LeagueRatings!$K$27</f>
        <v>46.111111111111114</v>
      </c>
      <c r="AR139" s="14">
        <f>ROUNDUP(L139,0)</f>
        <v>19</v>
      </c>
    </row>
    <row r="140" spans="1:49" x14ac:dyDescent="0.2">
      <c r="A140" s="204"/>
      <c r="B140" s="196"/>
      <c r="L140" s="157">
        <f>(L138/100)/((L138+L139)/100)</f>
        <v>0.61747533722568959</v>
      </c>
      <c r="T140" s="158"/>
      <c r="U140" s="158"/>
      <c r="V140" s="282"/>
      <c r="W140" s="158"/>
      <c r="X140" s="158"/>
      <c r="Y140" s="153"/>
      <c r="Z140" s="152">
        <f>Z138*L140</f>
        <v>2.0784197306386929</v>
      </c>
      <c r="AA140" s="153"/>
      <c r="AB140" s="153"/>
      <c r="AC140" s="152">
        <f>AC138*L140</f>
        <v>-8.8145867879666842</v>
      </c>
      <c r="AD140" s="153"/>
      <c r="AE140" s="103"/>
      <c r="AF140" s="103"/>
      <c r="AG140" s="103"/>
      <c r="AH140" s="154">
        <f>AH138*L140</f>
        <v>2.1073927924300384</v>
      </c>
      <c r="AJ140" s="5"/>
      <c r="AK140" s="5"/>
      <c r="AL140" s="5"/>
      <c r="AN140" s="72"/>
      <c r="AO140" s="72"/>
      <c r="AP140" s="72"/>
      <c r="AR140" s="14"/>
    </row>
    <row r="141" spans="1:49" x14ac:dyDescent="0.2">
      <c r="B141" s="155"/>
      <c r="L141" s="157">
        <f>(L139/100)/((L138+L139)/100)</f>
        <v>0.38252466277431041</v>
      </c>
      <c r="T141" s="158"/>
      <c r="U141" s="158"/>
      <c r="V141" s="282"/>
      <c r="W141" s="158"/>
      <c r="X141" s="158"/>
      <c r="Y141" s="153"/>
      <c r="Z141" s="152">
        <f>Z139*L141</f>
        <v>-2.6982263401980568</v>
      </c>
      <c r="AA141" s="153"/>
      <c r="AB141" s="153"/>
      <c r="AC141" s="152">
        <f>AC139*L141</f>
        <v>-8.7943703334263965</v>
      </c>
      <c r="AD141" s="153"/>
      <c r="AE141" s="103"/>
      <c r="AF141" s="103"/>
      <c r="AG141" s="103"/>
      <c r="AH141" s="154">
        <f>AH139*L141</f>
        <v>2.7185423797060602</v>
      </c>
      <c r="AJ141" s="5"/>
      <c r="AK141" s="5"/>
      <c r="AL141" s="5"/>
      <c r="AN141" s="72"/>
      <c r="AO141" s="72"/>
      <c r="AP141" s="72"/>
      <c r="AR141" s="14"/>
    </row>
    <row r="142" spans="1:49" x14ac:dyDescent="0.2">
      <c r="A142" s="221"/>
      <c r="B142" s="221"/>
      <c r="T142" s="158"/>
      <c r="U142" s="158"/>
      <c r="V142" s="282"/>
      <c r="W142" s="158"/>
      <c r="X142" s="158"/>
      <c r="Y142" s="153"/>
      <c r="Z142" s="152">
        <f>SUM(Z140:Z141)</f>
        <v>-0.61980660955936395</v>
      </c>
      <c r="AA142" s="153"/>
      <c r="AB142" s="153"/>
      <c r="AC142" s="152">
        <f>SUM(AC140:AC141)</f>
        <v>-17.608957121393082</v>
      </c>
      <c r="AD142" s="153"/>
      <c r="AE142" s="103"/>
      <c r="AF142" s="103"/>
      <c r="AG142" s="103"/>
      <c r="AH142" s="153">
        <f>SUM(AH140:AH141)</f>
        <v>4.8259351721360986</v>
      </c>
      <c r="AI142" s="41" t="s">
        <v>567</v>
      </c>
      <c r="AJ142" s="5" t="s">
        <v>19</v>
      </c>
      <c r="AK142" s="219">
        <f>INDEX('C-P-RollAdj'!$J$4:$J$76,MATCH(INT(Z142),'C-P-RollAdj'!$I$4:$I$76,FALSE),0)</f>
        <v>-11</v>
      </c>
      <c r="AL142" s="121">
        <f>INDEX('C-P-RollAdj'!$J$4:$J$76,MATCH(INT(AC142),'C-P-RollAdj'!$I$4:$I$76,FALSE),0)</f>
        <v>-36</v>
      </c>
      <c r="AM142" s="262">
        <f>SUM(AM138:AM141)</f>
        <v>27.777777777777779</v>
      </c>
      <c r="AN142" s="14">
        <f>SUM(AN138:AN141)</f>
        <v>32.222222222222229</v>
      </c>
      <c r="AO142" s="14">
        <f>SUM(AO138:AO141)</f>
        <v>0</v>
      </c>
      <c r="AP142" s="14">
        <f>SUM(AP138:AP141)</f>
        <v>124.44444444444446</v>
      </c>
      <c r="AR142" s="14"/>
    </row>
    <row r="143" spans="1:49" x14ac:dyDescent="0.2">
      <c r="A143" s="122"/>
      <c r="B143" s="122"/>
      <c r="AR143" s="14"/>
    </row>
    <row r="144" spans="1:49" x14ac:dyDescent="0.2">
      <c r="A144" t="s">
        <v>360</v>
      </c>
      <c r="B144" s="76" t="s">
        <v>147</v>
      </c>
      <c r="C144" s="76">
        <v>6</v>
      </c>
      <c r="D144" s="76">
        <v>2</v>
      </c>
      <c r="E144" s="76">
        <v>4.62</v>
      </c>
      <c r="F144" s="76">
        <v>11</v>
      </c>
      <c r="G144" s="76">
        <v>11</v>
      </c>
      <c r="H144" s="76">
        <v>0</v>
      </c>
      <c r="I144" s="76">
        <v>0</v>
      </c>
      <c r="J144" s="76">
        <v>0</v>
      </c>
      <c r="K144" s="76">
        <v>0</v>
      </c>
      <c r="L144" s="258">
        <f>INDEX('C-P-RollAdj'!$P$4:$P$900,MATCH((U144),'C-P-RollAdj'!$O$4:$O$900,FALSE),0)</f>
        <v>60.33</v>
      </c>
      <c r="M144" s="76">
        <v>63</v>
      </c>
      <c r="N144" s="76">
        <v>33</v>
      </c>
      <c r="O144" s="76">
        <v>31</v>
      </c>
      <c r="P144" s="76">
        <v>10</v>
      </c>
      <c r="Q144" s="76">
        <v>25</v>
      </c>
      <c r="R144" s="76">
        <v>1</v>
      </c>
      <c r="S144" s="76">
        <v>32</v>
      </c>
      <c r="T144" s="76">
        <v>265</v>
      </c>
      <c r="U144" s="76">
        <v>60.1</v>
      </c>
      <c r="V144" s="100">
        <v>0.27</v>
      </c>
      <c r="W144" s="76">
        <v>1.46</v>
      </c>
      <c r="Y144" s="50">
        <f>+(Q144-R144)/(T144-R144)*100</f>
        <v>9.0909090909090917</v>
      </c>
      <c r="Z144" s="6">
        <f>IF(Y144&lt;LeagueRatings!$K$10,((LeagueRatings!$K$10-Y144)/LeagueRatings!$K$10)*36,(LeagueRatings!$K$10-Y144)*6.48)</f>
        <v>-2.743310414897254</v>
      </c>
      <c r="AA144" s="16">
        <f>INDEX('C-P-RollAdj'!$B$4:$B$76,MATCH(INT(Z144),'C-P-RollAdj'!$A$4:$A$76,FALSE),0)</f>
        <v>0.27</v>
      </c>
      <c r="AB144" s="16">
        <f>(P144/(T144-R144))*100</f>
        <v>3.7878787878787881</v>
      </c>
      <c r="AC144" s="6">
        <f>IF(AB144&lt;LeagueRatings!$K$8,((LeagueRatings!$K$8-AB144)/LeagueRatings!$K$8)*36,(LeagueRatings!$K$8-AB144)/LeagueRatings!$K$11)</f>
        <v>-4.650413621044339</v>
      </c>
      <c r="AD144" s="16">
        <f>INDEX('C-P-RollAdj'!$F$4:$F$76,MATCH(INT(AC144),'C-P-RollAdj'!$E$4:$E$76,FALSE),0)</f>
        <v>0.42</v>
      </c>
      <c r="AE144" s="17">
        <f>+((LeagueRatings!$I$17-E144)*5)+9.5</f>
        <v>7.2143872437063621</v>
      </c>
      <c r="AF144" s="17">
        <f>IF(AE144&lt;4,4,AE144)</f>
        <v>7.2143872437063621</v>
      </c>
      <c r="AG144" s="17">
        <f>IF(M144&lt;L144,((1-(M144/L144))*7)-0.07,(1-(M144/L144))*5)</f>
        <v>-0.22128294380905023</v>
      </c>
      <c r="AH144" s="4">
        <f>+AA144+AD144+AF144+AG144</f>
        <v>7.6831042998973116</v>
      </c>
      <c r="AI144" s="24"/>
      <c r="AJ144" s="58">
        <v>20</v>
      </c>
      <c r="AK144" s="219">
        <f>INDEX('C-P-RollAdj'!$J$4:$J$76,MATCH(INT(Z144),'C-P-RollAdj'!$I$4:$I$76,FALSE),0)</f>
        <v>-13</v>
      </c>
      <c r="AL144" s="219">
        <f>INDEX('C-P-RollAdj'!$J$4:$J$76,MATCH(INT(AC144),'C-P-RollAdj'!$I$4:$I$76,FALSE),0)</f>
        <v>-15</v>
      </c>
      <c r="AM144" s="262">
        <f>+AR144*LeagueRatings!$K$27</f>
        <v>33.888888888888893</v>
      </c>
      <c r="AN144" s="72">
        <f>F144*LeagueRatings!$K$27</f>
        <v>6.1111111111111116</v>
      </c>
      <c r="AO144" s="72">
        <f>G144*LeagueRatings!$K$27</f>
        <v>6.1111111111111116</v>
      </c>
      <c r="AP144" s="72">
        <f>T144*LeagueRatings!$K$27</f>
        <v>147.22222222222223</v>
      </c>
      <c r="AQ144" s="24"/>
      <c r="AR144" s="14">
        <f>ROUNDUP(L144,0)</f>
        <v>61</v>
      </c>
    </row>
    <row r="145" spans="1:50" s="24" customFormat="1" x14ac:dyDescent="0.2">
      <c r="A145" s="41" t="s">
        <v>360</v>
      </c>
      <c r="B145" s="76" t="s">
        <v>173</v>
      </c>
      <c r="C145" s="76">
        <v>1</v>
      </c>
      <c r="D145" s="76">
        <v>1</v>
      </c>
      <c r="E145" s="76">
        <v>6.52</v>
      </c>
      <c r="F145" s="76">
        <v>6</v>
      </c>
      <c r="G145" s="76">
        <v>1</v>
      </c>
      <c r="H145" s="76">
        <v>0</v>
      </c>
      <c r="I145" s="76">
        <v>0</v>
      </c>
      <c r="J145" s="76">
        <v>0</v>
      </c>
      <c r="K145" s="76">
        <v>0</v>
      </c>
      <c r="L145" s="258">
        <f>INDEX('C-P-RollAdj'!$P$4:$P$900,MATCH((U145),'C-P-RollAdj'!$O$4:$O$900,FALSE),0)</f>
        <v>9.67</v>
      </c>
      <c r="M145" s="76">
        <v>11</v>
      </c>
      <c r="N145" s="76">
        <v>7</v>
      </c>
      <c r="O145" s="76">
        <v>7</v>
      </c>
      <c r="P145" s="76">
        <v>1</v>
      </c>
      <c r="Q145" s="76">
        <v>5</v>
      </c>
      <c r="R145" s="76">
        <v>0</v>
      </c>
      <c r="S145" s="76">
        <v>10</v>
      </c>
      <c r="T145" s="76">
        <v>44</v>
      </c>
      <c r="U145" s="76">
        <v>9.1999999999999993</v>
      </c>
      <c r="V145" s="100">
        <v>0.28899999999999998</v>
      </c>
      <c r="W145" s="76">
        <v>1.66</v>
      </c>
      <c r="X145" s="76"/>
      <c r="Y145" s="50">
        <f>+(Q145-R145)/(T145-R145)*100</f>
        <v>11.363636363636363</v>
      </c>
      <c r="Z145" s="6">
        <f>IF(Y145&lt;LeagueRatings!$K$21,((LeagueRatings!$K$21-Y145)/LeagueRatings!$K$21)*36,(LeagueRatings!$K$21-Y145)*6.48)</f>
        <v>-15.620822657032601</v>
      </c>
      <c r="AA145" s="16">
        <f>INDEX('C-P-RollAdj'!$B$4:$B$76,MATCH(INT(Z145),'C-P-RollAdj'!$A$4:$A$76,FALSE),0)</f>
        <v>1.7799999999999998</v>
      </c>
      <c r="AB145" s="16">
        <f>(P145/(T145-R145))*100</f>
        <v>2.2727272727272729</v>
      </c>
      <c r="AC145" s="6">
        <f>IF(AB145&lt;LeagueRatings!$K$19,((LeagueRatings!$K$19-AB145)/LeagueRatings!$K$19)*36,(LeagueRatings!$K$19-AB145)/LeagueRatings!$K$22)</f>
        <v>7.8644516918059511</v>
      </c>
      <c r="AD145" s="16">
        <f>INDEX('C-P-RollAdj'!$F$4:$F$76,MATCH(INT(AC145),'C-P-RollAdj'!$E$4:$E$76,FALSE),0)</f>
        <v>-0.49000000000000005</v>
      </c>
      <c r="AE145" s="17">
        <f>+((LeagueRatings!$I$17-E145)*5)+9.5</f>
        <v>-2.2856127562936344</v>
      </c>
      <c r="AF145" s="17">
        <f>IF(AE145&lt;4,4,AE145)</f>
        <v>4</v>
      </c>
      <c r="AG145" s="17">
        <f>IF(M145&lt;L145,((1-(M145/L145))*7)-0.07,(1-(M145/L145))*5)</f>
        <v>-0.68769389865563579</v>
      </c>
      <c r="AH145" s="4">
        <f>+AA145+AD145+AF145+AG145</f>
        <v>4.6023061013443645</v>
      </c>
      <c r="AJ145" s="58">
        <v>14</v>
      </c>
      <c r="AK145" s="219">
        <f>INDEX('C-P-RollAdj'!$J$4:$J$76,MATCH(INT(Z145),'C-P-RollAdj'!$I$4:$I$76,FALSE),0)</f>
        <v>-34</v>
      </c>
      <c r="AL145" s="219">
        <f>INDEX('C-P-RollAdj'!$J$4:$J$76,MATCH(INT(AC145),'C-P-RollAdj'!$I$4:$I$76,FALSE),0)</f>
        <v>21</v>
      </c>
      <c r="AM145" s="262">
        <f>+AR145*LeagueRatings!$K$27</f>
        <v>5.5555555555555554</v>
      </c>
      <c r="AN145" s="72">
        <f>F145*LeagueRatings!$K$27</f>
        <v>3.3333333333333335</v>
      </c>
      <c r="AO145" s="72">
        <f>G145*LeagueRatings!$K$27</f>
        <v>0.55555555555555558</v>
      </c>
      <c r="AP145" s="72">
        <f>T145*LeagueRatings!$K$27</f>
        <v>24.444444444444446</v>
      </c>
      <c r="AR145" s="14">
        <f>ROUNDUP(L145,0)</f>
        <v>10</v>
      </c>
    </row>
    <row r="146" spans="1:50" x14ac:dyDescent="0.2">
      <c r="A146" s="9"/>
      <c r="B146" s="129"/>
      <c r="L146" s="157">
        <f>(L144/100)/((L144+L145)/100)</f>
        <v>0.86185714285714288</v>
      </c>
      <c r="T146" s="158"/>
      <c r="U146" s="158"/>
      <c r="V146" s="282"/>
      <c r="W146" s="158"/>
      <c r="X146" s="158"/>
      <c r="Y146" s="153"/>
      <c r="Z146" s="152">
        <f>Z144*L146</f>
        <v>-2.3643416761535905</v>
      </c>
      <c r="AA146" s="153"/>
      <c r="AB146" s="153"/>
      <c r="AC146" s="152">
        <f>AC144*L146</f>
        <v>-4.0079921965372138</v>
      </c>
      <c r="AD146" s="153"/>
      <c r="AE146" s="103"/>
      <c r="AF146" s="103"/>
      <c r="AG146" s="103"/>
      <c r="AH146" s="154">
        <f>AH144*L146</f>
        <v>6.6217383201829261</v>
      </c>
      <c r="AJ146" s="5"/>
      <c r="AK146" s="5"/>
      <c r="AL146" s="5"/>
      <c r="AN146" s="72"/>
      <c r="AO146" s="72"/>
      <c r="AP146" s="72"/>
      <c r="AR146" s="14"/>
    </row>
    <row r="147" spans="1:50" x14ac:dyDescent="0.2">
      <c r="A147" s="9"/>
      <c r="B147" s="129"/>
      <c r="L147" s="157">
        <f>(L145/100)/((L144+L145)/100)</f>
        <v>0.13814285714285715</v>
      </c>
      <c r="T147" s="158"/>
      <c r="U147" s="158"/>
      <c r="V147" s="282"/>
      <c r="W147" s="158"/>
      <c r="X147" s="158"/>
      <c r="Y147" s="153"/>
      <c r="Z147" s="152">
        <f>Z145*L147</f>
        <v>-2.1579050727643607</v>
      </c>
      <c r="AA147" s="153"/>
      <c r="AB147" s="153"/>
      <c r="AC147" s="152">
        <f>AC145*L147</f>
        <v>1.0864178265680506</v>
      </c>
      <c r="AD147" s="153"/>
      <c r="AE147" s="103"/>
      <c r="AF147" s="103"/>
      <c r="AG147" s="103"/>
      <c r="AH147" s="154">
        <f>AH145*L147</f>
        <v>0.63577571428571433</v>
      </c>
      <c r="AJ147" s="5"/>
      <c r="AK147" s="5"/>
      <c r="AL147" s="5"/>
      <c r="AN147" s="72"/>
      <c r="AO147" s="72"/>
      <c r="AP147" s="72"/>
      <c r="AR147" s="14"/>
    </row>
    <row r="148" spans="1:50" x14ac:dyDescent="0.2">
      <c r="A148" s="9"/>
      <c r="B148" s="129"/>
      <c r="T148" s="158"/>
      <c r="U148" s="158"/>
      <c r="V148" s="282"/>
      <c r="W148" s="158"/>
      <c r="X148" s="158"/>
      <c r="Y148" s="153"/>
      <c r="Z148" s="152">
        <f>SUM(Z146:Z147)</f>
        <v>-4.5222467489179508</v>
      </c>
      <c r="AA148" s="153"/>
      <c r="AB148" s="153"/>
      <c r="AC148" s="152">
        <f>SUM(AC146:AC147)</f>
        <v>-2.9215743699691634</v>
      </c>
      <c r="AD148" s="153"/>
      <c r="AE148" s="103"/>
      <c r="AF148" s="103"/>
      <c r="AG148" s="103"/>
      <c r="AH148" s="153">
        <f>SUM(AH146:AH147)</f>
        <v>7.25751403446864</v>
      </c>
      <c r="AI148" s="41" t="s">
        <v>360</v>
      </c>
      <c r="AJ148" s="5" t="s">
        <v>55</v>
      </c>
      <c r="AK148" s="219">
        <f>INDEX('C-P-RollAdj'!$J$4:$J$76,MATCH(INT(Z148),'C-P-RollAdj'!$I$4:$I$76,FALSE),0)</f>
        <v>-15</v>
      </c>
      <c r="AL148" s="121">
        <f>INDEX('C-P-RollAdj'!$J$4:$J$76,MATCH(INT(AC148),'C-P-RollAdj'!$I$4:$I$76,FALSE),0)</f>
        <v>-13</v>
      </c>
      <c r="AM148" s="262">
        <f>SUM(AM144:AM147)</f>
        <v>39.44444444444445</v>
      </c>
      <c r="AN148" s="14">
        <f>SUM(AN144:AN147)</f>
        <v>9.4444444444444446</v>
      </c>
      <c r="AO148" s="14">
        <f>SUM(AO144:AO147)</f>
        <v>6.666666666666667</v>
      </c>
      <c r="AP148" s="14">
        <f>SUM(AP144:AP147)</f>
        <v>171.66666666666669</v>
      </c>
      <c r="AR148" s="14"/>
    </row>
    <row r="149" spans="1:50" x14ac:dyDescent="0.2">
      <c r="B149" s="155"/>
      <c r="AR149" s="14"/>
    </row>
    <row r="150" spans="1:50" x14ac:dyDescent="0.2">
      <c r="A150" t="s">
        <v>437</v>
      </c>
      <c r="B150" s="76" t="s">
        <v>146</v>
      </c>
      <c r="C150" s="76">
        <v>0</v>
      </c>
      <c r="D150" s="76">
        <v>1</v>
      </c>
      <c r="E150" s="76">
        <v>3.77</v>
      </c>
      <c r="F150" s="76">
        <v>34</v>
      </c>
      <c r="G150" s="76">
        <v>0</v>
      </c>
      <c r="H150" s="76">
        <v>0</v>
      </c>
      <c r="I150" s="76">
        <v>0</v>
      </c>
      <c r="J150" s="76">
        <v>0</v>
      </c>
      <c r="K150" s="76">
        <v>1</v>
      </c>
      <c r="L150" s="258">
        <f>INDEX('C-P-RollAdj'!$P$4:$P$900,MATCH((U150),'C-P-RollAdj'!$O$4:$O$900,FALSE),0)</f>
        <v>28.67</v>
      </c>
      <c r="M150" s="76">
        <v>27</v>
      </c>
      <c r="N150" s="76">
        <v>12</v>
      </c>
      <c r="O150" s="76">
        <v>12</v>
      </c>
      <c r="P150" s="76">
        <v>1</v>
      </c>
      <c r="Q150" s="76">
        <v>14</v>
      </c>
      <c r="R150" s="76">
        <v>2</v>
      </c>
      <c r="S150" s="76">
        <v>25</v>
      </c>
      <c r="T150" s="76">
        <v>120</v>
      </c>
      <c r="U150" s="76">
        <v>28.2</v>
      </c>
      <c r="V150" s="100">
        <v>0.26</v>
      </c>
      <c r="W150" s="76">
        <v>1.43</v>
      </c>
      <c r="Y150" s="50">
        <f>+(Q150-R150)/(T150-R150)*100</f>
        <v>10.16949152542373</v>
      </c>
      <c r="Z150" s="6">
        <f>IF(Y150&lt;LeagueRatings!$K$10,((LeagueRatings!$K$10-Y150)/LeagueRatings!$K$10)*36,(LeagueRatings!$K$10-Y150)*6.48)</f>
        <v>-9.7325245905521118</v>
      </c>
      <c r="AA150" s="16">
        <f>INDEX('C-P-RollAdj'!$B$4:$B$76,MATCH(INT(Z150),'C-P-RollAdj'!$A$4:$A$76,FALSE),0)</f>
        <v>0.98</v>
      </c>
      <c r="AB150" s="16">
        <f>(P150/(T150-R150))*100</f>
        <v>0.84745762711864403</v>
      </c>
      <c r="AC150" s="6">
        <f>IF(AB150&lt;LeagueRatings!$K$8,((LeagueRatings!$K$8-AB150)/LeagueRatings!$K$8)*36,(LeagueRatings!$K$8-AB150)/LeagueRatings!$K$11)</f>
        <v>26.472704585629614</v>
      </c>
      <c r="AD150" s="16">
        <f>INDEX('C-P-RollAdj'!$F$4:$F$76,MATCH(INT(AC150),'C-P-RollAdj'!$E$4:$E$76,FALSE),0)</f>
        <v>-2.1799999999999997</v>
      </c>
      <c r="AE150" s="17">
        <f>+((LeagueRatings!$I$17-E150)*5)+9.5</f>
        <v>11.464387243706362</v>
      </c>
      <c r="AF150" s="17">
        <f>IF(AE150&lt;4,4,AE150)</f>
        <v>11.464387243706362</v>
      </c>
      <c r="AG150" s="17">
        <f>IF(M150&lt;L150,((1-(M150/L150))*7)-0.07,(1-(M150/L150))*5)</f>
        <v>0.33774328566445838</v>
      </c>
      <c r="AH150" s="4">
        <f>+AA150+AD150+AF150+AG150</f>
        <v>10.602130529370822</v>
      </c>
      <c r="AJ150" s="5" t="s">
        <v>39</v>
      </c>
      <c r="AK150" s="219">
        <f>INDEX('C-P-RollAdj'!$J$4:$J$76,MATCH(INT(Z150),'C-P-RollAdj'!$I$4:$I$76,FALSE),0)</f>
        <v>-24</v>
      </c>
      <c r="AL150" s="219">
        <f>INDEX('C-P-RollAdj'!$J$4:$J$76,MATCH(INT(AC150),'C-P-RollAdj'!$I$4:$I$76,FALSE),0)</f>
        <v>52</v>
      </c>
      <c r="AM150" s="262">
        <f>+AR150*LeagueRatings!$K$27</f>
        <v>16.111111111111111</v>
      </c>
      <c r="AN150" s="72">
        <f>F150*LeagueRatings!$K$27</f>
        <v>18.888888888888889</v>
      </c>
      <c r="AO150" s="72">
        <f>G150*LeagueRatings!$K$27</f>
        <v>0</v>
      </c>
      <c r="AP150" s="72">
        <f>T150*LeagueRatings!$K$27</f>
        <v>66.666666666666671</v>
      </c>
      <c r="AQ150"/>
      <c r="AR150" s="14">
        <f>ROUNDUP(L150,0)</f>
        <v>29</v>
      </c>
    </row>
    <row r="151" spans="1:50" customFormat="1" x14ac:dyDescent="0.2">
      <c r="A151" s="41" t="s">
        <v>437</v>
      </c>
      <c r="B151" s="76" t="s">
        <v>152</v>
      </c>
      <c r="C151" s="76">
        <v>2</v>
      </c>
      <c r="D151" s="76">
        <v>0</v>
      </c>
      <c r="E151" s="76">
        <v>3.38</v>
      </c>
      <c r="F151" s="76">
        <v>29</v>
      </c>
      <c r="G151" s="76">
        <v>0</v>
      </c>
      <c r="H151" s="76">
        <v>0</v>
      </c>
      <c r="I151" s="76">
        <v>0</v>
      </c>
      <c r="J151" s="76">
        <v>1</v>
      </c>
      <c r="K151" s="76">
        <v>2</v>
      </c>
      <c r="L151" s="258">
        <f>INDEX('C-P-RollAdj'!$P$4:$P$900,MATCH((U151),'C-P-RollAdj'!$O$4:$O$900,FALSE),0)</f>
        <v>16</v>
      </c>
      <c r="M151" s="76">
        <v>10</v>
      </c>
      <c r="N151" s="76">
        <v>6</v>
      </c>
      <c r="O151" s="76">
        <v>6</v>
      </c>
      <c r="P151" s="76">
        <v>2</v>
      </c>
      <c r="Q151" s="76">
        <v>7</v>
      </c>
      <c r="R151" s="76">
        <v>1</v>
      </c>
      <c r="S151" s="76">
        <v>13</v>
      </c>
      <c r="T151" s="76">
        <v>67</v>
      </c>
      <c r="U151" s="76">
        <v>16</v>
      </c>
      <c r="V151" s="100">
        <v>0.17499999999999999</v>
      </c>
      <c r="W151" s="76">
        <v>1.06</v>
      </c>
      <c r="X151" s="76"/>
      <c r="Y151" s="50">
        <f>+(Q151-R151)/(T151-R151)*100</f>
        <v>9.0909090909090917</v>
      </c>
      <c r="Z151" s="6">
        <f>IF(Y151&lt;LeagueRatings!$K$10,((LeagueRatings!$K$10-Y151)/LeagueRatings!$K$10)*36,(LeagueRatings!$K$10-Y151)*6.48)</f>
        <v>-2.743310414897254</v>
      </c>
      <c r="AA151" s="16">
        <f>INDEX('C-P-RollAdj'!$B$4:$B$76,MATCH(INT(Z151),'C-P-RollAdj'!$A$4:$A$76,FALSE),0)</f>
        <v>0.27</v>
      </c>
      <c r="AB151" s="16">
        <f>(P151/(T151-R151))*100</f>
        <v>3.0303030303030303</v>
      </c>
      <c r="AC151" s="6">
        <f>IF(AB151&lt;LeagueRatings!$K$8,((LeagueRatings!$K$8-AB151)/LeagueRatings!$K$8)*36,(LeagueRatings!$K$8-AB151)/LeagueRatings!$K$11)</f>
        <v>1.932701245584683</v>
      </c>
      <c r="AD151" s="16">
        <f>INDEX('C-P-RollAdj'!$F$4:$F$76,MATCH(INT(AC151),'C-P-RollAdj'!$E$4:$E$76,FALSE),0)</f>
        <v>-7.0000000000000007E-2</v>
      </c>
      <c r="AE151" s="17">
        <f>+((LeagueRatings!$I$17-E151)*5)+9.5</f>
        <v>13.414387243706363</v>
      </c>
      <c r="AF151" s="17">
        <f>IF(AE151&lt;4,4,AE151)</f>
        <v>13.414387243706363</v>
      </c>
      <c r="AG151" s="17">
        <f>IF(M151&lt;L151,((1-(M151/L151))*7)-0.07,(1-(M151/L151))*5)</f>
        <v>2.5550000000000002</v>
      </c>
      <c r="AH151" s="4">
        <f>+AA151+AD151+AF151+AG151</f>
        <v>16.169387243706364</v>
      </c>
      <c r="AI151" s="168"/>
      <c r="AJ151" s="5" t="s">
        <v>72</v>
      </c>
      <c r="AK151" s="219">
        <f>INDEX('C-P-RollAdj'!$J$4:$J$76,MATCH(INT(Z151),'C-P-RollAdj'!$I$4:$I$76,FALSE),0)</f>
        <v>-13</v>
      </c>
      <c r="AL151" s="219">
        <f>INDEX('C-P-RollAdj'!$J$4:$J$76,MATCH(INT(AC151),'C-P-RollAdj'!$I$4:$I$76,FALSE),0)</f>
        <v>11</v>
      </c>
      <c r="AM151" s="262">
        <f>+AR151*LeagueRatings!$K$27</f>
        <v>8.8888888888888893</v>
      </c>
      <c r="AN151" s="72">
        <f>F151*LeagueRatings!$K$27</f>
        <v>16.111111111111111</v>
      </c>
      <c r="AO151" s="72">
        <f>G151*LeagueRatings!$K$27</f>
        <v>0</v>
      </c>
      <c r="AP151" s="72">
        <f>T151*LeagueRatings!$K$27</f>
        <v>37.222222222222221</v>
      </c>
      <c r="AR151" s="14">
        <f>ROUNDUP(L151,0)</f>
        <v>16</v>
      </c>
    </row>
    <row r="152" spans="1:50" x14ac:dyDescent="0.2">
      <c r="A152" s="9"/>
      <c r="B152" s="129"/>
      <c r="L152" s="157">
        <f>(L150/100)/((L150+L151)/100)</f>
        <v>0.6418177747929259</v>
      </c>
      <c r="T152" s="158"/>
      <c r="U152" s="158"/>
      <c r="V152" s="282"/>
      <c r="W152" s="158"/>
      <c r="X152" s="158"/>
      <c r="Y152" s="153"/>
      <c r="Z152" s="152">
        <f>Z150*L152</f>
        <v>-6.2465072758255884</v>
      </c>
      <c r="AA152" s="153"/>
      <c r="AB152" s="153"/>
      <c r="AC152" s="152">
        <f>AC150*L152</f>
        <v>16.990652349899285</v>
      </c>
      <c r="AD152" s="153"/>
      <c r="AE152" s="103"/>
      <c r="AF152" s="103"/>
      <c r="AG152" s="103"/>
      <c r="AH152" s="154">
        <f>AH150*L152</f>
        <v>6.8046358244249259</v>
      </c>
      <c r="AJ152" s="5"/>
      <c r="AK152" s="5"/>
      <c r="AL152" s="5"/>
      <c r="AN152" s="72"/>
      <c r="AO152" s="72"/>
      <c r="AP152" s="72"/>
      <c r="AQ152" s="30"/>
      <c r="AR152" s="14"/>
    </row>
    <row r="153" spans="1:50" x14ac:dyDescent="0.2">
      <c r="A153" s="9"/>
      <c r="B153" s="129"/>
      <c r="L153" s="157">
        <f>(L151/100)/((L150+L151)/100)</f>
        <v>0.3581822252070741</v>
      </c>
      <c r="T153" s="158"/>
      <c r="U153" s="158"/>
      <c r="V153" s="282"/>
      <c r="W153" s="158"/>
      <c r="X153" s="158"/>
      <c r="Y153" s="153"/>
      <c r="Z153" s="152">
        <f>Z151*L153</f>
        <v>-0.98260502884164014</v>
      </c>
      <c r="AA153" s="153"/>
      <c r="AB153" s="153"/>
      <c r="AC153" s="152">
        <f>AC151*L153</f>
        <v>0.69225923280400559</v>
      </c>
      <c r="AD153" s="153"/>
      <c r="AE153" s="103"/>
      <c r="AF153" s="103"/>
      <c r="AG153" s="103"/>
      <c r="AH153" s="154">
        <f>AH151*L153</f>
        <v>5.7915871031856243</v>
      </c>
      <c r="AJ153" s="5"/>
      <c r="AK153" s="5"/>
      <c r="AL153" s="5"/>
      <c r="AN153" s="72"/>
      <c r="AO153" s="72"/>
      <c r="AP153" s="72"/>
      <c r="AQ153" s="30"/>
      <c r="AR153" s="14"/>
    </row>
    <row r="154" spans="1:50" x14ac:dyDescent="0.2">
      <c r="A154" s="9"/>
      <c r="B154" s="129"/>
      <c r="T154" s="158"/>
      <c r="U154" s="158"/>
      <c r="V154" s="282"/>
      <c r="W154" s="158"/>
      <c r="X154" s="158"/>
      <c r="Y154" s="153"/>
      <c r="Z154" s="152">
        <f>SUM(Z152:Z153)</f>
        <v>-7.229112304667229</v>
      </c>
      <c r="AA154" s="153"/>
      <c r="AB154" s="153"/>
      <c r="AC154" s="152">
        <f>SUM(AC152:AC153)</f>
        <v>17.682911582703291</v>
      </c>
      <c r="AD154" s="153"/>
      <c r="AE154" s="103"/>
      <c r="AF154" s="103"/>
      <c r="AG154" s="103"/>
      <c r="AH154" s="153">
        <f>SUM(AH152:AH153)</f>
        <v>12.596222927610551</v>
      </c>
      <c r="AI154" s="41" t="s">
        <v>437</v>
      </c>
      <c r="AJ154" s="5" t="s">
        <v>16</v>
      </c>
      <c r="AK154" s="219">
        <f>INDEX('C-P-RollAdj'!$J$4:$J$76,MATCH(INT(Z154),'C-P-RollAdj'!$I$4:$I$76,FALSE),0)</f>
        <v>-22</v>
      </c>
      <c r="AL154" s="219">
        <f>INDEX('C-P-RollAdj'!$J$4:$J$76,MATCH(INT(AC154),'C-P-RollAdj'!$I$4:$I$76,FALSE),0)</f>
        <v>35</v>
      </c>
      <c r="AM154" s="262">
        <f>SUM(AM150:AM153)</f>
        <v>25</v>
      </c>
      <c r="AN154" s="14">
        <f>SUM(AN150:AN153)</f>
        <v>35</v>
      </c>
      <c r="AO154" s="14">
        <f>SUM(AO150:AO153)</f>
        <v>0</v>
      </c>
      <c r="AP154" s="14">
        <f>SUM(AP150:AP153)</f>
        <v>103.88888888888889</v>
      </c>
      <c r="AQ154" s="30"/>
      <c r="AR154" s="14"/>
    </row>
    <row r="155" spans="1:50" x14ac:dyDescent="0.2">
      <c r="A155" s="204"/>
      <c r="B155" s="196"/>
      <c r="AN155" s="72"/>
      <c r="AO155" s="72"/>
      <c r="AP155" s="72"/>
      <c r="AQ155" s="30"/>
      <c r="AR155" s="14"/>
    </row>
    <row r="156" spans="1:50" s="122" customFormat="1" x14ac:dyDescent="0.2">
      <c r="A156" t="s">
        <v>430</v>
      </c>
      <c r="B156" s="76" t="s">
        <v>169</v>
      </c>
      <c r="C156" s="76">
        <v>6</v>
      </c>
      <c r="D156" s="76">
        <v>11</v>
      </c>
      <c r="E156" s="76">
        <v>5.46</v>
      </c>
      <c r="F156" s="76">
        <v>21</v>
      </c>
      <c r="G156" s="76">
        <v>21</v>
      </c>
      <c r="H156" s="76">
        <v>0</v>
      </c>
      <c r="I156" s="76">
        <v>0</v>
      </c>
      <c r="J156" s="76">
        <v>0</v>
      </c>
      <c r="K156" s="76">
        <v>0</v>
      </c>
      <c r="L156" s="258">
        <f>INDEX('C-P-RollAdj'!$P$4:$P$900,MATCH((U156),'C-P-RollAdj'!$O$4:$O$900,FALSE),0)</f>
        <v>113.67</v>
      </c>
      <c r="M156" s="76">
        <v>115</v>
      </c>
      <c r="N156" s="76">
        <v>76</v>
      </c>
      <c r="O156" s="76">
        <v>69</v>
      </c>
      <c r="P156" s="76">
        <v>19</v>
      </c>
      <c r="Q156" s="76">
        <v>69</v>
      </c>
      <c r="R156" s="76">
        <v>1</v>
      </c>
      <c r="S156" s="76">
        <v>116</v>
      </c>
      <c r="T156" s="76">
        <v>523</v>
      </c>
      <c r="U156" s="76">
        <v>113.2</v>
      </c>
      <c r="V156" s="100">
        <v>0.26400000000000001</v>
      </c>
      <c r="W156" s="76">
        <v>1.62</v>
      </c>
      <c r="X156" s="196"/>
      <c r="Y156" s="50">
        <f>+(Q156-R156)/(T156-R156)*100</f>
        <v>13.026819923371647</v>
      </c>
      <c r="Z156" s="6">
        <f>IF(Y156&lt;LeagueRatings!$K$21,((LeagueRatings!$K$21-Y156)/LeagueRatings!$K$21)*36,(LeagueRatings!$K$21-Y156)*6.48)</f>
        <v>-26.398252124117242</v>
      </c>
      <c r="AA156" s="16">
        <f>INDEX('C-P-RollAdj'!$B$4:$B$76,MATCH(INT(Z156),'C-P-RollAdj'!$A$4:$A$76,FALSE),0)</f>
        <v>3.61</v>
      </c>
      <c r="AB156" s="16">
        <f>(P156/(T156-R156))*100</f>
        <v>3.6398467432950192</v>
      </c>
      <c r="AC156" s="6">
        <f>IF(AB156&lt;LeagueRatings!$K$19,((LeagueRatings!$K$19-AB156)/LeagueRatings!$K$19)*36,(LeagueRatings!$K$19-AB156)/LeagueRatings!$K$22)</f>
        <v>-5.9133052985702266</v>
      </c>
      <c r="AD156" s="16">
        <f>INDEX('C-P-RollAdj'!$F$4:$F$76,MATCH(INT(AC156),'C-P-RollAdj'!$E$4:$E$76,FALSE),0)</f>
        <v>0.51</v>
      </c>
      <c r="AE156" s="17">
        <f>+((LeagueRatings!$I$17-E156)*5)+9.5</f>
        <v>3.0143872437063628</v>
      </c>
      <c r="AF156" s="17">
        <f>IF(AE156&lt;4,4,AE156)</f>
        <v>4</v>
      </c>
      <c r="AG156" s="17">
        <f>IF(M156&lt;L156,((1-(M156/L156))*7)-0.07,(1-(M156/L156))*5)</f>
        <v>-5.8502683205771122E-2</v>
      </c>
      <c r="AH156" s="4">
        <f>+AA156+AD156+AF156+AG156</f>
        <v>8.0614973167942292</v>
      </c>
      <c r="AI156" s="213"/>
      <c r="AJ156" s="7" t="s">
        <v>60</v>
      </c>
      <c r="AK156" s="219">
        <f>INDEX('C-P-RollAdj'!$J$4:$J$76,MATCH(INT(Z156),'C-P-RollAdj'!$I$4:$I$76,FALSE),0)</f>
        <v>-53</v>
      </c>
      <c r="AL156" s="219">
        <f>INDEX('C-P-RollAdj'!$J$4:$J$76,MATCH(INT(AC156),'C-P-RollAdj'!$I$4:$I$76,FALSE),0)</f>
        <v>-16</v>
      </c>
      <c r="AM156" s="262">
        <f>+AR156*LeagueRatings!$K$27</f>
        <v>63.333333333333336</v>
      </c>
      <c r="AN156" s="72">
        <f>F156*LeagueRatings!$K$27</f>
        <v>11.666666666666668</v>
      </c>
      <c r="AO156" s="72">
        <f>G156*LeagueRatings!$K$27</f>
        <v>11.666666666666668</v>
      </c>
      <c r="AP156" s="72">
        <f>T156*LeagueRatings!$K$27</f>
        <v>290.55555555555554</v>
      </c>
      <c r="AQ156" s="24"/>
      <c r="AR156" s="14">
        <f>ROUNDUP(L156,0)</f>
        <v>114</v>
      </c>
      <c r="AS156" s="123"/>
      <c r="AT156" s="123"/>
      <c r="AU156" s="123"/>
      <c r="AW156" s="71"/>
      <c r="AX156" s="71"/>
    </row>
    <row r="157" spans="1:50" s="24" customFormat="1" x14ac:dyDescent="0.2">
      <c r="A157" s="41" t="s">
        <v>430</v>
      </c>
      <c r="B157" s="76" t="s">
        <v>156</v>
      </c>
      <c r="C157" s="76">
        <v>2</v>
      </c>
      <c r="D157" s="76">
        <v>2</v>
      </c>
      <c r="E157" s="76">
        <v>2.92</v>
      </c>
      <c r="F157" s="76">
        <v>10</v>
      </c>
      <c r="G157" s="76">
        <v>8</v>
      </c>
      <c r="H157" s="76">
        <v>0</v>
      </c>
      <c r="I157" s="76">
        <v>0</v>
      </c>
      <c r="J157" s="76">
        <v>0</v>
      </c>
      <c r="K157" s="76">
        <v>0</v>
      </c>
      <c r="L157" s="258">
        <f>INDEX('C-P-RollAdj'!$P$4:$P$900,MATCH((U157),'C-P-RollAdj'!$O$4:$O$900,FALSE),0)</f>
        <v>49.33</v>
      </c>
      <c r="M157" s="76">
        <v>42</v>
      </c>
      <c r="N157" s="76">
        <v>22</v>
      </c>
      <c r="O157" s="76">
        <v>16</v>
      </c>
      <c r="P157" s="76">
        <v>7</v>
      </c>
      <c r="Q157" s="76">
        <v>16</v>
      </c>
      <c r="R157" s="76">
        <v>0</v>
      </c>
      <c r="S157" s="76">
        <v>52</v>
      </c>
      <c r="T157" s="76">
        <v>208</v>
      </c>
      <c r="U157" s="76">
        <v>49.1</v>
      </c>
      <c r="V157" s="100">
        <v>0.222</v>
      </c>
      <c r="W157" s="76">
        <v>1.18</v>
      </c>
      <c r="X157" s="76"/>
      <c r="Y157" s="50">
        <f>+(Q157-R157)/(T157-R157)*100</f>
        <v>7.6923076923076925</v>
      </c>
      <c r="Z157" s="6">
        <f>IF(Y157&lt;LeagueRatings!$K$10,((LeagueRatings!$K$10-Y157)/LeagueRatings!$K$10)*36,(LeagueRatings!$K$10-Y157)*6.48)</f>
        <v>4.0506257961278145</v>
      </c>
      <c r="AA157" s="16">
        <f>INDEX('C-P-RollAdj'!$B$4:$B$76,MATCH(INT(Z157),'C-P-RollAdj'!$A$4:$A$76,FALSE),0)</f>
        <v>-0.32</v>
      </c>
      <c r="AB157" s="16">
        <f>(P157/(T157-R157))*100</f>
        <v>3.3653846153846154</v>
      </c>
      <c r="AC157" s="6">
        <f>IF(AB157&lt;LeagueRatings!$K$8,((LeagueRatings!$K$8-AB157)/LeagueRatings!$K$8)*36,(LeagueRatings!$K$8-AB157)/LeagueRatings!$K$11)</f>
        <v>-1.2956186807895995</v>
      </c>
      <c r="AD157" s="16">
        <f>INDEX('C-P-RollAdj'!$F$4:$F$76,MATCH(INT(AC157),'C-P-RollAdj'!$E$4:$E$76,FALSE),0)</f>
        <v>0.16</v>
      </c>
      <c r="AE157" s="17">
        <f>+((LeagueRatings!$I$17-E157)*5)+9.5</f>
        <v>15.714387243706362</v>
      </c>
      <c r="AF157" s="17">
        <f>IF(AE157&lt;4,4,AE157)</f>
        <v>15.714387243706362</v>
      </c>
      <c r="AG157" s="17">
        <f>IF(M157&lt;L157,((1-(M157/L157))*7)-0.07,(1-(M157/L157))*5)</f>
        <v>0.97013784715183404</v>
      </c>
      <c r="AH157" s="4">
        <f>+AA157+AD157+AF157+AG157</f>
        <v>16.524525090858194</v>
      </c>
      <c r="AJ157" s="58">
        <v>19</v>
      </c>
      <c r="AK157" s="219">
        <f>INDEX('C-P-RollAdj'!$J$4:$J$76,MATCH(INT(Z157),'C-P-RollAdj'!$I$4:$I$76,FALSE),0)</f>
        <v>14</v>
      </c>
      <c r="AL157" s="219">
        <f>INDEX('C-P-RollAdj'!$J$4:$J$76,MATCH(INT(AC157),'C-P-RollAdj'!$I$4:$I$76,FALSE),0)</f>
        <v>-12</v>
      </c>
      <c r="AM157" s="262">
        <f>+AR157*LeagueRatings!$K$27</f>
        <v>27.777777777777779</v>
      </c>
      <c r="AN157" s="72">
        <f>F157*LeagueRatings!$K$27</f>
        <v>5.5555555555555554</v>
      </c>
      <c r="AO157" s="72">
        <f>G157*LeagueRatings!$K$27</f>
        <v>4.4444444444444446</v>
      </c>
      <c r="AP157" s="72">
        <f>T157*LeagueRatings!$K$27</f>
        <v>115.55555555555556</v>
      </c>
      <c r="AR157" s="14">
        <f>ROUNDUP(L157,0)</f>
        <v>50</v>
      </c>
    </row>
    <row r="158" spans="1:50" s="122" customFormat="1" x14ac:dyDescent="0.2">
      <c r="A158" s="9"/>
      <c r="B158" s="129"/>
      <c r="C158" s="205"/>
      <c r="D158" s="196"/>
      <c r="E158" s="205"/>
      <c r="F158" s="196"/>
      <c r="G158" s="196"/>
      <c r="H158" s="196"/>
      <c r="I158" s="206"/>
      <c r="J158" s="206"/>
      <c r="K158" s="206"/>
      <c r="L158" s="157">
        <f>(L156/100)/((L156+L157)/100)</f>
        <v>0.69736196319018418</v>
      </c>
      <c r="M158" s="146"/>
      <c r="N158" s="146"/>
      <c r="O158" s="146"/>
      <c r="P158" s="146"/>
      <c r="Q158" s="146"/>
      <c r="R158" s="146"/>
      <c r="S158" s="146"/>
      <c r="T158" s="158"/>
      <c r="U158" s="158"/>
      <c r="V158" s="282"/>
      <c r="W158" s="158"/>
      <c r="X158" s="158"/>
      <c r="Y158" s="153"/>
      <c r="Z158" s="152">
        <f>Z156*L158</f>
        <v>-18.409136926063848</v>
      </c>
      <c r="AA158" s="153"/>
      <c r="AB158" s="153"/>
      <c r="AC158" s="152">
        <f>AC156*L158</f>
        <v>-4.1237141919538516</v>
      </c>
      <c r="AD158" s="153"/>
      <c r="AE158" s="103"/>
      <c r="AF158" s="103"/>
      <c r="AG158" s="103"/>
      <c r="AH158" s="154">
        <f>AH156*L158</f>
        <v>5.6217815950920258</v>
      </c>
      <c r="AI158" s="168"/>
      <c r="AJ158" s="5"/>
      <c r="AK158" s="5"/>
      <c r="AL158" s="5"/>
      <c r="AM158" s="262"/>
      <c r="AN158" s="72"/>
      <c r="AO158" s="72"/>
      <c r="AP158" s="72"/>
      <c r="AQ158" s="30"/>
      <c r="AR158" s="14"/>
      <c r="AS158" s="123"/>
      <c r="AT158" s="123"/>
      <c r="AU158" s="123"/>
      <c r="AW158" s="71"/>
      <c r="AX158" s="71"/>
    </row>
    <row r="159" spans="1:50" s="122" customFormat="1" x14ac:dyDescent="0.2">
      <c r="A159" s="9"/>
      <c r="B159" s="129"/>
      <c r="C159" s="205"/>
      <c r="D159" s="196"/>
      <c r="E159" s="205"/>
      <c r="F159" s="196"/>
      <c r="G159" s="196"/>
      <c r="H159" s="196"/>
      <c r="I159" s="206"/>
      <c r="J159" s="206"/>
      <c r="K159" s="206"/>
      <c r="L159" s="157">
        <f>(L157/100)/((L156+L157)/100)</f>
        <v>0.30263803680981594</v>
      </c>
      <c r="M159" s="146"/>
      <c r="N159" s="146"/>
      <c r="O159" s="146"/>
      <c r="P159" s="146"/>
      <c r="Q159" s="146"/>
      <c r="R159" s="146"/>
      <c r="S159" s="146"/>
      <c r="T159" s="158"/>
      <c r="U159" s="158"/>
      <c r="V159" s="282"/>
      <c r="W159" s="158"/>
      <c r="X159" s="158"/>
      <c r="Y159" s="153"/>
      <c r="Z159" s="152">
        <f>Z157*L159</f>
        <v>1.2258734387913195</v>
      </c>
      <c r="AA159" s="153"/>
      <c r="AB159" s="153"/>
      <c r="AC159" s="152">
        <f>AC157*L159</f>
        <v>-0.39210349400828798</v>
      </c>
      <c r="AD159" s="153"/>
      <c r="AE159" s="103"/>
      <c r="AF159" s="103"/>
      <c r="AG159" s="103"/>
      <c r="AH159" s="154">
        <f>AH157*L159</f>
        <v>5.0009498327118695</v>
      </c>
      <c r="AI159" s="168"/>
      <c r="AJ159" s="5"/>
      <c r="AK159" s="5"/>
      <c r="AL159" s="5"/>
      <c r="AM159" s="262"/>
      <c r="AN159" s="72"/>
      <c r="AO159" s="72"/>
      <c r="AP159" s="72"/>
      <c r="AQ159" s="30"/>
      <c r="AR159" s="14"/>
      <c r="AS159" s="123"/>
      <c r="AT159" s="123"/>
      <c r="AU159" s="123"/>
      <c r="AW159" s="71"/>
      <c r="AX159" s="71"/>
    </row>
    <row r="160" spans="1:50" s="122" customFormat="1" x14ac:dyDescent="0.2">
      <c r="A160" s="9"/>
      <c r="B160" s="129"/>
      <c r="C160" s="205"/>
      <c r="D160" s="196"/>
      <c r="E160" s="205"/>
      <c r="F160" s="196"/>
      <c r="G160" s="196"/>
      <c r="H160" s="196"/>
      <c r="I160" s="206"/>
      <c r="J160" s="206"/>
      <c r="K160" s="206"/>
      <c r="L160" s="157"/>
      <c r="M160" s="146"/>
      <c r="N160" s="146"/>
      <c r="O160" s="146"/>
      <c r="P160" s="146"/>
      <c r="Q160" s="146"/>
      <c r="R160" s="146"/>
      <c r="S160" s="146"/>
      <c r="T160" s="158"/>
      <c r="U160" s="158"/>
      <c r="V160" s="282"/>
      <c r="W160" s="158"/>
      <c r="X160" s="158"/>
      <c r="Y160" s="153"/>
      <c r="Z160" s="152">
        <f>SUM(Z158:Z159)</f>
        <v>-17.18326348727253</v>
      </c>
      <c r="AA160" s="153"/>
      <c r="AB160" s="153"/>
      <c r="AC160" s="152">
        <f>SUM(AC158:AC159)</f>
        <v>-4.5158176859621397</v>
      </c>
      <c r="AD160" s="153"/>
      <c r="AE160" s="103"/>
      <c r="AF160" s="103"/>
      <c r="AG160" s="103"/>
      <c r="AH160" s="153">
        <f>SUM(AH158:AH159)</f>
        <v>10.622731427803895</v>
      </c>
      <c r="AI160" s="41" t="s">
        <v>430</v>
      </c>
      <c r="AJ160" s="5" t="s">
        <v>68</v>
      </c>
      <c r="AK160" s="219">
        <f>INDEX('C-P-RollAdj'!$J$4:$J$76,MATCH(INT(Z160),'C-P-RollAdj'!$I$4:$I$76,FALSE),0)</f>
        <v>-36</v>
      </c>
      <c r="AL160" s="219">
        <f>INDEX('C-P-RollAdj'!$J$4:$J$76,MATCH(INT(AC160),'C-P-RollAdj'!$I$4:$I$76,FALSE),0)</f>
        <v>-15</v>
      </c>
      <c r="AM160" s="262">
        <f>SUM(AM156:AM159)</f>
        <v>91.111111111111114</v>
      </c>
      <c r="AN160" s="14">
        <f>SUM(AN156:AN159)</f>
        <v>17.222222222222221</v>
      </c>
      <c r="AO160" s="14">
        <f>SUM(AO156:AO159)</f>
        <v>16.111111111111114</v>
      </c>
      <c r="AP160" s="14">
        <f>SUM(AP156:AP159)</f>
        <v>406.11111111111109</v>
      </c>
      <c r="AQ160" s="30"/>
      <c r="AR160" s="14"/>
      <c r="AS160" s="123"/>
      <c r="AT160" s="123"/>
      <c r="AU160" s="123"/>
      <c r="AW160" s="71"/>
      <c r="AX160" s="71"/>
    </row>
    <row r="161" spans="1:50" s="122" customFormat="1" x14ac:dyDescent="0.2">
      <c r="A161" s="146"/>
      <c r="B161" s="155"/>
      <c r="C161" s="205"/>
      <c r="D161" s="196"/>
      <c r="E161" s="205"/>
      <c r="F161" s="196"/>
      <c r="G161" s="196"/>
      <c r="H161" s="196"/>
      <c r="I161" s="206"/>
      <c r="J161" s="206"/>
      <c r="K161" s="206"/>
      <c r="L161" s="205"/>
      <c r="M161" s="196"/>
      <c r="N161" s="196"/>
      <c r="O161" s="196"/>
      <c r="P161" s="196"/>
      <c r="Q161" s="196"/>
      <c r="R161" s="196"/>
      <c r="S161" s="196"/>
      <c r="T161" s="196"/>
      <c r="U161" s="196"/>
      <c r="V161" s="277"/>
      <c r="W161" s="196"/>
      <c r="X161" s="196"/>
      <c r="Y161" s="207"/>
      <c r="Z161" s="208"/>
      <c r="AA161" s="209"/>
      <c r="AB161" s="210"/>
      <c r="AC161" s="208"/>
      <c r="AD161" s="209"/>
      <c r="AE161" s="211"/>
      <c r="AF161" s="211"/>
      <c r="AG161" s="211"/>
      <c r="AH161" s="212"/>
      <c r="AI161" s="213"/>
      <c r="AJ161" s="214"/>
      <c r="AK161" s="214"/>
      <c r="AL161" s="214"/>
      <c r="AM161" s="206"/>
      <c r="AN161" s="121"/>
      <c r="AO161" s="121"/>
      <c r="AP161" s="121"/>
      <c r="AR161" s="112"/>
      <c r="AS161" s="123"/>
      <c r="AT161" s="123"/>
      <c r="AU161" s="123"/>
      <c r="AW161" s="71"/>
      <c r="AX161" s="71"/>
    </row>
    <row r="162" spans="1:50" x14ac:dyDescent="0.2">
      <c r="A162" t="s">
        <v>1382</v>
      </c>
      <c r="B162" s="76" t="s">
        <v>144</v>
      </c>
      <c r="C162" s="76">
        <v>0</v>
      </c>
      <c r="D162" s="76">
        <v>0</v>
      </c>
      <c r="E162" s="76">
        <v>2.4500000000000002</v>
      </c>
      <c r="F162" s="76">
        <v>3</v>
      </c>
      <c r="G162" s="76">
        <v>0</v>
      </c>
      <c r="H162" s="76">
        <v>0</v>
      </c>
      <c r="I162" s="76">
        <v>0</v>
      </c>
      <c r="J162" s="76">
        <v>0</v>
      </c>
      <c r="K162" s="76">
        <v>0</v>
      </c>
      <c r="L162" s="258">
        <f>INDEX('C-P-RollAdj'!$P$4:$P$900,MATCH((U162),'C-P-RollAdj'!$O$4:$O$900,FALSE),0)</f>
        <v>3.67</v>
      </c>
      <c r="M162" s="76">
        <v>2</v>
      </c>
      <c r="N162" s="76">
        <v>1</v>
      </c>
      <c r="O162" s="76">
        <v>1</v>
      </c>
      <c r="P162" s="76">
        <v>1</v>
      </c>
      <c r="Q162" s="76">
        <v>0</v>
      </c>
      <c r="R162" s="76">
        <v>0</v>
      </c>
      <c r="S162" s="76">
        <v>3</v>
      </c>
      <c r="T162" s="76">
        <v>13</v>
      </c>
      <c r="U162" s="76">
        <v>3.2</v>
      </c>
      <c r="V162" s="100">
        <v>0.154</v>
      </c>
      <c r="W162" s="76">
        <v>0.55000000000000004</v>
      </c>
      <c r="Y162" s="52">
        <f>+(Q162-R162)/(T162-R162)*100</f>
        <v>0</v>
      </c>
      <c r="Z162" s="6">
        <f>IF(Y162&lt;LeagueRatings!$K$10,((LeagueRatings!$K$10-Y162)/LeagueRatings!$K$10)*36,(LeagueRatings!$K$10-Y162)*6.48)</f>
        <v>36</v>
      </c>
      <c r="AA162" s="16">
        <f>INDEX('C-P-RollAdj'!$B$4:$B$76,MATCH(INT(Z162),'C-P-RollAdj'!$A$4:$A$76,FALSE),0)</f>
        <v>-3.62</v>
      </c>
      <c r="AB162" s="54">
        <f>(P162/(T162-R162))*100</f>
        <v>7.6923076923076925</v>
      </c>
      <c r="AC162" s="6">
        <f>IF(AB162&lt;LeagueRatings!$K$8,((LeagueRatings!$K$8-AB162)/LeagueRatings!$K$8)*36,(LeagueRatings!$K$8-AB162)/LeagueRatings!$K$11)</f>
        <v>-35.653346172363989</v>
      </c>
      <c r="AD162" s="16">
        <f>INDEX('C-P-RollAdj'!$F$4:$F$76,MATCH(INT(AC162),'C-P-RollAdj'!$E$4:$E$76,FALSE),0)</f>
        <v>4.8600000000000003</v>
      </c>
      <c r="AE162" s="17">
        <f>+((LeagueRatings!$I$6-E162)*5)+9.5</f>
        <v>18.258051455277403</v>
      </c>
      <c r="AF162" s="55">
        <f>IF(AE162&lt;4,4,AE162)</f>
        <v>18.258051455277403</v>
      </c>
      <c r="AG162" s="17">
        <f>IF(M162&lt;L162,((1-(M162/L162))*7)-0.07,(1-(M162/L162))*5)</f>
        <v>3.1152861035422341</v>
      </c>
      <c r="AH162" s="56">
        <f>+AA162+AD162+AF162+AG162</f>
        <v>22.613337558819641</v>
      </c>
      <c r="AI162" s="26"/>
      <c r="AJ162" s="5" t="s">
        <v>74</v>
      </c>
      <c r="AK162" s="219">
        <f>INDEX('C-P-RollAdj'!$J$4:$J$76,MATCH(INT(Z162),'C-P-RollAdj'!$I$4:$I$76,FALSE),0)</f>
        <v>66</v>
      </c>
      <c r="AL162" s="219">
        <f>INDEX('C-P-RollAdj'!$J$4:$J$76,MATCH(INT(AC162),'C-P-RollAdj'!$I$4:$I$76,FALSE),0)</f>
        <v>-66</v>
      </c>
      <c r="AM162" s="262">
        <f>+AR162*LeagueRatings!$K$27</f>
        <v>2.2222222222222223</v>
      </c>
      <c r="AN162" s="72">
        <f>F162*LeagueRatings!$K$27</f>
        <v>1.6666666666666667</v>
      </c>
      <c r="AO162" s="72">
        <f>G162*LeagueRatings!$K$27</f>
        <v>0</v>
      </c>
      <c r="AP162" s="72">
        <f>T162*LeagueRatings!$K$27</f>
        <v>7.2222222222222223</v>
      </c>
      <c r="AQ162" s="24"/>
      <c r="AR162" s="72">
        <f>ROUNDUP(L162,0)</f>
        <v>4</v>
      </c>
    </row>
    <row r="163" spans="1:50" customFormat="1" x14ac:dyDescent="0.2">
      <c r="A163" s="41" t="s">
        <v>1382</v>
      </c>
      <c r="B163" s="76" t="s">
        <v>166</v>
      </c>
      <c r="C163" s="76">
        <v>0</v>
      </c>
      <c r="D163" s="76">
        <v>1</v>
      </c>
      <c r="E163" s="76">
        <v>3.22</v>
      </c>
      <c r="F163" s="76">
        <v>43</v>
      </c>
      <c r="G163" s="76">
        <v>0</v>
      </c>
      <c r="H163" s="76">
        <v>0</v>
      </c>
      <c r="I163" s="76">
        <v>0</v>
      </c>
      <c r="J163" s="76">
        <v>0</v>
      </c>
      <c r="K163" s="76">
        <v>0</v>
      </c>
      <c r="L163" s="258">
        <f>INDEX('C-P-RollAdj'!$P$4:$P$900,MATCH((U163),'C-P-RollAdj'!$O$4:$O$900,FALSE),0)</f>
        <v>58.67</v>
      </c>
      <c r="M163" s="76">
        <v>60</v>
      </c>
      <c r="N163" s="76">
        <v>24</v>
      </c>
      <c r="O163" s="76">
        <v>21</v>
      </c>
      <c r="P163" s="76">
        <v>3</v>
      </c>
      <c r="Q163" s="76">
        <v>21</v>
      </c>
      <c r="R163" s="76">
        <v>3</v>
      </c>
      <c r="S163" s="76">
        <v>47</v>
      </c>
      <c r="T163" s="76">
        <v>256</v>
      </c>
      <c r="U163" s="76">
        <v>58.2</v>
      </c>
      <c r="V163" s="100">
        <v>0.26500000000000001</v>
      </c>
      <c r="W163" s="76">
        <v>1.38</v>
      </c>
      <c r="X163" s="76"/>
      <c r="Y163" s="52">
        <f>+(Q163-R163)/(T163-R163)*100</f>
        <v>7.1146245059288544</v>
      </c>
      <c r="Z163" s="53">
        <f>IF(Y163&lt;LeagueRatings!$K$21,((LeagueRatings!$K$21-Y163)/LeagueRatings!$K$21)*36,(LeagueRatings!$K$21-Y163)*6.48)</f>
        <v>7.3921549859480278</v>
      </c>
      <c r="AA163" s="16">
        <f>INDEX('C-P-RollAdj'!$B$4:$B$76,MATCH(INT(Z163),'C-P-RollAdj'!$A$4:$A$76,FALSE),0)</f>
        <v>-0.56000000000000005</v>
      </c>
      <c r="AB163" s="54">
        <f>(P163/(T163-R163))*100</f>
        <v>1.1857707509881421</v>
      </c>
      <c r="AC163" s="53">
        <f>IF(AB163&lt;LeagueRatings!$K$19,((LeagueRatings!$K$19-AB163)/LeagueRatings!$K$19)*36,(LeagueRatings!$K$19-AB163)/LeagueRatings!$K$22)</f>
        <v>21.320583491377022</v>
      </c>
      <c r="AD163" s="16">
        <f>INDEX('C-P-RollAdj'!$F$4:$F$76,MATCH(INT(AC163),'C-P-RollAdj'!$E$4:$E$76,FALSE),0)</f>
        <v>-1.6800000000000002</v>
      </c>
      <c r="AE163" s="55">
        <f>+((LeagueRatings!$I$17-E163)*5)+9.5</f>
        <v>14.214387243706362</v>
      </c>
      <c r="AF163" s="55">
        <f>IF(AE163&lt;4,4,AE163)</f>
        <v>14.214387243706362</v>
      </c>
      <c r="AG163" s="17">
        <f>IF(M163&lt;L163,((1-(M163/L163))*7)-0.07,(1-(M163/L163))*5)</f>
        <v>-0.11334583262314624</v>
      </c>
      <c r="AH163" s="56">
        <f>+AA163+AD163+AF163+AG163</f>
        <v>11.861041411083216</v>
      </c>
      <c r="AI163" s="168"/>
      <c r="AJ163" s="7" t="s">
        <v>68</v>
      </c>
      <c r="AK163" s="219">
        <f>INDEX('C-P-RollAdj'!$J$4:$J$76,MATCH(INT(Z163),'C-P-RollAdj'!$I$4:$I$76,FALSE),0)</f>
        <v>21</v>
      </c>
      <c r="AL163" s="219">
        <f>INDEX('C-P-RollAdj'!$J$4:$J$76,MATCH(INT(AC163),'C-P-RollAdj'!$I$4:$I$76,FALSE),0)</f>
        <v>43</v>
      </c>
      <c r="AM163" s="262">
        <f>+AR163*LeagueRatings!$K$27</f>
        <v>32.777777777777779</v>
      </c>
      <c r="AN163" s="72">
        <f>F163*LeagueRatings!$K$27</f>
        <v>23.888888888888889</v>
      </c>
      <c r="AO163" s="72">
        <f>G163*LeagueRatings!$K$27</f>
        <v>0</v>
      </c>
      <c r="AP163" s="72">
        <f>T163*LeagueRatings!$K$27</f>
        <v>142.22222222222223</v>
      </c>
      <c r="AR163" s="14">
        <f>ROUNDUP(L163,0)</f>
        <v>59</v>
      </c>
    </row>
    <row r="164" spans="1:50" x14ac:dyDescent="0.2">
      <c r="A164" s="9"/>
      <c r="B164" s="129"/>
      <c r="L164" s="157">
        <f>(L162/100)/((L162+L163)/100)</f>
        <v>5.8870709015078591E-2</v>
      </c>
      <c r="T164" s="158"/>
      <c r="U164" s="158"/>
      <c r="V164" s="282"/>
      <c r="W164" s="158"/>
      <c r="X164" s="158"/>
      <c r="Y164" s="153"/>
      <c r="Z164" s="152">
        <f>Z162*L164</f>
        <v>2.1193455245428292</v>
      </c>
      <c r="AA164" s="153"/>
      <c r="AB164" s="153"/>
      <c r="AC164" s="152">
        <f>AC162*L164</f>
        <v>-2.0989377679271066</v>
      </c>
      <c r="AD164" s="153"/>
      <c r="AE164" s="103"/>
      <c r="AF164" s="103"/>
      <c r="AG164" s="103"/>
      <c r="AH164" s="154">
        <f>AH162*L164</f>
        <v>1.3312632152850188</v>
      </c>
      <c r="AJ164" s="5"/>
      <c r="AK164" s="5"/>
      <c r="AL164" s="5"/>
      <c r="AN164" s="72"/>
      <c r="AO164" s="72"/>
      <c r="AP164" s="72"/>
      <c r="AQ164" s="30"/>
      <c r="AR164" s="14"/>
    </row>
    <row r="165" spans="1:50" x14ac:dyDescent="0.2">
      <c r="A165" s="9"/>
      <c r="B165" s="129"/>
      <c r="L165" s="157">
        <f>(L163/100)/((L162+L163)/100)</f>
        <v>0.94112929098492126</v>
      </c>
      <c r="T165" s="158"/>
      <c r="U165" s="158"/>
      <c r="V165" s="282"/>
      <c r="W165" s="158"/>
      <c r="X165" s="158"/>
      <c r="Y165" s="153"/>
      <c r="Z165" s="152">
        <f>Z163*L165</f>
        <v>6.9569735807759177</v>
      </c>
      <c r="AA165" s="153"/>
      <c r="AB165" s="153"/>
      <c r="AC165" s="152">
        <f>AC163*L165</f>
        <v>20.065425624624474</v>
      </c>
      <c r="AD165" s="153"/>
      <c r="AE165" s="103"/>
      <c r="AF165" s="103"/>
      <c r="AG165" s="103"/>
      <c r="AH165" s="154">
        <f>AH163*L165</f>
        <v>11.162773493555537</v>
      </c>
      <c r="AJ165" s="5"/>
      <c r="AK165" s="5"/>
      <c r="AL165" s="5"/>
      <c r="AN165" s="72"/>
      <c r="AO165" s="72"/>
      <c r="AP165" s="72"/>
      <c r="AQ165" s="30"/>
      <c r="AR165" s="14"/>
    </row>
    <row r="166" spans="1:50" x14ac:dyDescent="0.2">
      <c r="A166" s="9"/>
      <c r="B166" s="129"/>
      <c r="T166" s="158"/>
      <c r="U166" s="158"/>
      <c r="V166" s="282"/>
      <c r="W166" s="158"/>
      <c r="X166" s="158"/>
      <c r="Y166" s="153"/>
      <c r="Z166" s="152">
        <f>SUM(Z164:Z165)</f>
        <v>9.0763191053187473</v>
      </c>
      <c r="AA166" s="153"/>
      <c r="AB166" s="153"/>
      <c r="AC166" s="152">
        <f>SUM(AC164:AC165)</f>
        <v>17.966487856697366</v>
      </c>
      <c r="AD166" s="153"/>
      <c r="AE166" s="103"/>
      <c r="AF166" s="103"/>
      <c r="AG166" s="103"/>
      <c r="AH166" s="153">
        <f>SUM(AH164:AH165)</f>
        <v>12.494036708840556</v>
      </c>
      <c r="AI166" s="41" t="s">
        <v>1382</v>
      </c>
      <c r="AJ166" s="5" t="s">
        <v>16</v>
      </c>
      <c r="AK166" s="219">
        <f>INDEX('C-P-RollAdj'!$J$4:$J$76,MATCH(INT(Z166),'C-P-RollAdj'!$I$4:$I$76,FALSE),0)</f>
        <v>23</v>
      </c>
      <c r="AL166" s="219">
        <f>INDEX('C-P-RollAdj'!$J$4:$J$76,MATCH(INT(AC166),'C-P-RollAdj'!$I$4:$I$76,FALSE),0)</f>
        <v>35</v>
      </c>
      <c r="AM166" s="262">
        <f>SUM(AM162:AM165)</f>
        <v>35</v>
      </c>
      <c r="AN166" s="14">
        <f>SUM(AN162:AN165)</f>
        <v>25.555555555555557</v>
      </c>
      <c r="AO166" s="14">
        <f>SUM(AO162:AO165)</f>
        <v>0</v>
      </c>
      <c r="AP166" s="14">
        <f>SUM(AP162:AP165)</f>
        <v>149.44444444444446</v>
      </c>
      <c r="AQ166" s="30"/>
      <c r="AR166" s="14"/>
    </row>
    <row r="167" spans="1:50" x14ac:dyDescent="0.2">
      <c r="B167" s="155"/>
      <c r="AN167" s="72"/>
      <c r="AO167" s="72"/>
      <c r="AP167" s="72"/>
      <c r="AQ167" s="30"/>
      <c r="AR167" s="14"/>
    </row>
    <row r="168" spans="1:50" s="122" customFormat="1" x14ac:dyDescent="0.2">
      <c r="A168" t="s">
        <v>425</v>
      </c>
      <c r="B168" s="76" t="s">
        <v>169</v>
      </c>
      <c r="C168" s="76">
        <v>1</v>
      </c>
      <c r="D168" s="76">
        <v>1</v>
      </c>
      <c r="E168" s="76">
        <v>1.51</v>
      </c>
      <c r="F168" s="76">
        <v>45</v>
      </c>
      <c r="G168" s="76">
        <v>0</v>
      </c>
      <c r="H168" s="76">
        <v>0</v>
      </c>
      <c r="I168" s="76">
        <v>0</v>
      </c>
      <c r="J168" s="76">
        <v>30</v>
      </c>
      <c r="K168" s="76">
        <v>33</v>
      </c>
      <c r="L168" s="258">
        <f>INDEX('C-P-RollAdj'!$P$4:$P$900,MATCH((U168),'C-P-RollAdj'!$O$4:$O$900,FALSE),0)</f>
        <v>41.67</v>
      </c>
      <c r="M168" s="76">
        <v>31</v>
      </c>
      <c r="N168" s="76">
        <v>10</v>
      </c>
      <c r="O168" s="76">
        <v>7</v>
      </c>
      <c r="P168" s="76">
        <v>2</v>
      </c>
      <c r="Q168" s="76">
        <v>9</v>
      </c>
      <c r="R168" s="76">
        <v>0</v>
      </c>
      <c r="S168" s="76">
        <v>38</v>
      </c>
      <c r="T168" s="76">
        <v>163</v>
      </c>
      <c r="U168" s="76">
        <v>41.2</v>
      </c>
      <c r="V168" s="100">
        <v>0.20499999999999999</v>
      </c>
      <c r="W168" s="76">
        <v>0.96</v>
      </c>
      <c r="X168" s="196"/>
      <c r="Y168" s="50">
        <f>+(Q168-R168)/(T168-R168)*100</f>
        <v>5.5214723926380369</v>
      </c>
      <c r="Z168" s="6">
        <f>IF(Y168&lt;LeagueRatings!$K$21,((LeagueRatings!$K$21-Y168)/LeagueRatings!$K$21)*36,(LeagueRatings!$K$21-Y168)*6.48)</f>
        <v>13.798206170076231</v>
      </c>
      <c r="AA168" s="16">
        <f>INDEX('C-P-RollAdj'!$B$4:$B$76,MATCH(INT(Z168),'C-P-RollAdj'!$A$4:$A$76,FALSE),0)</f>
        <v>-1.1000000000000001</v>
      </c>
      <c r="AB168" s="16">
        <f>(P168/(T168-R168))*100</f>
        <v>1.2269938650306749</v>
      </c>
      <c r="AC168" s="6">
        <f>IF(AB168&lt;LeagueRatings!$K$19,((LeagueRatings!$K$19-AB168)/LeagueRatings!$K$19)*36,(LeagueRatings!$K$19-AB168)/LeagueRatings!$K$22)</f>
        <v>20.810256128091556</v>
      </c>
      <c r="AD168" s="16">
        <f>INDEX('C-P-RollAdj'!$F$4:$F$76,MATCH(INT(AC168),'C-P-RollAdj'!$E$4:$E$76,FALSE),0)</f>
        <v>-1.59</v>
      </c>
      <c r="AE168" s="17">
        <f>+((LeagueRatings!$I$17-E168)*5)+9.5</f>
        <v>22.764387243706363</v>
      </c>
      <c r="AF168" s="17">
        <f>IF(AE168&lt;4,4,AE168)</f>
        <v>22.764387243706363</v>
      </c>
      <c r="AG168" s="17">
        <f>IF(M168&lt;L168,((1-(M168/L168))*7)-0.07,(1-(M168/L168))*5)</f>
        <v>1.7224166066714661</v>
      </c>
      <c r="AH168" s="4">
        <f>+AA168+AD168+AF168+AG168</f>
        <v>21.796803850377827</v>
      </c>
      <c r="AI168" s="213"/>
      <c r="AJ168" s="5" t="s">
        <v>14</v>
      </c>
      <c r="AK168" s="219">
        <f>INDEX('C-P-RollAdj'!$J$4:$J$76,MATCH(INT(Z168),'C-P-RollAdj'!$I$4:$I$76,FALSE),0)</f>
        <v>31</v>
      </c>
      <c r="AL168" s="219">
        <f>INDEX('C-P-RollAdj'!$J$4:$J$76,MATCH(INT(AC168),'C-P-RollAdj'!$I$4:$I$76,FALSE),0)</f>
        <v>42</v>
      </c>
      <c r="AM168" s="262">
        <f>+AR168*LeagueRatings!$K$27</f>
        <v>23.333333333333336</v>
      </c>
      <c r="AN168" s="72">
        <f>F168*LeagueRatings!$K$27</f>
        <v>25</v>
      </c>
      <c r="AO168" s="72">
        <f>G168*LeagueRatings!$K$27</f>
        <v>0</v>
      </c>
      <c r="AP168" s="72">
        <f>T168*LeagueRatings!$K$27</f>
        <v>90.555555555555557</v>
      </c>
      <c r="AQ168" s="24"/>
      <c r="AR168" s="14">
        <f>ROUNDUP(L168,0)</f>
        <v>42</v>
      </c>
      <c r="AS168" s="123"/>
      <c r="AT168" s="123"/>
      <c r="AU168" s="123"/>
      <c r="AW168" s="71"/>
      <c r="AX168" s="71"/>
    </row>
    <row r="169" spans="1:50" s="122" customFormat="1" x14ac:dyDescent="0.2">
      <c r="A169" s="41" t="s">
        <v>425</v>
      </c>
      <c r="B169" s="76" t="s">
        <v>173</v>
      </c>
      <c r="C169" s="76">
        <v>1</v>
      </c>
      <c r="D169" s="76">
        <v>1</v>
      </c>
      <c r="E169" s="76">
        <v>1.82</v>
      </c>
      <c r="F169" s="76">
        <v>30</v>
      </c>
      <c r="G169" s="76">
        <v>0</v>
      </c>
      <c r="H169" s="76">
        <v>0</v>
      </c>
      <c r="I169" s="76">
        <v>0</v>
      </c>
      <c r="J169" s="76">
        <v>17</v>
      </c>
      <c r="K169" s="76">
        <v>18</v>
      </c>
      <c r="L169" s="258">
        <f>INDEX('C-P-RollAdj'!$P$4:$P$900,MATCH((U169),'C-P-RollAdj'!$O$4:$O$900,FALSE),0)</f>
        <v>29.67</v>
      </c>
      <c r="M169" s="76">
        <v>21</v>
      </c>
      <c r="N169" s="76">
        <v>6</v>
      </c>
      <c r="O169" s="76">
        <v>6</v>
      </c>
      <c r="P169" s="76">
        <v>1</v>
      </c>
      <c r="Q169" s="76">
        <v>3</v>
      </c>
      <c r="R169" s="76">
        <v>0</v>
      </c>
      <c r="S169" s="76">
        <v>27</v>
      </c>
      <c r="T169" s="76">
        <v>107</v>
      </c>
      <c r="U169" s="76">
        <v>29.2</v>
      </c>
      <c r="V169" s="100">
        <v>0.20200000000000001</v>
      </c>
      <c r="W169" s="76">
        <v>0.81</v>
      </c>
      <c r="X169" s="76"/>
      <c r="Y169" s="50">
        <f>+(Q169-R169)/(T169-R169)*100</f>
        <v>2.8037383177570092</v>
      </c>
      <c r="Z169" s="6">
        <f>IF(Y169&lt;LeagueRatings!$K$21,((LeagueRatings!$K$21-Y169)/LeagueRatings!$K$21)*36,(LeagueRatings!$K$21-Y169)*6.48)</f>
        <v>24.726191918138401</v>
      </c>
      <c r="AA169" s="16">
        <f>INDEX('C-P-RollAdj'!$B$4:$B$76,MATCH(INT(Z169),'C-P-RollAdj'!$A$4:$A$76,FALSE),0)</f>
        <v>-2.2199999999999998</v>
      </c>
      <c r="AB169" s="16">
        <f>(P169/(T169-R169))*100</f>
        <v>0.93457943925233633</v>
      </c>
      <c r="AC169" s="6">
        <f>IF(AB169&lt;LeagueRatings!$K$19,((LeagueRatings!$K$19-AB169)/LeagueRatings!$K$19)*36,(LeagueRatings!$K$19-AB169)/LeagueRatings!$K$22)</f>
        <v>24.430241817191234</v>
      </c>
      <c r="AD169" s="16">
        <f>INDEX('C-P-RollAdj'!$F$4:$F$76,MATCH(INT(AC169),'C-P-RollAdj'!$E$4:$E$76,FALSE),0)</f>
        <v>-1.98</v>
      </c>
      <c r="AE169" s="17">
        <f>+((LeagueRatings!$I$6-E169)*5)+9.5</f>
        <v>21.408051455277402</v>
      </c>
      <c r="AF169" s="17">
        <f>IF(AE169&lt;4,4,AE169)</f>
        <v>21.408051455277402</v>
      </c>
      <c r="AG169" s="17">
        <f>IF(M169&lt;L169,((1-(M169/L169))*7)-0.07,(1-(M169/L169))*5)</f>
        <v>1.975500505561173</v>
      </c>
      <c r="AH169" s="4">
        <f>+AA169+AD169+AF169+AG169</f>
        <v>19.183551960838575</v>
      </c>
      <c r="AJ169" s="5" t="s">
        <v>59</v>
      </c>
      <c r="AK169" s="219">
        <f>INDEX('C-P-RollAdj'!$J$4:$J$76,MATCH(INT(Z169),'C-P-RollAdj'!$I$4:$I$76,FALSE),0)</f>
        <v>46</v>
      </c>
      <c r="AL169" s="219">
        <f>INDEX('C-P-RollAdj'!$J$4:$J$76,MATCH(INT(AC169),'C-P-RollAdj'!$I$4:$I$76,FALSE),0)</f>
        <v>46</v>
      </c>
      <c r="AM169" s="262">
        <f>+AR169*LeagueRatings!$K$27</f>
        <v>16.666666666666668</v>
      </c>
      <c r="AN169" s="72">
        <f>F169*LeagueRatings!$K$27</f>
        <v>16.666666666666668</v>
      </c>
      <c r="AO169" s="72">
        <f>G169*LeagueRatings!$K$27</f>
        <v>0</v>
      </c>
      <c r="AP169" s="72">
        <f>T169*LeagueRatings!$K$27</f>
        <v>59.44444444444445</v>
      </c>
      <c r="AQ169" s="24"/>
      <c r="AR169" s="72">
        <f>ROUNDUP(L169,0)</f>
        <v>30</v>
      </c>
      <c r="AS169" s="113"/>
      <c r="AT169" s="113"/>
      <c r="AU169" s="113"/>
      <c r="AV169" s="24"/>
      <c r="AW169" s="97">
        <v>66</v>
      </c>
      <c r="AX169" s="24"/>
    </row>
    <row r="170" spans="1:50" s="122" customFormat="1" x14ac:dyDescent="0.2">
      <c r="A170" s="9"/>
      <c r="B170" s="129"/>
      <c r="C170" s="205"/>
      <c r="D170" s="196"/>
      <c r="E170" s="205"/>
      <c r="F170" s="196"/>
      <c r="G170" s="196"/>
      <c r="H170" s="196"/>
      <c r="I170" s="206"/>
      <c r="J170" s="206"/>
      <c r="K170" s="206"/>
      <c r="L170" s="157">
        <f>(L168/100)/((L168+L169)/100)</f>
        <v>0.58410428931875524</v>
      </c>
      <c r="M170" s="146"/>
      <c r="N170" s="146"/>
      <c r="O170" s="146"/>
      <c r="P170" s="146"/>
      <c r="Q170" s="146"/>
      <c r="R170" s="146"/>
      <c r="S170" s="146"/>
      <c r="T170" s="158"/>
      <c r="U170" s="158"/>
      <c r="V170" s="282"/>
      <c r="W170" s="158"/>
      <c r="X170" s="158"/>
      <c r="Y170" s="153"/>
      <c r="Z170" s="152">
        <f>Z168*L170</f>
        <v>8.0595914088460407</v>
      </c>
      <c r="AA170" s="153"/>
      <c r="AB170" s="153"/>
      <c r="AC170" s="152">
        <f>AC168*L170</f>
        <v>12.15535986624019</v>
      </c>
      <c r="AD170" s="153"/>
      <c r="AE170" s="103"/>
      <c r="AF170" s="103"/>
      <c r="AG170" s="103"/>
      <c r="AH170" s="154">
        <f>AH168*L170</f>
        <v>12.731606622445248</v>
      </c>
      <c r="AI170" s="168"/>
      <c r="AJ170" s="5"/>
      <c r="AK170" s="5"/>
      <c r="AL170" s="5"/>
      <c r="AM170" s="262"/>
      <c r="AN170" s="72"/>
      <c r="AO170" s="72"/>
      <c r="AP170" s="72"/>
      <c r="AR170" s="112"/>
      <c r="AS170" s="123"/>
      <c r="AT170" s="123"/>
      <c r="AU170" s="123"/>
      <c r="AW170" s="71"/>
      <c r="AX170" s="71"/>
    </row>
    <row r="171" spans="1:50" s="122" customFormat="1" x14ac:dyDescent="0.2">
      <c r="A171" s="9"/>
      <c r="B171" s="129"/>
      <c r="C171" s="205"/>
      <c r="D171" s="196"/>
      <c r="E171" s="205"/>
      <c r="F171" s="196"/>
      <c r="G171" s="196"/>
      <c r="H171" s="196"/>
      <c r="I171" s="206"/>
      <c r="J171" s="206"/>
      <c r="K171" s="206"/>
      <c r="L171" s="157">
        <f>(L169/100)/((L168+L169)/100)</f>
        <v>0.41589571068124476</v>
      </c>
      <c r="M171" s="146"/>
      <c r="N171" s="146"/>
      <c r="O171" s="146"/>
      <c r="P171" s="146"/>
      <c r="Q171" s="146"/>
      <c r="R171" s="146"/>
      <c r="S171" s="146"/>
      <c r="T171" s="158"/>
      <c r="U171" s="158"/>
      <c r="V171" s="282"/>
      <c r="W171" s="158"/>
      <c r="X171" s="158"/>
      <c r="Y171" s="153"/>
      <c r="Z171" s="152">
        <f>Z169*L171</f>
        <v>10.283517160235021</v>
      </c>
      <c r="AA171" s="153"/>
      <c r="AB171" s="153"/>
      <c r="AC171" s="152">
        <f>AC169*L171</f>
        <v>10.160432782675413</v>
      </c>
      <c r="AD171" s="153"/>
      <c r="AE171" s="103"/>
      <c r="AF171" s="103"/>
      <c r="AG171" s="103"/>
      <c r="AH171" s="154">
        <f>AH169*L171</f>
        <v>7.9783569761435453</v>
      </c>
      <c r="AI171" s="168"/>
      <c r="AJ171" s="5"/>
      <c r="AK171" s="5"/>
      <c r="AL171" s="5"/>
      <c r="AM171" s="262"/>
      <c r="AN171" s="72"/>
      <c r="AO171" s="72"/>
      <c r="AP171" s="72"/>
      <c r="AR171" s="112"/>
      <c r="AS171" s="123"/>
      <c r="AT171" s="123"/>
      <c r="AU171" s="123"/>
      <c r="AW171" s="71"/>
      <c r="AX171" s="71"/>
    </row>
    <row r="172" spans="1:50" s="122" customFormat="1" x14ac:dyDescent="0.2">
      <c r="A172" s="9"/>
      <c r="B172" s="129"/>
      <c r="C172" s="205"/>
      <c r="D172" s="196"/>
      <c r="E172" s="205"/>
      <c r="F172" s="196"/>
      <c r="G172" s="196"/>
      <c r="H172" s="196"/>
      <c r="I172" s="206"/>
      <c r="J172" s="206"/>
      <c r="K172" s="206"/>
      <c r="L172" s="157"/>
      <c r="M172" s="146"/>
      <c r="N172" s="146"/>
      <c r="O172" s="146"/>
      <c r="P172" s="146"/>
      <c r="Q172" s="146"/>
      <c r="R172" s="146"/>
      <c r="S172" s="146"/>
      <c r="T172" s="158"/>
      <c r="U172" s="158"/>
      <c r="V172" s="282"/>
      <c r="W172" s="158"/>
      <c r="X172" s="158"/>
      <c r="Y172" s="153"/>
      <c r="Z172" s="152">
        <f>SUM(Z170:Z171)</f>
        <v>18.34310856908106</v>
      </c>
      <c r="AA172" s="153"/>
      <c r="AB172" s="153"/>
      <c r="AC172" s="152">
        <f>SUM(AC170:AC171)</f>
        <v>22.315792648915604</v>
      </c>
      <c r="AD172" s="153"/>
      <c r="AE172" s="103"/>
      <c r="AF172" s="103"/>
      <c r="AG172" s="103"/>
      <c r="AH172" s="153">
        <f>SUM(AH170:AH171)</f>
        <v>20.709963598588793</v>
      </c>
      <c r="AI172" s="41" t="s">
        <v>425</v>
      </c>
      <c r="AJ172" s="5" t="s">
        <v>28</v>
      </c>
      <c r="AK172" s="219">
        <f>INDEX('C-P-RollAdj'!$J$4:$J$76,MATCH(INT(Z172),'C-P-RollAdj'!$I$4:$I$76,FALSE),0)</f>
        <v>36</v>
      </c>
      <c r="AL172" s="219">
        <f>INDEX('C-P-RollAdj'!$J$4:$J$76,MATCH(INT(AC172),'C-P-RollAdj'!$I$4:$I$76,FALSE),0)</f>
        <v>44</v>
      </c>
      <c r="AM172" s="262">
        <f>SUM(AM168:AM171)</f>
        <v>40</v>
      </c>
      <c r="AN172" s="14">
        <f>SUM(AN168:AN171)</f>
        <v>41.666666666666671</v>
      </c>
      <c r="AO172" s="14">
        <f>SUM(AO168:AO171)</f>
        <v>0</v>
      </c>
      <c r="AP172" s="14">
        <f>SUM(AP168:AP171)</f>
        <v>150</v>
      </c>
      <c r="AR172" s="112"/>
      <c r="AS172" s="123"/>
      <c r="AT172" s="123"/>
      <c r="AU172" s="123"/>
      <c r="AW172" s="71"/>
      <c r="AX172" s="71"/>
    </row>
    <row r="173" spans="1:50" x14ac:dyDescent="0.2">
      <c r="A173" s="204"/>
      <c r="B173" s="196"/>
      <c r="L173" s="205"/>
      <c r="M173" s="196"/>
      <c r="N173" s="196"/>
      <c r="O173" s="196"/>
      <c r="P173" s="196"/>
      <c r="Q173" s="196"/>
      <c r="R173" s="196"/>
      <c r="S173" s="196"/>
      <c r="T173" s="196"/>
      <c r="U173" s="196"/>
      <c r="V173" s="277"/>
      <c r="W173" s="196"/>
      <c r="X173" s="196"/>
      <c r="Y173" s="207"/>
      <c r="Z173" s="208"/>
      <c r="AA173" s="209"/>
      <c r="AB173" s="210"/>
      <c r="AC173" s="208"/>
      <c r="AD173" s="209"/>
      <c r="AE173" s="211"/>
      <c r="AF173" s="211"/>
      <c r="AG173" s="211"/>
      <c r="AH173" s="212"/>
      <c r="AI173" s="213"/>
      <c r="AJ173" s="214"/>
      <c r="AK173" s="214"/>
      <c r="AL173" s="214"/>
      <c r="AM173" s="206"/>
      <c r="AN173" s="121"/>
      <c r="AO173" s="121"/>
      <c r="AP173" s="121"/>
      <c r="AQ173" s="122"/>
      <c r="AR173" s="112"/>
    </row>
    <row r="174" spans="1:50" s="122" customFormat="1" x14ac:dyDescent="0.2">
      <c r="A174" t="s">
        <v>323</v>
      </c>
      <c r="B174" s="76" t="s">
        <v>154</v>
      </c>
      <c r="C174" s="76">
        <v>7</v>
      </c>
      <c r="D174" s="76">
        <v>8</v>
      </c>
      <c r="E174" s="76">
        <v>4.9800000000000004</v>
      </c>
      <c r="F174" s="76">
        <v>19</v>
      </c>
      <c r="G174" s="76">
        <v>19</v>
      </c>
      <c r="H174" s="76">
        <v>1</v>
      </c>
      <c r="I174" s="76">
        <v>1</v>
      </c>
      <c r="J174" s="76">
        <v>0</v>
      </c>
      <c r="K174" s="76">
        <v>0</v>
      </c>
      <c r="L174" s="258">
        <f>INDEX('C-P-RollAdj'!$P$4:$P$900,MATCH((U174),'C-P-RollAdj'!$O$4:$O$900,FALSE),0)</f>
        <v>112</v>
      </c>
      <c r="M174" s="76">
        <v>117</v>
      </c>
      <c r="N174" s="76">
        <v>62</v>
      </c>
      <c r="O174" s="76">
        <v>62</v>
      </c>
      <c r="P174" s="76">
        <v>18</v>
      </c>
      <c r="Q174" s="76">
        <v>34</v>
      </c>
      <c r="R174" s="76">
        <v>1</v>
      </c>
      <c r="S174" s="76">
        <v>82</v>
      </c>
      <c r="T174" s="76">
        <v>469</v>
      </c>
      <c r="U174" s="76">
        <v>112</v>
      </c>
      <c r="V174" s="100">
        <v>0.27400000000000002</v>
      </c>
      <c r="W174" s="76">
        <v>1.35</v>
      </c>
      <c r="X174" s="196"/>
      <c r="Y174" s="50">
        <f>+(Q174-R174)/(T174-R174)*100</f>
        <v>7.0512820512820511</v>
      </c>
      <c r="Z174" s="6">
        <f>IF(Y174&lt;LeagueRatings!$K$10,((LeagueRatings!$K$10-Y174)/LeagueRatings!$K$10)*36,(LeagueRatings!$K$10-Y174)*6.48)</f>
        <v>6.7130736464504981</v>
      </c>
      <c r="AA174" s="16">
        <f>INDEX('C-P-RollAdj'!$B$4:$B$76,MATCH(INT(Z174),'C-P-RollAdj'!$A$4:$A$76,FALSE),0)</f>
        <v>-0.48</v>
      </c>
      <c r="AB174" s="16">
        <f>(P174/(T174-R174))*100</f>
        <v>3.8461538461538463</v>
      </c>
      <c r="AC174" s="6">
        <f>IF(AB174&lt;LeagueRatings!$K$8,((LeagueRatings!$K$8-AB174)/LeagueRatings!$K$8)*36,(LeagueRatings!$K$8-AB174)/LeagueRatings!$K$11)</f>
        <v>-5.1131439576311983</v>
      </c>
      <c r="AD174" s="16">
        <f>INDEX('C-P-RollAdj'!$F$4:$F$76,MATCH(INT(AC174),'C-P-RollAdj'!$E$4:$E$76,FALSE),0)</f>
        <v>0.51</v>
      </c>
      <c r="AE174" s="17">
        <f>+((LeagueRatings!$I$17-E174)*5)+9.5</f>
        <v>5.4143872437063605</v>
      </c>
      <c r="AF174" s="17">
        <f>IF(AE174&lt;4,4,AE174)</f>
        <v>5.4143872437063605</v>
      </c>
      <c r="AG174" s="17">
        <f>IF(M174&lt;L174,((1-(M174/L174))*7)-0.07,(1-(M174/L174))*5)</f>
        <v>-0.22321428571428603</v>
      </c>
      <c r="AH174" s="4">
        <f>+AA174+AD174+AF174+AG174</f>
        <v>5.2211729579920743</v>
      </c>
      <c r="AI174" s="24"/>
      <c r="AJ174" s="58">
        <v>13</v>
      </c>
      <c r="AK174" s="219">
        <f>INDEX('C-P-RollAdj'!$J$4:$J$76,MATCH(INT(Z174),'C-P-RollAdj'!$I$4:$I$76,FALSE),0)</f>
        <v>16</v>
      </c>
      <c r="AL174" s="219">
        <f>INDEX('C-P-RollAdj'!$J$4:$J$76,MATCH(INT(AC174),'C-P-RollAdj'!$I$4:$I$76,FALSE),0)</f>
        <v>-16</v>
      </c>
      <c r="AM174" s="262">
        <f>+AR174*LeagueRatings!$K$27</f>
        <v>62.222222222222229</v>
      </c>
      <c r="AN174" s="72">
        <f>F174*LeagueRatings!$K$27</f>
        <v>10.555555555555555</v>
      </c>
      <c r="AO174" s="72">
        <f>G174*LeagueRatings!$K$27</f>
        <v>10.555555555555555</v>
      </c>
      <c r="AP174" s="72">
        <f>T174*LeagueRatings!$K$27</f>
        <v>260.55555555555554</v>
      </c>
      <c r="AQ174" s="24"/>
      <c r="AR174" s="14">
        <f>ROUNDUP(L174,0)</f>
        <v>112</v>
      </c>
      <c r="AS174" s="123"/>
      <c r="AT174" s="123"/>
      <c r="AU174" s="123"/>
      <c r="AW174" s="71"/>
      <c r="AX174" s="71"/>
    </row>
    <row r="175" spans="1:50" s="24" customFormat="1" x14ac:dyDescent="0.2">
      <c r="A175" s="41" t="s">
        <v>323</v>
      </c>
      <c r="B175" s="76" t="s">
        <v>145</v>
      </c>
      <c r="C175" s="76">
        <v>2</v>
      </c>
      <c r="D175" s="76">
        <v>5</v>
      </c>
      <c r="E175" s="76">
        <v>6.17</v>
      </c>
      <c r="F175" s="76">
        <v>11</v>
      </c>
      <c r="G175" s="76">
        <v>11</v>
      </c>
      <c r="H175" s="76">
        <v>0</v>
      </c>
      <c r="I175" s="76">
        <v>0</v>
      </c>
      <c r="J175" s="76">
        <v>0</v>
      </c>
      <c r="K175" s="76">
        <v>0</v>
      </c>
      <c r="L175" s="258">
        <f>INDEX('C-P-RollAdj'!$P$4:$P$900,MATCH((U175),'C-P-RollAdj'!$O$4:$O$900,FALSE),0)</f>
        <v>54</v>
      </c>
      <c r="M175" s="76">
        <v>70</v>
      </c>
      <c r="N175" s="76">
        <v>38</v>
      </c>
      <c r="O175" s="76">
        <v>37</v>
      </c>
      <c r="P175" s="76">
        <v>7</v>
      </c>
      <c r="Q175" s="76">
        <v>15</v>
      </c>
      <c r="R175" s="76">
        <v>0</v>
      </c>
      <c r="S175" s="76">
        <v>55</v>
      </c>
      <c r="T175" s="76">
        <v>242</v>
      </c>
      <c r="U175" s="76">
        <v>54</v>
      </c>
      <c r="V175" s="100">
        <v>0.315</v>
      </c>
      <c r="W175" s="76">
        <v>1.57</v>
      </c>
      <c r="X175" s="76"/>
      <c r="Y175" s="50">
        <f>+(Q175-R175)/(T175-R175)*100</f>
        <v>6.1983471074380168</v>
      </c>
      <c r="Z175" s="6">
        <f>IF(Y175&lt;LeagueRatings!$K$10,((LeagueRatings!$K$10-Y175)/LeagueRatings!$K$10)*36,(LeagueRatings!$K$10-Y175)*6.48)</f>
        <v>10.255669546466628</v>
      </c>
      <c r="AA175" s="16">
        <f>INDEX('C-P-RollAdj'!$B$4:$B$76,MATCH(INT(Z175),'C-P-RollAdj'!$A$4:$A$76,FALSE),0)</f>
        <v>-0.83000000000000007</v>
      </c>
      <c r="AB175" s="16">
        <f>(P175/(T175-R175))*100</f>
        <v>2.8925619834710745</v>
      </c>
      <c r="AC175" s="6">
        <f>IF(AB175&lt;LeagueRatings!$K$8,((LeagueRatings!$K$8-AB175)/LeagueRatings!$K$8)*36,(LeagueRatings!$K$8-AB175)/LeagueRatings!$K$11)</f>
        <v>3.4812148253308322</v>
      </c>
      <c r="AD175" s="16">
        <f>INDEX('C-P-RollAdj'!$F$4:$F$76,MATCH(INT(AC175),'C-P-RollAdj'!$E$4:$E$76,FALSE),0)</f>
        <v>-0.21000000000000002</v>
      </c>
      <c r="AE175" s="17">
        <f>+((LeagueRatings!$I$6-E175)*5)+9.5</f>
        <v>-0.34194854472259628</v>
      </c>
      <c r="AF175" s="17">
        <f>IF(AE175&lt;4,4,AE175)</f>
        <v>4</v>
      </c>
      <c r="AG175" s="17">
        <f>IF(M175&lt;L175,((1-(M175/L175))*7)-0.07,(1-(M175/L175))*5)</f>
        <v>-1.4814814814814814</v>
      </c>
      <c r="AH175" s="4">
        <f>+AA175+AD175+AF175+AG175</f>
        <v>1.4785185185185186</v>
      </c>
      <c r="AJ175" s="94" t="s">
        <v>63</v>
      </c>
      <c r="AK175" s="219">
        <f>INDEX('C-P-RollAdj'!$J$4:$J$76,MATCH(INT(Z175),'C-P-RollAdj'!$I$4:$I$76,FALSE),0)</f>
        <v>24</v>
      </c>
      <c r="AL175" s="219">
        <f>INDEX('C-P-RollAdj'!$J$4:$J$76,MATCH(INT(AC175),'C-P-RollAdj'!$I$4:$I$76,FALSE),0)</f>
        <v>13</v>
      </c>
      <c r="AM175" s="262">
        <f>+AR175*LeagueRatings!$K$27</f>
        <v>30</v>
      </c>
      <c r="AN175" s="72">
        <f>F175*LeagueRatings!$K$27</f>
        <v>6.1111111111111116</v>
      </c>
      <c r="AO175" s="72">
        <f>G175*LeagueRatings!$K$27</f>
        <v>6.1111111111111116</v>
      </c>
      <c r="AP175" s="72">
        <f>T175*LeagueRatings!$K$27</f>
        <v>134.44444444444446</v>
      </c>
      <c r="AQ175" s="76"/>
      <c r="AR175" s="72">
        <f>ROUNDUP(L175,0)</f>
        <v>54</v>
      </c>
      <c r="AS175" s="113"/>
      <c r="AT175" s="113"/>
      <c r="AU175" s="113"/>
      <c r="AV175" s="76"/>
      <c r="AW175" s="97">
        <v>174</v>
      </c>
      <c r="AX175" s="23"/>
    </row>
    <row r="176" spans="1:50" s="122" customFormat="1" x14ac:dyDescent="0.2">
      <c r="A176" s="9"/>
      <c r="B176" s="129"/>
      <c r="C176" s="205"/>
      <c r="D176" s="196"/>
      <c r="E176" s="205"/>
      <c r="F176" s="196"/>
      <c r="G176" s="196"/>
      <c r="H176" s="196"/>
      <c r="I176" s="206"/>
      <c r="J176" s="206"/>
      <c r="K176" s="206"/>
      <c r="L176" s="157">
        <f>(L174/100)/((L174+L175)/100)</f>
        <v>0.67469879518072295</v>
      </c>
      <c r="M176" s="146"/>
      <c r="N176" s="146"/>
      <c r="O176" s="146"/>
      <c r="P176" s="146"/>
      <c r="Q176" s="146"/>
      <c r="R176" s="146"/>
      <c r="S176" s="146"/>
      <c r="T176" s="158"/>
      <c r="U176" s="158"/>
      <c r="V176" s="282"/>
      <c r="W176" s="158"/>
      <c r="X176" s="158"/>
      <c r="Y176" s="153"/>
      <c r="Z176" s="152">
        <f>Z174*L176</f>
        <v>4.5293027012196134</v>
      </c>
      <c r="AA176" s="153"/>
      <c r="AB176" s="153"/>
      <c r="AC176" s="152">
        <f>AC174*L176</f>
        <v>-3.4498320677993632</v>
      </c>
      <c r="AD176" s="153"/>
      <c r="AE176" s="103"/>
      <c r="AF176" s="103"/>
      <c r="AG176" s="103"/>
      <c r="AH176" s="154">
        <f>AH174*L176</f>
        <v>3.522719104187424</v>
      </c>
      <c r="AI176" s="168"/>
      <c r="AJ176" s="5"/>
      <c r="AK176" s="5"/>
      <c r="AL176" s="5"/>
      <c r="AM176" s="262"/>
      <c r="AN176" s="72"/>
      <c r="AO176" s="72"/>
      <c r="AP176" s="72"/>
      <c r="AQ176" s="30"/>
      <c r="AR176" s="14"/>
      <c r="AS176" s="123"/>
      <c r="AT176" s="123"/>
      <c r="AU176" s="123"/>
      <c r="AW176" s="71"/>
      <c r="AX176" s="71"/>
    </row>
    <row r="177" spans="1:50" s="122" customFormat="1" x14ac:dyDescent="0.2">
      <c r="A177" s="9"/>
      <c r="B177" s="129"/>
      <c r="C177" s="205"/>
      <c r="D177" s="196"/>
      <c r="E177" s="205"/>
      <c r="F177" s="196"/>
      <c r="G177" s="196"/>
      <c r="H177" s="196"/>
      <c r="I177" s="206"/>
      <c r="J177" s="206"/>
      <c r="K177" s="206"/>
      <c r="L177" s="157">
        <f>(L175/100)/((L174+L175)/100)</f>
        <v>0.32530120481927716</v>
      </c>
      <c r="M177" s="146"/>
      <c r="N177" s="146"/>
      <c r="O177" s="146"/>
      <c r="P177" s="146"/>
      <c r="Q177" s="146"/>
      <c r="R177" s="146"/>
      <c r="S177" s="146"/>
      <c r="T177" s="158"/>
      <c r="U177" s="158"/>
      <c r="V177" s="282"/>
      <c r="W177" s="158"/>
      <c r="X177" s="158"/>
      <c r="Y177" s="153"/>
      <c r="Z177" s="152">
        <f>Z175*L177</f>
        <v>3.3361816596939637</v>
      </c>
      <c r="AA177" s="153"/>
      <c r="AB177" s="153"/>
      <c r="AC177" s="152">
        <f>AC175*L177</f>
        <v>1.1324433769148492</v>
      </c>
      <c r="AD177" s="153"/>
      <c r="AE177" s="103"/>
      <c r="AF177" s="103"/>
      <c r="AG177" s="103"/>
      <c r="AH177" s="154">
        <f>AH175*L177</f>
        <v>0.48096385542168685</v>
      </c>
      <c r="AI177" s="168"/>
      <c r="AJ177" s="5"/>
      <c r="AK177" s="5"/>
      <c r="AL177" s="5"/>
      <c r="AM177" s="262"/>
      <c r="AN177" s="72"/>
      <c r="AO177" s="72"/>
      <c r="AP177" s="72"/>
      <c r="AQ177" s="30"/>
      <c r="AR177" s="14"/>
      <c r="AS177" s="123"/>
      <c r="AT177" s="123"/>
      <c r="AU177" s="123"/>
      <c r="AW177" s="71"/>
      <c r="AX177" s="71"/>
    </row>
    <row r="178" spans="1:50" s="122" customFormat="1" x14ac:dyDescent="0.2">
      <c r="A178" s="9"/>
      <c r="B178" s="129"/>
      <c r="C178" s="205"/>
      <c r="D178" s="196"/>
      <c r="E178" s="205"/>
      <c r="F178" s="196"/>
      <c r="G178" s="196"/>
      <c r="H178" s="196"/>
      <c r="I178" s="206"/>
      <c r="J178" s="206"/>
      <c r="K178" s="206"/>
      <c r="L178" s="157"/>
      <c r="M178" s="146"/>
      <c r="N178" s="146"/>
      <c r="O178" s="146"/>
      <c r="P178" s="146"/>
      <c r="Q178" s="146"/>
      <c r="R178" s="146"/>
      <c r="S178" s="146"/>
      <c r="T178" s="158"/>
      <c r="U178" s="158"/>
      <c r="V178" s="282"/>
      <c r="W178" s="158"/>
      <c r="X178" s="158"/>
      <c r="Y178" s="153"/>
      <c r="Z178" s="152">
        <f>SUM(Z176:Z177)</f>
        <v>7.8654843609135767</v>
      </c>
      <c r="AA178" s="153"/>
      <c r="AB178" s="153"/>
      <c r="AC178" s="152">
        <f>SUM(AC176:AC177)</f>
        <v>-2.3173886908845143</v>
      </c>
      <c r="AD178" s="153"/>
      <c r="AE178" s="103"/>
      <c r="AF178" s="103"/>
      <c r="AG178" s="103"/>
      <c r="AH178" s="153">
        <f>SUM(AH176:AH177)</f>
        <v>4.0036829596091108</v>
      </c>
      <c r="AI178" s="41" t="s">
        <v>323</v>
      </c>
      <c r="AJ178" s="5" t="s">
        <v>19</v>
      </c>
      <c r="AK178" s="219">
        <f>INDEX('C-P-RollAdj'!$J$4:$J$76,MATCH(INT(Z178),'C-P-RollAdj'!$I$4:$I$76,FALSE),0)</f>
        <v>21</v>
      </c>
      <c r="AL178" s="219">
        <f>INDEX('C-P-RollAdj'!$J$4:$J$76,MATCH(INT(AC178),'C-P-RollAdj'!$I$4:$I$76,FALSE),0)</f>
        <v>-13</v>
      </c>
      <c r="AM178" s="262">
        <f>SUM(AM174:AM177)</f>
        <v>92.222222222222229</v>
      </c>
      <c r="AN178" s="14">
        <f>SUM(AN174:AN177)</f>
        <v>16.666666666666668</v>
      </c>
      <c r="AO178" s="14">
        <f>SUM(AO174:AO177)</f>
        <v>16.666666666666668</v>
      </c>
      <c r="AP178" s="14">
        <f>SUM(AP174:AP177)</f>
        <v>395</v>
      </c>
      <c r="AQ178" s="30"/>
      <c r="AR178" s="14"/>
      <c r="AS178" s="123"/>
      <c r="AT178" s="123"/>
      <c r="AU178" s="123"/>
      <c r="AW178" s="71"/>
      <c r="AX178" s="71"/>
    </row>
    <row r="179" spans="1:50" s="122" customFormat="1" x14ac:dyDescent="0.2">
      <c r="A179" s="146"/>
      <c r="B179" s="155"/>
      <c r="C179" s="205"/>
      <c r="D179" s="196"/>
      <c r="E179" s="205"/>
      <c r="F179" s="196"/>
      <c r="G179" s="196"/>
      <c r="H179" s="196"/>
      <c r="I179" s="206"/>
      <c r="J179" s="206"/>
      <c r="K179" s="206"/>
      <c r="L179" s="205"/>
      <c r="M179" s="196"/>
      <c r="N179" s="196"/>
      <c r="O179" s="196"/>
      <c r="P179" s="196"/>
      <c r="Q179" s="196"/>
      <c r="R179" s="196"/>
      <c r="S179" s="196"/>
      <c r="T179" s="196"/>
      <c r="U179" s="196"/>
      <c r="V179" s="277"/>
      <c r="W179" s="196"/>
      <c r="X179" s="196"/>
      <c r="Y179" s="207"/>
      <c r="Z179" s="208"/>
      <c r="AA179" s="209"/>
      <c r="AB179" s="210"/>
      <c r="AC179" s="208"/>
      <c r="AD179" s="209"/>
      <c r="AE179" s="211"/>
      <c r="AF179" s="211"/>
      <c r="AG179" s="211"/>
      <c r="AH179" s="212"/>
      <c r="AI179" s="213"/>
      <c r="AJ179" s="214"/>
      <c r="AK179" s="214"/>
      <c r="AL179" s="214"/>
      <c r="AM179" s="206"/>
      <c r="AN179" s="121"/>
      <c r="AO179" s="121"/>
      <c r="AP179" s="121"/>
      <c r="AR179" s="112"/>
      <c r="AS179" s="123"/>
      <c r="AT179" s="123"/>
      <c r="AU179" s="123"/>
      <c r="AW179" s="71"/>
      <c r="AX179" s="71"/>
    </row>
    <row r="180" spans="1:50" s="122" customFormat="1" x14ac:dyDescent="0.2">
      <c r="A180" t="s">
        <v>499</v>
      </c>
      <c r="B180" s="76" t="s">
        <v>152</v>
      </c>
      <c r="C180" s="76">
        <v>6</v>
      </c>
      <c r="D180" s="76">
        <v>1</v>
      </c>
      <c r="E180" s="76">
        <v>1.39</v>
      </c>
      <c r="F180" s="76">
        <v>44</v>
      </c>
      <c r="G180" s="76">
        <v>0</v>
      </c>
      <c r="H180" s="76">
        <v>0</v>
      </c>
      <c r="I180" s="76">
        <v>0</v>
      </c>
      <c r="J180" s="76">
        <v>9</v>
      </c>
      <c r="K180" s="76">
        <v>11</v>
      </c>
      <c r="L180" s="258">
        <f>INDEX('C-P-RollAdj'!$P$4:$P$900,MATCH((U180),'C-P-RollAdj'!$O$4:$O$900,FALSE),0)</f>
        <v>45.33</v>
      </c>
      <c r="M180" s="76">
        <v>28</v>
      </c>
      <c r="N180" s="76">
        <v>8</v>
      </c>
      <c r="O180" s="76">
        <v>7</v>
      </c>
      <c r="P180" s="76">
        <v>5</v>
      </c>
      <c r="Q180" s="76">
        <v>7</v>
      </c>
      <c r="R180" s="76">
        <v>0</v>
      </c>
      <c r="S180" s="76">
        <v>77</v>
      </c>
      <c r="T180" s="76">
        <v>172</v>
      </c>
      <c r="U180" s="76">
        <v>45.1</v>
      </c>
      <c r="V180" s="100">
        <v>0.17399999999999999</v>
      </c>
      <c r="W180" s="76">
        <v>0.77</v>
      </c>
      <c r="X180" s="196"/>
      <c r="Y180" s="50">
        <f>+(Q180-R180)/(T180-R180)*100</f>
        <v>4.0697674418604652</v>
      </c>
      <c r="Z180" s="6">
        <f>IF(Y180&lt;LeagueRatings!$K$10,((LeagueRatings!$K$10-Y180)/LeagueRatings!$K$10)*36,(LeagueRatings!$K$10-Y180)*6.48)</f>
        <v>19.096552020044363</v>
      </c>
      <c r="AA180" s="16">
        <f>INDEX('C-P-RollAdj'!$B$4:$B$76,MATCH(INT(Z180),'C-P-RollAdj'!$A$4:$A$76,FALSE),0)</f>
        <v>-1.69</v>
      </c>
      <c r="AB180" s="16">
        <f>(P180/(T180-R180))*100</f>
        <v>2.9069767441860463</v>
      </c>
      <c r="AC180" s="6">
        <f>IF(AB180&lt;LeagueRatings!$K$8,((LeagueRatings!$K$8-AB180)/LeagueRatings!$K$8)*36,(LeagueRatings!$K$8-AB180)/LeagueRatings!$K$11)</f>
        <v>3.3191610786132153</v>
      </c>
      <c r="AD180" s="16">
        <f>INDEX('C-P-RollAdj'!$F$4:$F$76,MATCH(INT(AC180),'C-P-RollAdj'!$E$4:$E$76,FALSE),0)</f>
        <v>-0.21000000000000002</v>
      </c>
      <c r="AE180" s="17">
        <f>+((LeagueRatings!$I$17-E180)*5)+9.5</f>
        <v>23.364387243706364</v>
      </c>
      <c r="AF180" s="17">
        <f>IF(AE180&lt;4,4,AE180)</f>
        <v>23.364387243706364</v>
      </c>
      <c r="AG180" s="17">
        <f>IF(M180&lt;L180,((1-(M180/L180))*7)-0.07,(1-(M180/L180))*5)</f>
        <v>2.6061526582836976</v>
      </c>
      <c r="AH180" s="4">
        <f>+AA180+AD180+AF180+AG180</f>
        <v>24.070539901990063</v>
      </c>
      <c r="AI180" s="213"/>
      <c r="AJ180" s="58">
        <v>5</v>
      </c>
      <c r="AK180" s="219">
        <f>INDEX('C-P-RollAdj'!$J$4:$J$76,MATCH(INT(Z180),'C-P-RollAdj'!$I$4:$I$76,FALSE),0)</f>
        <v>41</v>
      </c>
      <c r="AL180" s="219">
        <f>INDEX('C-P-RollAdj'!$J$4:$J$76,MATCH(INT(AC180),'C-P-RollAdj'!$I$4:$I$76,FALSE),0)</f>
        <v>13</v>
      </c>
      <c r="AM180" s="262">
        <f>+AR180*LeagueRatings!$K$27</f>
        <v>25.555555555555557</v>
      </c>
      <c r="AN180" s="72">
        <f>F180*LeagueRatings!$K$27</f>
        <v>24.444444444444446</v>
      </c>
      <c r="AO180" s="72">
        <f>G180*LeagueRatings!$K$27</f>
        <v>0</v>
      </c>
      <c r="AP180" s="72">
        <f>T180*LeagueRatings!$K$27</f>
        <v>95.555555555555557</v>
      </c>
      <c r="AQ180" s="24"/>
      <c r="AR180" s="14">
        <f>ROUNDUP(L180,0)</f>
        <v>46</v>
      </c>
      <c r="AS180" s="123"/>
      <c r="AT180" s="123"/>
      <c r="AU180" s="123"/>
      <c r="AW180" s="71"/>
      <c r="AX180" s="71"/>
    </row>
    <row r="181" spans="1:50" s="24" customFormat="1" x14ac:dyDescent="0.2">
      <c r="A181" s="41" t="s">
        <v>499</v>
      </c>
      <c r="B181" s="76" t="s">
        <v>148</v>
      </c>
      <c r="C181" s="76">
        <v>4</v>
      </c>
      <c r="D181" s="76">
        <v>0</v>
      </c>
      <c r="E181" s="76">
        <v>1.55</v>
      </c>
      <c r="F181" s="76">
        <v>26</v>
      </c>
      <c r="G181" s="76">
        <v>0</v>
      </c>
      <c r="H181" s="76">
        <v>0</v>
      </c>
      <c r="I181" s="76">
        <v>0</v>
      </c>
      <c r="J181" s="76">
        <v>3</v>
      </c>
      <c r="K181" s="76">
        <v>3</v>
      </c>
      <c r="L181" s="258">
        <f>INDEX('C-P-RollAdj'!$P$4:$P$900,MATCH((U181),'C-P-RollAdj'!$O$4:$O$900,FALSE),0)</f>
        <v>29</v>
      </c>
      <c r="M181" s="76">
        <v>14</v>
      </c>
      <c r="N181" s="76">
        <v>5</v>
      </c>
      <c r="O181" s="76">
        <v>5</v>
      </c>
      <c r="P181" s="76">
        <v>3</v>
      </c>
      <c r="Q181" s="76">
        <v>2</v>
      </c>
      <c r="R181" s="76">
        <v>0</v>
      </c>
      <c r="S181" s="76">
        <v>46</v>
      </c>
      <c r="T181" s="76">
        <v>103</v>
      </c>
      <c r="U181" s="76">
        <v>29</v>
      </c>
      <c r="V181" s="100">
        <v>0.13900000000000001</v>
      </c>
      <c r="W181" s="76">
        <v>0.55000000000000004</v>
      </c>
      <c r="X181" s="76"/>
      <c r="Y181" s="50">
        <f>+(Q181-R181)/(T181-R181)*100</f>
        <v>1.9417475728155338</v>
      </c>
      <c r="Z181" s="6">
        <f>IF(Y181&lt;LeagueRatings!$K$10,((LeagueRatings!$K$10-Y181)/LeagueRatings!$K$10)*36,(LeagueRatings!$K$10-Y181)*6.48)</f>
        <v>27.935109424265274</v>
      </c>
      <c r="AA181" s="16">
        <f>INDEX('C-P-RollAdj'!$B$4:$B$76,MATCH(INT(Z181),'C-P-RollAdj'!$A$4:$A$76,FALSE),0)</f>
        <v>-2.5499999999999998</v>
      </c>
      <c r="AB181" s="16">
        <f>(P181/(T181-R181))*100</f>
        <v>2.912621359223301</v>
      </c>
      <c r="AC181" s="6">
        <f>IF(AB181&lt;LeagueRatings!$K$8,((LeagueRatings!$K$8-AB181)/LeagueRatings!$K$8)*36,(LeagueRatings!$K$8-AB181)/LeagueRatings!$K$11)</f>
        <v>3.2557031389600346</v>
      </c>
      <c r="AD181" s="16">
        <f>INDEX('C-P-RollAdj'!$F$4:$F$76,MATCH(INT(AC181),'C-P-RollAdj'!$E$4:$E$76,FALSE),0)</f>
        <v>-0.21000000000000002</v>
      </c>
      <c r="AE181" s="17">
        <f>+((LeagueRatings!$I$17-E181)*5)+9.5</f>
        <v>22.564387243706364</v>
      </c>
      <c r="AF181" s="17">
        <f>IF(AE181&lt;4,4,AE181)</f>
        <v>22.564387243706364</v>
      </c>
      <c r="AG181" s="17">
        <f>IF(M181&lt;L181,((1-(M181/L181))*7)-0.07,(1-(M181/L181))*5)</f>
        <v>3.5506896551724134</v>
      </c>
      <c r="AH181" s="4">
        <f>+AA181+AD181+AF181+AG181</f>
        <v>23.355076898878778</v>
      </c>
      <c r="AJ181" s="58">
        <v>23</v>
      </c>
      <c r="AK181" s="219">
        <f>INDEX('C-P-RollAdj'!$J$4:$J$76,MATCH(INT(Z181),'C-P-RollAdj'!$I$4:$I$76,FALSE),0)</f>
        <v>53</v>
      </c>
      <c r="AL181" s="219">
        <f>INDEX('C-P-RollAdj'!$J$4:$J$76,MATCH(INT(AC181),'C-P-RollAdj'!$I$4:$I$76,FALSE),0)</f>
        <v>13</v>
      </c>
      <c r="AM181" s="262">
        <f>+AR181*LeagueRatings!$K$27</f>
        <v>16.111111111111111</v>
      </c>
      <c r="AN181" s="72">
        <f>F181*LeagueRatings!$K$27</f>
        <v>14.444444444444445</v>
      </c>
      <c r="AO181" s="72">
        <f>G181*LeagueRatings!$K$27</f>
        <v>0</v>
      </c>
      <c r="AP181" s="72">
        <f>T181*LeagueRatings!$K$27</f>
        <v>57.222222222222221</v>
      </c>
      <c r="AR181" s="14">
        <f>ROUNDUP(L181,0)</f>
        <v>29</v>
      </c>
    </row>
    <row r="182" spans="1:50" s="122" customFormat="1" x14ac:dyDescent="0.2">
      <c r="A182" s="9"/>
      <c r="B182" s="129"/>
      <c r="C182" s="205"/>
      <c r="D182" s="196"/>
      <c r="E182" s="205"/>
      <c r="F182" s="196"/>
      <c r="G182" s="196"/>
      <c r="H182" s="196"/>
      <c r="I182" s="206"/>
      <c r="J182" s="206"/>
      <c r="K182" s="206"/>
      <c r="L182" s="157">
        <f>(L180/100)/((L180+L181)/100)</f>
        <v>0.6098479752455267</v>
      </c>
      <c r="M182" s="146"/>
      <c r="N182" s="146"/>
      <c r="O182" s="146"/>
      <c r="P182" s="146"/>
      <c r="Q182" s="146"/>
      <c r="R182" s="146"/>
      <c r="S182" s="146"/>
      <c r="T182" s="158"/>
      <c r="U182" s="158"/>
      <c r="V182" s="282"/>
      <c r="W182" s="158"/>
      <c r="X182" s="158"/>
      <c r="Y182" s="153"/>
      <c r="Z182" s="152">
        <f>Z180*L182</f>
        <v>11.645993583594928</v>
      </c>
      <c r="AA182" s="153"/>
      <c r="AB182" s="153"/>
      <c r="AC182" s="152">
        <f>AC180*L182</f>
        <v>2.0241836633060277</v>
      </c>
      <c r="AD182" s="153"/>
      <c r="AE182" s="103"/>
      <c r="AF182" s="103"/>
      <c r="AG182" s="103"/>
      <c r="AH182" s="154">
        <f>AH180*L182</f>
        <v>14.679370022295299</v>
      </c>
      <c r="AI182" s="168"/>
      <c r="AJ182" s="5"/>
      <c r="AK182" s="5"/>
      <c r="AL182" s="5"/>
      <c r="AM182" s="262"/>
      <c r="AN182" s="72"/>
      <c r="AO182" s="72"/>
      <c r="AP182" s="72"/>
      <c r="AQ182" s="30"/>
      <c r="AR182" s="14"/>
      <c r="AS182" s="123"/>
      <c r="AT182" s="123"/>
      <c r="AU182" s="123"/>
      <c r="AW182" s="71"/>
      <c r="AX182" s="71"/>
    </row>
    <row r="183" spans="1:50" s="122" customFormat="1" x14ac:dyDescent="0.2">
      <c r="A183" s="9"/>
      <c r="B183" s="129"/>
      <c r="C183" s="205"/>
      <c r="D183" s="196"/>
      <c r="E183" s="205"/>
      <c r="F183" s="196"/>
      <c r="G183" s="196"/>
      <c r="H183" s="196"/>
      <c r="I183" s="206"/>
      <c r="J183" s="206"/>
      <c r="K183" s="206"/>
      <c r="L183" s="157">
        <f>(L181/100)/((L180+L181)/100)</f>
        <v>0.3901520247544733</v>
      </c>
      <c r="M183" s="146"/>
      <c r="N183" s="146"/>
      <c r="O183" s="146"/>
      <c r="P183" s="146"/>
      <c r="Q183" s="146"/>
      <c r="R183" s="146"/>
      <c r="S183" s="146"/>
      <c r="T183" s="158"/>
      <c r="U183" s="158"/>
      <c r="V183" s="282"/>
      <c r="W183" s="158"/>
      <c r="X183" s="158"/>
      <c r="Y183" s="153"/>
      <c r="Z183" s="152">
        <f>Z181*L183</f>
        <v>10.898939503614866</v>
      </c>
      <c r="AA183" s="153"/>
      <c r="AB183" s="153"/>
      <c r="AC183" s="152">
        <f>AC181*L183</f>
        <v>1.270219171664752</v>
      </c>
      <c r="AD183" s="153"/>
      <c r="AE183" s="103"/>
      <c r="AF183" s="103"/>
      <c r="AG183" s="103"/>
      <c r="AH183" s="154">
        <f>AH181*L183</f>
        <v>9.112030540393981</v>
      </c>
      <c r="AI183" s="168"/>
      <c r="AJ183" s="5"/>
      <c r="AK183" s="5"/>
      <c r="AL183" s="5"/>
      <c r="AM183" s="262"/>
      <c r="AN183" s="72"/>
      <c r="AO183" s="72"/>
      <c r="AP183" s="72"/>
      <c r="AQ183" s="30"/>
      <c r="AR183" s="14"/>
      <c r="AS183" s="123"/>
      <c r="AT183" s="123"/>
      <c r="AU183" s="123"/>
      <c r="AW183" s="71"/>
      <c r="AX183" s="71"/>
    </row>
    <row r="184" spans="1:50" s="122" customFormat="1" x14ac:dyDescent="0.2">
      <c r="A184" s="9"/>
      <c r="B184" s="129"/>
      <c r="C184" s="205"/>
      <c r="D184" s="196"/>
      <c r="E184" s="205"/>
      <c r="F184" s="196"/>
      <c r="G184" s="196"/>
      <c r="H184" s="196"/>
      <c r="I184" s="206"/>
      <c r="J184" s="206"/>
      <c r="K184" s="206"/>
      <c r="L184" s="157"/>
      <c r="M184" s="146"/>
      <c r="N184" s="146"/>
      <c r="O184" s="146"/>
      <c r="P184" s="146"/>
      <c r="Q184" s="146"/>
      <c r="R184" s="146"/>
      <c r="S184" s="146"/>
      <c r="T184" s="158"/>
      <c r="U184" s="158"/>
      <c r="V184" s="282"/>
      <c r="W184" s="158"/>
      <c r="X184" s="158"/>
      <c r="Y184" s="153"/>
      <c r="Z184" s="152">
        <f>SUM(Z182:Z183)</f>
        <v>22.544933087209792</v>
      </c>
      <c r="AA184" s="153"/>
      <c r="AB184" s="153"/>
      <c r="AC184" s="152">
        <f>SUM(AC182:AC183)</f>
        <v>3.2944028349707795</v>
      </c>
      <c r="AD184" s="153"/>
      <c r="AE184" s="103"/>
      <c r="AF184" s="103"/>
      <c r="AG184" s="103"/>
      <c r="AH184" s="153">
        <f>SUM(AH182:AH183)</f>
        <v>23.791400562689279</v>
      </c>
      <c r="AI184" s="41" t="s">
        <v>499</v>
      </c>
      <c r="AJ184" s="5" t="s">
        <v>318</v>
      </c>
      <c r="AK184" s="219">
        <f>INDEX('C-P-RollAdj'!$J$4:$J$76,MATCH(INT(Z184),'C-P-RollAdj'!$I$4:$I$76,FALSE),0)</f>
        <v>44</v>
      </c>
      <c r="AL184" s="219">
        <f>INDEX('C-P-RollAdj'!$J$4:$J$76,MATCH(INT(AC184),'C-P-RollAdj'!$I$4:$I$76,FALSE),0)</f>
        <v>13</v>
      </c>
      <c r="AM184" s="262">
        <f>SUM(AM180:AM183)</f>
        <v>41.666666666666671</v>
      </c>
      <c r="AN184" s="14">
        <f>SUM(AN180:AN183)</f>
        <v>38.888888888888893</v>
      </c>
      <c r="AO184" s="14">
        <f>SUM(AO180:AO183)</f>
        <v>0</v>
      </c>
      <c r="AP184" s="14">
        <f>SUM(AP180:AP183)</f>
        <v>152.77777777777777</v>
      </c>
      <c r="AQ184" s="30"/>
      <c r="AR184" s="14"/>
      <c r="AS184" s="123"/>
      <c r="AT184" s="123"/>
      <c r="AU184" s="123"/>
      <c r="AW184" s="71"/>
      <c r="AX184" s="71"/>
    </row>
    <row r="185" spans="1:50" s="122" customFormat="1" x14ac:dyDescent="0.2">
      <c r="A185" s="204"/>
      <c r="B185" s="196"/>
      <c r="C185" s="205"/>
      <c r="D185" s="196"/>
      <c r="E185" s="205"/>
      <c r="F185" s="196"/>
      <c r="G185" s="196"/>
      <c r="H185" s="196"/>
      <c r="I185" s="206"/>
      <c r="J185" s="206"/>
      <c r="K185" s="206"/>
      <c r="L185" s="205"/>
      <c r="M185" s="196"/>
      <c r="N185" s="196"/>
      <c r="O185" s="196"/>
      <c r="P185" s="196"/>
      <c r="Q185" s="196"/>
      <c r="R185" s="196"/>
      <c r="S185" s="196"/>
      <c r="T185" s="196"/>
      <c r="U185" s="196"/>
      <c r="V185" s="277"/>
      <c r="W185" s="196"/>
      <c r="X185" s="196"/>
      <c r="Y185" s="207"/>
      <c r="Z185" s="208"/>
      <c r="AA185" s="209"/>
      <c r="AB185" s="210"/>
      <c r="AC185" s="208"/>
      <c r="AD185" s="209"/>
      <c r="AE185" s="211"/>
      <c r="AF185" s="211"/>
      <c r="AG185" s="211"/>
      <c r="AH185" s="212"/>
      <c r="AI185" s="213"/>
      <c r="AJ185" s="214"/>
      <c r="AK185" s="214"/>
      <c r="AL185" s="214"/>
      <c r="AM185" s="206"/>
      <c r="AN185" s="121"/>
      <c r="AO185" s="121"/>
      <c r="AP185" s="121"/>
      <c r="AR185" s="112"/>
      <c r="AS185" s="123"/>
      <c r="AT185" s="123"/>
      <c r="AU185" s="123"/>
      <c r="AW185" s="71"/>
      <c r="AX185" s="71"/>
    </row>
    <row r="186" spans="1:50" x14ac:dyDescent="0.2">
      <c r="A186" t="s">
        <v>1303</v>
      </c>
      <c r="B186" s="76" t="s">
        <v>145</v>
      </c>
      <c r="C186" s="76">
        <v>0</v>
      </c>
      <c r="D186" s="76">
        <v>0</v>
      </c>
      <c r="E186" s="76">
        <v>13.5</v>
      </c>
      <c r="F186" s="76">
        <v>1</v>
      </c>
      <c r="G186" s="76">
        <v>0</v>
      </c>
      <c r="H186" s="76">
        <v>0</v>
      </c>
      <c r="I186" s="76">
        <v>0</v>
      </c>
      <c r="J186" s="76">
        <v>0</v>
      </c>
      <c r="K186" s="76">
        <v>0</v>
      </c>
      <c r="L186" s="258">
        <f>INDEX('C-P-RollAdj'!$P$4:$P$900,MATCH((U186),'C-P-RollAdj'!$O$4:$O$900,FALSE),0)</f>
        <v>2</v>
      </c>
      <c r="M186" s="76">
        <v>4</v>
      </c>
      <c r="N186" s="76">
        <v>3</v>
      </c>
      <c r="O186" s="76">
        <v>3</v>
      </c>
      <c r="P186" s="76">
        <v>0</v>
      </c>
      <c r="Q186" s="76">
        <v>0</v>
      </c>
      <c r="R186" s="76">
        <v>0</v>
      </c>
      <c r="S186" s="76">
        <v>4</v>
      </c>
      <c r="T186" s="76">
        <v>11</v>
      </c>
      <c r="U186" s="76">
        <v>2</v>
      </c>
      <c r="V186" s="100">
        <v>0.36399999999999999</v>
      </c>
      <c r="W186" s="76">
        <v>2</v>
      </c>
      <c r="Y186" s="50">
        <f>+(Q186-R186)/(T186-R186)*100</f>
        <v>0</v>
      </c>
      <c r="Z186" s="6">
        <f>IF(Y186&lt;LeagueRatings!$K$10,((LeagueRatings!$K$10-Y186)/LeagueRatings!$K$10)*36,(LeagueRatings!$K$10-Y186)*6.48)</f>
        <v>36</v>
      </c>
      <c r="AA186" s="16">
        <f>INDEX('C-P-RollAdj'!$B$4:$B$76,MATCH(INT(Z186),'C-P-RollAdj'!$A$4:$A$76,FALSE),0)</f>
        <v>-3.62</v>
      </c>
      <c r="AB186" s="16">
        <f>(P186/(T186-R186))*100</f>
        <v>0</v>
      </c>
      <c r="AC186" s="6">
        <f>IF(AB186&lt;LeagueRatings!$K$8,((LeagueRatings!$K$8-AB186)/LeagueRatings!$K$8)*36,(LeagueRatings!$K$8-AB186)/LeagueRatings!$K$11)</f>
        <v>36</v>
      </c>
      <c r="AD186" s="16">
        <f>INDEX('C-P-RollAdj'!$F$4:$F$76,MATCH(INT(AC186),'C-P-RollAdj'!$E$4:$E$76,FALSE),0)</f>
        <v>-3.26</v>
      </c>
      <c r="AE186" s="17">
        <f>+((LeagueRatings!$I$17-E186)*5)+9.5</f>
        <v>-37.185612756293636</v>
      </c>
      <c r="AF186" s="17">
        <f>IF(AE186&lt;4,4,AE186)</f>
        <v>4</v>
      </c>
      <c r="AG186" s="17">
        <f>IF(M186&lt;L186,((1-(M186/L186))*7)-0.07,(1-(M186/L186))*5)</f>
        <v>-5</v>
      </c>
      <c r="AH186" s="4">
        <f>+AA186+AD186+AF186+AG186</f>
        <v>-7.88</v>
      </c>
      <c r="AJ186" s="5" t="s">
        <v>31</v>
      </c>
      <c r="AK186" s="219">
        <f>INDEX('C-P-RollAdj'!$J$4:$J$76,MATCH(INT(Z186),'C-P-RollAdj'!$I$4:$I$76,FALSE),0)</f>
        <v>66</v>
      </c>
      <c r="AL186" s="219">
        <f>INDEX('C-P-RollAdj'!$J$4:$J$76,MATCH(INT(AC186),'C-P-RollAdj'!$I$4:$I$76,FALSE),0)</f>
        <v>66</v>
      </c>
      <c r="AM186" s="262">
        <f>+AR186*LeagueRatings!$K$27</f>
        <v>1.1111111111111112</v>
      </c>
      <c r="AN186" s="72">
        <f>F186*LeagueRatings!$K$27</f>
        <v>0.55555555555555558</v>
      </c>
      <c r="AO186" s="72">
        <f>G186*LeagueRatings!$K$27</f>
        <v>0</v>
      </c>
      <c r="AP186" s="72">
        <f>T186*LeagueRatings!$K$27</f>
        <v>6.1111111111111116</v>
      </c>
      <c r="AQ186" s="24"/>
      <c r="AR186" s="14">
        <f>ROUNDUP(L186,0)</f>
        <v>2</v>
      </c>
    </row>
    <row r="187" spans="1:50" s="24" customFormat="1" x14ac:dyDescent="0.2">
      <c r="A187" s="41" t="s">
        <v>1303</v>
      </c>
      <c r="B187" s="76" t="s">
        <v>154</v>
      </c>
      <c r="C187" s="76">
        <v>5</v>
      </c>
      <c r="D187" s="76">
        <v>2</v>
      </c>
      <c r="E187" s="76">
        <v>3.54</v>
      </c>
      <c r="F187" s="76">
        <v>11</v>
      </c>
      <c r="G187" s="76">
        <v>10</v>
      </c>
      <c r="H187" s="76">
        <v>0</v>
      </c>
      <c r="I187" s="76">
        <v>0</v>
      </c>
      <c r="J187" s="76">
        <v>0</v>
      </c>
      <c r="K187" s="76">
        <v>0</v>
      </c>
      <c r="L187" s="258">
        <f>INDEX('C-P-RollAdj'!$P$4:$P$900,MATCH((U187),'C-P-RollAdj'!$O$4:$O$900,FALSE),0)</f>
        <v>56</v>
      </c>
      <c r="M187" s="76">
        <v>43</v>
      </c>
      <c r="N187" s="76">
        <v>25</v>
      </c>
      <c r="O187" s="76">
        <v>22</v>
      </c>
      <c r="P187" s="76">
        <v>12</v>
      </c>
      <c r="Q187" s="76">
        <v>18</v>
      </c>
      <c r="R187" s="76">
        <v>0</v>
      </c>
      <c r="S187" s="76">
        <v>40</v>
      </c>
      <c r="T187" s="76">
        <v>221</v>
      </c>
      <c r="U187" s="76">
        <v>56</v>
      </c>
      <c r="V187" s="100">
        <v>0.214</v>
      </c>
      <c r="W187" s="76">
        <v>1.0900000000000001</v>
      </c>
      <c r="X187" s="76"/>
      <c r="Y187" s="50">
        <f>+(Q187-R187)/(T187-R187)*100</f>
        <v>8.1447963800904972</v>
      </c>
      <c r="Z187" s="6">
        <f>IF(Y187&lt;LeagueRatings!$K$10,((LeagueRatings!$K$10-Y187)/LeagueRatings!$K$10)*36,(LeagueRatings!$K$10-Y187)*6.48)</f>
        <v>2.1712508429588655</v>
      </c>
      <c r="AA187" s="16">
        <f>INDEX('C-P-RollAdj'!$B$4:$B$76,MATCH(INT(Z187),'C-P-RollAdj'!$A$4:$A$76,FALSE),0)</f>
        <v>-0.16</v>
      </c>
      <c r="AB187" s="16">
        <f>(P187/(T187-R187))*100</f>
        <v>5.4298642533936654</v>
      </c>
      <c r="AC187" s="6">
        <f>IF(AB187&lt;LeagueRatings!$K$8,((LeagueRatings!$K$8-AB187)/LeagueRatings!$K$8)*36,(LeagueRatings!$K$8-AB187)/LeagueRatings!$K$11)</f>
        <v>-17.688521340168229</v>
      </c>
      <c r="AD187" s="16">
        <f>INDEX('C-P-RollAdj'!$F$4:$F$76,MATCH(INT(AC187),'C-P-RollAdj'!$E$4:$E$76,FALSE),0)</f>
        <v>1.8900000000000001</v>
      </c>
      <c r="AE187" s="17">
        <f>+((LeagueRatings!$I$17-E187)*5)+9.5</f>
        <v>12.614387243706362</v>
      </c>
      <c r="AF187" s="17">
        <f>IF(AE187&lt;4,4,AE187)</f>
        <v>12.614387243706362</v>
      </c>
      <c r="AG187" s="17">
        <f>IF(M187&lt;L187,((1-(M187/L187))*7)-0.07,(1-(M187/L187))*5)</f>
        <v>1.5549999999999995</v>
      </c>
      <c r="AH187" s="4">
        <f>+AA187+AD187+AF187+AG187</f>
        <v>15.899387243706363</v>
      </c>
      <c r="AJ187" s="5" t="s">
        <v>26</v>
      </c>
      <c r="AK187" s="219">
        <f>INDEX('C-P-RollAdj'!$J$4:$J$76,MATCH(INT(Z187),'C-P-RollAdj'!$I$4:$I$76,FALSE),0)</f>
        <v>12</v>
      </c>
      <c r="AL187" s="219">
        <f>INDEX('C-P-RollAdj'!$J$4:$J$76,MATCH(INT(AC187),'C-P-RollAdj'!$I$4:$I$76,FALSE),0)</f>
        <v>-36</v>
      </c>
      <c r="AM187" s="262">
        <f>+AR187*LeagueRatings!$K$27</f>
        <v>31.111111111111114</v>
      </c>
      <c r="AN187" s="72">
        <f>F187*LeagueRatings!$K$27</f>
        <v>6.1111111111111116</v>
      </c>
      <c r="AO187" s="72">
        <f>G187*LeagueRatings!$K$27</f>
        <v>5.5555555555555554</v>
      </c>
      <c r="AP187" s="72">
        <f>T187*LeagueRatings!$K$27</f>
        <v>122.77777777777779</v>
      </c>
      <c r="AR187" s="14">
        <f>ROUNDUP(L187,0)</f>
        <v>56</v>
      </c>
    </row>
    <row r="188" spans="1:50" x14ac:dyDescent="0.2">
      <c r="A188" s="9"/>
      <c r="B188" s="129"/>
      <c r="L188" s="157">
        <f>(L186/100)/((L186+L187)/100)</f>
        <v>3.4482758620689662E-2</v>
      </c>
      <c r="T188" s="158"/>
      <c r="U188" s="158"/>
      <c r="V188" s="282"/>
      <c r="W188" s="158"/>
      <c r="X188" s="158"/>
      <c r="Y188" s="153"/>
      <c r="Z188" s="152">
        <f>Z186*L188</f>
        <v>1.2413793103448278</v>
      </c>
      <c r="AA188" s="153"/>
      <c r="AB188" s="153"/>
      <c r="AC188" s="152">
        <f>AC186*L188</f>
        <v>1.2413793103448278</v>
      </c>
      <c r="AD188" s="153"/>
      <c r="AE188" s="103"/>
      <c r="AF188" s="103"/>
      <c r="AG188" s="103"/>
      <c r="AH188" s="154">
        <f>AH186*L188</f>
        <v>-0.2717241379310345</v>
      </c>
      <c r="AJ188" s="5"/>
      <c r="AK188" s="5"/>
      <c r="AL188" s="5"/>
      <c r="AN188" s="72"/>
      <c r="AO188" s="72"/>
      <c r="AP188" s="72"/>
      <c r="AQ188" s="30"/>
      <c r="AR188" s="14"/>
    </row>
    <row r="189" spans="1:50" x14ac:dyDescent="0.2">
      <c r="A189" s="9"/>
      <c r="B189" s="129"/>
      <c r="L189" s="157">
        <f>(L187/100)/((L186+L187)/100)</f>
        <v>0.9655172413793105</v>
      </c>
      <c r="T189" s="158"/>
      <c r="U189" s="158"/>
      <c r="V189" s="282"/>
      <c r="W189" s="158"/>
      <c r="X189" s="158"/>
      <c r="Y189" s="153"/>
      <c r="Z189" s="152">
        <f>Z187*L189</f>
        <v>2.0963801242361462</v>
      </c>
      <c r="AA189" s="153"/>
      <c r="AB189" s="153"/>
      <c r="AC189" s="152">
        <f>AC187*L189</f>
        <v>-17.078572328438295</v>
      </c>
      <c r="AD189" s="153"/>
      <c r="AE189" s="103"/>
      <c r="AF189" s="103"/>
      <c r="AG189" s="103"/>
      <c r="AH189" s="154">
        <f>AH187*L189</f>
        <v>15.351132511164767</v>
      </c>
      <c r="AJ189" s="5"/>
      <c r="AK189" s="5"/>
      <c r="AL189" s="5"/>
      <c r="AN189" s="72"/>
      <c r="AO189" s="72"/>
      <c r="AP189" s="72"/>
      <c r="AQ189" s="30"/>
      <c r="AR189" s="14"/>
    </row>
    <row r="190" spans="1:50" x14ac:dyDescent="0.2">
      <c r="A190" s="9"/>
      <c r="B190" s="129"/>
      <c r="T190" s="158"/>
      <c r="U190" s="158"/>
      <c r="V190" s="282"/>
      <c r="W190" s="158"/>
      <c r="X190" s="158"/>
      <c r="Y190" s="153"/>
      <c r="Z190" s="152">
        <f>SUM(Z188:Z189)</f>
        <v>3.337759434580974</v>
      </c>
      <c r="AA190" s="153"/>
      <c r="AB190" s="153"/>
      <c r="AC190" s="152">
        <f>SUM(AC188:AC189)</f>
        <v>-15.837193018093467</v>
      </c>
      <c r="AD190" s="153"/>
      <c r="AE190" s="103"/>
      <c r="AF190" s="103"/>
      <c r="AG190" s="103"/>
      <c r="AH190" s="153">
        <f>SUM(AH188:AH189)</f>
        <v>15.079408373233733</v>
      </c>
      <c r="AI190" s="41" t="s">
        <v>1303</v>
      </c>
      <c r="AJ190" s="5" t="s">
        <v>14</v>
      </c>
      <c r="AK190" s="219">
        <f>INDEX('C-P-RollAdj'!$J$4:$J$76,MATCH(INT(Z190),'C-P-RollAdj'!$I$4:$I$76,FALSE),0)</f>
        <v>13</v>
      </c>
      <c r="AL190" s="219">
        <f>INDEX('C-P-RollAdj'!$J$4:$J$76,MATCH(INT(AC190),'C-P-RollAdj'!$I$4:$I$76,FALSE),0)</f>
        <v>-34</v>
      </c>
      <c r="AM190" s="262">
        <f>SUM(AM186:AM189)</f>
        <v>32.222222222222229</v>
      </c>
      <c r="AN190" s="14">
        <f>SUM(AN186:AN189)</f>
        <v>6.666666666666667</v>
      </c>
      <c r="AO190" s="14">
        <f>SUM(AO186:AO189)</f>
        <v>5.5555555555555554</v>
      </c>
      <c r="AP190" s="14">
        <f>SUM(AP186:AP189)</f>
        <v>128.88888888888889</v>
      </c>
      <c r="AQ190" s="30"/>
      <c r="AR190" s="14"/>
    </row>
    <row r="191" spans="1:50" x14ac:dyDescent="0.2">
      <c r="A191" s="122"/>
      <c r="B191" s="122"/>
      <c r="AN191" s="72"/>
      <c r="AO191" s="72"/>
      <c r="AP191" s="72"/>
      <c r="AQ191" s="30"/>
      <c r="AR191" s="14"/>
    </row>
    <row r="192" spans="1:50" x14ac:dyDescent="0.2">
      <c r="A192" t="s">
        <v>1206</v>
      </c>
      <c r="B192" s="76" t="s">
        <v>154</v>
      </c>
      <c r="C192" s="76">
        <v>3</v>
      </c>
      <c r="D192" s="76">
        <v>4</v>
      </c>
      <c r="E192" s="76">
        <v>2.34</v>
      </c>
      <c r="F192" s="76">
        <v>32</v>
      </c>
      <c r="G192" s="76">
        <v>2</v>
      </c>
      <c r="H192" s="76">
        <v>0</v>
      </c>
      <c r="I192" s="76">
        <v>0</v>
      </c>
      <c r="J192" s="76">
        <v>0</v>
      </c>
      <c r="K192" s="76">
        <v>0</v>
      </c>
      <c r="L192" s="258">
        <f>INDEX('C-P-RollAdj'!$P$4:$P$900,MATCH((U192),'C-P-RollAdj'!$O$4:$O$900,FALSE),0)</f>
        <v>61.67</v>
      </c>
      <c r="M192" s="76">
        <v>49</v>
      </c>
      <c r="N192" s="76">
        <v>18</v>
      </c>
      <c r="O192" s="76">
        <v>16</v>
      </c>
      <c r="P192" s="76">
        <v>3</v>
      </c>
      <c r="Q192" s="76">
        <v>18</v>
      </c>
      <c r="R192" s="76">
        <v>2</v>
      </c>
      <c r="S192" s="76">
        <v>54</v>
      </c>
      <c r="T192" s="76">
        <v>250</v>
      </c>
      <c r="U192" s="76">
        <v>61.2</v>
      </c>
      <c r="V192" s="100">
        <v>0.22</v>
      </c>
      <c r="W192" s="76">
        <v>1.0900000000000001</v>
      </c>
      <c r="X192" s="196"/>
      <c r="Y192" s="50">
        <f>+(Q192-R192)/(T192-R192)*100</f>
        <v>6.4516129032258061</v>
      </c>
      <c r="Z192" s="6">
        <f>IF(Y192&lt;LeagueRatings!$K$10,((LeagueRatings!$K$10-Y192)/LeagueRatings!$K$10)*36,(LeagueRatings!$K$10-Y192)*6.48)</f>
        <v>9.2037506677201044</v>
      </c>
      <c r="AA192" s="16">
        <f>INDEX('C-P-RollAdj'!$B$4:$B$76,MATCH(INT(Z192),'C-P-RollAdj'!$A$4:$A$76,FALSE),0)</f>
        <v>-0.74</v>
      </c>
      <c r="AB192" s="16">
        <f>(P192/(T192-R192))*100</f>
        <v>1.2096774193548387</v>
      </c>
      <c r="AC192" s="6">
        <f>IF(AB192&lt;LeagueRatings!$K$8,((LeagueRatings!$K$8-AB192)/LeagueRatings!$K$8)*36,(LeagueRatings!$K$8-AB192)/LeagueRatings!$K$11)</f>
        <v>22.400554126261628</v>
      </c>
      <c r="AD192" s="16">
        <f>INDEX('C-P-RollAdj'!$F$4:$F$76,MATCH(INT(AC192),'C-P-RollAdj'!$E$4:$E$76,FALSE),0)</f>
        <v>-1.78</v>
      </c>
      <c r="AE192" s="17">
        <f>+((LeagueRatings!$I$17-E192)*5)+9.5</f>
        <v>18.614387243706364</v>
      </c>
      <c r="AF192" s="17">
        <f>IF(AE192&lt;4,4,AE192)</f>
        <v>18.614387243706364</v>
      </c>
      <c r="AG192" s="17">
        <f>IF(M192&lt;L192,((1-(M192/L192))*7)-0.07,(1-(M192/L192))*5)</f>
        <v>1.3681384790011351</v>
      </c>
      <c r="AH192" s="4">
        <f>+AA192+AD192+AF192+AG192</f>
        <v>17.4625257227075</v>
      </c>
      <c r="AJ192" s="5" t="s">
        <v>31</v>
      </c>
      <c r="AK192" s="219">
        <f>INDEX('C-P-RollAdj'!$J$4:$J$76,MATCH(INT(Z192),'C-P-RollAdj'!$I$4:$I$76,FALSE),0)</f>
        <v>23</v>
      </c>
      <c r="AL192" s="219">
        <f>INDEX('C-P-RollAdj'!$J$4:$J$76,MATCH(INT(AC192),'C-P-RollAdj'!$I$4:$I$76,FALSE),0)</f>
        <v>44</v>
      </c>
      <c r="AM192" s="262">
        <f>+AR192*LeagueRatings!$K$27</f>
        <v>34.444444444444443</v>
      </c>
      <c r="AN192" s="72">
        <f>F192*LeagueRatings!$K$27</f>
        <v>17.777777777777779</v>
      </c>
      <c r="AO192" s="72">
        <f>G192*LeagueRatings!$K$27</f>
        <v>1.1111111111111112</v>
      </c>
      <c r="AP192" s="72">
        <f>T192*LeagueRatings!$K$27</f>
        <v>138.88888888888889</v>
      </c>
      <c r="AQ192"/>
      <c r="AR192" s="14">
        <f>ROUNDUP(L192,0)</f>
        <v>62</v>
      </c>
    </row>
    <row r="193" spans="1:50" s="122" customFormat="1" x14ac:dyDescent="0.2">
      <c r="A193" s="41" t="s">
        <v>1206</v>
      </c>
      <c r="B193" s="76" t="s">
        <v>161</v>
      </c>
      <c r="C193" s="76">
        <v>1</v>
      </c>
      <c r="D193" s="76">
        <v>1</v>
      </c>
      <c r="E193" s="76">
        <v>2.82</v>
      </c>
      <c r="F193" s="76">
        <v>17</v>
      </c>
      <c r="G193" s="76">
        <v>5</v>
      </c>
      <c r="H193" s="76">
        <v>0</v>
      </c>
      <c r="I193" s="76">
        <v>0</v>
      </c>
      <c r="J193" s="76">
        <v>0</v>
      </c>
      <c r="K193" s="76">
        <v>0</v>
      </c>
      <c r="L193" s="258">
        <f>INDEX('C-P-RollAdj'!$P$4:$P$900,MATCH((U193),'C-P-RollAdj'!$O$4:$O$900,FALSE),0)</f>
        <v>38.33</v>
      </c>
      <c r="M193" s="76">
        <v>30</v>
      </c>
      <c r="N193" s="76">
        <v>15</v>
      </c>
      <c r="O193" s="76">
        <v>12</v>
      </c>
      <c r="P193" s="76">
        <v>5</v>
      </c>
      <c r="Q193" s="76">
        <v>20</v>
      </c>
      <c r="R193" s="76">
        <v>0</v>
      </c>
      <c r="S193" s="76">
        <v>38</v>
      </c>
      <c r="T193" s="76">
        <v>164</v>
      </c>
      <c r="U193" s="76">
        <v>38.1</v>
      </c>
      <c r="V193" s="100">
        <v>0.217</v>
      </c>
      <c r="W193" s="76">
        <v>1.3</v>
      </c>
      <c r="X193" s="76"/>
      <c r="Y193" s="50">
        <f>+(Q193-R193)/(T193-R193)*100</f>
        <v>12.195121951219512</v>
      </c>
      <c r="Z193" s="6">
        <f>IF(Y193&lt;LeagueRatings!$K$21,((LeagueRatings!$K$21-Y193)/LeagueRatings!$K$21)*36,(LeagueRatings!$K$21-Y193)*6.48)</f>
        <v>-21.00884926457141</v>
      </c>
      <c r="AA193" s="16">
        <f>INDEX('C-P-RollAdj'!$B$4:$B$76,MATCH(INT(Z193),'C-P-RollAdj'!$A$4:$A$76,FALSE),0)</f>
        <v>2.7199999999999998</v>
      </c>
      <c r="AB193" s="16">
        <f>(P193/(T193-R193))*100</f>
        <v>3.0487804878048781</v>
      </c>
      <c r="AC193" s="6">
        <f>IF(AB193&lt;LeagueRatings!$K$19,((LeagueRatings!$K$19-AB193)/LeagueRatings!$K$19)*36,(LeagueRatings!$K$19-AB193)/LeagueRatings!$K$22)</f>
        <v>-1.1375014872099933</v>
      </c>
      <c r="AD193" s="16">
        <f>INDEX('C-P-RollAdj'!$F$4:$F$76,MATCH(INT(AC193),'C-P-RollAdj'!$E$4:$E$76,FALSE),0)</f>
        <v>0.16</v>
      </c>
      <c r="AE193" s="17">
        <f>+((LeagueRatings!$I$6-E193)*5)+9.5</f>
        <v>16.408051455277402</v>
      </c>
      <c r="AF193" s="17">
        <f>IF(AE193&lt;4,4,AE193)</f>
        <v>16.408051455277402</v>
      </c>
      <c r="AG193" s="17">
        <f>IF(M193&lt;L193,((1-(M193/L193))*7)-0.07,(1-(M193/L193))*5)</f>
        <v>1.45126271849726</v>
      </c>
      <c r="AH193" s="4">
        <f>+AA193+AD193+AF193+AG193</f>
        <v>20.739314173774662</v>
      </c>
      <c r="AJ193" s="94" t="s">
        <v>28</v>
      </c>
      <c r="AK193" s="219">
        <f>INDEX('C-P-RollAdj'!$J$4:$J$76,MATCH(INT(Z193),'C-P-RollAdj'!$I$4:$I$76,FALSE),0)</f>
        <v>-44</v>
      </c>
      <c r="AL193" s="219">
        <f>INDEX('C-P-RollAdj'!$J$4:$J$76,MATCH(INT(AC193),'C-P-RollAdj'!$I$4:$I$76,FALSE),0)</f>
        <v>-12</v>
      </c>
      <c r="AM193" s="262">
        <f>+AR193*LeagueRatings!$K$27</f>
        <v>21.666666666666668</v>
      </c>
      <c r="AN193" s="72">
        <f>F193*LeagueRatings!$K$27</f>
        <v>9.4444444444444446</v>
      </c>
      <c r="AO193" s="72">
        <f>G193*LeagueRatings!$K$27</f>
        <v>2.7777777777777777</v>
      </c>
      <c r="AP193" s="72">
        <f>T193*LeagueRatings!$K$27</f>
        <v>91.111111111111114</v>
      </c>
      <c r="AQ193" s="76"/>
      <c r="AR193" s="72">
        <f>ROUNDUP(L193,0)</f>
        <v>39</v>
      </c>
      <c r="AS193" s="113"/>
      <c r="AT193" s="113"/>
      <c r="AU193" s="113"/>
      <c r="AV193" s="76"/>
      <c r="AW193" s="144">
        <v>209.67</v>
      </c>
      <c r="AX193"/>
    </row>
    <row r="194" spans="1:50" x14ac:dyDescent="0.2">
      <c r="A194" s="9"/>
      <c r="B194" s="129"/>
      <c r="L194" s="157">
        <f>(L192/100)/((L192+L193)/100)</f>
        <v>0.61670000000000003</v>
      </c>
      <c r="T194" s="158"/>
      <c r="U194" s="158"/>
      <c r="V194" s="282"/>
      <c r="W194" s="158"/>
      <c r="X194" s="158"/>
      <c r="Y194" s="153"/>
      <c r="Z194" s="152">
        <f>Z192*L194</f>
        <v>5.6759530367829889</v>
      </c>
      <c r="AA194" s="153"/>
      <c r="AB194" s="153"/>
      <c r="AC194" s="152">
        <f>AC192*L194</f>
        <v>13.814421729665547</v>
      </c>
      <c r="AD194" s="153"/>
      <c r="AE194" s="103"/>
      <c r="AF194" s="103"/>
      <c r="AG194" s="103"/>
      <c r="AH194" s="154">
        <f>AH192*L194</f>
        <v>10.769139613193715</v>
      </c>
      <c r="AJ194" s="5"/>
      <c r="AK194" s="5"/>
      <c r="AL194" s="5"/>
      <c r="AN194" s="72"/>
      <c r="AO194" s="72"/>
      <c r="AP194" s="72"/>
      <c r="AQ194" s="30"/>
      <c r="AR194" s="14"/>
    </row>
    <row r="195" spans="1:50" x14ac:dyDescent="0.2">
      <c r="A195" s="9"/>
      <c r="B195" s="129"/>
      <c r="L195" s="157">
        <f>(L193/100)/((L192+L193)/100)</f>
        <v>0.38329999999999997</v>
      </c>
      <c r="T195" s="158"/>
      <c r="U195" s="158"/>
      <c r="V195" s="282"/>
      <c r="W195" s="158"/>
      <c r="X195" s="158"/>
      <c r="Y195" s="153"/>
      <c r="Z195" s="152">
        <f>Z193*L195</f>
        <v>-8.0526919231102205</v>
      </c>
      <c r="AA195" s="153"/>
      <c r="AB195" s="153"/>
      <c r="AC195" s="152">
        <f>AC193*L195</f>
        <v>-0.43600432004759043</v>
      </c>
      <c r="AD195" s="153"/>
      <c r="AE195" s="103"/>
      <c r="AF195" s="103"/>
      <c r="AG195" s="103"/>
      <c r="AH195" s="154">
        <f>AH193*L195</f>
        <v>7.9493791228078274</v>
      </c>
      <c r="AJ195" s="5"/>
      <c r="AK195" s="5"/>
      <c r="AL195" s="5"/>
      <c r="AN195" s="72"/>
      <c r="AO195" s="72"/>
      <c r="AP195" s="72"/>
      <c r="AQ195" s="30"/>
      <c r="AR195" s="14"/>
    </row>
    <row r="196" spans="1:50" x14ac:dyDescent="0.2">
      <c r="A196" s="9"/>
      <c r="B196" s="129"/>
      <c r="T196" s="158"/>
      <c r="U196" s="158"/>
      <c r="V196" s="282"/>
      <c r="W196" s="158"/>
      <c r="X196" s="158"/>
      <c r="Y196" s="153"/>
      <c r="Z196" s="152">
        <f>SUM(Z194:Z195)</f>
        <v>-2.3767388863272316</v>
      </c>
      <c r="AA196" s="153"/>
      <c r="AB196" s="153"/>
      <c r="AC196" s="152">
        <f>SUM(AC194:AC195)</f>
        <v>13.378417409617956</v>
      </c>
      <c r="AD196" s="153"/>
      <c r="AE196" s="103"/>
      <c r="AF196" s="103"/>
      <c r="AG196" s="103"/>
      <c r="AH196" s="153">
        <f>SUM(AH194:AH195)</f>
        <v>18.718518736001542</v>
      </c>
      <c r="AI196" s="41" t="s">
        <v>1206</v>
      </c>
      <c r="AJ196" s="5" t="s">
        <v>67</v>
      </c>
      <c r="AK196" s="219">
        <f>INDEX('C-P-RollAdj'!$J$4:$J$76,MATCH(INT(Z196),'C-P-RollAdj'!$I$4:$I$76,FALSE),0)</f>
        <v>-13</v>
      </c>
      <c r="AL196" s="219">
        <f>INDEX('C-P-RollAdj'!$J$4:$J$76,MATCH(INT(AC196),'C-P-RollAdj'!$I$4:$I$76,FALSE),0)</f>
        <v>31</v>
      </c>
      <c r="AM196" s="262">
        <f>SUM(AM192:AM195)</f>
        <v>56.111111111111114</v>
      </c>
      <c r="AN196" s="14">
        <f>SUM(AN192:AN195)</f>
        <v>27.222222222222221</v>
      </c>
      <c r="AO196" s="14">
        <f>SUM(AO192:AO195)</f>
        <v>3.8888888888888888</v>
      </c>
      <c r="AP196" s="14">
        <f>SUM(AP192:AP195)</f>
        <v>230</v>
      </c>
      <c r="AQ196" s="30"/>
      <c r="AR196" s="14"/>
    </row>
    <row r="197" spans="1:50" x14ac:dyDescent="0.2">
      <c r="B197" s="155"/>
      <c r="AN197" s="72"/>
      <c r="AO197" s="72"/>
      <c r="AP197" s="72"/>
      <c r="AQ197" s="30"/>
      <c r="AR197" s="14"/>
    </row>
    <row r="198" spans="1:50" s="122" customFormat="1" x14ac:dyDescent="0.2">
      <c r="A198" t="s">
        <v>627</v>
      </c>
      <c r="B198" s="76" t="s">
        <v>144</v>
      </c>
      <c r="C198" s="76">
        <v>7</v>
      </c>
      <c r="D198" s="76">
        <v>7</v>
      </c>
      <c r="E198" s="76">
        <v>4.08</v>
      </c>
      <c r="F198" s="76">
        <v>21</v>
      </c>
      <c r="G198" s="76">
        <v>21</v>
      </c>
      <c r="H198" s="76">
        <v>0</v>
      </c>
      <c r="I198" s="76">
        <v>0</v>
      </c>
      <c r="J198" s="76">
        <v>0</v>
      </c>
      <c r="K198" s="76">
        <v>0</v>
      </c>
      <c r="L198" s="258">
        <f>INDEX('C-P-RollAdj'!$P$4:$P$900,MATCH((U198),'C-P-RollAdj'!$O$4:$O$900,FALSE),0)</f>
        <v>130</v>
      </c>
      <c r="M198" s="76">
        <v>125</v>
      </c>
      <c r="N198" s="76">
        <v>62</v>
      </c>
      <c r="O198" s="76">
        <v>59</v>
      </c>
      <c r="P198" s="76">
        <v>20</v>
      </c>
      <c r="Q198" s="76">
        <v>40</v>
      </c>
      <c r="R198" s="76">
        <v>0</v>
      </c>
      <c r="S198" s="76">
        <v>109</v>
      </c>
      <c r="T198" s="76">
        <v>549</v>
      </c>
      <c r="U198" s="76">
        <v>130</v>
      </c>
      <c r="V198" s="100">
        <v>0.251</v>
      </c>
      <c r="W198" s="76">
        <v>1.27</v>
      </c>
      <c r="X198" s="196"/>
      <c r="Y198" s="50">
        <f>+(Q198-R198)/(T198-R198)*100</f>
        <v>7.2859744990892539</v>
      </c>
      <c r="Z198" s="6">
        <f>IF(Y198&lt;LeagueRatings!$K$10,((LeagueRatings!$K$10-Y198)/LeagueRatings!$K$10)*36,(LeagueRatings!$K$10-Y198)*6.48)</f>
        <v>5.7382976575345399</v>
      </c>
      <c r="AA198" s="16">
        <f>INDEX('C-P-RollAdj'!$B$4:$B$76,MATCH(INT(Z198),'C-P-RollAdj'!$A$4:$A$76,FALSE),0)</f>
        <v>-0.4</v>
      </c>
      <c r="AB198" s="16">
        <f>(P198/(T198-R198))*100</f>
        <v>3.6429872495446269</v>
      </c>
      <c r="AC198" s="6">
        <f>IF(AB198&lt;LeagueRatings!$K$8,((LeagueRatings!$K$8-AB198)/LeagueRatings!$K$8)*36,(LeagueRatings!$K$8-AB198)/LeagueRatings!$K$11)</f>
        <v>-3.4999092322628016</v>
      </c>
      <c r="AD198" s="16">
        <f>INDEX('C-P-RollAdj'!$F$4:$F$76,MATCH(INT(AC198),'C-P-RollAdj'!$E$4:$E$76,FALSE),0)</f>
        <v>0.32999999999999996</v>
      </c>
      <c r="AE198" s="17">
        <f>+((LeagueRatings!$I$17-E198)*5)+9.5</f>
        <v>9.9143872437063614</v>
      </c>
      <c r="AF198" s="17">
        <f>IF(AE198&lt;4,4,AE198)</f>
        <v>9.9143872437063614</v>
      </c>
      <c r="AG198" s="17">
        <f>IF(M198&lt;L198,((1-(M198/L198))*7)-0.07,(1-(M198/L198))*5)</f>
        <v>0.19923076923076904</v>
      </c>
      <c r="AH198" s="4">
        <f>+AA198+AD198+AF198+AG198</f>
        <v>10.043618012937131</v>
      </c>
      <c r="AI198" s="213"/>
      <c r="AJ198" s="7" t="s">
        <v>55</v>
      </c>
      <c r="AK198" s="219">
        <f>INDEX('C-P-RollAdj'!$J$4:$J$76,MATCH(INT(Z198),'C-P-RollAdj'!$I$4:$I$76,FALSE),0)</f>
        <v>15</v>
      </c>
      <c r="AL198" s="219">
        <f>INDEX('C-P-RollAdj'!$J$4:$J$76,MATCH(INT(AC198),'C-P-RollAdj'!$I$4:$I$76,FALSE),0)</f>
        <v>-14</v>
      </c>
      <c r="AM198" s="262">
        <f>+AR198*LeagueRatings!$K$27</f>
        <v>72.222222222222229</v>
      </c>
      <c r="AN198" s="72">
        <f>F198*LeagueRatings!$K$27</f>
        <v>11.666666666666668</v>
      </c>
      <c r="AO198" s="72">
        <f>G198*LeagueRatings!$K$27</f>
        <v>11.666666666666668</v>
      </c>
      <c r="AP198" s="72">
        <f>T198*LeagueRatings!$K$27</f>
        <v>305</v>
      </c>
      <c r="AQ198" s="24"/>
      <c r="AR198" s="14">
        <f>ROUNDUP(L198,0)</f>
        <v>130</v>
      </c>
      <c r="AS198" s="123"/>
      <c r="AT198" s="123"/>
      <c r="AU198" s="123"/>
      <c r="AW198" s="71"/>
      <c r="AX198" s="71"/>
    </row>
    <row r="199" spans="1:50" s="24" customFormat="1" x14ac:dyDescent="0.2">
      <c r="A199" s="41" t="s">
        <v>627</v>
      </c>
      <c r="B199" s="76" t="s">
        <v>171</v>
      </c>
      <c r="C199" s="76">
        <v>6</v>
      </c>
      <c r="D199" s="76">
        <v>5</v>
      </c>
      <c r="E199" s="76">
        <v>4.08</v>
      </c>
      <c r="F199" s="76">
        <v>12</v>
      </c>
      <c r="G199" s="76">
        <v>12</v>
      </c>
      <c r="H199" s="76">
        <v>0</v>
      </c>
      <c r="I199" s="76">
        <v>0</v>
      </c>
      <c r="J199" s="76">
        <v>0</v>
      </c>
      <c r="K199" s="76">
        <v>0</v>
      </c>
      <c r="L199" s="258">
        <f>INDEX('C-P-RollAdj'!$P$4:$P$900,MATCH((U199),'C-P-RollAdj'!$O$4:$O$900,FALSE),0)</f>
        <v>68.33</v>
      </c>
      <c r="M199" s="76">
        <v>59</v>
      </c>
      <c r="N199" s="76">
        <v>31</v>
      </c>
      <c r="O199" s="76">
        <v>31</v>
      </c>
      <c r="P199" s="76">
        <v>5</v>
      </c>
      <c r="Q199" s="76">
        <v>32</v>
      </c>
      <c r="R199" s="76">
        <v>1</v>
      </c>
      <c r="S199" s="76">
        <v>69</v>
      </c>
      <c r="T199" s="76">
        <v>289</v>
      </c>
      <c r="U199" s="76">
        <v>68.099999999999994</v>
      </c>
      <c r="V199" s="100">
        <v>0.23300000000000001</v>
      </c>
      <c r="W199" s="76">
        <v>1.33</v>
      </c>
      <c r="X199" s="76"/>
      <c r="Y199" s="50">
        <f>+(Q199-R199)/(T199-R199)*100</f>
        <v>10.763888888888889</v>
      </c>
      <c r="Z199" s="6">
        <f>IF(Y199&lt;LeagueRatings!$K$21,((LeagueRatings!$K$21-Y199)/LeagueRatings!$K$21)*36,(LeagueRatings!$K$21-Y199)*6.48)</f>
        <v>-11.73445902066897</v>
      </c>
      <c r="AA199" s="16">
        <f>INDEX('C-P-RollAdj'!$B$4:$B$76,MATCH(INT(Z199),'C-P-RollAdj'!$A$4:$A$76,FALSE),0)</f>
        <v>1.24</v>
      </c>
      <c r="AB199" s="16">
        <f>(P199/(T199-R199))*100</f>
        <v>1.7361111111111112</v>
      </c>
      <c r="AC199" s="6">
        <f>IF(AB199&lt;LeagueRatings!$K$19,((LeagueRatings!$K$19-AB199)/LeagueRatings!$K$19)*36,(LeagueRatings!$K$19-AB199)/LeagueRatings!$K$22)</f>
        <v>14.507567264573993</v>
      </c>
      <c r="AD199" s="16">
        <f>INDEX('C-P-RollAdj'!$F$4:$F$76,MATCH(INT(AC199),'C-P-RollAdj'!$E$4:$E$76,FALSE),0)</f>
        <v>-1.05</v>
      </c>
      <c r="AE199" s="17">
        <f>+((LeagueRatings!$I$17-E199)*5)+9.5</f>
        <v>9.9143872437063614</v>
      </c>
      <c r="AF199" s="17">
        <f>IF(AE199&lt;4,4,AE199)</f>
        <v>9.9143872437063614</v>
      </c>
      <c r="AG199" s="17">
        <f>IF(M199&lt;L199,((1-(M199/L199))*7)-0.07,(1-(M199/L199))*5)</f>
        <v>0.88580272208400368</v>
      </c>
      <c r="AH199" s="4">
        <f>+AA199+AD199+AF199+AG199</f>
        <v>10.990189965790364</v>
      </c>
      <c r="AI199" s="41"/>
      <c r="AJ199" s="58">
        <v>19</v>
      </c>
      <c r="AK199" s="219">
        <f>INDEX('C-P-RollAdj'!$J$4:$J$76,MATCH(INT(Z199),'C-P-RollAdj'!$I$4:$I$76,FALSE),0)</f>
        <v>-26</v>
      </c>
      <c r="AL199" s="219">
        <f>INDEX('C-P-RollAdj'!$J$4:$J$76,MATCH(INT(AC199),'C-P-RollAdj'!$I$4:$I$76,FALSE),0)</f>
        <v>32</v>
      </c>
      <c r="AM199" s="262">
        <f>+AR199*LeagueRatings!$K$27</f>
        <v>38.333333333333336</v>
      </c>
      <c r="AN199" s="72">
        <f>F199*LeagueRatings!$K$27</f>
        <v>6.666666666666667</v>
      </c>
      <c r="AO199" s="72">
        <f>G199*LeagueRatings!$K$27</f>
        <v>6.666666666666667</v>
      </c>
      <c r="AP199" s="72">
        <f>T199*LeagueRatings!$K$27</f>
        <v>160.55555555555557</v>
      </c>
      <c r="AR199" s="14">
        <f>ROUNDUP(L199,0)</f>
        <v>69</v>
      </c>
    </row>
    <row r="200" spans="1:50" s="122" customFormat="1" x14ac:dyDescent="0.2">
      <c r="A200" s="9"/>
      <c r="B200" s="129"/>
      <c r="C200" s="205"/>
      <c r="D200" s="196"/>
      <c r="E200" s="205"/>
      <c r="F200" s="196"/>
      <c r="G200" s="196"/>
      <c r="H200" s="196"/>
      <c r="I200" s="206"/>
      <c r="J200" s="206"/>
      <c r="K200" s="206"/>
      <c r="L200" s="157">
        <f>(L198/100)/((L198+L199)/100)</f>
        <v>0.65547320123027286</v>
      </c>
      <c r="M200" s="146"/>
      <c r="N200" s="146"/>
      <c r="O200" s="146"/>
      <c r="P200" s="146"/>
      <c r="Q200" s="146"/>
      <c r="R200" s="146"/>
      <c r="S200" s="146"/>
      <c r="T200" s="158"/>
      <c r="U200" s="158"/>
      <c r="V200" s="282"/>
      <c r="W200" s="158"/>
      <c r="X200" s="158"/>
      <c r="Y200" s="153"/>
      <c r="Z200" s="152">
        <f>Z198*L200</f>
        <v>3.7613003351963408</v>
      </c>
      <c r="AA200" s="153"/>
      <c r="AB200" s="153"/>
      <c r="AC200" s="152">
        <f>AC198*L200</f>
        <v>-2.294096708486685</v>
      </c>
      <c r="AD200" s="153"/>
      <c r="AE200" s="103"/>
      <c r="AF200" s="103"/>
      <c r="AG200" s="103"/>
      <c r="AH200" s="154">
        <f>AH198*L200</f>
        <v>6.5833224508739336</v>
      </c>
      <c r="AI200" s="168"/>
      <c r="AJ200" s="5"/>
      <c r="AK200" s="5"/>
      <c r="AL200" s="5"/>
      <c r="AM200" s="262"/>
      <c r="AN200" s="72"/>
      <c r="AO200" s="72"/>
      <c r="AP200" s="72"/>
      <c r="AQ200" s="30"/>
      <c r="AR200" s="14"/>
      <c r="AS200" s="123"/>
      <c r="AT200" s="123"/>
      <c r="AU200" s="123"/>
      <c r="AW200" s="71"/>
      <c r="AX200" s="71"/>
    </row>
    <row r="201" spans="1:50" s="122" customFormat="1" x14ac:dyDescent="0.2">
      <c r="A201" s="9"/>
      <c r="B201" s="129"/>
      <c r="C201" s="205"/>
      <c r="D201" s="196"/>
      <c r="E201" s="205"/>
      <c r="F201" s="196"/>
      <c r="G201" s="196"/>
      <c r="H201" s="196"/>
      <c r="I201" s="206"/>
      <c r="J201" s="206"/>
      <c r="K201" s="206"/>
      <c r="L201" s="157">
        <f>(L199/100)/((L198+L199)/100)</f>
        <v>0.34452679876972725</v>
      </c>
      <c r="M201" s="146"/>
      <c r="N201" s="146"/>
      <c r="O201" s="146"/>
      <c r="P201" s="146"/>
      <c r="Q201" s="146"/>
      <c r="R201" s="146"/>
      <c r="S201" s="146"/>
      <c r="T201" s="158"/>
      <c r="U201" s="158"/>
      <c r="V201" s="282"/>
      <c r="W201" s="158"/>
      <c r="X201" s="158"/>
      <c r="Y201" s="153"/>
      <c r="Z201" s="152">
        <f>Z199*L201</f>
        <v>-4.0428356016856286</v>
      </c>
      <c r="AA201" s="153"/>
      <c r="AB201" s="153"/>
      <c r="AC201" s="152">
        <f>AC199*L201</f>
        <v>4.9982457076001667</v>
      </c>
      <c r="AD201" s="153"/>
      <c r="AE201" s="103"/>
      <c r="AF201" s="103"/>
      <c r="AG201" s="103"/>
      <c r="AH201" s="154">
        <f>AH199*L201</f>
        <v>3.7864149667849323</v>
      </c>
      <c r="AI201" s="168"/>
      <c r="AJ201" s="5"/>
      <c r="AK201" s="5"/>
      <c r="AL201" s="5"/>
      <c r="AM201" s="262"/>
      <c r="AN201" s="72"/>
      <c r="AO201" s="72"/>
      <c r="AP201" s="72"/>
      <c r="AQ201" s="30"/>
      <c r="AR201" s="14"/>
      <c r="AS201" s="123"/>
      <c r="AT201" s="123"/>
      <c r="AU201" s="123"/>
      <c r="AW201" s="71"/>
      <c r="AX201" s="71"/>
    </row>
    <row r="202" spans="1:50" s="122" customFormat="1" x14ac:dyDescent="0.2">
      <c r="A202" s="9"/>
      <c r="B202" s="129"/>
      <c r="C202" s="205"/>
      <c r="D202" s="196"/>
      <c r="E202" s="205"/>
      <c r="F202" s="196"/>
      <c r="G202" s="196"/>
      <c r="H202" s="196"/>
      <c r="I202" s="206"/>
      <c r="J202" s="206"/>
      <c r="K202" s="206"/>
      <c r="L202" s="157"/>
      <c r="M202" s="146"/>
      <c r="N202" s="146"/>
      <c r="O202" s="146"/>
      <c r="P202" s="146"/>
      <c r="Q202" s="146"/>
      <c r="R202" s="146"/>
      <c r="S202" s="146"/>
      <c r="T202" s="158"/>
      <c r="U202" s="158"/>
      <c r="V202" s="282"/>
      <c r="W202" s="158"/>
      <c r="X202" s="158"/>
      <c r="Y202" s="153"/>
      <c r="Z202" s="152">
        <f>SUM(Z200:Z201)</f>
        <v>-0.28153526648928784</v>
      </c>
      <c r="AA202" s="153"/>
      <c r="AB202" s="153"/>
      <c r="AC202" s="152">
        <f>SUM(AC200:AC201)</f>
        <v>2.7041489991134817</v>
      </c>
      <c r="AD202" s="153"/>
      <c r="AE202" s="103"/>
      <c r="AF202" s="103"/>
      <c r="AG202" s="103"/>
      <c r="AH202" s="153">
        <f>SUM(AH200:AH201)</f>
        <v>10.369737417658866</v>
      </c>
      <c r="AI202" s="41" t="s">
        <v>627</v>
      </c>
      <c r="AJ202" s="5" t="s">
        <v>68</v>
      </c>
      <c r="AK202" s="219">
        <f>INDEX('C-P-RollAdj'!$J$4:$J$76,MATCH(INT(Z202),'C-P-RollAdj'!$I$4:$I$76,FALSE),0)</f>
        <v>-11</v>
      </c>
      <c r="AL202" s="219">
        <f>INDEX('C-P-RollAdj'!$J$4:$J$76,MATCH(INT(AC202),'C-P-RollAdj'!$I$4:$I$76,FALSE),0)</f>
        <v>12</v>
      </c>
      <c r="AM202" s="262">
        <f>SUM(AM198:AM201)</f>
        <v>110.55555555555557</v>
      </c>
      <c r="AN202" s="14">
        <f>SUM(AN198:AN201)</f>
        <v>18.333333333333336</v>
      </c>
      <c r="AO202" s="14">
        <f>SUM(AO198:AO201)</f>
        <v>18.333333333333336</v>
      </c>
      <c r="AP202" s="14">
        <f>SUM(AP198:AP201)</f>
        <v>465.55555555555554</v>
      </c>
      <c r="AQ202" s="30"/>
      <c r="AR202" s="14"/>
      <c r="AS202" s="123"/>
      <c r="AT202" s="123"/>
      <c r="AU202" s="123"/>
      <c r="AW202" s="71"/>
      <c r="AX202" s="71"/>
    </row>
    <row r="203" spans="1:50" s="122" customFormat="1" x14ac:dyDescent="0.2">
      <c r="A203" s="146"/>
      <c r="B203" s="155"/>
      <c r="C203" s="205"/>
      <c r="D203" s="196"/>
      <c r="E203" s="205"/>
      <c r="F203" s="196"/>
      <c r="G203" s="196"/>
      <c r="H203" s="196"/>
      <c r="I203" s="206"/>
      <c r="J203" s="206"/>
      <c r="K203" s="206"/>
      <c r="L203" s="205"/>
      <c r="M203" s="196"/>
      <c r="N203" s="196"/>
      <c r="O203" s="196"/>
      <c r="P203" s="196"/>
      <c r="Q203" s="196"/>
      <c r="R203" s="196"/>
      <c r="S203" s="196"/>
      <c r="T203" s="196"/>
      <c r="U203" s="196"/>
      <c r="V203" s="277"/>
      <c r="W203" s="196"/>
      <c r="X203" s="196"/>
      <c r="Y203" s="207"/>
      <c r="Z203" s="208"/>
      <c r="AA203" s="209"/>
      <c r="AB203" s="210"/>
      <c r="AC203" s="208"/>
      <c r="AD203" s="209"/>
      <c r="AE203" s="211"/>
      <c r="AF203" s="211"/>
      <c r="AG203" s="211"/>
      <c r="AH203" s="212"/>
      <c r="AI203" s="213"/>
      <c r="AJ203" s="214"/>
      <c r="AK203" s="214"/>
      <c r="AL203" s="214"/>
      <c r="AM203" s="206"/>
      <c r="AN203" s="121"/>
      <c r="AO203" s="121"/>
      <c r="AP203" s="121"/>
      <c r="AR203" s="112"/>
      <c r="AS203" s="123"/>
      <c r="AT203" s="123"/>
      <c r="AU203" s="123"/>
      <c r="AW203" s="71"/>
      <c r="AX203" s="71"/>
    </row>
    <row r="204" spans="1:50" x14ac:dyDescent="0.2">
      <c r="A204" t="s">
        <v>415</v>
      </c>
      <c r="B204" s="76" t="s">
        <v>169</v>
      </c>
      <c r="C204" s="76">
        <v>8</v>
      </c>
      <c r="D204" s="76">
        <v>6</v>
      </c>
      <c r="E204" s="76">
        <v>4.91</v>
      </c>
      <c r="F204" s="76">
        <v>23</v>
      </c>
      <c r="G204" s="76">
        <v>18</v>
      </c>
      <c r="H204" s="76">
        <v>0</v>
      </c>
      <c r="I204" s="76">
        <v>0</v>
      </c>
      <c r="J204" s="76">
        <v>0</v>
      </c>
      <c r="K204" s="76">
        <v>0</v>
      </c>
      <c r="L204" s="258">
        <f>INDEX('C-P-RollAdj'!$P$4:$P$900,MATCH((U204),'C-P-RollAdj'!$O$4:$O$900,FALSE),0)</f>
        <v>110</v>
      </c>
      <c r="M204" s="76">
        <v>132</v>
      </c>
      <c r="N204" s="76">
        <v>63</v>
      </c>
      <c r="O204" s="76">
        <v>60</v>
      </c>
      <c r="P204" s="76">
        <v>21</v>
      </c>
      <c r="Q204" s="76">
        <v>38</v>
      </c>
      <c r="R204" s="76">
        <v>2</v>
      </c>
      <c r="S204" s="76">
        <v>76</v>
      </c>
      <c r="T204" s="76">
        <v>491</v>
      </c>
      <c r="U204" s="76">
        <v>110</v>
      </c>
      <c r="V204" s="100">
        <v>0.29699999999999999</v>
      </c>
      <c r="W204" s="76">
        <v>1.55</v>
      </c>
      <c r="Y204" s="50">
        <f>+(Q204-R204)/(T204-R204)*100</f>
        <v>7.3619631901840492</v>
      </c>
      <c r="Z204" s="6">
        <f>IF(Y204&lt;LeagueRatings!$K$21,((LeagueRatings!$K$21-Y204)/LeagueRatings!$K$21)*36,(LeagueRatings!$K$21-Y204)*6.48)</f>
        <v>6.397608226768309</v>
      </c>
      <c r="AA204" s="16">
        <f>INDEX('C-P-RollAdj'!$B$4:$B$76,MATCH(INT(Z204),'C-P-RollAdj'!$A$4:$A$76,FALSE),0)</f>
        <v>-0.48</v>
      </c>
      <c r="AB204" s="16">
        <f>(P204/(T204-R204))*100</f>
        <v>4.294478527607362</v>
      </c>
      <c r="AC204" s="6">
        <f>IF(AB204&lt;LeagueRatings!$K$19,((LeagueRatings!$K$19-AB204)/LeagueRatings!$K$19)*36,(LeagueRatings!$K$19-AB204)/LeagueRatings!$K$22)</f>
        <v>-11.202717342510848</v>
      </c>
      <c r="AD204" s="16">
        <f>INDEX('C-P-RollAdj'!$F$4:$F$76,MATCH(INT(AC204),'C-P-RollAdj'!$E$4:$E$76,FALSE),0)</f>
        <v>1.1400000000000001</v>
      </c>
      <c r="AE204" s="17">
        <f>+((LeagueRatings!$I$6-E204)*5)+9.5</f>
        <v>5.9580514552774027</v>
      </c>
      <c r="AF204" s="17">
        <f>IF(AE204&lt;4,4,AE204)</f>
        <v>5.9580514552774027</v>
      </c>
      <c r="AG204" s="17">
        <f>IF(M204&lt;L204,((1-(M204/L204))*7)-0.07,(1-(M204/L204))*5)</f>
        <v>-0.99999999999999978</v>
      </c>
      <c r="AH204" s="4">
        <f>+AA204+AD204+AF204+AG204</f>
        <v>5.6180514552774028</v>
      </c>
      <c r="AI204" s="24"/>
      <c r="AJ204" s="94" t="s">
        <v>24</v>
      </c>
      <c r="AK204" s="219">
        <f>INDEX('C-P-RollAdj'!$J$4:$J$76,MATCH(INT(Z204),'C-P-RollAdj'!$I$4:$I$76,FALSE),0)</f>
        <v>16</v>
      </c>
      <c r="AL204" s="219">
        <f>INDEX('C-P-RollAdj'!$J$4:$J$76,MATCH(INT(AC204),'C-P-RollAdj'!$I$4:$I$76,FALSE),0)</f>
        <v>-26</v>
      </c>
      <c r="AM204" s="262">
        <f>+AR204*LeagueRatings!$K$27</f>
        <v>61.111111111111114</v>
      </c>
      <c r="AN204" s="72">
        <f>F204*LeagueRatings!$K$27</f>
        <v>12.777777777777779</v>
      </c>
      <c r="AO204" s="72">
        <f>G204*LeagueRatings!$K$27</f>
        <v>10</v>
      </c>
      <c r="AP204" s="72">
        <f>T204*LeagueRatings!$K$27</f>
        <v>272.77777777777777</v>
      </c>
      <c r="AQ204" s="76"/>
      <c r="AR204" s="72">
        <f>ROUNDUP(L204,0)</f>
        <v>110</v>
      </c>
      <c r="AS204" s="72"/>
    </row>
    <row r="205" spans="1:50" customFormat="1" x14ac:dyDescent="0.2">
      <c r="A205" s="41" t="s">
        <v>415</v>
      </c>
      <c r="B205" s="76" t="s">
        <v>167</v>
      </c>
      <c r="C205" s="76">
        <v>0</v>
      </c>
      <c r="D205" s="76">
        <v>1</v>
      </c>
      <c r="E205" s="76">
        <v>11.45</v>
      </c>
      <c r="F205" s="76">
        <v>6</v>
      </c>
      <c r="G205" s="76">
        <v>2</v>
      </c>
      <c r="H205" s="76">
        <v>0</v>
      </c>
      <c r="I205" s="76">
        <v>0</v>
      </c>
      <c r="J205" s="76">
        <v>0</v>
      </c>
      <c r="K205" s="76">
        <v>0</v>
      </c>
      <c r="L205" s="258">
        <f>INDEX('C-P-RollAdj'!$P$4:$P$900,MATCH((U205),'C-P-RollAdj'!$O$4:$O$900,FALSE),0)</f>
        <v>11</v>
      </c>
      <c r="M205" s="76">
        <v>13</v>
      </c>
      <c r="N205" s="76">
        <v>14</v>
      </c>
      <c r="O205" s="76">
        <v>14</v>
      </c>
      <c r="P205" s="76">
        <v>4</v>
      </c>
      <c r="Q205" s="76">
        <v>9</v>
      </c>
      <c r="R205" s="76">
        <v>1</v>
      </c>
      <c r="S205" s="76">
        <v>12</v>
      </c>
      <c r="T205" s="76">
        <v>55</v>
      </c>
      <c r="U205" s="76">
        <v>11</v>
      </c>
      <c r="V205" s="100">
        <v>0.28899999999999998</v>
      </c>
      <c r="W205" s="76">
        <v>2</v>
      </c>
      <c r="X205" s="76"/>
      <c r="Y205" s="50">
        <f>+(Q205-R205)/(T205-R205)*100</f>
        <v>14.814814814814813</v>
      </c>
      <c r="Z205" s="6">
        <f>IF(Y205&lt;LeagueRatings!$K$21,((LeagueRatings!$K$21-Y205)/LeagueRatings!$K$21)*36,(LeagueRatings!$K$21-Y205)*6.48)</f>
        <v>-37.984459020668957</v>
      </c>
      <c r="AA205" s="260">
        <v>5.44</v>
      </c>
      <c r="AB205" s="16">
        <f>(P205/(T205-R205))*100</f>
        <v>7.4074074074074066</v>
      </c>
      <c r="AC205" s="6">
        <f>IF(AB205&lt;LeagueRatings!$K$19,((LeagueRatings!$K$19-AB205)/LeagueRatings!$K$19)*36,(LeagueRatings!$K$19-AB205)/LeagueRatings!$K$22)</f>
        <v>-36.355121951219509</v>
      </c>
      <c r="AD205" s="260">
        <v>4.8600000000000003</v>
      </c>
      <c r="AE205" s="17">
        <f>+((LeagueRatings!$I$17-E205)*5)+9.5</f>
        <v>-26.935612756293636</v>
      </c>
      <c r="AF205" s="17">
        <f>IF(AE205&lt;4,4,AE205)</f>
        <v>4</v>
      </c>
      <c r="AG205" s="17">
        <f>IF(M205&lt;L205,((1-(M205/L205))*7)-0.07,(1-(M205/L205))*5)</f>
        <v>-0.90909090909090939</v>
      </c>
      <c r="AH205" s="4">
        <f>+AA205+AD205+AF205+AG205</f>
        <v>13.390909090909091</v>
      </c>
      <c r="AI205" s="168"/>
      <c r="AJ205" s="5" t="s">
        <v>142</v>
      </c>
      <c r="AK205" s="219" t="e">
        <f>INDEX('C-P-RollAdj'!$J$4:$J$76,MATCH(INT(Z205),'C-P-RollAdj'!$I$4:$I$76,FALSE),0)</f>
        <v>#N/A</v>
      </c>
      <c r="AL205" s="219" t="e">
        <f>INDEX('C-P-RollAdj'!$J$4:$J$76,MATCH(INT(AC205),'C-P-RollAdj'!$I$4:$I$76,FALSE),0)</f>
        <v>#N/A</v>
      </c>
      <c r="AM205" s="262">
        <f>+AR205*LeagueRatings!$K$27</f>
        <v>6.1111111111111116</v>
      </c>
      <c r="AN205" s="72">
        <f>F205*LeagueRatings!$K$27</f>
        <v>3.3333333333333335</v>
      </c>
      <c r="AO205" s="72">
        <f>G205*LeagueRatings!$K$27</f>
        <v>1.1111111111111112</v>
      </c>
      <c r="AP205" s="72">
        <f>T205*LeagueRatings!$K$27</f>
        <v>30.555555555555557</v>
      </c>
      <c r="AR205" s="14">
        <f>ROUNDUP(L205,0)</f>
        <v>11</v>
      </c>
    </row>
    <row r="206" spans="1:50" x14ac:dyDescent="0.2">
      <c r="A206" s="9"/>
      <c r="B206" s="129"/>
      <c r="L206" s="157">
        <f>(L204/100)/((L204+L205)/100)</f>
        <v>0.90909090909090917</v>
      </c>
      <c r="T206" s="158"/>
      <c r="U206" s="158"/>
      <c r="V206" s="282"/>
      <c r="W206" s="158"/>
      <c r="X206" s="158"/>
      <c r="Y206" s="153"/>
      <c r="Z206" s="152">
        <f>Z204*L206</f>
        <v>5.8160074788802811</v>
      </c>
      <c r="AA206" s="153"/>
      <c r="AB206" s="153"/>
      <c r="AC206" s="152">
        <f>AC204*L206</f>
        <v>-10.184288493191682</v>
      </c>
      <c r="AD206" s="153"/>
      <c r="AE206" s="103"/>
      <c r="AF206" s="103"/>
      <c r="AG206" s="103"/>
      <c r="AH206" s="154">
        <f>AH204*L206</f>
        <v>5.1073195047976396</v>
      </c>
      <c r="AJ206" s="5"/>
      <c r="AK206" s="5"/>
      <c r="AL206" s="5"/>
      <c r="AN206" s="72"/>
      <c r="AO206" s="72"/>
      <c r="AP206" s="72"/>
      <c r="AR206" s="14"/>
    </row>
    <row r="207" spans="1:50" x14ac:dyDescent="0.2">
      <c r="A207" s="9"/>
      <c r="B207" s="129"/>
      <c r="L207" s="157">
        <f>(L205/100)/((L204+L205)/100)</f>
        <v>9.0909090909090912E-2</v>
      </c>
      <c r="T207" s="158"/>
      <c r="U207" s="158"/>
      <c r="V207" s="282"/>
      <c r="W207" s="158"/>
      <c r="X207" s="158"/>
      <c r="Y207" s="153"/>
      <c r="Z207" s="152">
        <f>Z205*L207</f>
        <v>-3.4531326382426326</v>
      </c>
      <c r="AA207" s="153"/>
      <c r="AB207" s="153"/>
      <c r="AC207" s="152">
        <f>AC205*L207</f>
        <v>-3.3050110864745008</v>
      </c>
      <c r="AD207" s="153"/>
      <c r="AE207" s="103"/>
      <c r="AF207" s="103"/>
      <c r="AG207" s="103"/>
      <c r="AH207" s="154">
        <f>AH205*L207</f>
        <v>1.2173553719008265</v>
      </c>
      <c r="AJ207" s="5"/>
      <c r="AK207" s="5"/>
      <c r="AL207" s="5"/>
      <c r="AN207" s="72"/>
      <c r="AO207" s="72"/>
      <c r="AP207" s="72"/>
      <c r="AR207" s="14"/>
    </row>
    <row r="208" spans="1:50" x14ac:dyDescent="0.2">
      <c r="A208" s="9"/>
      <c r="B208" s="129"/>
      <c r="T208" s="158"/>
      <c r="U208" s="158"/>
      <c r="V208" s="282"/>
      <c r="W208" s="158"/>
      <c r="X208" s="158"/>
      <c r="Y208" s="153"/>
      <c r="Z208" s="152">
        <f>SUM(Z206:Z207)</f>
        <v>2.3628748406376485</v>
      </c>
      <c r="AA208" s="153"/>
      <c r="AB208" s="153"/>
      <c r="AC208" s="152">
        <f>SUM(AC206:AC207)</f>
        <v>-13.489299579666183</v>
      </c>
      <c r="AD208" s="153"/>
      <c r="AE208" s="103"/>
      <c r="AF208" s="103"/>
      <c r="AG208" s="103"/>
      <c r="AH208" s="153">
        <f>SUM(AH206:AH207)</f>
        <v>6.3246748766984666</v>
      </c>
      <c r="AI208" s="41" t="s">
        <v>415</v>
      </c>
      <c r="AJ208" s="5" t="s">
        <v>66</v>
      </c>
      <c r="AK208" s="219">
        <f>INDEX('C-P-RollAdj'!$J$4:$J$76,MATCH(INT(Z208),'C-P-RollAdj'!$I$4:$I$76,FALSE),0)</f>
        <v>12</v>
      </c>
      <c r="AL208" s="121">
        <f>INDEX('C-P-RollAdj'!$J$4:$J$76,MATCH(INT(AC208),'C-P-RollAdj'!$I$4:$I$76,FALSE),0)</f>
        <v>-32</v>
      </c>
      <c r="AM208" s="262">
        <f>SUM(AM204:AM207)</f>
        <v>67.222222222222229</v>
      </c>
      <c r="AN208" s="14">
        <f>SUM(AN204:AN207)</f>
        <v>16.111111111111111</v>
      </c>
      <c r="AO208" s="14">
        <f>SUM(AO204:AO207)</f>
        <v>11.111111111111111</v>
      </c>
      <c r="AP208" s="14">
        <f>SUM(AP204:AP207)</f>
        <v>303.33333333333331</v>
      </c>
      <c r="AR208" s="14"/>
    </row>
    <row r="209" spans="1:50" x14ac:dyDescent="0.2">
      <c r="AR209" s="14"/>
    </row>
    <row r="210" spans="1:50" s="122" customFormat="1" x14ac:dyDescent="0.2">
      <c r="A210" t="s">
        <v>380</v>
      </c>
      <c r="B210" s="76" t="s">
        <v>151</v>
      </c>
      <c r="C210" s="76">
        <v>4</v>
      </c>
      <c r="D210" s="76">
        <v>8</v>
      </c>
      <c r="E210" s="76">
        <v>5.13</v>
      </c>
      <c r="F210" s="76">
        <v>21</v>
      </c>
      <c r="G210" s="76">
        <v>21</v>
      </c>
      <c r="H210" s="76">
        <v>0</v>
      </c>
      <c r="I210" s="76">
        <v>0</v>
      </c>
      <c r="J210" s="76">
        <v>0</v>
      </c>
      <c r="K210" s="76">
        <v>0</v>
      </c>
      <c r="L210" s="258">
        <f>INDEX('C-P-RollAdj'!$P$4:$P$900,MATCH((U210),'C-P-RollAdj'!$O$4:$O$900,FALSE),0)</f>
        <v>124.67</v>
      </c>
      <c r="M210" s="76">
        <v>139</v>
      </c>
      <c r="N210" s="76">
        <v>77</v>
      </c>
      <c r="O210" s="76">
        <v>71</v>
      </c>
      <c r="P210" s="76">
        <v>18</v>
      </c>
      <c r="Q210" s="76">
        <v>29</v>
      </c>
      <c r="R210" s="76">
        <v>0</v>
      </c>
      <c r="S210" s="76">
        <v>93</v>
      </c>
      <c r="T210" s="76">
        <v>527</v>
      </c>
      <c r="U210" s="76">
        <v>124.2</v>
      </c>
      <c r="V210" s="100">
        <v>0.28699999999999998</v>
      </c>
      <c r="W210" s="76">
        <v>1.35</v>
      </c>
      <c r="X210" s="196"/>
      <c r="Y210" s="50">
        <f>+(Q210-R210)/(T210-R210)*100</f>
        <v>5.5028462998102468</v>
      </c>
      <c r="Z210" s="6">
        <f>IF(Y210&lt;LeagueRatings!$K$10,((LeagueRatings!$K$10-Y210)/LeagueRatings!$K$10)*36,(LeagueRatings!$K$10-Y210)*6.48)</f>
        <v>13.144375569525971</v>
      </c>
      <c r="AA210" s="16">
        <f>INDEX('C-P-RollAdj'!$B$4:$B$76,MATCH(INT(Z210),'C-P-RollAdj'!$A$4:$A$76,FALSE),0)</f>
        <v>-1.1000000000000001</v>
      </c>
      <c r="AB210" s="16">
        <f>(P210/(T210-R210))*100</f>
        <v>3.4155597722960152</v>
      </c>
      <c r="AC210" s="6">
        <f>IF(AB210&lt;LeagueRatings!$K$8,((LeagueRatings!$K$8-AB210)/LeagueRatings!$K$8)*36,(LeagueRatings!$K$8-AB210)/LeagueRatings!$K$11)</f>
        <v>-1.6940321347294243</v>
      </c>
      <c r="AD210" s="16">
        <f>INDEX('C-P-RollAdj'!$F$4:$F$76,MATCH(INT(AC210),'C-P-RollAdj'!$E$4:$E$76,FALSE),0)</f>
        <v>0.16</v>
      </c>
      <c r="AE210" s="17">
        <f>+((LeagueRatings!$I$6-E210)*5)+9.5</f>
        <v>4.8580514552774039</v>
      </c>
      <c r="AF210" s="17">
        <f>IF(AE210&lt;4,4,AE210)</f>
        <v>4.8580514552774039</v>
      </c>
      <c r="AG210" s="17">
        <f>IF(M210&lt;L210,((1-(M210/L210))*7)-0.07,(1-(M210/L210))*5)</f>
        <v>-0.57471725354937053</v>
      </c>
      <c r="AH210" s="4">
        <f>+AA210+AD210+AF210+AG210</f>
        <v>3.3433342017280334</v>
      </c>
      <c r="AI210" s="213"/>
      <c r="AJ210" s="7" t="s">
        <v>26</v>
      </c>
      <c r="AK210" s="219">
        <f>INDEX('C-P-RollAdj'!$J$4:$J$76,MATCH(INT(Z210),'C-P-RollAdj'!$I$4:$I$76,FALSE),0)</f>
        <v>31</v>
      </c>
      <c r="AL210" s="219">
        <f>INDEX('C-P-RollAdj'!$J$4:$J$76,MATCH(INT(AC210),'C-P-RollAdj'!$I$4:$I$76,FALSE),0)</f>
        <v>-12</v>
      </c>
      <c r="AM210" s="262">
        <f>+AR210*LeagueRatings!$K$27</f>
        <v>69.444444444444443</v>
      </c>
      <c r="AN210" s="72">
        <f>F210*LeagueRatings!$K$27</f>
        <v>11.666666666666668</v>
      </c>
      <c r="AO210" s="72">
        <f>G210*LeagueRatings!$K$27</f>
        <v>11.666666666666668</v>
      </c>
      <c r="AP210" s="72">
        <f>T210*LeagueRatings!$K$27</f>
        <v>292.77777777777777</v>
      </c>
      <c r="AQ210" s="24"/>
      <c r="AR210" s="72">
        <f>ROUNDUP(L210,0)</f>
        <v>125</v>
      </c>
      <c r="AS210" s="123"/>
      <c r="AT210" s="123"/>
      <c r="AU210" s="123"/>
      <c r="AW210" s="71"/>
      <c r="AX210" s="71"/>
    </row>
    <row r="211" spans="1:50" customFormat="1" ht="12.75" customHeight="1" x14ac:dyDescent="0.2">
      <c r="A211" s="41" t="s">
        <v>380</v>
      </c>
      <c r="B211" s="76" t="s">
        <v>143</v>
      </c>
      <c r="C211" s="76">
        <v>4</v>
      </c>
      <c r="D211" s="76">
        <v>6</v>
      </c>
      <c r="E211" s="76">
        <v>3.21</v>
      </c>
      <c r="F211" s="76">
        <v>11</v>
      </c>
      <c r="G211" s="76">
        <v>11</v>
      </c>
      <c r="H211" s="76">
        <v>1</v>
      </c>
      <c r="I211" s="76">
        <v>1</v>
      </c>
      <c r="J211" s="76">
        <v>0</v>
      </c>
      <c r="K211" s="76">
        <v>0</v>
      </c>
      <c r="L211" s="258">
        <f>INDEX('C-P-RollAdj'!$P$4:$P$900,MATCH((U211),'C-P-RollAdj'!$O$4:$O$900,FALSE),0)</f>
        <v>73</v>
      </c>
      <c r="M211" s="76">
        <v>63</v>
      </c>
      <c r="N211" s="76">
        <v>27</v>
      </c>
      <c r="O211" s="76">
        <v>26</v>
      </c>
      <c r="P211" s="76">
        <v>8</v>
      </c>
      <c r="Q211" s="76">
        <v>15</v>
      </c>
      <c r="R211" s="76">
        <v>0</v>
      </c>
      <c r="S211" s="76">
        <v>51</v>
      </c>
      <c r="T211" s="76">
        <v>290</v>
      </c>
      <c r="U211" s="76">
        <v>73</v>
      </c>
      <c r="V211" s="100">
        <v>0.23200000000000001</v>
      </c>
      <c r="W211" s="76">
        <v>1.07</v>
      </c>
      <c r="X211" s="76"/>
      <c r="Y211" s="50">
        <f>+(Q211-R211)/(T211-R211)*100</f>
        <v>5.1724137931034484</v>
      </c>
      <c r="Z211" s="6">
        <f>IF(Y211&lt;LeagueRatings!$K$10,((LeagueRatings!$K$10-Y211)/LeagueRatings!$K$10)*36,(LeagueRatings!$K$10-Y211)*6.48)</f>
        <v>14.516800104292841</v>
      </c>
      <c r="AA211" s="16">
        <f>INDEX('C-P-RollAdj'!$B$4:$B$76,MATCH(INT(Z211),'C-P-RollAdj'!$A$4:$A$76,FALSE),0)</f>
        <v>-1.19</v>
      </c>
      <c r="AB211" s="16">
        <f>(P211/(T211-R211))*100</f>
        <v>2.7586206896551726</v>
      </c>
      <c r="AC211" s="6">
        <f>IF(AB211&lt;LeagueRatings!$K$8,((LeagueRatings!$K$8-AB211)/LeagueRatings!$K$8)*36,(LeagueRatings!$K$8-AB211)/LeagueRatings!$K$11)</f>
        <v>4.9870107890839854</v>
      </c>
      <c r="AD211" s="16">
        <f>INDEX('C-P-RollAdj'!$F$4:$F$76,MATCH(INT(AC211),'C-P-RollAdj'!$E$4:$E$76,FALSE),0)</f>
        <v>-0.28000000000000003</v>
      </c>
      <c r="AE211" s="17">
        <f>+((LeagueRatings!$I$6-E211)*5)+9.5</f>
        <v>14.458051455277403</v>
      </c>
      <c r="AF211" s="17">
        <f>IF(AE211&lt;4,4,AE211)</f>
        <v>14.458051455277403</v>
      </c>
      <c r="AG211" s="17">
        <f>IF(M211&lt;L211,((1-(M211/L211))*7)-0.07,(1-(M211/L211))*5)</f>
        <v>0.88890410958904109</v>
      </c>
      <c r="AH211" s="4">
        <f>+AA211+AD211+AF211+AG211</f>
        <v>13.876955564866442</v>
      </c>
      <c r="AI211" s="168"/>
      <c r="AJ211" s="5" t="s">
        <v>78</v>
      </c>
      <c r="AK211" s="219">
        <f>INDEX('C-P-RollAdj'!$J$4:$J$76,MATCH(INT(Z211),'C-P-RollAdj'!$I$4:$I$76,FALSE),0)</f>
        <v>32</v>
      </c>
      <c r="AL211" s="219">
        <f>INDEX('C-P-RollAdj'!$J$4:$J$76,MATCH(INT(AC211),'C-P-RollAdj'!$I$4:$I$76,FALSE),0)</f>
        <v>14</v>
      </c>
      <c r="AM211" s="262">
        <f>+AR211*LeagueRatings!$K$27</f>
        <v>40.555555555555557</v>
      </c>
      <c r="AN211" s="72">
        <f>F211*LeagueRatings!$K$27</f>
        <v>6.1111111111111116</v>
      </c>
      <c r="AO211" s="72">
        <f>G211*LeagueRatings!$K$27</f>
        <v>6.1111111111111116</v>
      </c>
      <c r="AP211" s="72">
        <f>T211*LeagueRatings!$K$27</f>
        <v>161.11111111111111</v>
      </c>
      <c r="AQ211" s="24"/>
      <c r="AR211" s="72">
        <f>ROUNDUP(L211,0)</f>
        <v>73</v>
      </c>
      <c r="AS211" s="113"/>
      <c r="AT211" s="113"/>
      <c r="AU211" s="113"/>
      <c r="AV211" s="24"/>
      <c r="AW211" s="97">
        <v>57.33</v>
      </c>
      <c r="AX211" s="24"/>
    </row>
    <row r="212" spans="1:50" s="122" customFormat="1" x14ac:dyDescent="0.2">
      <c r="A212" s="9"/>
      <c r="B212" s="129"/>
      <c r="C212" s="205"/>
      <c r="D212" s="196"/>
      <c r="E212" s="205"/>
      <c r="F212" s="196"/>
      <c r="G212" s="196"/>
      <c r="H212" s="196"/>
      <c r="I212" s="206"/>
      <c r="J212" s="206"/>
      <c r="K212" s="206"/>
      <c r="L212" s="157">
        <f>(L210/100)/((L210+L211)/100)</f>
        <v>0.63069762735872914</v>
      </c>
      <c r="M212" s="146"/>
      <c r="N212" s="146"/>
      <c r="O212" s="146"/>
      <c r="P212" s="146"/>
      <c r="Q212" s="146"/>
      <c r="R212" s="146"/>
      <c r="S212" s="146"/>
      <c r="T212" s="158"/>
      <c r="U212" s="158"/>
      <c r="V212" s="282"/>
      <c r="W212" s="158"/>
      <c r="X212" s="158"/>
      <c r="Y212" s="153"/>
      <c r="Z212" s="152">
        <f>Z210*L212</f>
        <v>8.2901264848120739</v>
      </c>
      <c r="AA212" s="153"/>
      <c r="AB212" s="153"/>
      <c r="AC212" s="152">
        <f>AC210*L212</f>
        <v>-1.0684220480432909</v>
      </c>
      <c r="AD212" s="153"/>
      <c r="AE212" s="103"/>
      <c r="AF212" s="103"/>
      <c r="AG212" s="103"/>
      <c r="AH212" s="154">
        <f>AH210*L212</f>
        <v>2.1086329484971613</v>
      </c>
      <c r="AI212" s="168"/>
      <c r="AJ212" s="5"/>
      <c r="AK212" s="5"/>
      <c r="AL212" s="5"/>
      <c r="AM212" s="262"/>
      <c r="AN212" s="72"/>
      <c r="AO212" s="72"/>
      <c r="AP212" s="72"/>
      <c r="AQ212" s="30"/>
      <c r="AR212" s="14"/>
      <c r="AS212" s="123"/>
      <c r="AT212" s="123"/>
      <c r="AU212" s="123"/>
      <c r="AW212" s="71"/>
      <c r="AX212" s="71"/>
    </row>
    <row r="213" spans="1:50" s="122" customFormat="1" x14ac:dyDescent="0.2">
      <c r="A213" s="9"/>
      <c r="B213" s="129"/>
      <c r="C213" s="205"/>
      <c r="D213" s="196"/>
      <c r="E213" s="205"/>
      <c r="F213" s="196"/>
      <c r="G213" s="196"/>
      <c r="H213" s="196"/>
      <c r="I213" s="206"/>
      <c r="J213" s="206"/>
      <c r="K213" s="206"/>
      <c r="L213" s="157">
        <f>(L211/100)/((L210+L211)/100)</f>
        <v>0.36930237264127075</v>
      </c>
      <c r="M213" s="146"/>
      <c r="N213" s="146"/>
      <c r="O213" s="146"/>
      <c r="P213" s="146"/>
      <c r="Q213" s="146"/>
      <c r="R213" s="146"/>
      <c r="S213" s="146"/>
      <c r="T213" s="158"/>
      <c r="U213" s="158"/>
      <c r="V213" s="282"/>
      <c r="W213" s="158"/>
      <c r="X213" s="158"/>
      <c r="Y213" s="153"/>
      <c r="Z213" s="152">
        <f>Z211*L213</f>
        <v>5.3610887216743928</v>
      </c>
      <c r="AA213" s="153"/>
      <c r="AB213" s="153"/>
      <c r="AC213" s="152">
        <f>AC211*L213</f>
        <v>1.8417149167963316</v>
      </c>
      <c r="AD213" s="153"/>
      <c r="AE213" s="103"/>
      <c r="AF213" s="103"/>
      <c r="AG213" s="103"/>
      <c r="AH213" s="154">
        <f>AH211*L213</f>
        <v>5.1247926151426624</v>
      </c>
      <c r="AI213" s="168"/>
      <c r="AJ213" s="5"/>
      <c r="AK213" s="5"/>
      <c r="AL213" s="5"/>
      <c r="AM213" s="262"/>
      <c r="AN213" s="72"/>
      <c r="AO213" s="72"/>
      <c r="AP213" s="72"/>
      <c r="AQ213" s="30"/>
      <c r="AR213" s="14"/>
      <c r="AS213" s="123"/>
      <c r="AT213" s="123"/>
      <c r="AU213" s="123"/>
      <c r="AW213" s="71"/>
      <c r="AX213" s="71"/>
    </row>
    <row r="214" spans="1:50" s="122" customFormat="1" x14ac:dyDescent="0.2">
      <c r="A214" s="9"/>
      <c r="B214" s="129"/>
      <c r="C214" s="205"/>
      <c r="D214" s="196"/>
      <c r="E214" s="205"/>
      <c r="F214" s="196"/>
      <c r="G214" s="196"/>
      <c r="H214" s="196"/>
      <c r="I214" s="206"/>
      <c r="J214" s="206"/>
      <c r="K214" s="206"/>
      <c r="L214" s="157"/>
      <c r="M214" s="146"/>
      <c r="N214" s="146"/>
      <c r="O214" s="146"/>
      <c r="P214" s="146"/>
      <c r="Q214" s="146"/>
      <c r="R214" s="146"/>
      <c r="S214" s="146"/>
      <c r="T214" s="158"/>
      <c r="U214" s="158"/>
      <c r="V214" s="282"/>
      <c r="W214" s="158"/>
      <c r="X214" s="158"/>
      <c r="Y214" s="153"/>
      <c r="Z214" s="152">
        <f>SUM(Z212:Z213)</f>
        <v>13.651215206486466</v>
      </c>
      <c r="AA214" s="153"/>
      <c r="AB214" s="153"/>
      <c r="AC214" s="152">
        <f>SUM(AC212:AC213)</f>
        <v>0.77329286875304071</v>
      </c>
      <c r="AD214" s="153"/>
      <c r="AE214" s="103"/>
      <c r="AF214" s="103"/>
      <c r="AG214" s="103"/>
      <c r="AH214" s="153">
        <f>SUM(AH212:AH213)</f>
        <v>7.2334255636398233</v>
      </c>
      <c r="AI214" s="41" t="s">
        <v>380</v>
      </c>
      <c r="AJ214" s="5" t="s">
        <v>55</v>
      </c>
      <c r="AK214" s="219">
        <f>INDEX('C-P-RollAdj'!$J$4:$J$76,MATCH(INT(Z214),'C-P-RollAdj'!$I$4:$I$76,FALSE),0)</f>
        <v>31</v>
      </c>
      <c r="AL214" s="219">
        <f>INDEX('C-P-RollAdj'!$J$4:$J$76,MATCH(INT(AC214),'C-P-RollAdj'!$I$4:$I$76,FALSE),0)</f>
        <v>0</v>
      </c>
      <c r="AM214" s="262">
        <f>SUM(AM210:AM213)</f>
        <v>110</v>
      </c>
      <c r="AN214" s="14">
        <f>SUM(AN210:AN213)</f>
        <v>17.777777777777779</v>
      </c>
      <c r="AO214" s="14">
        <f>SUM(AO210:AO213)</f>
        <v>17.777777777777779</v>
      </c>
      <c r="AP214" s="14">
        <f>SUM(AP210:AP213)</f>
        <v>453.88888888888891</v>
      </c>
      <c r="AQ214" s="30"/>
      <c r="AR214" s="14"/>
      <c r="AS214" s="123"/>
      <c r="AT214" s="123"/>
      <c r="AU214" s="123"/>
      <c r="AW214" s="71"/>
      <c r="AX214" s="71"/>
    </row>
    <row r="215" spans="1:50" s="122" customFormat="1" x14ac:dyDescent="0.2">
      <c r="A215" s="146"/>
      <c r="B215" s="155"/>
      <c r="C215" s="205"/>
      <c r="D215" s="196"/>
      <c r="E215" s="205"/>
      <c r="F215" s="196"/>
      <c r="G215" s="196"/>
      <c r="H215" s="196"/>
      <c r="I215" s="206"/>
      <c r="J215" s="206"/>
      <c r="K215" s="206"/>
      <c r="L215" s="205"/>
      <c r="M215" s="196"/>
      <c r="N215" s="196"/>
      <c r="O215" s="196"/>
      <c r="P215" s="196"/>
      <c r="Q215" s="196"/>
      <c r="R215" s="196"/>
      <c r="S215" s="196"/>
      <c r="T215" s="196"/>
      <c r="U215" s="196"/>
      <c r="V215" s="277"/>
      <c r="W215" s="196"/>
      <c r="X215" s="196"/>
      <c r="Y215" s="207"/>
      <c r="Z215" s="208"/>
      <c r="AA215" s="209"/>
      <c r="AB215" s="210"/>
      <c r="AC215" s="208"/>
      <c r="AD215" s="209"/>
      <c r="AE215" s="211"/>
      <c r="AF215" s="211"/>
      <c r="AG215" s="211"/>
      <c r="AH215" s="212"/>
      <c r="AI215" s="213"/>
      <c r="AJ215" s="214"/>
      <c r="AK215" s="214"/>
      <c r="AL215" s="214"/>
      <c r="AM215" s="206"/>
      <c r="AN215" s="121"/>
      <c r="AO215" s="121"/>
      <c r="AP215" s="121"/>
      <c r="AR215" s="112"/>
      <c r="AS215" s="123"/>
      <c r="AT215" s="123"/>
      <c r="AU215" s="123"/>
      <c r="AW215" s="71"/>
      <c r="AX215" s="71"/>
    </row>
    <row r="216" spans="1:50" x14ac:dyDescent="0.2">
      <c r="A216" t="s">
        <v>492</v>
      </c>
      <c r="B216" s="76" t="s">
        <v>160</v>
      </c>
      <c r="C216" s="76">
        <v>3</v>
      </c>
      <c r="D216" s="76">
        <v>7</v>
      </c>
      <c r="E216" s="76">
        <v>4.22</v>
      </c>
      <c r="F216" s="76">
        <v>22</v>
      </c>
      <c r="G216" s="76">
        <v>10</v>
      </c>
      <c r="H216" s="76">
        <v>0</v>
      </c>
      <c r="I216" s="76">
        <v>0</v>
      </c>
      <c r="J216" s="76">
        <v>0</v>
      </c>
      <c r="K216" s="76">
        <v>0</v>
      </c>
      <c r="L216" s="258">
        <f>INDEX('C-P-RollAdj'!$P$4:$P$900,MATCH((U216),'C-P-RollAdj'!$O$4:$O$900,FALSE),0)</f>
        <v>70.33</v>
      </c>
      <c r="M216" s="76">
        <v>68</v>
      </c>
      <c r="N216" s="76">
        <v>34</v>
      </c>
      <c r="O216" s="76">
        <v>33</v>
      </c>
      <c r="P216" s="76">
        <v>6</v>
      </c>
      <c r="Q216" s="76">
        <v>28</v>
      </c>
      <c r="R216" s="76">
        <v>1</v>
      </c>
      <c r="S216" s="76">
        <v>60</v>
      </c>
      <c r="T216" s="76">
        <v>301</v>
      </c>
      <c r="U216" s="76">
        <v>70.099999999999994</v>
      </c>
      <c r="V216" s="100">
        <v>0.25700000000000001</v>
      </c>
      <c r="W216" s="76">
        <v>1.36</v>
      </c>
      <c r="Y216" s="50">
        <f>+(Q216-R216)/(T216-R216)*100</f>
        <v>9</v>
      </c>
      <c r="Z216" s="6">
        <f>IF(Y216&lt;LeagueRatings!$K$21,((LeagueRatings!$K$21-Y216)/LeagueRatings!$K$21)*36,(LeagueRatings!$K$21-Y216)*6.48)</f>
        <v>-0.3044590206689668</v>
      </c>
      <c r="AA216" s="16">
        <f>INDEX('C-P-RollAdj'!$B$4:$B$76,MATCH(INT(Z216),'C-P-RollAdj'!$A$4:$A$76,FALSE),0)</f>
        <v>0.09</v>
      </c>
      <c r="AB216" s="16">
        <f>(P216/(T216-R216))*100</f>
        <v>2</v>
      </c>
      <c r="AC216" s="6">
        <f>IF(AB216&lt;LeagueRatings!$K$19,((LeagueRatings!$K$19-AB216)/LeagueRatings!$K$19)*36,(LeagueRatings!$K$19-AB216)/LeagueRatings!$K$22)</f>
        <v>11.24071748878924</v>
      </c>
      <c r="AD216" s="16">
        <f>INDEX('C-P-RollAdj'!$F$4:$F$76,MATCH(INT(AC216),'C-P-RollAdj'!$E$4:$E$76,FALSE),0)</f>
        <v>-0.81</v>
      </c>
      <c r="AE216" s="17">
        <f>+((LeagueRatings!$I$6-E216)*5)+9.5</f>
        <v>9.4080514552774055</v>
      </c>
      <c r="AF216" s="17">
        <f>IF(AE216&lt;4,4,AE216)</f>
        <v>9.4080514552774055</v>
      </c>
      <c r="AG216" s="17">
        <f>IF(M216&lt;L216,((1-(M216/L216))*7)-0.07,(1-(M216/L216))*5)</f>
        <v>0.16190672543722445</v>
      </c>
      <c r="AH216" s="4">
        <f>+AA216+AD216+AF216+AG216</f>
        <v>8.8499581807146299</v>
      </c>
      <c r="AI216" s="33"/>
      <c r="AJ216" s="5" t="s">
        <v>31</v>
      </c>
      <c r="AK216" s="219">
        <f>INDEX('C-P-RollAdj'!$J$4:$J$76,MATCH(INT(Z216),'C-P-RollAdj'!$I$4:$I$76,FALSE),0)</f>
        <v>-11</v>
      </c>
      <c r="AL216" s="219">
        <f>INDEX('C-P-RollAdj'!$J$4:$J$76,MATCH(INT(AC216),'C-P-RollAdj'!$I$4:$I$76,FALSE),0)</f>
        <v>25</v>
      </c>
      <c r="AM216" s="262">
        <f>+AR216*LeagueRatings!$K$27</f>
        <v>39.444444444444443</v>
      </c>
      <c r="AN216" s="72">
        <f>F216*LeagueRatings!$K$27</f>
        <v>12.222222222222223</v>
      </c>
      <c r="AO216" s="72">
        <f>G216*LeagueRatings!$K$27</f>
        <v>5.5555555555555554</v>
      </c>
      <c r="AP216" s="72">
        <f>T216*LeagueRatings!$K$27</f>
        <v>167.22222222222223</v>
      </c>
      <c r="AQ216"/>
      <c r="AR216" s="72">
        <f>ROUNDUP(L216,0)</f>
        <v>71</v>
      </c>
    </row>
    <row r="217" spans="1:50" s="24" customFormat="1" x14ac:dyDescent="0.2">
      <c r="A217" s="41" t="s">
        <v>492</v>
      </c>
      <c r="B217" s="76" t="s">
        <v>165</v>
      </c>
      <c r="C217" s="76">
        <v>3</v>
      </c>
      <c r="D217" s="76">
        <v>3</v>
      </c>
      <c r="E217" s="76">
        <v>6.54</v>
      </c>
      <c r="F217" s="76">
        <v>13</v>
      </c>
      <c r="G217" s="76">
        <v>9</v>
      </c>
      <c r="H217" s="76">
        <v>0</v>
      </c>
      <c r="I217" s="76">
        <v>0</v>
      </c>
      <c r="J217" s="76">
        <v>0</v>
      </c>
      <c r="K217" s="76">
        <v>0</v>
      </c>
      <c r="L217" s="258">
        <f>INDEX('C-P-RollAdj'!$P$4:$P$900,MATCH((U217),'C-P-RollAdj'!$O$4:$O$900,FALSE),0)</f>
        <v>42.67</v>
      </c>
      <c r="M217" s="76">
        <v>48</v>
      </c>
      <c r="N217" s="76">
        <v>33</v>
      </c>
      <c r="O217" s="76">
        <v>31</v>
      </c>
      <c r="P217" s="76">
        <v>8</v>
      </c>
      <c r="Q217" s="76">
        <v>21</v>
      </c>
      <c r="R217" s="76">
        <v>3</v>
      </c>
      <c r="S217" s="76">
        <v>42</v>
      </c>
      <c r="T217" s="76">
        <v>194</v>
      </c>
      <c r="U217" s="76">
        <v>42.2</v>
      </c>
      <c r="V217" s="100">
        <v>0.27900000000000003</v>
      </c>
      <c r="W217" s="76">
        <v>1.62</v>
      </c>
      <c r="X217" s="76"/>
      <c r="Y217" s="50">
        <f>+(Q217-R217)/(T217-R217)*100</f>
        <v>9.4240837696335085</v>
      </c>
      <c r="Z217" s="6">
        <f>IF(Y217&lt;LeagueRatings!$K$21,((LeagueRatings!$K$21-Y217)/LeagueRatings!$K$21)*36,(LeagueRatings!$K$21-Y217)*6.48)</f>
        <v>-3.0525218478941016</v>
      </c>
      <c r="AA217" s="16">
        <f>INDEX('C-P-RollAdj'!$B$4:$B$76,MATCH(INT(Z217),'C-P-RollAdj'!$A$4:$A$76,FALSE),0)</f>
        <v>0.36</v>
      </c>
      <c r="AB217" s="16">
        <f>(P217/(T217-R217))*100</f>
        <v>4.1884816753926701</v>
      </c>
      <c r="AC217" s="6">
        <f>IF(AB217&lt;LeagueRatings!$K$19,((LeagueRatings!$K$19-AB217)/LeagueRatings!$K$19)*36,(LeagueRatings!$K$19-AB217)/LeagueRatings!$K$22)</f>
        <v>-10.346264844847401</v>
      </c>
      <c r="AD217" s="16">
        <f>INDEX('C-P-RollAdj'!$F$4:$F$76,MATCH(INT(AC217),'C-P-RollAdj'!$E$4:$E$76,FALSE),0)</f>
        <v>1.03</v>
      </c>
      <c r="AE217" s="17">
        <f>+((LeagueRatings!$I$6-E217)*5)+9.5</f>
        <v>-2.1919485447225959</v>
      </c>
      <c r="AF217" s="17">
        <f>IF(AE217&lt;4,4,AE217)</f>
        <v>4</v>
      </c>
      <c r="AG217" s="17">
        <f>IF(M217&lt;L217,((1-(M217/L217))*7)-0.07,(1-(M217/L217))*5)</f>
        <v>-0.6245605812045929</v>
      </c>
      <c r="AH217" s="4">
        <f>+AA217+AD217+AF217+AG217</f>
        <v>4.7654394187954079</v>
      </c>
      <c r="AJ217" s="5" t="s">
        <v>53</v>
      </c>
      <c r="AK217" s="219">
        <f>INDEX('C-P-RollAdj'!$J$4:$J$76,MATCH(INT(Z217),'C-P-RollAdj'!$I$4:$I$76,FALSE),0)</f>
        <v>-14</v>
      </c>
      <c r="AL217" s="219">
        <f>INDEX('C-P-RollAdj'!$J$4:$J$76,MATCH(INT(AC217),'C-P-RollAdj'!$I$4:$I$76,FALSE),0)</f>
        <v>-25</v>
      </c>
      <c r="AM217" s="262">
        <f>+AR217*LeagueRatings!$K$27</f>
        <v>23.888888888888889</v>
      </c>
      <c r="AN217" s="72">
        <f>F217*LeagueRatings!$K$27</f>
        <v>7.2222222222222223</v>
      </c>
      <c r="AO217" s="72">
        <f>G217*LeagueRatings!$K$27</f>
        <v>5</v>
      </c>
      <c r="AP217" s="72">
        <f>T217*LeagueRatings!$K$27</f>
        <v>107.77777777777779</v>
      </c>
      <c r="AR217" s="72">
        <f>ROUNDUP(L217,0)</f>
        <v>43</v>
      </c>
      <c r="AS217" s="113"/>
      <c r="AT217" s="113"/>
      <c r="AU217" s="113"/>
      <c r="AW217" s="144">
        <v>77</v>
      </c>
    </row>
    <row r="218" spans="1:50" x14ac:dyDescent="0.2">
      <c r="A218" s="9"/>
      <c r="B218" s="129"/>
      <c r="L218" s="157">
        <f>(L216/100)/((L216+L217)/100)</f>
        <v>0.62238938053097359</v>
      </c>
      <c r="T218" s="158"/>
      <c r="U218" s="158"/>
      <c r="V218" s="282"/>
      <c r="W218" s="158"/>
      <c r="X218" s="158"/>
      <c r="Y218" s="153"/>
      <c r="Z218" s="152">
        <f>Z216*L218</f>
        <v>-0.18949206127122512</v>
      </c>
      <c r="AA218" s="153"/>
      <c r="AB218" s="153"/>
      <c r="AC218" s="152">
        <f>AC216*L218</f>
        <v>6.9961031945712167</v>
      </c>
      <c r="AD218" s="153"/>
      <c r="AE218" s="103"/>
      <c r="AF218" s="103"/>
      <c r="AG218" s="103"/>
      <c r="AH218" s="154">
        <f>AH216*L218</f>
        <v>5.5081199898200008</v>
      </c>
      <c r="AJ218" s="5"/>
      <c r="AK218" s="5"/>
      <c r="AL218" s="5"/>
      <c r="AN218" s="72"/>
      <c r="AO218" s="72"/>
      <c r="AP218" s="72"/>
      <c r="AR218" s="14"/>
    </row>
    <row r="219" spans="1:50" x14ac:dyDescent="0.2">
      <c r="A219" s="9"/>
      <c r="B219" s="129"/>
      <c r="L219" s="157">
        <f>(L217/100)/((L216+L217)/100)</f>
        <v>0.37761061946902663</v>
      </c>
      <c r="T219" s="158"/>
      <c r="U219" s="158"/>
      <c r="V219" s="282"/>
      <c r="W219" s="158"/>
      <c r="X219" s="158"/>
      <c r="Y219" s="153"/>
      <c r="Z219" s="152">
        <f>Z217*L219</f>
        <v>-1.1526646659260296</v>
      </c>
      <c r="AA219" s="153"/>
      <c r="AB219" s="153"/>
      <c r="AC219" s="152">
        <f>AC217*L219</f>
        <v>-3.9068594772534397</v>
      </c>
      <c r="AD219" s="153"/>
      <c r="AE219" s="103"/>
      <c r="AF219" s="103"/>
      <c r="AG219" s="103"/>
      <c r="AH219" s="154">
        <f>AH217*L219</f>
        <v>1.7994805309734523</v>
      </c>
      <c r="AJ219" s="5"/>
      <c r="AK219" s="5"/>
      <c r="AL219" s="5"/>
      <c r="AN219" s="72"/>
      <c r="AO219" s="72"/>
      <c r="AP219" s="72"/>
      <c r="AR219" s="14"/>
    </row>
    <row r="220" spans="1:50" x14ac:dyDescent="0.2">
      <c r="A220" s="9"/>
      <c r="B220" s="129"/>
      <c r="T220" s="158"/>
      <c r="U220" s="158"/>
      <c r="V220" s="282"/>
      <c r="W220" s="158"/>
      <c r="X220" s="158"/>
      <c r="Y220" s="153"/>
      <c r="Z220" s="152">
        <f>SUM(Z218:Z219)</f>
        <v>-1.3421567271972548</v>
      </c>
      <c r="AA220" s="153"/>
      <c r="AB220" s="153"/>
      <c r="AC220" s="152">
        <f>SUM(AC218:AC219)</f>
        <v>3.0892437173177769</v>
      </c>
      <c r="AD220" s="153"/>
      <c r="AE220" s="103"/>
      <c r="AF220" s="103"/>
      <c r="AG220" s="103"/>
      <c r="AH220" s="153">
        <f>SUM(AH218:AH219)</f>
        <v>7.3076005207934536</v>
      </c>
      <c r="AI220" s="41" t="s">
        <v>492</v>
      </c>
      <c r="AJ220" s="5" t="s">
        <v>55</v>
      </c>
      <c r="AK220" s="219">
        <f>INDEX('C-P-RollAdj'!$J$4:$J$76,MATCH(INT(Z220),'C-P-RollAdj'!$I$4:$I$76,FALSE),0)</f>
        <v>-12</v>
      </c>
      <c r="AL220" s="121">
        <f>INDEX('C-P-RollAdj'!$J$4:$J$76,MATCH(INT(AC220),'C-P-RollAdj'!$I$4:$I$76,FALSE),0)</f>
        <v>13</v>
      </c>
      <c r="AM220" s="262">
        <f>SUM(AM216:AM219)</f>
        <v>63.333333333333329</v>
      </c>
      <c r="AN220" s="14">
        <f>SUM(AN216:AN219)</f>
        <v>19.444444444444446</v>
      </c>
      <c r="AO220" s="14">
        <f>SUM(AO216:AO219)</f>
        <v>10.555555555555555</v>
      </c>
      <c r="AP220" s="14">
        <f>SUM(AP216:AP219)</f>
        <v>275</v>
      </c>
      <c r="AR220" s="14"/>
    </row>
    <row r="221" spans="1:50" x14ac:dyDescent="0.2">
      <c r="AR221" s="14"/>
    </row>
    <row r="222" spans="1:50" s="122" customFormat="1" x14ac:dyDescent="0.2">
      <c r="A222" t="s">
        <v>584</v>
      </c>
      <c r="B222" s="76" t="s">
        <v>152</v>
      </c>
      <c r="C222" s="76">
        <v>7</v>
      </c>
      <c r="D222" s="76">
        <v>6</v>
      </c>
      <c r="E222" s="76">
        <v>4.9000000000000004</v>
      </c>
      <c r="F222" s="76">
        <v>21</v>
      </c>
      <c r="G222" s="76">
        <v>15</v>
      </c>
      <c r="H222" s="76">
        <v>0</v>
      </c>
      <c r="I222" s="76">
        <v>0</v>
      </c>
      <c r="J222" s="76">
        <v>1</v>
      </c>
      <c r="K222" s="76">
        <v>1</v>
      </c>
      <c r="L222" s="258">
        <f>INDEX('C-P-RollAdj'!$P$4:$P$900,MATCH((U222),'C-P-RollAdj'!$O$4:$O$900,FALSE),0)</f>
        <v>97.33</v>
      </c>
      <c r="M222" s="76">
        <v>107</v>
      </c>
      <c r="N222" s="76">
        <v>54</v>
      </c>
      <c r="O222" s="76">
        <v>53</v>
      </c>
      <c r="P222" s="76">
        <v>19</v>
      </c>
      <c r="Q222" s="76">
        <v>25</v>
      </c>
      <c r="R222" s="76">
        <v>1</v>
      </c>
      <c r="S222" s="76">
        <v>75</v>
      </c>
      <c r="T222" s="76">
        <v>421</v>
      </c>
      <c r="U222" s="76">
        <v>97.1</v>
      </c>
      <c r="V222" s="100">
        <v>0.27600000000000002</v>
      </c>
      <c r="W222" s="76">
        <v>1.36</v>
      </c>
      <c r="X222" s="196"/>
      <c r="Y222" s="50">
        <f>+(Q222-R222)/(T222-R222)*100</f>
        <v>5.7142857142857144</v>
      </c>
      <c r="Z222" s="6">
        <f>IF(Y222&lt;LeagueRatings!$K$10,((LeagueRatings!$K$10-Y222)/LeagueRatings!$K$10)*36,(LeagueRatings!$K$10-Y222)*6.48)</f>
        <v>12.266179162837805</v>
      </c>
      <c r="AA222" s="16">
        <f>INDEX('C-P-RollAdj'!$B$4:$B$76,MATCH(INT(Z222),'C-P-RollAdj'!$A$4:$A$76,FALSE),0)</f>
        <v>-1.01</v>
      </c>
      <c r="AB222" s="16">
        <f>(P222/(T222-R222))*100</f>
        <v>4.5238095238095237</v>
      </c>
      <c r="AC222" s="6">
        <f>IF(AB222&lt;LeagueRatings!$K$8,((LeagueRatings!$K$8-AB222)/LeagueRatings!$K$8)*36,(LeagueRatings!$K$8-AB222)/LeagueRatings!$K$11)</f>
        <v>-10.494036728798402</v>
      </c>
      <c r="AD222" s="16">
        <f>INDEX('C-P-RollAdj'!$F$4:$F$76,MATCH(INT(AC222),'C-P-RollAdj'!$E$4:$E$76,FALSE),0)</f>
        <v>1.03</v>
      </c>
      <c r="AE222" s="17">
        <f>+((LeagueRatings!$I$6-E222)*5)+9.5</f>
        <v>6.0080514552774016</v>
      </c>
      <c r="AF222" s="17">
        <f>IF(AE222&lt;4,4,AE222)</f>
        <v>6.0080514552774016</v>
      </c>
      <c r="AG222" s="17">
        <f>IF(M222&lt;L222,((1-(M222/L222))*7)-0.07,(1-(M222/L222))*5)</f>
        <v>-0.49676358779410235</v>
      </c>
      <c r="AH222" s="4">
        <f>+AA222+AD222+AF222+AG222</f>
        <v>5.5312878674832984</v>
      </c>
      <c r="AI222" s="213"/>
      <c r="AJ222" s="7" t="s">
        <v>26</v>
      </c>
      <c r="AK222" s="219">
        <f>INDEX('C-P-RollAdj'!$J$4:$J$76,MATCH(INT(Z222),'C-P-RollAdj'!$I$4:$I$76,FALSE),0)</f>
        <v>26</v>
      </c>
      <c r="AL222" s="219">
        <f>INDEX('C-P-RollAdj'!$J$4:$J$76,MATCH(INT(AC222),'C-P-RollAdj'!$I$4:$I$76,FALSE),0)</f>
        <v>-25</v>
      </c>
      <c r="AM222" s="262">
        <f>+AR222*LeagueRatings!$K$27</f>
        <v>54.44444444444445</v>
      </c>
      <c r="AN222" s="72">
        <f>F222*LeagueRatings!$K$27</f>
        <v>11.666666666666668</v>
      </c>
      <c r="AO222" s="72">
        <f>G222*LeagueRatings!$K$27</f>
        <v>8.3333333333333339</v>
      </c>
      <c r="AP222" s="72">
        <f>T222*LeagueRatings!$K$27</f>
        <v>233.88888888888889</v>
      </c>
      <c r="AQ222" s="26"/>
      <c r="AR222" s="72">
        <f>ROUNDUP(L222,0)</f>
        <v>98</v>
      </c>
      <c r="AS222" s="123"/>
      <c r="AT222" s="123"/>
      <c r="AU222" s="123"/>
      <c r="AW222" s="71"/>
      <c r="AX222" s="71"/>
    </row>
    <row r="223" spans="1:50" s="26" customFormat="1" x14ac:dyDescent="0.2">
      <c r="A223" s="41" t="s">
        <v>584</v>
      </c>
      <c r="B223" s="76" t="s">
        <v>169</v>
      </c>
      <c r="C223" s="76">
        <v>5</v>
      </c>
      <c r="D223" s="76">
        <v>2</v>
      </c>
      <c r="E223" s="76">
        <v>3.06</v>
      </c>
      <c r="F223" s="76">
        <v>11</v>
      </c>
      <c r="G223" s="76">
        <v>11</v>
      </c>
      <c r="H223" s="76">
        <v>3</v>
      </c>
      <c r="I223" s="76">
        <v>0</v>
      </c>
      <c r="J223" s="76">
        <v>0</v>
      </c>
      <c r="K223" s="76">
        <v>0</v>
      </c>
      <c r="L223" s="258">
        <f>INDEX('C-P-RollAdj'!$P$4:$P$900,MATCH((U223),'C-P-RollAdj'!$O$4:$O$900,FALSE),0)</f>
        <v>64.67</v>
      </c>
      <c r="M223" s="76">
        <v>68</v>
      </c>
      <c r="N223" s="76">
        <v>27</v>
      </c>
      <c r="O223" s="76">
        <v>22</v>
      </c>
      <c r="P223" s="76">
        <v>4</v>
      </c>
      <c r="Q223" s="76">
        <v>3</v>
      </c>
      <c r="R223" s="76">
        <v>0</v>
      </c>
      <c r="S223" s="76">
        <v>52</v>
      </c>
      <c r="T223" s="76">
        <v>263</v>
      </c>
      <c r="U223" s="76">
        <v>64.2</v>
      </c>
      <c r="V223" s="100">
        <v>0.27300000000000002</v>
      </c>
      <c r="W223" s="76">
        <v>1.1000000000000001</v>
      </c>
      <c r="X223" s="76"/>
      <c r="Y223" s="50">
        <f>+(Q223-R223)/(T223-R223)*100</f>
        <v>1.1406844106463878</v>
      </c>
      <c r="Z223" s="6">
        <f>IF(Y223&lt;LeagueRatings!$K$21,((LeagueRatings!$K$21-Y223)/LeagueRatings!$K$21)*36,(LeagueRatings!$K$21-Y223)*6.48)</f>
        <v>31.413317624489764</v>
      </c>
      <c r="AA223" s="16">
        <f>INDEX('C-P-RollAdj'!$B$4:$B$76,MATCH(INT(Z223),'C-P-RollAdj'!$A$4:$A$76,FALSE),0)</f>
        <v>-3.02</v>
      </c>
      <c r="AB223" s="16">
        <f>(P223/(T223-R223))*100</f>
        <v>1.520912547528517</v>
      </c>
      <c r="AC223" s="6">
        <f>IF(AB223&lt;LeagueRatings!$K$19,((LeagueRatings!$K$19-AB223)/LeagueRatings!$K$19)*36,(LeagueRatings!$K$19-AB223)/LeagueRatings!$K$22)</f>
        <v>17.171648280448093</v>
      </c>
      <c r="AD223" s="16">
        <f>INDEX('C-P-RollAdj'!$F$4:$F$76,MATCH(INT(AC223),'C-P-RollAdj'!$E$4:$E$76,FALSE),0)</f>
        <v>-1.32</v>
      </c>
      <c r="AE223" s="17">
        <f>+((LeagueRatings!$I$6-E223)*5)+9.5</f>
        <v>15.208051455277403</v>
      </c>
      <c r="AF223" s="17">
        <f>IF(AE223&lt;4,4,AE223)</f>
        <v>15.208051455277403</v>
      </c>
      <c r="AG223" s="17">
        <f>IF(M223&lt;L223,((1-(M223/L223))*7)-0.07,(1-(M223/L223))*5)</f>
        <v>-0.25746095562084403</v>
      </c>
      <c r="AH223" s="4">
        <f>+AA223+AD223+AF223+AG223</f>
        <v>10.610590499656558</v>
      </c>
      <c r="AJ223" s="7" t="s">
        <v>66</v>
      </c>
      <c r="AK223" s="219">
        <f>INDEX('C-P-RollAdj'!$J$4:$J$76,MATCH(INT(Z223),'C-P-RollAdj'!$I$4:$I$76,FALSE),0)</f>
        <v>61</v>
      </c>
      <c r="AL223" s="219">
        <f>INDEX('C-P-RollAdj'!$J$4:$J$76,MATCH(INT(AC223),'C-P-RollAdj'!$I$4:$I$76,FALSE),0)</f>
        <v>35</v>
      </c>
      <c r="AM223" s="262">
        <f>+AR223*LeagueRatings!$K$27</f>
        <v>36.111111111111114</v>
      </c>
      <c r="AN223" s="72">
        <f>F223*LeagueRatings!$K$27</f>
        <v>6.1111111111111116</v>
      </c>
      <c r="AO223" s="72">
        <f>G223*LeagueRatings!$K$27</f>
        <v>6.1111111111111116</v>
      </c>
      <c r="AP223" s="72">
        <f>T223*LeagueRatings!$K$27</f>
        <v>146.11111111111111</v>
      </c>
      <c r="AR223" s="72">
        <f>ROUNDUP(L223,0)</f>
        <v>65</v>
      </c>
      <c r="AS223" s="113"/>
      <c r="AT223" s="113"/>
      <c r="AU223" s="113"/>
      <c r="AW223" s="97">
        <v>67</v>
      </c>
    </row>
    <row r="224" spans="1:50" s="122" customFormat="1" x14ac:dyDescent="0.2">
      <c r="A224" s="9"/>
      <c r="B224" s="129"/>
      <c r="C224" s="205"/>
      <c r="D224" s="196"/>
      <c r="E224" s="205"/>
      <c r="F224" s="196"/>
      <c r="G224" s="196"/>
      <c r="H224" s="196"/>
      <c r="I224" s="206"/>
      <c r="J224" s="206"/>
      <c r="K224" s="206"/>
      <c r="L224" s="157">
        <f>(L222/100)/((L222+L223)/100)</f>
        <v>0.60080246913580237</v>
      </c>
      <c r="M224" s="146"/>
      <c r="N224" s="146"/>
      <c r="O224" s="146"/>
      <c r="P224" s="146"/>
      <c r="Q224" s="146"/>
      <c r="R224" s="146"/>
      <c r="S224" s="146"/>
      <c r="T224" s="158"/>
      <c r="U224" s="158"/>
      <c r="V224" s="282"/>
      <c r="W224" s="158"/>
      <c r="X224" s="158"/>
      <c r="Y224" s="153"/>
      <c r="Z224" s="152">
        <f>Z222*L224</f>
        <v>7.3695507278950823</v>
      </c>
      <c r="AA224" s="153"/>
      <c r="AB224" s="153"/>
      <c r="AC224" s="152">
        <f>AC222*L224</f>
        <v>-6.3048431778638783</v>
      </c>
      <c r="AD224" s="153"/>
      <c r="AE224" s="103"/>
      <c r="AF224" s="103"/>
      <c r="AG224" s="103"/>
      <c r="AH224" s="154">
        <f>AH222*L224</f>
        <v>3.3232114082848727</v>
      </c>
      <c r="AI224" s="168"/>
      <c r="AJ224" s="5"/>
      <c r="AK224" s="5"/>
      <c r="AL224" s="5"/>
      <c r="AM224" s="262"/>
      <c r="AN224" s="72"/>
      <c r="AO224" s="72"/>
      <c r="AP224" s="72"/>
      <c r="AQ224" s="30"/>
      <c r="AR224" s="14"/>
      <c r="AS224" s="123"/>
      <c r="AT224" s="123"/>
      <c r="AU224" s="123"/>
      <c r="AW224" s="71"/>
      <c r="AX224" s="71"/>
    </row>
    <row r="225" spans="1:50" s="122" customFormat="1" x14ac:dyDescent="0.2">
      <c r="A225" s="9"/>
      <c r="B225" s="129"/>
      <c r="C225" s="205"/>
      <c r="D225" s="196"/>
      <c r="E225" s="205"/>
      <c r="F225" s="196"/>
      <c r="G225" s="196"/>
      <c r="H225" s="196"/>
      <c r="I225" s="206"/>
      <c r="J225" s="206"/>
      <c r="K225" s="206"/>
      <c r="L225" s="157">
        <f>(L223/100)/((L222+L223)/100)</f>
        <v>0.39919753086419751</v>
      </c>
      <c r="M225" s="146"/>
      <c r="N225" s="146"/>
      <c r="O225" s="146"/>
      <c r="P225" s="146"/>
      <c r="Q225" s="146"/>
      <c r="R225" s="146"/>
      <c r="S225" s="146"/>
      <c r="T225" s="158"/>
      <c r="U225" s="158"/>
      <c r="V225" s="282"/>
      <c r="W225" s="158"/>
      <c r="X225" s="158"/>
      <c r="Y225" s="153"/>
      <c r="Z225" s="152">
        <f>Z223*L225</f>
        <v>12.540118831949092</v>
      </c>
      <c r="AA225" s="153"/>
      <c r="AB225" s="153"/>
      <c r="AC225" s="152">
        <f>AC223*L225</f>
        <v>6.8548795944233216</v>
      </c>
      <c r="AD225" s="153"/>
      <c r="AE225" s="103"/>
      <c r="AF225" s="103"/>
      <c r="AG225" s="103"/>
      <c r="AH225" s="154">
        <f>AH223*L225</f>
        <v>4.2357215284740102</v>
      </c>
      <c r="AI225" s="168"/>
      <c r="AJ225" s="5"/>
      <c r="AK225" s="5"/>
      <c r="AL225" s="5"/>
      <c r="AM225" s="262"/>
      <c r="AN225" s="72"/>
      <c r="AO225" s="72"/>
      <c r="AP225" s="72"/>
      <c r="AQ225" s="30"/>
      <c r="AR225" s="14"/>
      <c r="AS225" s="123"/>
      <c r="AT225" s="123"/>
      <c r="AU225" s="123"/>
      <c r="AW225" s="71"/>
      <c r="AX225" s="71"/>
    </row>
    <row r="226" spans="1:50" s="122" customFormat="1" x14ac:dyDescent="0.2">
      <c r="A226" s="9"/>
      <c r="B226" s="129"/>
      <c r="C226" s="205"/>
      <c r="D226" s="196"/>
      <c r="E226" s="205"/>
      <c r="F226" s="196"/>
      <c r="G226" s="196"/>
      <c r="H226" s="196"/>
      <c r="I226" s="206"/>
      <c r="J226" s="206"/>
      <c r="K226" s="206"/>
      <c r="L226" s="157"/>
      <c r="M226" s="146"/>
      <c r="N226" s="146"/>
      <c r="O226" s="146"/>
      <c r="P226" s="146"/>
      <c r="Q226" s="146"/>
      <c r="R226" s="146"/>
      <c r="S226" s="146"/>
      <c r="T226" s="158"/>
      <c r="U226" s="158"/>
      <c r="V226" s="282"/>
      <c r="W226" s="158"/>
      <c r="X226" s="158"/>
      <c r="Y226" s="153"/>
      <c r="Z226" s="152">
        <f>SUM(Z224:Z225)</f>
        <v>19.909669559844176</v>
      </c>
      <c r="AA226" s="153"/>
      <c r="AB226" s="153"/>
      <c r="AC226" s="152">
        <f>SUM(AC224:AC225)</f>
        <v>0.55003641655944335</v>
      </c>
      <c r="AD226" s="153"/>
      <c r="AE226" s="103"/>
      <c r="AF226" s="103"/>
      <c r="AG226" s="103"/>
      <c r="AH226" s="153">
        <f>SUM(AH224:AH225)</f>
        <v>7.5589329367588824</v>
      </c>
      <c r="AI226" s="41" t="s">
        <v>584</v>
      </c>
      <c r="AJ226" s="5" t="s">
        <v>55</v>
      </c>
      <c r="AK226" s="219">
        <f>INDEX('C-P-RollAdj'!$J$4:$J$76,MATCH(INT(Z226),'C-P-RollAdj'!$I$4:$I$76,FALSE),0)</f>
        <v>41</v>
      </c>
      <c r="AL226" s="219">
        <f>INDEX('C-P-RollAdj'!$J$4:$J$76,MATCH(INT(AC226),'C-P-RollAdj'!$I$4:$I$76,FALSE),0)</f>
        <v>0</v>
      </c>
      <c r="AM226" s="262">
        <f>SUM(AM222:AM225)</f>
        <v>90.555555555555571</v>
      </c>
      <c r="AN226" s="14">
        <f>SUM(AN222:AN225)</f>
        <v>17.777777777777779</v>
      </c>
      <c r="AO226" s="14">
        <f>SUM(AO222:AO225)</f>
        <v>14.444444444444446</v>
      </c>
      <c r="AP226" s="14">
        <f>SUM(AP222:AP225)</f>
        <v>380</v>
      </c>
      <c r="AQ226" s="30"/>
      <c r="AR226" s="14"/>
      <c r="AS226" s="123"/>
      <c r="AT226" s="123"/>
      <c r="AU226" s="123"/>
      <c r="AW226" s="71"/>
      <c r="AX226" s="71"/>
    </row>
    <row r="227" spans="1:50" s="122" customFormat="1" x14ac:dyDescent="0.2">
      <c r="A227" s="146"/>
      <c r="B227" s="155"/>
      <c r="C227" s="205"/>
      <c r="D227" s="196"/>
      <c r="E227" s="205"/>
      <c r="F227" s="196"/>
      <c r="G227" s="196"/>
      <c r="H227" s="196"/>
      <c r="I227" s="206"/>
      <c r="J227" s="206"/>
      <c r="K227" s="206"/>
      <c r="L227" s="205"/>
      <c r="M227" s="196"/>
      <c r="N227" s="196"/>
      <c r="O227" s="196"/>
      <c r="P227" s="196"/>
      <c r="Q227" s="196"/>
      <c r="R227" s="196"/>
      <c r="S227" s="196"/>
      <c r="T227" s="196"/>
      <c r="U227" s="196"/>
      <c r="V227" s="277"/>
      <c r="W227" s="196"/>
      <c r="X227" s="196"/>
      <c r="Y227" s="207"/>
      <c r="Z227" s="208"/>
      <c r="AA227" s="209"/>
      <c r="AB227" s="210"/>
      <c r="AC227" s="208"/>
      <c r="AD227" s="209"/>
      <c r="AE227" s="211"/>
      <c r="AF227" s="211"/>
      <c r="AG227" s="211"/>
      <c r="AH227" s="212"/>
      <c r="AI227" s="213"/>
      <c r="AJ227" s="214"/>
      <c r="AK227" s="214"/>
      <c r="AL227" s="214"/>
      <c r="AM227" s="206"/>
      <c r="AN227" s="121"/>
      <c r="AO227" s="121"/>
      <c r="AP227" s="121"/>
      <c r="AR227" s="112"/>
      <c r="AS227" s="123"/>
      <c r="AT227" s="123"/>
      <c r="AU227" s="123"/>
      <c r="AW227" s="71"/>
      <c r="AX227" s="71"/>
    </row>
    <row r="228" spans="1:50" x14ac:dyDescent="0.2">
      <c r="A228" t="s">
        <v>548</v>
      </c>
      <c r="B228" s="76" t="s">
        <v>168</v>
      </c>
      <c r="C228" s="76">
        <v>2</v>
      </c>
      <c r="D228" s="76">
        <v>2</v>
      </c>
      <c r="E228" s="76">
        <v>4.83</v>
      </c>
      <c r="F228" s="76">
        <v>26</v>
      </c>
      <c r="G228" s="76">
        <v>0</v>
      </c>
      <c r="H228" s="76">
        <v>0</v>
      </c>
      <c r="I228" s="76">
        <v>0</v>
      </c>
      <c r="J228" s="76">
        <v>1</v>
      </c>
      <c r="K228" s="76">
        <v>1</v>
      </c>
      <c r="L228" s="258">
        <f>INDEX('C-P-RollAdj'!$P$4:$P$900,MATCH((U228),'C-P-RollAdj'!$O$4:$O$900,FALSE),0)</f>
        <v>50.33</v>
      </c>
      <c r="M228" s="76">
        <v>58</v>
      </c>
      <c r="N228" s="76">
        <v>28</v>
      </c>
      <c r="O228" s="76">
        <v>27</v>
      </c>
      <c r="P228" s="76">
        <v>11</v>
      </c>
      <c r="Q228" s="76">
        <v>20</v>
      </c>
      <c r="R228" s="76">
        <v>0</v>
      </c>
      <c r="S228" s="76">
        <v>38</v>
      </c>
      <c r="T228" s="76">
        <v>226</v>
      </c>
      <c r="U228" s="76">
        <v>50.1</v>
      </c>
      <c r="V228" s="100">
        <v>0.28399999999999997</v>
      </c>
      <c r="W228" s="76">
        <v>1.55</v>
      </c>
      <c r="Y228" s="50">
        <f>+(Q228-R228)/(T228-R228)*100</f>
        <v>8.8495575221238933</v>
      </c>
      <c r="Z228" s="6">
        <f>IF(Y228&lt;LeagueRatings!$K$21,((LeagueRatings!$K$21-Y228)/LeagueRatings!$K$21)*36,(LeagueRatings!$K$21-Y228)*6.48)</f>
        <v>0.41600398940438615</v>
      </c>
      <c r="AA228" s="16">
        <f>INDEX('C-P-RollAdj'!$B$4:$B$76,MATCH(INT(Z228),'C-P-RollAdj'!$A$4:$A$76,FALSE),0)</f>
        <v>0</v>
      </c>
      <c r="AB228" s="16">
        <f>(P228/(T228-R228))*100</f>
        <v>4.8672566371681416</v>
      </c>
      <c r="AC228" s="6">
        <f>IF(AB228&lt;LeagueRatings!$K$19,((LeagueRatings!$K$19-AB228)/LeagueRatings!$K$19)*36,(LeagueRatings!$K$19-AB228)/LeagueRatings!$K$22)</f>
        <v>-15.830753291603711</v>
      </c>
      <c r="AD228" s="16">
        <f>INDEX('C-P-RollAdj'!$F$4:$F$76,MATCH(INT(AC228),'C-P-RollAdj'!$E$4:$E$76,FALSE),0)</f>
        <v>1.63</v>
      </c>
      <c r="AE228" s="17">
        <f>+((LeagueRatings!$I$6-E228)*5)+9.5</f>
        <v>6.358051455277403</v>
      </c>
      <c r="AF228" s="17">
        <f>IF(AE228&lt;4,4,AE228)</f>
        <v>6.358051455277403</v>
      </c>
      <c r="AG228" s="17">
        <f>IF(M228&lt;L228,((1-(M228/L228))*7)-0.07,(1-(M228/L228))*5)</f>
        <v>-0.76197099145638769</v>
      </c>
      <c r="AH228" s="4">
        <f>+AA228+AD228+AF228+AG228</f>
        <v>7.226080463821015</v>
      </c>
      <c r="AI228" s="24"/>
      <c r="AJ228" s="94" t="s">
        <v>19</v>
      </c>
      <c r="AK228" s="219">
        <f>INDEX('C-P-RollAdj'!$J$4:$J$76,MATCH(INT(Z228),'C-P-RollAdj'!$I$4:$I$76,FALSE),0)</f>
        <v>0</v>
      </c>
      <c r="AL228" s="219">
        <f>INDEX('C-P-RollAdj'!$J$4:$J$76,MATCH(INT(AC228),'C-P-RollAdj'!$I$4:$I$76,FALSE),0)</f>
        <v>-34</v>
      </c>
      <c r="AM228" s="262">
        <f>+AR228*LeagueRatings!$K$27</f>
        <v>28.333333333333336</v>
      </c>
      <c r="AN228" s="72">
        <f>F228*LeagueRatings!$K$27</f>
        <v>14.444444444444445</v>
      </c>
      <c r="AO228" s="72">
        <f>G228*LeagueRatings!$K$27</f>
        <v>0</v>
      </c>
      <c r="AP228" s="72">
        <f>T228*LeagueRatings!$K$27</f>
        <v>125.55555555555556</v>
      </c>
      <c r="AQ228" s="76"/>
      <c r="AR228" s="72">
        <f>ROUNDUP(L228,0)</f>
        <v>51</v>
      </c>
    </row>
    <row r="229" spans="1:50" s="24" customFormat="1" x14ac:dyDescent="0.2">
      <c r="A229" s="41" t="s">
        <v>548</v>
      </c>
      <c r="B229" s="76" t="s">
        <v>143</v>
      </c>
      <c r="C229" s="76">
        <v>1</v>
      </c>
      <c r="D229" s="76">
        <v>1</v>
      </c>
      <c r="E229" s="76">
        <v>8.5500000000000007</v>
      </c>
      <c r="F229" s="76">
        <v>11</v>
      </c>
      <c r="G229" s="76">
        <v>2</v>
      </c>
      <c r="H229" s="76">
        <v>0</v>
      </c>
      <c r="I229" s="76">
        <v>0</v>
      </c>
      <c r="J229" s="76">
        <v>0</v>
      </c>
      <c r="K229" s="76">
        <v>0</v>
      </c>
      <c r="L229" s="258">
        <f>INDEX('C-P-RollAdj'!$P$4:$P$900,MATCH((U229),'C-P-RollAdj'!$O$4:$O$900,FALSE),0)</f>
        <v>20</v>
      </c>
      <c r="M229" s="76">
        <v>27</v>
      </c>
      <c r="N229" s="76">
        <v>19</v>
      </c>
      <c r="O229" s="76">
        <v>19</v>
      </c>
      <c r="P229" s="76">
        <v>7</v>
      </c>
      <c r="Q229" s="76">
        <v>9</v>
      </c>
      <c r="R229" s="76">
        <v>1</v>
      </c>
      <c r="S229" s="76">
        <v>16</v>
      </c>
      <c r="T229" s="76">
        <v>95</v>
      </c>
      <c r="U229" s="76">
        <v>20</v>
      </c>
      <c r="V229" s="100">
        <v>0.318</v>
      </c>
      <c r="W229" s="76">
        <v>1.8</v>
      </c>
      <c r="X229" s="76"/>
      <c r="Y229" s="50">
        <f>+(Q229-R229)/(T229-R229)*100</f>
        <v>8.5106382978723403</v>
      </c>
      <c r="Z229" s="6">
        <f>IF(Y229&lt;LeagueRatings!$K$10,((LeagueRatings!$K$10-Y229)/LeagueRatings!$K$10)*36,(LeagueRatings!$K$10-Y229)*6.48)</f>
        <v>0.6517561999712006</v>
      </c>
      <c r="AA229" s="16">
        <f>INDEX('C-P-RollAdj'!$B$4:$B$76,MATCH(INT(Z229),'C-P-RollAdj'!$A$4:$A$76,FALSE),0)</f>
        <v>0</v>
      </c>
      <c r="AB229" s="16">
        <f>(P229/(T229-R229))*100</f>
        <v>7.4468085106382977</v>
      </c>
      <c r="AC229" s="6">
        <f>IF(AB229&lt;LeagueRatings!$K$8,((LeagueRatings!$K$8-AB229)/LeagueRatings!$K$8)*36,(LeagueRatings!$K$8-AB229)/LeagueRatings!$K$11)</f>
        <v>-33.703971562912955</v>
      </c>
      <c r="AD229" s="16">
        <f>INDEX('C-P-RollAdj'!$F$4:$F$76,MATCH(INT(AC229),'C-P-RollAdj'!$E$4:$E$76,FALSE),0)</f>
        <v>4.4800000000000004</v>
      </c>
      <c r="AE229" s="17">
        <f>+((LeagueRatings!$I$17-E229)*5)+9.5</f>
        <v>-12.43561275629364</v>
      </c>
      <c r="AF229" s="17">
        <f>IF(AE229&lt;4,4,AE229)</f>
        <v>4</v>
      </c>
      <c r="AG229" s="17">
        <f>IF(M229&lt;L229,((1-(M229/L229))*7)-0.07,(1-(M229/L229))*5)</f>
        <v>-1.7500000000000004</v>
      </c>
      <c r="AH229" s="4">
        <f>+AA229+AD229+AF229+AG229</f>
        <v>6.73</v>
      </c>
      <c r="AJ229" s="58">
        <v>3</v>
      </c>
      <c r="AK229" s="219">
        <f>INDEX('C-P-RollAdj'!$J$4:$J$76,MATCH(INT(Z229),'C-P-RollAdj'!$I$4:$I$76,FALSE),0)</f>
        <v>0</v>
      </c>
      <c r="AL229" s="219">
        <f>INDEX('C-P-RollAdj'!$J$4:$J$76,MATCH(INT(AC229),'C-P-RollAdj'!$I$4:$I$76,FALSE),0)</f>
        <v>-64</v>
      </c>
      <c r="AM229" s="262">
        <f>+AR229*LeagueRatings!$K$27</f>
        <v>11.111111111111111</v>
      </c>
      <c r="AN229" s="72">
        <f>F229*LeagueRatings!$K$27</f>
        <v>6.1111111111111116</v>
      </c>
      <c r="AO229" s="72">
        <f>G229*LeagueRatings!$K$27</f>
        <v>1.1111111111111112</v>
      </c>
      <c r="AP229" s="72">
        <f>T229*LeagueRatings!$K$27</f>
        <v>52.777777777777779</v>
      </c>
      <c r="AR229" s="14">
        <f>ROUNDUP(L229,0)</f>
        <v>20</v>
      </c>
    </row>
    <row r="230" spans="1:50" x14ac:dyDescent="0.2">
      <c r="A230" s="9"/>
      <c r="B230" s="129"/>
      <c r="L230" s="157">
        <f>(L228/100)/((L228+L229)/100)</f>
        <v>0.71562633300156397</v>
      </c>
      <c r="T230" s="158"/>
      <c r="U230" s="158"/>
      <c r="V230" s="282"/>
      <c r="W230" s="158"/>
      <c r="X230" s="158"/>
      <c r="Y230" s="153"/>
      <c r="Z230" s="152">
        <f>Z228*L230</f>
        <v>0.29770340945148233</v>
      </c>
      <c r="AA230" s="153"/>
      <c r="AB230" s="153"/>
      <c r="AC230" s="152">
        <f>AC228*L230</f>
        <v>-11.328903926722802</v>
      </c>
      <c r="AD230" s="153"/>
      <c r="AE230" s="103"/>
      <c r="AF230" s="103"/>
      <c r="AG230" s="103"/>
      <c r="AH230" s="154">
        <f>AH228*L230</f>
        <v>5.1711734642984739</v>
      </c>
      <c r="AJ230" s="5"/>
      <c r="AK230" s="5"/>
      <c r="AL230" s="5"/>
      <c r="AN230" s="72"/>
      <c r="AO230" s="72"/>
      <c r="AP230" s="72"/>
      <c r="AR230" s="14"/>
    </row>
    <row r="231" spans="1:50" x14ac:dyDescent="0.2">
      <c r="A231" s="9"/>
      <c r="B231" s="129"/>
      <c r="L231" s="157">
        <f>(L229/100)/((L228+L229)/100)</f>
        <v>0.28437366699843597</v>
      </c>
      <c r="T231" s="158"/>
      <c r="U231" s="158"/>
      <c r="V231" s="282"/>
      <c r="W231" s="158"/>
      <c r="X231" s="158"/>
      <c r="Y231" s="153"/>
      <c r="Z231" s="152">
        <f>Z229*L231</f>
        <v>0.18534230057477624</v>
      </c>
      <c r="AA231" s="153"/>
      <c r="AB231" s="153"/>
      <c r="AC231" s="152">
        <f>AC229*L231</f>
        <v>-9.5845219857565649</v>
      </c>
      <c r="AD231" s="153"/>
      <c r="AE231" s="103"/>
      <c r="AF231" s="103"/>
      <c r="AG231" s="103"/>
      <c r="AH231" s="154">
        <f>AH229*L231</f>
        <v>1.9138347788994743</v>
      </c>
      <c r="AJ231" s="5"/>
      <c r="AK231" s="5"/>
      <c r="AL231" s="5"/>
      <c r="AN231" s="72"/>
      <c r="AO231" s="72"/>
      <c r="AP231" s="72"/>
      <c r="AR231" s="14"/>
    </row>
    <row r="232" spans="1:50" x14ac:dyDescent="0.2">
      <c r="A232" s="9"/>
      <c r="B232" s="129"/>
      <c r="T232" s="158"/>
      <c r="U232" s="158"/>
      <c r="V232" s="282"/>
      <c r="W232" s="158"/>
      <c r="X232" s="158"/>
      <c r="Y232" s="153"/>
      <c r="Z232" s="152">
        <f>SUM(Z230:Z231)</f>
        <v>0.48304571002625857</v>
      </c>
      <c r="AA232" s="153"/>
      <c r="AB232" s="153"/>
      <c r="AC232" s="152">
        <f>SUM(AC230:AC231)</f>
        <v>-20.913425912479369</v>
      </c>
      <c r="AD232" s="153"/>
      <c r="AE232" s="103"/>
      <c r="AF232" s="103"/>
      <c r="AG232" s="103"/>
      <c r="AH232" s="153">
        <f>SUM(AH230:AH231)</f>
        <v>7.0850082431979482</v>
      </c>
      <c r="AI232" s="41" t="s">
        <v>548</v>
      </c>
      <c r="AJ232" s="5" t="s">
        <v>55</v>
      </c>
      <c r="AK232" s="219">
        <f>INDEX('C-P-RollAdj'!$J$4:$J$76,MATCH(INT(Z232),'C-P-RollAdj'!$I$4:$I$76,FALSE),0)</f>
        <v>0</v>
      </c>
      <c r="AL232" s="121">
        <f>INDEX('C-P-RollAdj'!$J$4:$J$76,MATCH(INT(AC232),'C-P-RollAdj'!$I$4:$I$76,FALSE),0)</f>
        <v>-43</v>
      </c>
      <c r="AM232" s="262">
        <f>SUM(AM228:AM231)</f>
        <v>39.444444444444443</v>
      </c>
      <c r="AN232" s="14">
        <f>SUM(AN228:AN231)</f>
        <v>20.555555555555557</v>
      </c>
      <c r="AO232" s="14">
        <f>SUM(AO228:AO231)</f>
        <v>1.1111111111111112</v>
      </c>
      <c r="AP232" s="14">
        <f>SUM(AP228:AP231)</f>
        <v>178.33333333333334</v>
      </c>
      <c r="AR232" s="14"/>
    </row>
    <row r="233" spans="1:50" x14ac:dyDescent="0.2">
      <c r="A233" s="204"/>
      <c r="B233" s="196"/>
      <c r="AR233" s="14"/>
    </row>
    <row r="234" spans="1:50" s="122" customFormat="1" x14ac:dyDescent="0.2">
      <c r="A234" t="s">
        <v>372</v>
      </c>
      <c r="B234" s="76" t="s">
        <v>170</v>
      </c>
      <c r="C234" s="76">
        <v>8</v>
      </c>
      <c r="D234" s="76">
        <v>7</v>
      </c>
      <c r="E234" s="76">
        <v>2.4700000000000002</v>
      </c>
      <c r="F234" s="76">
        <v>17</v>
      </c>
      <c r="G234" s="76">
        <v>17</v>
      </c>
      <c r="H234" s="76">
        <v>0</v>
      </c>
      <c r="I234" s="76">
        <v>0</v>
      </c>
      <c r="J234" s="76">
        <v>0</v>
      </c>
      <c r="K234" s="76">
        <v>0</v>
      </c>
      <c r="L234" s="258">
        <f>INDEX('C-P-RollAdj'!$P$4:$P$900,MATCH((U234),'C-P-RollAdj'!$O$4:$O$900,FALSE),0)</f>
        <v>102</v>
      </c>
      <c r="M234" s="76">
        <v>67</v>
      </c>
      <c r="N234" s="76">
        <v>30</v>
      </c>
      <c r="O234" s="76">
        <v>28</v>
      </c>
      <c r="P234" s="76">
        <v>8</v>
      </c>
      <c r="Q234" s="76">
        <v>41</v>
      </c>
      <c r="R234" s="76">
        <v>2</v>
      </c>
      <c r="S234" s="76">
        <v>115</v>
      </c>
      <c r="T234" s="76">
        <v>411</v>
      </c>
      <c r="U234" s="76">
        <v>102</v>
      </c>
      <c r="V234" s="100">
        <v>0.184</v>
      </c>
      <c r="W234" s="76">
        <v>1.06</v>
      </c>
      <c r="X234" s="196"/>
      <c r="Y234" s="50">
        <f>+(Q234-R234)/(T234-R234)*100</f>
        <v>9.5354523227383865</v>
      </c>
      <c r="Z234" s="6">
        <f>IF(Y234&lt;LeagueRatings!$K$21,((LeagueRatings!$K$21-Y234)/LeagueRatings!$K$21)*36,(LeagueRatings!$K$21-Y234)*6.48)</f>
        <v>-3.7741900720137114</v>
      </c>
      <c r="AA234" s="16">
        <f>INDEX('C-P-RollAdj'!$B$4:$B$76,MATCH(INT(Z234),'C-P-RollAdj'!$A$4:$A$76,FALSE),0)</f>
        <v>0.36</v>
      </c>
      <c r="AB234" s="16">
        <f>(P234/(T234-R234))*100</f>
        <v>1.9559902200488997</v>
      </c>
      <c r="AC234" s="6">
        <f>IF(AB234&lt;LeagueRatings!$K$19,((LeagueRatings!$K$19-AB234)/LeagueRatings!$K$19)*36,(LeagueRatings!$K$19-AB234)/LeagueRatings!$K$22)</f>
        <v>11.785542776321996</v>
      </c>
      <c r="AD234" s="16">
        <f>INDEX('C-P-RollAdj'!$F$4:$F$76,MATCH(INT(AC234),'C-P-RollAdj'!$E$4:$E$76,FALSE),0)</f>
        <v>-0.81</v>
      </c>
      <c r="AE234" s="17">
        <f>+((LeagueRatings!$I$17-E234)*5)+9.5</f>
        <v>17.964387243706362</v>
      </c>
      <c r="AF234" s="17">
        <f>IF(AE234&lt;4,4,AE234)</f>
        <v>17.964387243706362</v>
      </c>
      <c r="AG234" s="17">
        <f>IF(M234&lt;L234,((1-(M234/L234))*7)-0.07,(1-(M234/L234))*5)</f>
        <v>2.3319607843137256</v>
      </c>
      <c r="AH234" s="4">
        <f>+AA234+AD234+AF234+AG234</f>
        <v>19.846348028020088</v>
      </c>
      <c r="AI234" s="213"/>
      <c r="AJ234" s="7" t="s">
        <v>68</v>
      </c>
      <c r="AK234" s="219">
        <f>INDEX('C-P-RollAdj'!$J$4:$J$76,MATCH(INT(Z234),'C-P-RollAdj'!$I$4:$I$76,FALSE),0)</f>
        <v>-14</v>
      </c>
      <c r="AL234" s="219">
        <f>INDEX('C-P-RollAdj'!$J$4:$J$76,MATCH(INT(AC234),'C-P-RollAdj'!$I$4:$I$76,FALSE),0)</f>
        <v>25</v>
      </c>
      <c r="AM234" s="262">
        <f>+AR234*LeagueRatings!$K$27</f>
        <v>56.666666666666671</v>
      </c>
      <c r="AN234" s="72">
        <f>F234*LeagueRatings!$K$27</f>
        <v>9.4444444444444446</v>
      </c>
      <c r="AO234" s="72">
        <f>G234*LeagueRatings!$K$27</f>
        <v>9.4444444444444446</v>
      </c>
      <c r="AP234" s="72">
        <f>T234*LeagueRatings!$K$27</f>
        <v>228.33333333333334</v>
      </c>
      <c r="AR234" s="14">
        <f>ROUNDUP(L234,0)</f>
        <v>102</v>
      </c>
      <c r="AS234" s="123"/>
      <c r="AT234" s="123"/>
      <c r="AU234" s="123"/>
      <c r="AW234" s="71"/>
      <c r="AX234" s="71"/>
    </row>
    <row r="235" spans="1:50" s="24" customFormat="1" x14ac:dyDescent="0.2">
      <c r="A235" s="41" t="s">
        <v>372</v>
      </c>
      <c r="B235" s="76" t="s">
        <v>146</v>
      </c>
      <c r="C235" s="76">
        <v>3</v>
      </c>
      <c r="D235" s="76">
        <v>5</v>
      </c>
      <c r="E235" s="76">
        <v>4.59</v>
      </c>
      <c r="F235" s="76">
        <v>14</v>
      </c>
      <c r="G235" s="76">
        <v>13</v>
      </c>
      <c r="H235" s="76">
        <v>0</v>
      </c>
      <c r="I235" s="76">
        <v>0</v>
      </c>
      <c r="J235" s="76">
        <v>0</v>
      </c>
      <c r="K235" s="76">
        <v>0</v>
      </c>
      <c r="L235" s="258">
        <f>INDEX('C-P-RollAdj'!$P$4:$P$900,MATCH((U235),'C-P-RollAdj'!$O$4:$O$900,FALSE),0)</f>
        <v>68.67</v>
      </c>
      <c r="M235" s="76">
        <v>70</v>
      </c>
      <c r="N235" s="76">
        <v>35</v>
      </c>
      <c r="O235" s="76">
        <v>35</v>
      </c>
      <c r="P235" s="76">
        <v>14</v>
      </c>
      <c r="Q235" s="76">
        <v>24</v>
      </c>
      <c r="R235" s="76">
        <v>1</v>
      </c>
      <c r="S235" s="76">
        <v>71</v>
      </c>
      <c r="T235" s="76">
        <v>292</v>
      </c>
      <c r="U235" s="76">
        <v>68.2</v>
      </c>
      <c r="V235" s="100">
        <v>0.26200000000000001</v>
      </c>
      <c r="W235" s="76">
        <v>1.37</v>
      </c>
      <c r="X235" s="76"/>
      <c r="Y235" s="50">
        <f>+(Q235-R235)/(T235-R235)*100</f>
        <v>7.9037800687285218</v>
      </c>
      <c r="Z235" s="6">
        <f>IF(Y235&lt;LeagueRatings!$K$10,((LeagueRatings!$K$10-Y235)/LeagueRatings!$K$10)*36,(LeagueRatings!$K$10-Y235)*6.48)</f>
        <v>3.1722924846811598</v>
      </c>
      <c r="AA235" s="16">
        <f>INDEX('C-P-RollAdj'!$B$4:$B$76,MATCH(INT(Z235),'C-P-RollAdj'!$A$4:$A$76,FALSE),0)</f>
        <v>-0.24</v>
      </c>
      <c r="AB235" s="16">
        <f>(P235/(T235-R235))*100</f>
        <v>4.8109965635738838</v>
      </c>
      <c r="AC235" s="6">
        <f>IF(AB235&lt;LeagueRatings!$K$8,((LeagueRatings!$K$8-AB235)/LeagueRatings!$K$8)*36,(LeagueRatings!$K$8-AB235)/LeagueRatings!$K$11)</f>
        <v>-12.774431798440459</v>
      </c>
      <c r="AD235" s="16">
        <f>INDEX('C-P-RollAdj'!$F$4:$F$76,MATCH(INT(AC235),'C-P-RollAdj'!$E$4:$E$76,FALSE),0)</f>
        <v>1.2599999999999998</v>
      </c>
      <c r="AE235" s="17">
        <f>+((LeagueRatings!$I$17-E235)*5)+9.5</f>
        <v>7.3643872437063633</v>
      </c>
      <c r="AF235" s="17">
        <f>IF(AE235&lt;4,4,AE235)</f>
        <v>7.3643872437063633</v>
      </c>
      <c r="AG235" s="17">
        <f>IF(M235&lt;L235,((1-(M235/L235))*7)-0.07,(1-(M235/L235))*5)</f>
        <v>-9.6839959225279992E-2</v>
      </c>
      <c r="AH235" s="4">
        <f>+AA235+AD235+AF235+AG235</f>
        <v>8.287547284481084</v>
      </c>
      <c r="AJ235" s="5" t="s">
        <v>24</v>
      </c>
      <c r="AK235" s="219">
        <f>INDEX('C-P-RollAdj'!$J$4:$J$76,MATCH(INT(Z235),'C-P-RollAdj'!$I$4:$I$76,FALSE),0)</f>
        <v>13</v>
      </c>
      <c r="AL235" s="219">
        <f>INDEX('C-P-RollAdj'!$J$4:$J$76,MATCH(INT(AC235),'C-P-RollAdj'!$I$4:$I$76,FALSE),0)</f>
        <v>-31</v>
      </c>
      <c r="AM235" s="262">
        <f>+AR235*LeagueRatings!$K$27</f>
        <v>38.333333333333336</v>
      </c>
      <c r="AN235" s="72">
        <f>F235*LeagueRatings!$K$27</f>
        <v>7.7777777777777786</v>
      </c>
      <c r="AO235" s="72">
        <f>G235*LeagueRatings!$K$27</f>
        <v>7.2222222222222223</v>
      </c>
      <c r="AP235" s="72">
        <f>T235*LeagueRatings!$K$27</f>
        <v>162.22222222222223</v>
      </c>
      <c r="AR235" s="14">
        <f>ROUNDUP(L235,0)</f>
        <v>69</v>
      </c>
    </row>
    <row r="236" spans="1:50" s="122" customFormat="1" x14ac:dyDescent="0.2">
      <c r="A236" s="9"/>
      <c r="B236" s="129"/>
      <c r="C236" s="167"/>
      <c r="D236" s="129"/>
      <c r="E236" s="167"/>
      <c r="F236" s="129"/>
      <c r="G236" s="129"/>
      <c r="H236" s="129"/>
      <c r="I236" s="121"/>
      <c r="J236" s="121"/>
      <c r="K236" s="121"/>
      <c r="L236" s="157">
        <f>(L234/100)/((L234+L235)/100)</f>
        <v>0.5976445772543505</v>
      </c>
      <c r="M236" s="146"/>
      <c r="N236" s="146"/>
      <c r="O236" s="146"/>
      <c r="P236" s="146"/>
      <c r="Q236" s="146"/>
      <c r="R236" s="146"/>
      <c r="S236" s="146"/>
      <c r="T236" s="158"/>
      <c r="U236" s="158"/>
      <c r="V236" s="282"/>
      <c r="W236" s="158"/>
      <c r="X236" s="158"/>
      <c r="Y236" s="153"/>
      <c r="Z236" s="152">
        <f>Z234*L236</f>
        <v>-2.2556242300662013</v>
      </c>
      <c r="AA236" s="153"/>
      <c r="AB236" s="153"/>
      <c r="AC236" s="152">
        <f>AC234*L236</f>
        <v>7.0435657302680239</v>
      </c>
      <c r="AD236" s="153"/>
      <c r="AE236" s="103"/>
      <c r="AF236" s="103"/>
      <c r="AG236" s="103"/>
      <c r="AH236" s="154">
        <f>AH234*L236</f>
        <v>11.861062277248779</v>
      </c>
      <c r="AI236" s="168"/>
      <c r="AJ236" s="5"/>
      <c r="AK236" s="5"/>
      <c r="AL236" s="5"/>
      <c r="AM236" s="262"/>
      <c r="AN236" s="72"/>
      <c r="AO236" s="72"/>
      <c r="AP236" s="72"/>
      <c r="AQ236" s="30"/>
      <c r="AR236" s="14"/>
      <c r="AS236" s="123"/>
      <c r="AT236" s="123"/>
      <c r="AU236" s="123"/>
      <c r="AW236" s="71"/>
      <c r="AX236" s="71"/>
    </row>
    <row r="237" spans="1:50" s="122" customFormat="1" x14ac:dyDescent="0.2">
      <c r="A237" s="9"/>
      <c r="B237" s="129"/>
      <c r="C237" s="205"/>
      <c r="D237" s="196"/>
      <c r="E237" s="205"/>
      <c r="F237" s="196"/>
      <c r="G237" s="196"/>
      <c r="H237" s="196"/>
      <c r="I237" s="206"/>
      <c r="J237" s="206"/>
      <c r="K237" s="206"/>
      <c r="L237" s="157">
        <f>(L235/100)/((L234+L235)/100)</f>
        <v>0.40235542274564945</v>
      </c>
      <c r="M237" s="146"/>
      <c r="N237" s="146"/>
      <c r="O237" s="146"/>
      <c r="P237" s="146"/>
      <c r="Q237" s="146"/>
      <c r="R237" s="146"/>
      <c r="S237" s="146"/>
      <c r="T237" s="158"/>
      <c r="U237" s="158"/>
      <c r="V237" s="282"/>
      <c r="W237" s="158"/>
      <c r="X237" s="158"/>
      <c r="Y237" s="153"/>
      <c r="Z237" s="152">
        <f>Z235*L237</f>
        <v>1.2763890837467347</v>
      </c>
      <c r="AA237" s="153"/>
      <c r="AB237" s="153"/>
      <c r="AC237" s="152">
        <f>AC235*L237</f>
        <v>-5.1398619065969777</v>
      </c>
      <c r="AD237" s="153"/>
      <c r="AE237" s="103"/>
      <c r="AF237" s="103"/>
      <c r="AG237" s="103"/>
      <c r="AH237" s="154">
        <f>AH235*L237</f>
        <v>3.3345395911719455</v>
      </c>
      <c r="AI237" s="168"/>
      <c r="AJ237" s="5"/>
      <c r="AK237" s="5"/>
      <c r="AL237" s="5"/>
      <c r="AM237" s="262"/>
      <c r="AN237" s="72"/>
      <c r="AO237" s="72"/>
      <c r="AP237" s="72"/>
      <c r="AQ237" s="30"/>
      <c r="AR237" s="14"/>
      <c r="AS237" s="123"/>
      <c r="AT237" s="123"/>
      <c r="AU237" s="123"/>
      <c r="AW237" s="71"/>
      <c r="AX237" s="71"/>
    </row>
    <row r="238" spans="1:50" s="122" customFormat="1" x14ac:dyDescent="0.2">
      <c r="A238" s="9"/>
      <c r="B238" s="129"/>
      <c r="C238" s="205"/>
      <c r="D238" s="196"/>
      <c r="E238" s="205"/>
      <c r="F238" s="196"/>
      <c r="G238" s="196"/>
      <c r="H238" s="196"/>
      <c r="I238" s="206"/>
      <c r="J238" s="206"/>
      <c r="K238" s="206"/>
      <c r="L238" s="157"/>
      <c r="M238" s="146"/>
      <c r="N238" s="146"/>
      <c r="O238" s="146"/>
      <c r="P238" s="146"/>
      <c r="Q238" s="146"/>
      <c r="R238" s="146"/>
      <c r="S238" s="146"/>
      <c r="T238" s="158"/>
      <c r="U238" s="158"/>
      <c r="V238" s="282"/>
      <c r="W238" s="158"/>
      <c r="X238" s="158"/>
      <c r="Y238" s="153"/>
      <c r="Z238" s="152">
        <f>SUM(Z236:Z237)</f>
        <v>-0.97923514631946662</v>
      </c>
      <c r="AA238" s="153"/>
      <c r="AB238" s="153"/>
      <c r="AC238" s="152">
        <f>SUM(AC236:AC237)</f>
        <v>1.9037038236710462</v>
      </c>
      <c r="AD238" s="153"/>
      <c r="AE238" s="103"/>
      <c r="AF238" s="103"/>
      <c r="AG238" s="103"/>
      <c r="AH238" s="153">
        <f>SUM(AH236:AH237)</f>
        <v>15.195601868420724</v>
      </c>
      <c r="AI238" s="41" t="s">
        <v>372</v>
      </c>
      <c r="AJ238" s="5" t="s">
        <v>14</v>
      </c>
      <c r="AK238" s="219">
        <f>INDEX('C-P-RollAdj'!$J$4:$J$76,MATCH(INT(Z238),'C-P-RollAdj'!$I$4:$I$76,FALSE),0)</f>
        <v>-11</v>
      </c>
      <c r="AL238" s="219">
        <f>INDEX('C-P-RollAdj'!$J$4:$J$76,MATCH(INT(AC238),'C-P-RollAdj'!$I$4:$I$76,FALSE),0)</f>
        <v>11</v>
      </c>
      <c r="AM238" s="262">
        <f>SUM(AM234:AM237)</f>
        <v>95</v>
      </c>
      <c r="AN238" s="14">
        <f>SUM(AN234:AN237)</f>
        <v>17.222222222222221</v>
      </c>
      <c r="AO238" s="14">
        <f>SUM(AO234:AO237)</f>
        <v>16.666666666666668</v>
      </c>
      <c r="AP238" s="14">
        <f>SUM(AP234:AP237)</f>
        <v>390.55555555555554</v>
      </c>
      <c r="AQ238" s="30"/>
      <c r="AR238" s="14"/>
      <c r="AS238" s="123"/>
      <c r="AT238" s="123"/>
      <c r="AU238" s="123"/>
      <c r="AW238" s="71"/>
      <c r="AX238" s="71"/>
    </row>
    <row r="239" spans="1:50" s="122" customFormat="1" x14ac:dyDescent="0.2">
      <c r="A239" s="9"/>
      <c r="B239" s="129"/>
      <c r="C239" s="205"/>
      <c r="D239" s="196"/>
      <c r="E239" s="205"/>
      <c r="F239" s="196"/>
      <c r="G239" s="196"/>
      <c r="H239" s="196"/>
      <c r="I239" s="206"/>
      <c r="J239" s="206"/>
      <c r="K239" s="206"/>
      <c r="L239" s="167"/>
      <c r="M239" s="129"/>
      <c r="N239" s="129"/>
      <c r="O239" s="129"/>
      <c r="P239" s="129"/>
      <c r="Q239" s="129"/>
      <c r="R239" s="129"/>
      <c r="S239" s="129"/>
      <c r="T239" s="129"/>
      <c r="U239" s="129"/>
      <c r="V239" s="281"/>
      <c r="W239" s="129"/>
      <c r="X239" s="70"/>
      <c r="Y239" s="115"/>
      <c r="Z239" s="116"/>
      <c r="AA239" s="117"/>
      <c r="AB239" s="118"/>
      <c r="AC239" s="116"/>
      <c r="AD239" s="117"/>
      <c r="AE239" s="119"/>
      <c r="AF239" s="119"/>
      <c r="AG239" s="119"/>
      <c r="AH239" s="120"/>
      <c r="AI239" s="169"/>
      <c r="AJ239" s="7"/>
      <c r="AK239" s="7"/>
      <c r="AL239" s="7"/>
      <c r="AM239" s="206"/>
      <c r="AN239" s="121"/>
      <c r="AO239" s="121"/>
      <c r="AP239" s="121"/>
      <c r="AR239" s="112"/>
      <c r="AS239" s="123"/>
      <c r="AT239" s="123"/>
      <c r="AU239" s="123"/>
      <c r="AW239" s="71"/>
      <c r="AX239" s="71"/>
    </row>
    <row r="240" spans="1:50" x14ac:dyDescent="0.2">
      <c r="A240" t="s">
        <v>424</v>
      </c>
      <c r="B240" s="76" t="s">
        <v>162</v>
      </c>
      <c r="C240" s="76">
        <v>1</v>
      </c>
      <c r="D240" s="76">
        <v>3</v>
      </c>
      <c r="E240" s="76">
        <v>6.4</v>
      </c>
      <c r="F240" s="76">
        <v>27</v>
      </c>
      <c r="G240" s="76">
        <v>0</v>
      </c>
      <c r="H240" s="76">
        <v>0</v>
      </c>
      <c r="I240" s="76">
        <v>0</v>
      </c>
      <c r="J240" s="76">
        <v>1</v>
      </c>
      <c r="K240" s="76">
        <v>4</v>
      </c>
      <c r="L240" s="258">
        <f>INDEX('C-P-RollAdj'!$P$4:$P$900,MATCH((U240),'C-P-RollAdj'!$O$4:$O$900,FALSE),0)</f>
        <v>32.33</v>
      </c>
      <c r="M240" s="76">
        <v>35</v>
      </c>
      <c r="N240" s="76">
        <v>24</v>
      </c>
      <c r="O240" s="76">
        <v>23</v>
      </c>
      <c r="P240" s="76">
        <v>7</v>
      </c>
      <c r="Q240" s="76">
        <v>9</v>
      </c>
      <c r="R240" s="76">
        <v>2</v>
      </c>
      <c r="S240" s="76">
        <v>28</v>
      </c>
      <c r="T240" s="76">
        <v>139</v>
      </c>
      <c r="U240" s="76">
        <v>32.1</v>
      </c>
      <c r="V240" s="100">
        <v>0.27800000000000002</v>
      </c>
      <c r="W240" s="76">
        <v>1.36</v>
      </c>
      <c r="Y240" s="50">
        <f>+(Q240-R240)/(T240-R240)*100</f>
        <v>5.1094890510948909</v>
      </c>
      <c r="Z240" s="6">
        <f>IF(Y240&lt;LeagueRatings!$K$21,((LeagueRatings!$K$21-Y240)/LeagueRatings!$K$21)*36,(LeagueRatings!$K$21-Y240)*6.48)</f>
        <v>15.45478770483129</v>
      </c>
      <c r="AA240" s="16">
        <f>INDEX('C-P-RollAdj'!$B$4:$B$76,MATCH(INT(Z240),'C-P-RollAdj'!$A$4:$A$76,FALSE),0)</f>
        <v>-1.29</v>
      </c>
      <c r="AB240" s="16">
        <f>(P240/(T240-R240))*100</f>
        <v>5.1094890510948909</v>
      </c>
      <c r="AC240" s="6">
        <f>IF(AB240&lt;LeagueRatings!$K$19,((LeagueRatings!$K$19-AB240)/LeagueRatings!$K$19)*36,(LeagueRatings!$K$19-AB240)/LeagueRatings!$K$22)</f>
        <v>-17.78798646964572</v>
      </c>
      <c r="AD240" s="16">
        <f>INDEX('C-P-RollAdj'!$F$4:$F$76,MATCH(INT(AC240),'C-P-RollAdj'!$E$4:$E$76,FALSE),0)</f>
        <v>1.8900000000000001</v>
      </c>
      <c r="AE240" s="17">
        <f>+((LeagueRatings!$I$6-E240)*5)+9.5</f>
        <v>-1.4919485447225984</v>
      </c>
      <c r="AF240" s="17">
        <f>IF(AE240&lt;4,4,AE240)</f>
        <v>4</v>
      </c>
      <c r="AG240" s="17">
        <f>IF(M240&lt;L240,((1-(M240/L240))*7)-0.07,(1-(M240/L240))*5)</f>
        <v>-0.4129291679554592</v>
      </c>
      <c r="AH240" s="4">
        <f>+AA240+AD240+AF240+AG240</f>
        <v>4.1870708320445402</v>
      </c>
      <c r="AI240" s="24"/>
      <c r="AJ240" s="5" t="s">
        <v>1284</v>
      </c>
      <c r="AK240" s="219">
        <f>INDEX('C-P-RollAdj'!$J$4:$J$76,MATCH(INT(Z240),'C-P-RollAdj'!$I$4:$I$76,FALSE),0)</f>
        <v>33</v>
      </c>
      <c r="AL240" s="219">
        <f>INDEX('C-P-RollAdj'!$J$4:$J$76,MATCH(INT(AC240),'C-P-RollAdj'!$I$4:$I$76,FALSE),0)</f>
        <v>-36</v>
      </c>
      <c r="AM240" s="262">
        <f>+AR240*LeagueRatings!$K$27</f>
        <v>18.333333333333336</v>
      </c>
      <c r="AN240" s="72">
        <f>F240*LeagueRatings!$K$27</f>
        <v>15</v>
      </c>
      <c r="AO240" s="72">
        <f>G240*LeagueRatings!$K$27</f>
        <v>0</v>
      </c>
      <c r="AP240" s="72">
        <f>T240*LeagueRatings!$K$27</f>
        <v>77.222222222222229</v>
      </c>
      <c r="AQ240" s="24"/>
      <c r="AR240" s="72">
        <f>ROUNDUP(L240,0)</f>
        <v>33</v>
      </c>
    </row>
    <row r="241" spans="1:47" customFormat="1" x14ac:dyDescent="0.2">
      <c r="A241" s="41" t="s">
        <v>424</v>
      </c>
      <c r="B241" s="76" t="s">
        <v>143</v>
      </c>
      <c r="C241" s="76">
        <v>2</v>
      </c>
      <c r="D241" s="76">
        <v>1</v>
      </c>
      <c r="E241" s="76">
        <v>2.91</v>
      </c>
      <c r="F241" s="76">
        <v>43</v>
      </c>
      <c r="G241" s="76">
        <v>0</v>
      </c>
      <c r="H241" s="76">
        <v>0</v>
      </c>
      <c r="I241" s="76">
        <v>0</v>
      </c>
      <c r="J241" s="76">
        <v>1</v>
      </c>
      <c r="K241" s="76">
        <v>2</v>
      </c>
      <c r="L241" s="258">
        <f>INDEX('C-P-RollAdj'!$P$4:$P$900,MATCH((U241),'C-P-RollAdj'!$O$4:$O$900,FALSE),0)</f>
        <v>46.33</v>
      </c>
      <c r="M241" s="76">
        <v>42</v>
      </c>
      <c r="N241" s="76">
        <v>17</v>
      </c>
      <c r="O241" s="76">
        <v>15</v>
      </c>
      <c r="P241" s="76">
        <v>5</v>
      </c>
      <c r="Q241" s="76">
        <v>13</v>
      </c>
      <c r="R241" s="76">
        <v>0</v>
      </c>
      <c r="S241" s="76">
        <v>31</v>
      </c>
      <c r="T241" s="76">
        <v>196</v>
      </c>
      <c r="U241" s="76">
        <v>46.1</v>
      </c>
      <c r="V241" s="100">
        <v>0.24099999999999999</v>
      </c>
      <c r="W241" s="76">
        <v>1.19</v>
      </c>
      <c r="X241" s="76"/>
      <c r="Y241" s="50">
        <f>+(Q241-R241)/(T241-R241)*100</f>
        <v>6.6326530612244898</v>
      </c>
      <c r="Z241" s="6">
        <f>IF(Y241&lt;LeagueRatings!$K$10,((LeagueRatings!$K$10-Y241)/LeagueRatings!$K$10)*36,(LeagueRatings!$K$10-Y241)*6.48)</f>
        <v>8.4518150997224524</v>
      </c>
      <c r="AA241" s="16">
        <f>INDEX('C-P-RollAdj'!$B$4:$B$76,MATCH(INT(Z241),'C-P-RollAdj'!$A$4:$A$76,FALSE),0)</f>
        <v>-0.65</v>
      </c>
      <c r="AB241" s="16">
        <f>(P241/(T241-R241))*100</f>
        <v>2.5510204081632653</v>
      </c>
      <c r="AC241" s="6">
        <f>IF(AB241&lt;LeagueRatings!$K$8,((LeagueRatings!$K$8-AB241)/LeagueRatings!$K$8)*36,(LeagueRatings!$K$8-AB241)/LeagueRatings!$K$11)</f>
        <v>7.3208964567422079</v>
      </c>
      <c r="AD241" s="16">
        <f>INDEX('C-P-RollAdj'!$F$4:$F$76,MATCH(INT(AC241),'C-P-RollAdj'!$E$4:$E$76,FALSE),0)</f>
        <v>-0.49000000000000005</v>
      </c>
      <c r="AE241" s="17">
        <f>+((LeagueRatings!$I$17-E241)*5)+9.5</f>
        <v>15.764387243706363</v>
      </c>
      <c r="AF241" s="17">
        <f>IF(AE241&lt;4,4,AE241)</f>
        <v>15.764387243706363</v>
      </c>
      <c r="AG241" s="17">
        <f>IF(M241&lt;L241,((1-(M241/L241))*7)-0.07,(1-(M241/L241))*5)</f>
        <v>0.58421972803798816</v>
      </c>
      <c r="AH241" s="4">
        <f>+AA241+AD241+AF241+AG241</f>
        <v>15.20860697174435</v>
      </c>
      <c r="AI241" s="168"/>
      <c r="AJ241" s="5" t="s">
        <v>24</v>
      </c>
      <c r="AK241" s="219">
        <f>INDEX('C-P-RollAdj'!$J$4:$J$76,MATCH(INT(Z241),'C-P-RollAdj'!$I$4:$I$76,FALSE),0)</f>
        <v>22</v>
      </c>
      <c r="AL241" s="219">
        <f>INDEX('C-P-RollAdj'!$J$4:$J$76,MATCH(INT(AC241),'C-P-RollAdj'!$I$4:$I$76,FALSE),0)</f>
        <v>21</v>
      </c>
      <c r="AM241" s="262">
        <f>+AR241*LeagueRatings!$K$27</f>
        <v>26.111111111111111</v>
      </c>
      <c r="AN241" s="72">
        <f>F241*LeagueRatings!$K$27</f>
        <v>23.888888888888889</v>
      </c>
      <c r="AO241" s="72">
        <f>G241*LeagueRatings!$K$27</f>
        <v>0</v>
      </c>
      <c r="AP241" s="72">
        <f>T241*LeagueRatings!$K$27</f>
        <v>108.8888888888889</v>
      </c>
      <c r="AR241" s="14">
        <f>ROUNDUP(L241,0)</f>
        <v>47</v>
      </c>
    </row>
    <row r="242" spans="1:47" x14ac:dyDescent="0.2">
      <c r="A242" s="9"/>
      <c r="B242" s="129"/>
      <c r="L242" s="157">
        <f>(L240/100)/((L240+L241)/100)</f>
        <v>0.41100940757691329</v>
      </c>
      <c r="T242" s="158"/>
      <c r="U242" s="158"/>
      <c r="V242" s="282"/>
      <c r="W242" s="158"/>
      <c r="X242" s="158"/>
      <c r="Y242" s="153"/>
      <c r="Z242" s="152">
        <f>Z240*L242</f>
        <v>6.3520631387896715</v>
      </c>
      <c r="AA242" s="153"/>
      <c r="AB242" s="153"/>
      <c r="AC242" s="152">
        <f>AC240*L242</f>
        <v>-7.3110297808752369</v>
      </c>
      <c r="AD242" s="153"/>
      <c r="AE242" s="103"/>
      <c r="AF242" s="103"/>
      <c r="AG242" s="103"/>
      <c r="AH242" s="154">
        <f>AH240*L242</f>
        <v>1.7209255021611998</v>
      </c>
      <c r="AJ242" s="5"/>
      <c r="AK242" s="5"/>
      <c r="AL242" s="5"/>
      <c r="AN242" s="72"/>
      <c r="AR242" s="14"/>
    </row>
    <row r="243" spans="1:47" x14ac:dyDescent="0.2">
      <c r="A243" s="9"/>
      <c r="B243" s="129"/>
      <c r="L243" s="157">
        <f>(L241/100)/((L240+L241)/100)</f>
        <v>0.58899059242308671</v>
      </c>
      <c r="T243" s="158"/>
      <c r="U243" s="158"/>
      <c r="V243" s="282"/>
      <c r="W243" s="158"/>
      <c r="X243" s="158"/>
      <c r="Y243" s="153"/>
      <c r="Z243" s="152">
        <f>Z241*L243</f>
        <v>4.9780395826359172</v>
      </c>
      <c r="AA243" s="153"/>
      <c r="AB243" s="153"/>
      <c r="AC243" s="152">
        <f>AC241*L243</f>
        <v>4.311939141124669</v>
      </c>
      <c r="AD243" s="153"/>
      <c r="AE243" s="103"/>
      <c r="AF243" s="103"/>
      <c r="AG243" s="103"/>
      <c r="AH243" s="154">
        <f>AH241*L243</f>
        <v>8.9577264302175923</v>
      </c>
      <c r="AJ243" s="5"/>
      <c r="AK243" s="5"/>
      <c r="AL243" s="5"/>
      <c r="AN243" s="72"/>
      <c r="AR243" s="14"/>
    </row>
    <row r="244" spans="1:47" x14ac:dyDescent="0.2">
      <c r="A244" s="9"/>
      <c r="B244" s="129"/>
      <c r="T244" s="158"/>
      <c r="U244" s="158"/>
      <c r="V244" s="282"/>
      <c r="W244" s="158"/>
      <c r="X244" s="158"/>
      <c r="Y244" s="153"/>
      <c r="Z244" s="152">
        <f>SUM(Z242:Z243)</f>
        <v>11.33010272142559</v>
      </c>
      <c r="AA244" s="153"/>
      <c r="AB244" s="153"/>
      <c r="AC244" s="152">
        <f>SUM(AC242:AC243)</f>
        <v>-2.9990906397505679</v>
      </c>
      <c r="AD244" s="153"/>
      <c r="AE244" s="103"/>
      <c r="AF244" s="103"/>
      <c r="AG244" s="103"/>
      <c r="AH244" s="153">
        <f>SUM(AH242:AH243)</f>
        <v>10.678651932378791</v>
      </c>
      <c r="AI244" s="41" t="s">
        <v>424</v>
      </c>
      <c r="AJ244" s="5" t="s">
        <v>68</v>
      </c>
      <c r="AK244" s="219">
        <f>INDEX('C-P-RollAdj'!$J$4:$J$76,MATCH(INT(Z244),'C-P-RollAdj'!$I$4:$I$76,FALSE),0)</f>
        <v>25</v>
      </c>
      <c r="AL244" s="219">
        <f>INDEX('C-P-RollAdj'!$J$4:$J$76,MATCH(INT(AC244),'C-P-RollAdj'!$I$4:$I$76,FALSE),0)</f>
        <v>-13</v>
      </c>
      <c r="AM244" s="262">
        <f>SUM(AM240:AM243)</f>
        <v>44.444444444444443</v>
      </c>
      <c r="AN244" s="14">
        <f>SUM(AN240:AN243)</f>
        <v>38.888888888888886</v>
      </c>
      <c r="AO244" s="14">
        <f>SUM(AO240:AO243)</f>
        <v>0</v>
      </c>
      <c r="AP244" s="14">
        <f>SUM(AP240:AP243)</f>
        <v>186.11111111111114</v>
      </c>
      <c r="AR244" s="14"/>
    </row>
    <row r="245" spans="1:47" x14ac:dyDescent="0.2">
      <c r="B245" s="155"/>
      <c r="AR245" s="14"/>
      <c r="AS245" s="112"/>
      <c r="AT245" s="112"/>
      <c r="AU245" s="112"/>
    </row>
    <row r="246" spans="1:47" x14ac:dyDescent="0.2">
      <c r="A246" t="s">
        <v>789</v>
      </c>
      <c r="B246" s="76" t="s">
        <v>155</v>
      </c>
      <c r="C246" s="76">
        <v>1</v>
      </c>
      <c r="D246" s="76">
        <v>0</v>
      </c>
      <c r="E246" s="76">
        <v>17.18</v>
      </c>
      <c r="F246" s="76">
        <v>2</v>
      </c>
      <c r="G246" s="76">
        <v>0</v>
      </c>
      <c r="H246" s="76">
        <v>0</v>
      </c>
      <c r="I246" s="76">
        <v>0</v>
      </c>
      <c r="J246" s="76">
        <v>0</v>
      </c>
      <c r="K246" s="76">
        <v>0</v>
      </c>
      <c r="L246" s="258">
        <f>INDEX('C-P-RollAdj'!$P$4:$P$900,MATCH((U246),'C-P-RollAdj'!$O$4:$O$900,FALSE),0)</f>
        <v>3.67</v>
      </c>
      <c r="M246" s="76">
        <v>2</v>
      </c>
      <c r="N246" s="76">
        <v>7</v>
      </c>
      <c r="O246" s="76">
        <v>7</v>
      </c>
      <c r="P246" s="76">
        <v>1</v>
      </c>
      <c r="Q246" s="76">
        <v>8</v>
      </c>
      <c r="R246" s="76">
        <v>0</v>
      </c>
      <c r="S246" s="76">
        <v>2</v>
      </c>
      <c r="T246" s="76">
        <v>21</v>
      </c>
      <c r="U246" s="76">
        <v>3.2</v>
      </c>
      <c r="V246" s="100">
        <v>0.16700000000000001</v>
      </c>
      <c r="W246" s="76">
        <v>2.73</v>
      </c>
      <c r="Y246" s="50">
        <f>+(Q246-R246)/(T246-R246)*100</f>
        <v>38.095238095238095</v>
      </c>
      <c r="Z246" s="6">
        <f>IF(Y246&lt;LeagueRatings!$K$10,((LeagueRatings!$K$10-Y246)/LeagueRatings!$K$10)*36,(LeagueRatings!$K$10-Y246)*6.48)</f>
        <v>-190.69136236294921</v>
      </c>
      <c r="AA246" s="260">
        <v>5.44</v>
      </c>
      <c r="AB246" s="16">
        <f>(P246/(T246-R246))*100</f>
        <v>4.7619047619047619</v>
      </c>
      <c r="AC246" s="6">
        <f>IF(AB246&lt;LeagueRatings!$K$8,((LeagueRatings!$K$8-AB246)/LeagueRatings!$K$8)*36,(LeagueRatings!$K$8-AB246)/LeagueRatings!$K$11)</f>
        <v>-12.384620675424719</v>
      </c>
      <c r="AD246" s="16">
        <f>INDEX('C-P-RollAdj'!$F$4:$F$76,MATCH(INT(AC246),'C-P-RollAdj'!$E$4:$E$76,FALSE),0)</f>
        <v>1.2599999999999998</v>
      </c>
      <c r="AE246" s="17">
        <f>+((LeagueRatings!$I$17-E246)*5)+9.5</f>
        <v>-55.585612756293628</v>
      </c>
      <c r="AF246" s="17">
        <f>IF(AE246&lt;4,4,AE246)</f>
        <v>4</v>
      </c>
      <c r="AG246" s="17">
        <f>IF(M246&lt;L246,((1-(M246/L246))*7)-0.07,(1-(M246/L246))*5)</f>
        <v>3.1152861035422341</v>
      </c>
      <c r="AH246" s="4">
        <f>+AA246+AD246+AF246+AG246</f>
        <v>13.815286103542233</v>
      </c>
      <c r="AI246" s="24"/>
      <c r="AJ246" s="58">
        <v>10</v>
      </c>
      <c r="AK246" s="219" t="e">
        <f>INDEX('C-P-RollAdj'!$J$4:$J$76,MATCH(INT(Z246),'C-P-RollAdj'!$I$4:$I$76,FALSE),0)</f>
        <v>#N/A</v>
      </c>
      <c r="AL246" s="219">
        <f>INDEX('C-P-RollAdj'!$J$4:$J$76,MATCH(INT(AC246),'C-P-RollAdj'!$I$4:$I$76,FALSE),0)</f>
        <v>-31</v>
      </c>
      <c r="AM246" s="262">
        <f>+AR246*LeagueRatings!$K$27</f>
        <v>2.2222222222222223</v>
      </c>
      <c r="AN246" s="72">
        <f>F246*LeagueRatings!$K$27</f>
        <v>1.1111111111111112</v>
      </c>
      <c r="AO246" s="72">
        <f>G246*LeagueRatings!$K$27</f>
        <v>0</v>
      </c>
      <c r="AP246" s="72">
        <f>T246*LeagueRatings!$K$27</f>
        <v>11.666666666666668</v>
      </c>
      <c r="AQ246" s="24"/>
      <c r="AR246" s="14">
        <f>ROUNDUP(L246,0)</f>
        <v>4</v>
      </c>
    </row>
    <row r="247" spans="1:47" x14ac:dyDescent="0.2">
      <c r="A247" s="41" t="s">
        <v>789</v>
      </c>
      <c r="B247" s="76" t="s">
        <v>147</v>
      </c>
      <c r="C247" s="76">
        <v>0</v>
      </c>
      <c r="D247" s="76">
        <v>1</v>
      </c>
      <c r="E247" s="76">
        <v>8.4600000000000009</v>
      </c>
      <c r="F247" s="76">
        <v>7</v>
      </c>
      <c r="G247" s="76">
        <v>5</v>
      </c>
      <c r="H247" s="76">
        <v>0</v>
      </c>
      <c r="I247" s="76">
        <v>0</v>
      </c>
      <c r="J247" s="76">
        <v>0</v>
      </c>
      <c r="K247" s="76">
        <v>0</v>
      </c>
      <c r="L247" s="258">
        <f>INDEX('C-P-RollAdj'!$P$4:$P$900,MATCH((U247),'C-P-RollAdj'!$O$4:$O$900,FALSE),0)</f>
        <v>27.67</v>
      </c>
      <c r="M247" s="76">
        <v>34</v>
      </c>
      <c r="N247" s="76">
        <v>26</v>
      </c>
      <c r="O247" s="76">
        <v>26</v>
      </c>
      <c r="P247" s="76">
        <v>9</v>
      </c>
      <c r="Q247" s="76">
        <v>12</v>
      </c>
      <c r="R247" s="76">
        <v>0</v>
      </c>
      <c r="S247" s="76">
        <v>16</v>
      </c>
      <c r="T247" s="76">
        <v>130</v>
      </c>
      <c r="U247" s="76">
        <v>27.2</v>
      </c>
      <c r="V247" s="100">
        <v>0.29299999999999998</v>
      </c>
      <c r="W247" s="76">
        <v>1.66</v>
      </c>
      <c r="X247" s="76"/>
      <c r="Y247" s="50">
        <f>+(Q247-R247)/(T247-R247)*100</f>
        <v>9.2307692307692317</v>
      </c>
      <c r="Z247" s="6">
        <f>IF(Y247&lt;LeagueRatings!$K$10,((LeagueRatings!$K$10-Y247)/LeagueRatings!$K$10)*36,(LeagueRatings!$K$10-Y247)*6.48)</f>
        <v>-3.6496041211909613</v>
      </c>
      <c r="AA247" s="16">
        <f>INDEX('C-P-RollAdj'!$B$4:$B$76,MATCH(INT(Z247),'C-P-RollAdj'!$A$4:$A$76,FALSE),0)</f>
        <v>0.36</v>
      </c>
      <c r="AB247" s="16">
        <f>(P247/(T247-R247))*100</f>
        <v>6.9230769230769234</v>
      </c>
      <c r="AC247" s="6">
        <f>IF(AB247&lt;LeagueRatings!$K$8,((LeagueRatings!$K$8-AB247)/LeagueRatings!$K$8)*36,(LeagueRatings!$K$8-AB247)/LeagueRatings!$K$11)</f>
        <v>-29.545305729417429</v>
      </c>
      <c r="AD247" s="16">
        <f>INDEX('C-P-RollAdj'!$F$4:$F$76,MATCH(INT(AC247),'C-P-RollAdj'!$E$4:$E$76,FALSE),0)</f>
        <v>3.75</v>
      </c>
      <c r="AE247" s="17">
        <f>+((LeagueRatings!$I$17-E247)*5)+9.5</f>
        <v>-11.985612756293641</v>
      </c>
      <c r="AF247" s="17">
        <f>IF(AE247&lt;4,4,AE247)</f>
        <v>4</v>
      </c>
      <c r="AG247" s="17">
        <f>IF(M247&lt;L247,((1-(M247/L247))*7)-0.07,(1-(M247/L247))*5)</f>
        <v>-1.1438380917961688</v>
      </c>
      <c r="AH247" s="4">
        <f>+AA247+AD247+AF247+AG247</f>
        <v>6.9661619082038309</v>
      </c>
      <c r="AI247" s="24"/>
      <c r="AJ247" s="5" t="s">
        <v>55</v>
      </c>
      <c r="AK247" s="219">
        <f>INDEX('C-P-RollAdj'!$J$4:$J$76,MATCH(INT(Z247),'C-P-RollAdj'!$I$4:$I$76,FALSE),0)</f>
        <v>-14</v>
      </c>
      <c r="AL247" s="219">
        <f>INDEX('C-P-RollAdj'!$J$4:$J$76,MATCH(INT(AC247),'C-P-RollAdj'!$I$4:$I$76,FALSE),0)</f>
        <v>-56</v>
      </c>
      <c r="AM247" s="262">
        <f>+AR247*LeagueRatings!$K$27</f>
        <v>15.555555555555557</v>
      </c>
      <c r="AN247" s="72">
        <f>F247*LeagueRatings!$K$27</f>
        <v>3.8888888888888893</v>
      </c>
      <c r="AO247" s="72">
        <f>G247*LeagueRatings!$K$27</f>
        <v>2.7777777777777777</v>
      </c>
      <c r="AP247" s="72">
        <f>T247*LeagueRatings!$K$27</f>
        <v>72.222222222222229</v>
      </c>
      <c r="AQ247" s="24"/>
      <c r="AR247" s="14">
        <f>ROUNDUP(L247,0)</f>
        <v>28</v>
      </c>
    </row>
    <row r="248" spans="1:47" x14ac:dyDescent="0.2">
      <c r="A248" s="204"/>
      <c r="B248" s="196"/>
      <c r="L248" s="157">
        <f>(L246/100)/((L246+L247)/100)</f>
        <v>0.11710274409700062</v>
      </c>
      <c r="T248" s="158"/>
      <c r="U248" s="158"/>
      <c r="V248" s="282"/>
      <c r="W248" s="158"/>
      <c r="X248" s="158"/>
      <c r="Y248" s="153"/>
      <c r="Z248" s="152">
        <f>Z246*L248</f>
        <v>-22.330481808296856</v>
      </c>
      <c r="AA248" s="153"/>
      <c r="AB248" s="153"/>
      <c r="AC248" s="152">
        <f>AC246*L248</f>
        <v>-1.4502730656926839</v>
      </c>
      <c r="AD248" s="153"/>
      <c r="AE248" s="103"/>
      <c r="AF248" s="103"/>
      <c r="AG248" s="103"/>
      <c r="AH248" s="154">
        <f>AH246*L248</f>
        <v>1.617807913209955</v>
      </c>
      <c r="AJ248" s="5"/>
      <c r="AK248" s="5"/>
      <c r="AL248" s="5"/>
      <c r="AN248" s="72"/>
      <c r="AO248" s="72"/>
      <c r="AP248" s="72"/>
      <c r="AR248" s="14"/>
    </row>
    <row r="249" spans="1:47" x14ac:dyDescent="0.2">
      <c r="B249" s="155"/>
      <c r="L249" s="157">
        <f>(L247/100)/((L246+L247)/100)</f>
        <v>0.88289725590299928</v>
      </c>
      <c r="T249" s="158"/>
      <c r="U249" s="158"/>
      <c r="V249" s="282"/>
      <c r="W249" s="158"/>
      <c r="X249" s="158"/>
      <c r="Y249" s="153"/>
      <c r="Z249" s="152">
        <f>Z247*L249</f>
        <v>-3.2222254637317769</v>
      </c>
      <c r="AA249" s="153"/>
      <c r="AB249" s="153"/>
      <c r="AC249" s="152">
        <f>AC247*L249</f>
        <v>-26.085469353317809</v>
      </c>
      <c r="AD249" s="153"/>
      <c r="AE249" s="103"/>
      <c r="AF249" s="103"/>
      <c r="AG249" s="103"/>
      <c r="AH249" s="154">
        <f>AH247*L249</f>
        <v>6.1504052329291632</v>
      </c>
      <c r="AJ249" s="5"/>
      <c r="AK249" s="5"/>
      <c r="AL249" s="5"/>
      <c r="AN249" s="72"/>
      <c r="AO249" s="72"/>
      <c r="AP249" s="72"/>
      <c r="AR249" s="14"/>
    </row>
    <row r="250" spans="1:47" x14ac:dyDescent="0.2">
      <c r="A250" s="221"/>
      <c r="B250" s="221"/>
      <c r="T250" s="158"/>
      <c r="U250" s="158"/>
      <c r="V250" s="282"/>
      <c r="W250" s="158"/>
      <c r="X250" s="158"/>
      <c r="Y250" s="153"/>
      <c r="Z250" s="152">
        <f>SUM(Z248:Z249)</f>
        <v>-25.552707272028634</v>
      </c>
      <c r="AA250" s="153"/>
      <c r="AB250" s="153"/>
      <c r="AC250" s="152">
        <f>SUM(AC248:AC249)</f>
        <v>-27.535742419010493</v>
      </c>
      <c r="AD250" s="153"/>
      <c r="AE250" s="103"/>
      <c r="AF250" s="103"/>
      <c r="AG250" s="103"/>
      <c r="AH250" s="153">
        <f>SUM(AH248:AH249)</f>
        <v>7.768213146139118</v>
      </c>
      <c r="AI250" s="41" t="s">
        <v>789</v>
      </c>
      <c r="AJ250" s="5" t="s">
        <v>55</v>
      </c>
      <c r="AK250" s="219">
        <f>INDEX('C-P-RollAdj'!$J$4:$J$76,MATCH(INT(Z250),'C-P-RollAdj'!$I$4:$I$76,FALSE),0)</f>
        <v>-52</v>
      </c>
      <c r="AL250" s="121">
        <f>INDEX('C-P-RollAdj'!$J$4:$J$76,MATCH(INT(AC250),'C-P-RollAdj'!$I$4:$I$76,FALSE),0)</f>
        <v>-54</v>
      </c>
      <c r="AM250" s="262">
        <f>SUM(AM246:AM249)</f>
        <v>17.777777777777779</v>
      </c>
      <c r="AN250" s="14">
        <f>SUM(AN246:AN249)</f>
        <v>5</v>
      </c>
      <c r="AO250" s="14">
        <f>SUM(AO246:AO249)</f>
        <v>2.7777777777777777</v>
      </c>
      <c r="AP250" s="14">
        <f>SUM(AP246:AP249)</f>
        <v>83.8888888888889</v>
      </c>
      <c r="AR250" s="14"/>
    </row>
    <row r="251" spans="1:47" x14ac:dyDescent="0.2">
      <c r="A251" s="221"/>
      <c r="B251" s="221" t="s">
        <v>160</v>
      </c>
      <c r="AR251" s="14"/>
    </row>
    <row r="252" spans="1:47" x14ac:dyDescent="0.2">
      <c r="A252" t="s">
        <v>1154</v>
      </c>
      <c r="B252" s="76" t="s">
        <v>244</v>
      </c>
      <c r="C252" s="76">
        <v>0</v>
      </c>
      <c r="D252" s="76">
        <v>0</v>
      </c>
      <c r="E252" s="76">
        <v>0</v>
      </c>
      <c r="F252" s="76">
        <v>1</v>
      </c>
      <c r="G252" s="76">
        <v>1</v>
      </c>
      <c r="H252" s="76">
        <v>0</v>
      </c>
      <c r="I252" s="76">
        <v>0</v>
      </c>
      <c r="J252" s="76">
        <v>0</v>
      </c>
      <c r="K252" s="76">
        <v>0</v>
      </c>
      <c r="L252" s="258">
        <f>INDEX('C-P-RollAdj'!$P$4:$P$900,MATCH((U252),'C-P-RollAdj'!$O$4:$O$900,FALSE),0)</f>
        <v>3.33</v>
      </c>
      <c r="M252" s="76">
        <v>1</v>
      </c>
      <c r="N252" s="76">
        <v>0</v>
      </c>
      <c r="O252" s="76">
        <v>0</v>
      </c>
      <c r="P252" s="76">
        <v>0</v>
      </c>
      <c r="Q252" s="76">
        <v>0</v>
      </c>
      <c r="R252" s="76">
        <v>0</v>
      </c>
      <c r="S252" s="76">
        <v>4</v>
      </c>
      <c r="T252" s="76">
        <v>11</v>
      </c>
      <c r="U252" s="76">
        <v>3.1</v>
      </c>
      <c r="V252" s="100">
        <v>0.1</v>
      </c>
      <c r="W252" s="76">
        <v>0.3</v>
      </c>
      <c r="Y252" s="50">
        <f>+(Q252-R252)/(T252-R252)*100</f>
        <v>0</v>
      </c>
      <c r="Z252" s="6">
        <f>IF(Y252&lt;LeagueRatings!$K$21,((LeagueRatings!$K$21-Y252)/LeagueRatings!$K$21)*36,(LeagueRatings!$K$21-Y252)*6.48)</f>
        <v>36</v>
      </c>
      <c r="AA252" s="16">
        <f>INDEX('C-P-RollAdj'!$B$4:$B$76,MATCH(INT(Z252),'C-P-RollAdj'!$A$4:$A$76,FALSE),0)</f>
        <v>-3.62</v>
      </c>
      <c r="AB252" s="16">
        <f>(P252/(T252-R252))*100</f>
        <v>0</v>
      </c>
      <c r="AC252" s="6">
        <f>IF(AB252&lt;LeagueRatings!$K$19,((LeagueRatings!$K$19-AB252)/LeagueRatings!$K$19)*36,(LeagueRatings!$K$19-AB252)/LeagueRatings!$K$22)</f>
        <v>36</v>
      </c>
      <c r="AD252" s="16">
        <f>INDEX('C-P-RollAdj'!$F$4:$F$76,MATCH(INT(AC252),'C-P-RollAdj'!$E$4:$E$76,FALSE),0)</f>
        <v>-3.26</v>
      </c>
      <c r="AE252" s="17">
        <f>+((LeagueRatings!$I$6-E252)*5)+9.5</f>
        <v>30.508051455277403</v>
      </c>
      <c r="AF252" s="17">
        <f>IF(AE252&lt;4,4,AE252)</f>
        <v>30.508051455277403</v>
      </c>
      <c r="AG252" s="17">
        <f>IF(M252&lt;L252,((1-(M252/L252))*7)-0.07,(1-(M252/L252))*5)</f>
        <v>4.8278978978978975</v>
      </c>
      <c r="AH252" s="4">
        <f>+AA252+AD252+AF252+AG252</f>
        <v>28.455949353175303</v>
      </c>
      <c r="AI252" s="23"/>
      <c r="AJ252" s="5" t="s">
        <v>78</v>
      </c>
      <c r="AK252" s="219">
        <f>INDEX('C-P-RollAdj'!$J$4:$J$76,MATCH(INT(Z252),'C-P-RollAdj'!$I$4:$I$76,FALSE),0)</f>
        <v>66</v>
      </c>
      <c r="AL252" s="219">
        <f>INDEX('C-P-RollAdj'!$J$4:$J$76,MATCH(INT(AC252),'C-P-RollAdj'!$I$4:$I$76,FALSE),0)</f>
        <v>66</v>
      </c>
      <c r="AM252" s="262">
        <f>+AR252*LeagueRatings!$K$27</f>
        <v>2.2222222222222223</v>
      </c>
      <c r="AN252" s="72">
        <f>F252*LeagueRatings!$K$27</f>
        <v>0.55555555555555558</v>
      </c>
      <c r="AO252" s="72">
        <f>G252*LeagueRatings!$K$27</f>
        <v>0.55555555555555558</v>
      </c>
      <c r="AP252" s="72">
        <f>T252*LeagueRatings!$K$27</f>
        <v>6.1111111111111116</v>
      </c>
      <c r="AQ252" s="24"/>
      <c r="AR252" s="72">
        <f>ROUNDUP(L252,0)</f>
        <v>4</v>
      </c>
    </row>
    <row r="253" spans="1:47" s="24" customFormat="1" x14ac:dyDescent="0.2">
      <c r="A253" s="41" t="s">
        <v>1154</v>
      </c>
      <c r="B253" s="76" t="s">
        <v>170</v>
      </c>
      <c r="C253" s="76">
        <v>5</v>
      </c>
      <c r="D253" s="76">
        <v>5</v>
      </c>
      <c r="E253" s="76">
        <v>4.9800000000000004</v>
      </c>
      <c r="F253" s="76">
        <v>19</v>
      </c>
      <c r="G253" s="76">
        <v>18</v>
      </c>
      <c r="H253" s="76">
        <v>0</v>
      </c>
      <c r="I253" s="76">
        <v>0</v>
      </c>
      <c r="J253" s="76">
        <v>0</v>
      </c>
      <c r="K253" s="76">
        <v>0</v>
      </c>
      <c r="L253" s="258">
        <f>INDEX('C-P-RollAdj'!$P$4:$P$900,MATCH((U253),'C-P-RollAdj'!$O$4:$O$900,FALSE),0)</f>
        <v>99.33</v>
      </c>
      <c r="M253" s="76">
        <v>101</v>
      </c>
      <c r="N253" s="76">
        <v>63</v>
      </c>
      <c r="O253" s="76">
        <v>55</v>
      </c>
      <c r="P253" s="76">
        <v>12</v>
      </c>
      <c r="Q253" s="76">
        <v>44</v>
      </c>
      <c r="R253" s="76">
        <v>4</v>
      </c>
      <c r="S253" s="76">
        <v>76</v>
      </c>
      <c r="T253" s="76">
        <v>443</v>
      </c>
      <c r="U253" s="76">
        <v>99.1</v>
      </c>
      <c r="V253" s="100">
        <v>0.26200000000000001</v>
      </c>
      <c r="W253" s="76">
        <v>1.46</v>
      </c>
      <c r="X253" s="76"/>
      <c r="Y253" s="50">
        <f>+(Q253-R253)/(T253-R253)*100</f>
        <v>9.1116173120728927</v>
      </c>
      <c r="Z253" s="6">
        <f>IF(Y253&lt;LeagueRatings!$K$21,((LeagueRatings!$K$21-Y253)/LeagueRatings!$K$21)*36,(LeagueRatings!$K$21-Y253)*6.48)</f>
        <v>-1.0277392029013117</v>
      </c>
      <c r="AA253" s="16">
        <f>INDEX('C-P-RollAdj'!$B$4:$B$76,MATCH(INT(Z253),'C-P-RollAdj'!$A$4:$A$76,FALSE),0)</f>
        <v>0.18</v>
      </c>
      <c r="AB253" s="16">
        <f>(P253/(T253-R253))*100</f>
        <v>2.7334851936218678</v>
      </c>
      <c r="AC253" s="6">
        <f>IF(AB253&lt;LeagueRatings!$K$19,((LeagueRatings!$K$19-AB253)/LeagueRatings!$K$19)*36,(LeagueRatings!$K$19-AB253)/LeagueRatings!$K$22)</f>
        <v>2.1604339254522635</v>
      </c>
      <c r="AD253" s="16">
        <f>INDEX('C-P-RollAdj'!$F$4:$F$76,MATCH(INT(AC253),'C-P-RollAdj'!$E$4:$E$76,FALSE),0)</f>
        <v>-0.14000000000000001</v>
      </c>
      <c r="AE253" s="17">
        <f>+((LeagueRatings!$I$17-E253)*5)+9.5</f>
        <v>5.4143872437063605</v>
      </c>
      <c r="AF253" s="17">
        <f>IF(AE253&lt;4,4,AE253)</f>
        <v>5.4143872437063605</v>
      </c>
      <c r="AG253" s="17">
        <f>IF(M253&lt;L253,((1-(M253/L253))*7)-0.07,(1-(M253/L253))*5)</f>
        <v>-8.4063223598107584E-2</v>
      </c>
      <c r="AH253" s="4">
        <f>+AA253+AD253+AF253+AG253</f>
        <v>5.3703240201082529</v>
      </c>
      <c r="AJ253" s="58">
        <v>1</v>
      </c>
      <c r="AK253" s="219">
        <f>INDEX('C-P-RollAdj'!$J$4:$J$76,MATCH(INT(Z253),'C-P-RollAdj'!$I$4:$I$76,FALSE),0)</f>
        <v>-12</v>
      </c>
      <c r="AL253" s="219">
        <f>INDEX('C-P-RollAdj'!$J$4:$J$76,MATCH(INT(AC253),'C-P-RollAdj'!$I$4:$I$76,FALSE),0)</f>
        <v>12</v>
      </c>
      <c r="AM253" s="262">
        <f>+AR253*LeagueRatings!$K$27</f>
        <v>55.555555555555557</v>
      </c>
      <c r="AN253" s="72">
        <f>F253*LeagueRatings!$K$27</f>
        <v>10.555555555555555</v>
      </c>
      <c r="AO253" s="72">
        <f>G253*LeagueRatings!$K$27</f>
        <v>10</v>
      </c>
      <c r="AP253" s="72">
        <f>T253*LeagueRatings!$K$27</f>
        <v>246.11111111111111</v>
      </c>
      <c r="AR253" s="14">
        <f>ROUNDUP(L253,0)</f>
        <v>100</v>
      </c>
    </row>
    <row r="254" spans="1:47" x14ac:dyDescent="0.2">
      <c r="A254" s="9"/>
      <c r="B254" s="129"/>
      <c r="L254" s="157">
        <f>(L252/100)/((L252+L253)/100)</f>
        <v>3.2437171244886036E-2</v>
      </c>
      <c r="T254" s="158"/>
      <c r="U254" s="158"/>
      <c r="V254" s="282"/>
      <c r="W254" s="158"/>
      <c r="X254" s="158"/>
      <c r="Y254" s="153"/>
      <c r="Z254" s="152">
        <f>Z252*L254</f>
        <v>1.1677381648158973</v>
      </c>
      <c r="AA254" s="153"/>
      <c r="AB254" s="153"/>
      <c r="AC254" s="152">
        <f>AC252*L254</f>
        <v>1.1677381648158973</v>
      </c>
      <c r="AD254" s="153"/>
      <c r="AE254" s="103"/>
      <c r="AF254" s="103"/>
      <c r="AG254" s="103"/>
      <c r="AH254" s="154">
        <f>AH252*L254</f>
        <v>0.92303050210475135</v>
      </c>
      <c r="AJ254" s="5"/>
      <c r="AK254" s="5"/>
      <c r="AL254" s="5"/>
      <c r="AN254" s="72"/>
      <c r="AO254" s="72"/>
      <c r="AP254" s="72"/>
      <c r="AR254" s="14"/>
    </row>
    <row r="255" spans="1:47" x14ac:dyDescent="0.2">
      <c r="A255" s="9"/>
      <c r="B255" s="129"/>
      <c r="L255" s="157">
        <f>(L253/100)/((L252+L253)/100)</f>
        <v>0.96756282875511401</v>
      </c>
      <c r="T255" s="158"/>
      <c r="U255" s="158"/>
      <c r="V255" s="282"/>
      <c r="W255" s="158"/>
      <c r="X255" s="158"/>
      <c r="Y255" s="153"/>
      <c r="Z255" s="152">
        <f>Z253*L255</f>
        <v>-0.99440225038171925</v>
      </c>
      <c r="AA255" s="153"/>
      <c r="AB255" s="153"/>
      <c r="AC255" s="152">
        <f>AC253*L255</f>
        <v>2.0903555602491073</v>
      </c>
      <c r="AD255" s="153"/>
      <c r="AE255" s="103"/>
      <c r="AF255" s="103"/>
      <c r="AG255" s="103"/>
      <c r="AH255" s="154">
        <f>AH253*L255</f>
        <v>5.1961259002274769</v>
      </c>
      <c r="AJ255" s="5"/>
      <c r="AK255" s="5"/>
      <c r="AL255" s="5"/>
      <c r="AN255" s="72"/>
      <c r="AO255" s="72"/>
      <c r="AP255" s="72"/>
      <c r="AR255" s="14"/>
    </row>
    <row r="256" spans="1:47" x14ac:dyDescent="0.2">
      <c r="A256" s="9"/>
      <c r="B256" s="129"/>
      <c r="T256" s="158"/>
      <c r="U256" s="158"/>
      <c r="V256" s="282"/>
      <c r="W256" s="158"/>
      <c r="X256" s="158"/>
      <c r="Y256" s="153"/>
      <c r="Z256" s="152">
        <f>SUM(Z254:Z255)</f>
        <v>0.17333591443417806</v>
      </c>
      <c r="AA256" s="153"/>
      <c r="AB256" s="153"/>
      <c r="AC256" s="152">
        <f>SUM(AC254:AC255)</f>
        <v>3.2580937250650046</v>
      </c>
      <c r="AD256" s="153"/>
      <c r="AE256" s="103"/>
      <c r="AF256" s="103"/>
      <c r="AG256" s="103"/>
      <c r="AH256" s="153">
        <f>SUM(AH254:AH255)</f>
        <v>6.1191564023322282</v>
      </c>
      <c r="AI256" s="41" t="s">
        <v>1154</v>
      </c>
      <c r="AJ256" s="5" t="s">
        <v>66</v>
      </c>
      <c r="AK256" s="219">
        <f>INDEX('C-P-RollAdj'!$J$4:$J$76,MATCH(INT(Z256),'C-P-RollAdj'!$I$4:$I$76,FALSE),0)</f>
        <v>0</v>
      </c>
      <c r="AL256" s="219">
        <f>INDEX('C-P-RollAdj'!$J$4:$J$76,MATCH(INT(AC256),'C-P-RollAdj'!$I$4:$I$76,FALSE),0)</f>
        <v>13</v>
      </c>
      <c r="AM256" s="262">
        <f>SUM(AM252:AM255)</f>
        <v>57.777777777777779</v>
      </c>
      <c r="AN256" s="14">
        <f>SUM(AN252:AN255)</f>
        <v>11.111111111111111</v>
      </c>
      <c r="AO256" s="14">
        <f>SUM(AO252:AO255)</f>
        <v>10.555555555555555</v>
      </c>
      <c r="AP256" s="14">
        <f>SUM(AP252:AP255)</f>
        <v>252.22222222222223</v>
      </c>
      <c r="AR256" s="14"/>
    </row>
    <row r="257" spans="1:49" x14ac:dyDescent="0.2">
      <c r="A257" s="204"/>
      <c r="B257" s="196"/>
      <c r="AR257" s="14"/>
    </row>
    <row r="258" spans="1:49" x14ac:dyDescent="0.2">
      <c r="A258" t="s">
        <v>1104</v>
      </c>
      <c r="B258" s="76" t="s">
        <v>161</v>
      </c>
      <c r="C258" s="76">
        <v>0</v>
      </c>
      <c r="D258" s="76">
        <v>1</v>
      </c>
      <c r="E258" s="76">
        <v>6.43</v>
      </c>
      <c r="F258" s="76">
        <v>25</v>
      </c>
      <c r="G258" s="76">
        <v>0</v>
      </c>
      <c r="H258" s="76">
        <v>0</v>
      </c>
      <c r="I258" s="76">
        <v>0</v>
      </c>
      <c r="J258" s="76">
        <v>1</v>
      </c>
      <c r="K258" s="76">
        <v>1</v>
      </c>
      <c r="L258" s="258">
        <f>INDEX('C-P-RollAdj'!$P$4:$P$900,MATCH((U258),'C-P-RollAdj'!$O$4:$O$900,FALSE),0)</f>
        <v>14</v>
      </c>
      <c r="M258" s="76">
        <v>23</v>
      </c>
      <c r="N258" s="76">
        <v>14</v>
      </c>
      <c r="O258" s="76">
        <v>10</v>
      </c>
      <c r="P258" s="76">
        <v>0</v>
      </c>
      <c r="Q258" s="76">
        <v>7</v>
      </c>
      <c r="R258" s="76">
        <v>3</v>
      </c>
      <c r="S258" s="76">
        <v>7</v>
      </c>
      <c r="T258" s="76">
        <v>72</v>
      </c>
      <c r="U258" s="76">
        <v>14</v>
      </c>
      <c r="V258" s="100">
        <v>0.377</v>
      </c>
      <c r="W258" s="76">
        <v>2.14</v>
      </c>
      <c r="Y258" s="52">
        <f>+(Q258-R258)/(T258-R258)*100</f>
        <v>5.7971014492753623</v>
      </c>
      <c r="Z258" s="6">
        <f>IF(Y258&lt;LeagueRatings!$K$21,((LeagueRatings!$K$21-Y258)/LeagueRatings!$K$21)*36,(LeagueRatings!$K$21-Y258)*6.48)</f>
        <v>12.689904062624322</v>
      </c>
      <c r="AA258" s="16">
        <f>INDEX('C-P-RollAdj'!$B$4:$B$76,MATCH(INT(Z258),'C-P-RollAdj'!$A$4:$A$76,FALSE),0)</f>
        <v>-1.01</v>
      </c>
      <c r="AB258" s="54">
        <f>(P258/(T258-R258))*100</f>
        <v>0</v>
      </c>
      <c r="AC258" s="6">
        <f>IF(AB258&lt;LeagueRatings!$K$19,((LeagueRatings!$K$19-AB258)/LeagueRatings!$K$19)*36,(LeagueRatings!$K$19-AB258)/LeagueRatings!$K$22)</f>
        <v>36</v>
      </c>
      <c r="AD258" s="16">
        <f>INDEX('C-P-RollAdj'!$F$4:$F$76,MATCH(INT(AC258),'C-P-RollAdj'!$E$4:$E$76,FALSE),0)</f>
        <v>-3.26</v>
      </c>
      <c r="AE258" s="17">
        <f>+((LeagueRatings!$I$6-E258)*5)+9.5</f>
        <v>-1.6419485447225952</v>
      </c>
      <c r="AF258" s="55">
        <f>IF(AE258&lt;4,4,AE258)</f>
        <v>4</v>
      </c>
      <c r="AG258" s="17">
        <f>IF(M258&lt;L258,((1-(M258/L258))*7)-0.07,(1-(M258/L258))*5)</f>
        <v>-3.214285714285714</v>
      </c>
      <c r="AH258" s="56">
        <f>+AA258+AD258+AF258+AG258</f>
        <v>-3.4842857142857135</v>
      </c>
      <c r="AI258" s="26"/>
      <c r="AJ258" s="5" t="s">
        <v>318</v>
      </c>
      <c r="AK258" s="219">
        <f>INDEX('C-P-RollAdj'!$J$4:$J$76,MATCH(INT(Z258),'C-P-RollAdj'!$I$4:$I$76,FALSE),0)</f>
        <v>26</v>
      </c>
      <c r="AL258" s="219">
        <f>INDEX('C-P-RollAdj'!$J$4:$J$76,MATCH(INT(AC258),'C-P-RollAdj'!$I$4:$I$76,FALSE),0)</f>
        <v>66</v>
      </c>
      <c r="AM258" s="262">
        <f>+AR258*LeagueRatings!$K$27</f>
        <v>7.7777777777777786</v>
      </c>
      <c r="AN258" s="72">
        <f>F258*LeagueRatings!$K$27</f>
        <v>13.888888888888889</v>
      </c>
      <c r="AO258" s="72">
        <f>G258*LeagueRatings!$K$27</f>
        <v>0</v>
      </c>
      <c r="AP258" s="72">
        <f>T258*LeagueRatings!$K$27</f>
        <v>40</v>
      </c>
      <c r="AQ258" s="24"/>
      <c r="AR258" s="72">
        <f>ROUNDUP(L258,0)</f>
        <v>14</v>
      </c>
    </row>
    <row r="259" spans="1:49" s="24" customFormat="1" x14ac:dyDescent="0.2">
      <c r="A259" s="41" t="s">
        <v>1104</v>
      </c>
      <c r="B259" s="76" t="s">
        <v>170</v>
      </c>
      <c r="C259" s="76">
        <v>3</v>
      </c>
      <c r="D259" s="76">
        <v>3</v>
      </c>
      <c r="E259" s="76">
        <v>2.52</v>
      </c>
      <c r="F259" s="76">
        <v>11</v>
      </c>
      <c r="G259" s="76">
        <v>9</v>
      </c>
      <c r="H259" s="76">
        <v>0</v>
      </c>
      <c r="I259" s="76">
        <v>0</v>
      </c>
      <c r="J259" s="76">
        <v>0</v>
      </c>
      <c r="K259" s="76">
        <v>0</v>
      </c>
      <c r="L259" s="258">
        <f>INDEX('C-P-RollAdj'!$P$4:$P$900,MATCH((U259),'C-P-RollAdj'!$O$4:$O$900,FALSE),0)</f>
        <v>53.67</v>
      </c>
      <c r="M259" s="76">
        <v>58</v>
      </c>
      <c r="N259" s="76">
        <v>21</v>
      </c>
      <c r="O259" s="76">
        <v>15</v>
      </c>
      <c r="P259" s="76">
        <v>4</v>
      </c>
      <c r="Q259" s="76">
        <v>24</v>
      </c>
      <c r="R259" s="76">
        <v>0</v>
      </c>
      <c r="S259" s="76">
        <v>34</v>
      </c>
      <c r="T259" s="76">
        <v>234</v>
      </c>
      <c r="U259" s="76">
        <v>53.2</v>
      </c>
      <c r="V259" s="100">
        <v>0.27800000000000002</v>
      </c>
      <c r="W259" s="76">
        <v>1.53</v>
      </c>
      <c r="X259" s="76"/>
      <c r="Y259" s="50">
        <f>+(Q259-R259)/(T259-R259)*100</f>
        <v>10.256410256410255</v>
      </c>
      <c r="Z259" s="6">
        <f>IF(Y259&lt;LeagueRatings!$K$21,((LeagueRatings!$K$21-Y259)/LeagueRatings!$K$21)*36,(LeagueRatings!$K$21-Y259)*6.48)</f>
        <v>-8.4459974822074226</v>
      </c>
      <c r="AA259" s="16">
        <f>INDEX('C-P-RollAdj'!$B$4:$B$76,MATCH(INT(Z259),'C-P-RollAdj'!$A$4:$A$76,FALSE),0)</f>
        <v>0.87000000000000011</v>
      </c>
      <c r="AB259" s="16">
        <f>(P259/(T259-R259))*100</f>
        <v>1.7094017094017095</v>
      </c>
      <c r="AC259" s="6">
        <f>IF(AB259&lt;LeagueRatings!$K$19,((LeagueRatings!$K$19-AB259)/LeagueRatings!$K$19)*36,(LeagueRatings!$K$19-AB259)/LeagueRatings!$K$22)</f>
        <v>14.838220075888236</v>
      </c>
      <c r="AD259" s="16">
        <f>INDEX('C-P-RollAdj'!$F$4:$F$76,MATCH(INT(AC259),'C-P-RollAdj'!$E$4:$E$76,FALSE),0)</f>
        <v>-1.05</v>
      </c>
      <c r="AE259" s="17">
        <f>+((LeagueRatings!$I$17-E259)*5)+9.5</f>
        <v>17.714387243706362</v>
      </c>
      <c r="AF259" s="17">
        <f>IF(AE259&lt;4,4,AE259)</f>
        <v>17.714387243706362</v>
      </c>
      <c r="AG259" s="17">
        <f>IF(M259&lt;L259,((1-(M259/L259))*7)-0.07,(1-(M259/L259))*5)</f>
        <v>-0.40339109372088622</v>
      </c>
      <c r="AH259" s="4">
        <f>+AA259+AD259+AF259+AG259</f>
        <v>17.130996149985478</v>
      </c>
      <c r="AJ259" s="5" t="s">
        <v>1284</v>
      </c>
      <c r="AK259" s="219">
        <f>INDEX('C-P-RollAdj'!$J$4:$J$76,MATCH(INT(Z259),'C-P-RollAdj'!$I$4:$I$76,FALSE),0)</f>
        <v>-23</v>
      </c>
      <c r="AL259" s="219">
        <f>INDEX('C-P-RollAdj'!$J$4:$J$76,MATCH(INT(AC259),'C-P-RollAdj'!$I$4:$I$76,FALSE),0)</f>
        <v>32</v>
      </c>
      <c r="AM259" s="262">
        <f>+AR259*LeagueRatings!$K$27</f>
        <v>30</v>
      </c>
      <c r="AN259" s="72">
        <f>F259*LeagueRatings!$K$27</f>
        <v>6.1111111111111116</v>
      </c>
      <c r="AO259" s="72">
        <f>G259*LeagueRatings!$K$27</f>
        <v>5</v>
      </c>
      <c r="AP259" s="72">
        <f>T259*LeagueRatings!$K$27</f>
        <v>130</v>
      </c>
      <c r="AR259" s="14">
        <f>ROUNDUP(L259,0)</f>
        <v>54</v>
      </c>
    </row>
    <row r="260" spans="1:49" x14ac:dyDescent="0.2">
      <c r="A260" s="9"/>
      <c r="B260" s="129"/>
      <c r="L260" s="157">
        <f>(L258/100)/((L258+L259)/100)</f>
        <v>0.20688636027781884</v>
      </c>
      <c r="T260" s="158"/>
      <c r="U260" s="158"/>
      <c r="V260" s="282"/>
      <c r="W260" s="158"/>
      <c r="X260" s="158"/>
      <c r="Y260" s="153"/>
      <c r="Z260" s="152">
        <f>Z258*L260</f>
        <v>2.6253680637910524</v>
      </c>
      <c r="AA260" s="153"/>
      <c r="AB260" s="153"/>
      <c r="AC260" s="152">
        <f>AC258*L260</f>
        <v>7.4479089700014782</v>
      </c>
      <c r="AD260" s="153"/>
      <c r="AE260" s="103"/>
      <c r="AF260" s="103"/>
      <c r="AG260" s="103"/>
      <c r="AH260" s="154">
        <f>AH258*L260</f>
        <v>-0.72085118959657146</v>
      </c>
      <c r="AJ260" s="5"/>
      <c r="AK260" s="5"/>
      <c r="AL260" s="5"/>
      <c r="AN260" s="72"/>
      <c r="AO260" s="72"/>
      <c r="AP260" s="72"/>
      <c r="AQ260" s="30"/>
      <c r="AR260" s="14"/>
    </row>
    <row r="261" spans="1:49" x14ac:dyDescent="0.2">
      <c r="A261" s="9"/>
      <c r="B261" s="129"/>
      <c r="L261" s="157">
        <f>(L259/100)/((L258+L259)/100)</f>
        <v>0.7931136397221813</v>
      </c>
      <c r="T261" s="158"/>
      <c r="U261" s="158"/>
      <c r="V261" s="282"/>
      <c r="W261" s="158"/>
      <c r="X261" s="158"/>
      <c r="Y261" s="153"/>
      <c r="Z261" s="152">
        <f>Z259*L261</f>
        <v>-6.6986358041979077</v>
      </c>
      <c r="AA261" s="153"/>
      <c r="AB261" s="153"/>
      <c r="AC261" s="152">
        <f>AC259*L261</f>
        <v>11.76839473138646</v>
      </c>
      <c r="AD261" s="153"/>
      <c r="AE261" s="103"/>
      <c r="AF261" s="103"/>
      <c r="AG261" s="103"/>
      <c r="AH261" s="154">
        <f>AH259*L261</f>
        <v>13.586826708581658</v>
      </c>
      <c r="AJ261" s="5"/>
      <c r="AK261" s="5"/>
      <c r="AL261" s="5"/>
      <c r="AN261" s="72"/>
      <c r="AO261" s="72"/>
      <c r="AP261" s="72"/>
      <c r="AQ261" s="30"/>
      <c r="AR261" s="14"/>
    </row>
    <row r="262" spans="1:49" x14ac:dyDescent="0.2">
      <c r="A262" s="9"/>
      <c r="B262" s="129"/>
      <c r="T262" s="158"/>
      <c r="U262" s="158"/>
      <c r="V262" s="282"/>
      <c r="W262" s="158"/>
      <c r="X262" s="158"/>
      <c r="Y262" s="153"/>
      <c r="Z262" s="152">
        <f>SUM(Z260:Z261)</f>
        <v>-4.0732677404068554</v>
      </c>
      <c r="AA262" s="153"/>
      <c r="AB262" s="153"/>
      <c r="AC262" s="152">
        <f>SUM(AC260:AC261)</f>
        <v>19.216303701387936</v>
      </c>
      <c r="AD262" s="153"/>
      <c r="AE262" s="103"/>
      <c r="AF262" s="103"/>
      <c r="AG262" s="103"/>
      <c r="AH262" s="153">
        <f>SUM(AH260:AH261)</f>
        <v>12.865975518985087</v>
      </c>
      <c r="AI262" s="41" t="s">
        <v>1104</v>
      </c>
      <c r="AJ262" s="5" t="s">
        <v>16</v>
      </c>
      <c r="AK262" s="219">
        <f>INDEX('C-P-RollAdj'!$J$4:$J$76,MATCH(INT(Z262),'C-P-RollAdj'!$I$4:$I$76,FALSE),0)</f>
        <v>-15</v>
      </c>
      <c r="AL262" s="219">
        <f>INDEX('C-P-RollAdj'!$J$4:$J$76,MATCH(INT(AC262),'C-P-RollAdj'!$I$4:$I$76,FALSE),0)</f>
        <v>41</v>
      </c>
      <c r="AM262" s="262">
        <f>SUM(AM258:AM261)</f>
        <v>37.777777777777779</v>
      </c>
      <c r="AN262" s="14">
        <f>SUM(AN258:AN261)</f>
        <v>20</v>
      </c>
      <c r="AO262" s="14">
        <f>SUM(AO258:AO261)</f>
        <v>5</v>
      </c>
      <c r="AP262" s="14">
        <f>SUM(AP258:AP261)</f>
        <v>170</v>
      </c>
      <c r="AQ262" s="30"/>
      <c r="AR262" s="14"/>
    </row>
    <row r="263" spans="1:49" x14ac:dyDescent="0.2">
      <c r="B263" s="155"/>
      <c r="AN263" s="72"/>
      <c r="AO263" s="72"/>
      <c r="AP263" s="72"/>
      <c r="AQ263" s="30"/>
      <c r="AR263" s="14"/>
    </row>
    <row r="264" spans="1:49" x14ac:dyDescent="0.2">
      <c r="A264" t="s">
        <v>1161</v>
      </c>
      <c r="B264" s="76" t="s">
        <v>173</v>
      </c>
      <c r="C264" s="76">
        <v>0</v>
      </c>
      <c r="D264" s="76">
        <v>3</v>
      </c>
      <c r="E264" s="76">
        <v>4.53</v>
      </c>
      <c r="F264" s="76">
        <v>47</v>
      </c>
      <c r="G264" s="76">
        <v>0</v>
      </c>
      <c r="H264" s="76">
        <v>0</v>
      </c>
      <c r="I264" s="76">
        <v>0</v>
      </c>
      <c r="J264" s="76">
        <v>1</v>
      </c>
      <c r="K264" s="76">
        <v>2</v>
      </c>
      <c r="L264" s="258">
        <f>INDEX('C-P-RollAdj'!$P$4:$P$900,MATCH((U264),'C-P-RollAdj'!$O$4:$O$900,FALSE),0)</f>
        <v>49.67</v>
      </c>
      <c r="M264" s="76">
        <v>43</v>
      </c>
      <c r="N264" s="76">
        <v>26</v>
      </c>
      <c r="O264" s="76">
        <v>25</v>
      </c>
      <c r="P264" s="76">
        <v>4</v>
      </c>
      <c r="Q264" s="76">
        <v>15</v>
      </c>
      <c r="R264" s="76">
        <v>2</v>
      </c>
      <c r="S264" s="76">
        <v>53</v>
      </c>
      <c r="T264" s="76">
        <v>203</v>
      </c>
      <c r="U264" s="76">
        <v>49.2</v>
      </c>
      <c r="V264" s="100">
        <v>0.23599999999999999</v>
      </c>
      <c r="W264" s="76">
        <v>1.17</v>
      </c>
      <c r="Y264" s="50">
        <f>+(Q264-R264)/(T264-R264)*100</f>
        <v>6.467661691542288</v>
      </c>
      <c r="Z264" s="6">
        <f>IF(Y264&lt;LeagueRatings!$K$21,((LeagueRatings!$K$21-Y264)/LeagueRatings!$K$21)*36,(LeagueRatings!$K$21-Y264)*6.48)</f>
        <v>9.9935869952413157</v>
      </c>
      <c r="AA264" s="16">
        <f>INDEX('C-P-RollAdj'!$B$4:$B$76,MATCH(INT(Z264),'C-P-RollAdj'!$A$4:$A$76,FALSE),0)</f>
        <v>-0.74</v>
      </c>
      <c r="AB264" s="16">
        <f>(P264/(T264-R264))*100</f>
        <v>1.9900497512437811</v>
      </c>
      <c r="AC264" s="6">
        <f>IF(AB264&lt;LeagueRatings!$K$19,((LeagueRatings!$K$19-AB264)/LeagueRatings!$K$19)*36,(LeagueRatings!$K$19-AB264)/LeagueRatings!$K$22)</f>
        <v>11.363897998795263</v>
      </c>
      <c r="AD264" s="16">
        <f>INDEX('C-P-RollAdj'!$F$4:$F$76,MATCH(INT(AC264),'C-P-RollAdj'!$E$4:$E$76,FALSE),0)</f>
        <v>-0.81</v>
      </c>
      <c r="AE264" s="17">
        <f>+((LeagueRatings!$I$6-E264)*5)+9.5</f>
        <v>7.8580514552774021</v>
      </c>
      <c r="AF264" s="17">
        <f>IF(AE264&lt;4,4,AE264)</f>
        <v>7.8580514552774021</v>
      </c>
      <c r="AG264" s="17">
        <f>IF(M264&lt;L264,((1-(M264/L264))*7)-0.07,(1-(M264/L264))*5)</f>
        <v>0.8700040265753981</v>
      </c>
      <c r="AH264" s="4">
        <f>+AA264+AD264+AF264+AG264</f>
        <v>7.1780554818528</v>
      </c>
      <c r="AJ264" s="94" t="s">
        <v>668</v>
      </c>
      <c r="AK264" s="219">
        <f>INDEX('C-P-RollAdj'!$J$4:$J$76,MATCH(INT(Z264),'C-P-RollAdj'!$I$4:$I$76,FALSE),0)</f>
        <v>23</v>
      </c>
      <c r="AL264" s="219">
        <f>INDEX('C-P-RollAdj'!$J$4:$J$76,MATCH(INT(AC264),'C-P-RollAdj'!$I$4:$I$76,FALSE),0)</f>
        <v>25</v>
      </c>
      <c r="AM264" s="262">
        <f>+AR264*LeagueRatings!$K$27</f>
        <v>27.777777777777779</v>
      </c>
      <c r="AN264" s="72">
        <f>F264*LeagueRatings!$K$27</f>
        <v>26.111111111111111</v>
      </c>
      <c r="AO264" s="72">
        <f>G264*LeagueRatings!$K$27</f>
        <v>0</v>
      </c>
      <c r="AP264" s="72">
        <f>T264*LeagueRatings!$K$27</f>
        <v>112.77777777777779</v>
      </c>
      <c r="AQ264" s="76"/>
      <c r="AR264" s="72">
        <f>ROUNDUP(L264,0)</f>
        <v>50</v>
      </c>
    </row>
    <row r="265" spans="1:49" customFormat="1" x14ac:dyDescent="0.2">
      <c r="A265" s="41" t="s">
        <v>1161</v>
      </c>
      <c r="B265" s="76" t="s">
        <v>169</v>
      </c>
      <c r="C265" s="76">
        <v>1</v>
      </c>
      <c r="D265" s="76">
        <v>3</v>
      </c>
      <c r="E265" s="76">
        <v>3.29</v>
      </c>
      <c r="F265" s="76">
        <v>28</v>
      </c>
      <c r="G265" s="76">
        <v>0</v>
      </c>
      <c r="H265" s="76">
        <v>0</v>
      </c>
      <c r="I265" s="76">
        <v>0</v>
      </c>
      <c r="J265" s="76">
        <v>0</v>
      </c>
      <c r="K265" s="76">
        <v>2</v>
      </c>
      <c r="L265" s="258">
        <f>INDEX('C-P-RollAdj'!$P$4:$P$900,MATCH((U265),'C-P-RollAdj'!$O$4:$O$900,FALSE),0)</f>
        <v>27.33</v>
      </c>
      <c r="M265" s="76">
        <v>23</v>
      </c>
      <c r="N265" s="76">
        <v>13</v>
      </c>
      <c r="O265" s="76">
        <v>10</v>
      </c>
      <c r="P265" s="76">
        <v>3</v>
      </c>
      <c r="Q265" s="76">
        <v>18</v>
      </c>
      <c r="R265" s="76">
        <v>1</v>
      </c>
      <c r="S265" s="76">
        <v>39</v>
      </c>
      <c r="T265" s="76">
        <v>124</v>
      </c>
      <c r="U265" s="76">
        <v>27.1</v>
      </c>
      <c r="V265" s="100">
        <v>0.221</v>
      </c>
      <c r="W265" s="76">
        <v>1.5</v>
      </c>
      <c r="X265" s="76"/>
      <c r="Y265" s="50">
        <f>+(Q265-R265)/(T265-R265)*100</f>
        <v>13.821138211382115</v>
      </c>
      <c r="Z265" s="6">
        <f>IF(Y265&lt;LeagueRatings!$K$21,((LeagueRatings!$K$21-Y265)/LeagueRatings!$K$21)*36,(LeagueRatings!$K$21-Y265)*6.48)</f>
        <v>-31.545434630425074</v>
      </c>
      <c r="AA265" s="16">
        <f>INDEX('C-P-RollAdj'!$B$4:$B$76,MATCH(INT(Z265),'C-P-RollAdj'!$A$4:$A$76,FALSE),0)</f>
        <v>4.5999999999999996</v>
      </c>
      <c r="AB265" s="16">
        <f>(P265/(T265-R265))*100</f>
        <v>2.4390243902439024</v>
      </c>
      <c r="AC265" s="6">
        <f>IF(AB265&lt;LeagueRatings!$K$19,((LeagueRatings!$K$19-AB265)/LeagueRatings!$K$19)*36,(LeagueRatings!$K$19-AB265)/LeagueRatings!$K$22)</f>
        <v>5.805753035108828</v>
      </c>
      <c r="AD265" s="16">
        <f>INDEX('C-P-RollAdj'!$F$4:$F$76,MATCH(INT(AC265),'C-P-RollAdj'!$E$4:$E$76,FALSE),0)</f>
        <v>-0.35000000000000003</v>
      </c>
      <c r="AE265" s="17">
        <f>+((LeagueRatings!$I$6-E265)*5)+9.5</f>
        <v>14.058051455277404</v>
      </c>
      <c r="AF265" s="17">
        <f>IF(AE265&lt;4,4,AE265)</f>
        <v>14.058051455277404</v>
      </c>
      <c r="AG265" s="17">
        <f>IF(M265&lt;L265,((1-(M265/L265))*7)-0.07,(1-(M265/L265))*5)</f>
        <v>1.039037687522868</v>
      </c>
      <c r="AH265" s="4">
        <f>+AA265+AD265+AF265+AG265</f>
        <v>19.347089142800272</v>
      </c>
      <c r="AI265" s="168"/>
      <c r="AJ265" s="94" t="s">
        <v>68</v>
      </c>
      <c r="AK265" s="219">
        <f>INDEX('C-P-RollAdj'!$J$4:$J$76,MATCH(INT(Z265),'C-P-RollAdj'!$I$4:$I$76,FALSE),0)</f>
        <v>-62</v>
      </c>
      <c r="AL265" s="219">
        <f>INDEX('C-P-RollAdj'!$J$4:$J$76,MATCH(INT(AC265),'C-P-RollAdj'!$I$4:$I$76,FALSE),0)</f>
        <v>15</v>
      </c>
      <c r="AM265" s="262">
        <f>+AR265*LeagueRatings!$K$27</f>
        <v>15.555555555555557</v>
      </c>
      <c r="AN265" s="72">
        <f>F265*LeagueRatings!$K$27</f>
        <v>15.555555555555557</v>
      </c>
      <c r="AO265" s="72">
        <f>G265*LeagueRatings!$K$27</f>
        <v>0</v>
      </c>
      <c r="AP265" s="72">
        <f>T265*LeagueRatings!$K$27</f>
        <v>68.888888888888886</v>
      </c>
      <c r="AQ265" s="76"/>
      <c r="AR265" s="72">
        <f>ROUNDUP(L265,0)</f>
        <v>28</v>
      </c>
      <c r="AS265" s="113"/>
      <c r="AT265" s="113"/>
      <c r="AU265" s="113"/>
      <c r="AV265" s="76"/>
      <c r="AW265" s="144">
        <v>54.33</v>
      </c>
    </row>
    <row r="266" spans="1:49" x14ac:dyDescent="0.2">
      <c r="A266" s="9"/>
      <c r="B266" s="129"/>
      <c r="L266" s="157">
        <f>(L264/100)/((L264+L265)/100)</f>
        <v>0.64506493506493512</v>
      </c>
      <c r="T266" s="158"/>
      <c r="U266" s="158"/>
      <c r="V266" s="282"/>
      <c r="W266" s="158"/>
      <c r="X266" s="158"/>
      <c r="Y266" s="153"/>
      <c r="Z266" s="152">
        <f>Z264*L266</f>
        <v>6.4465125461511192</v>
      </c>
      <c r="AA266" s="153"/>
      <c r="AB266" s="153"/>
      <c r="AC266" s="152">
        <f>AC264*L266</f>
        <v>7.3304521246774126</v>
      </c>
      <c r="AD266" s="153"/>
      <c r="AE266" s="103"/>
      <c r="AF266" s="103"/>
      <c r="AG266" s="103"/>
      <c r="AH266" s="154">
        <f>AH264*L266</f>
        <v>4.6303118932938778</v>
      </c>
      <c r="AJ266" s="5"/>
      <c r="AK266" s="5"/>
      <c r="AL266" s="5"/>
      <c r="AN266" s="72"/>
      <c r="AO266" s="72"/>
      <c r="AP266" s="72"/>
      <c r="AQ266" s="30"/>
      <c r="AR266" s="14"/>
    </row>
    <row r="267" spans="1:49" x14ac:dyDescent="0.2">
      <c r="A267" s="9"/>
      <c r="B267" s="129"/>
      <c r="L267" s="157">
        <f>(L265/100)/((L264+L265)/100)</f>
        <v>0.35493506493506494</v>
      </c>
      <c r="T267" s="158"/>
      <c r="U267" s="158"/>
      <c r="V267" s="282"/>
      <c r="W267" s="158"/>
      <c r="X267" s="158"/>
      <c r="Y267" s="153"/>
      <c r="Z267" s="152">
        <f>Z265*L267</f>
        <v>-11.19658088895477</v>
      </c>
      <c r="AA267" s="153"/>
      <c r="AB267" s="153"/>
      <c r="AC267" s="152">
        <f>AC265*L267</f>
        <v>2.0606653305133023</v>
      </c>
      <c r="AD267" s="153"/>
      <c r="AE267" s="103"/>
      <c r="AF267" s="103"/>
      <c r="AG267" s="103"/>
      <c r="AH267" s="154">
        <f>AH265*L267</f>
        <v>6.8669603412043045</v>
      </c>
      <c r="AJ267" s="5"/>
      <c r="AK267" s="5"/>
      <c r="AL267" s="5"/>
      <c r="AN267" s="72"/>
      <c r="AO267" s="72"/>
      <c r="AP267" s="72"/>
      <c r="AQ267" s="30"/>
      <c r="AR267" s="14"/>
    </row>
    <row r="268" spans="1:49" x14ac:dyDescent="0.2">
      <c r="A268" s="9"/>
      <c r="B268" s="129"/>
      <c r="T268" s="158"/>
      <c r="U268" s="158"/>
      <c r="V268" s="282"/>
      <c r="W268" s="158"/>
      <c r="X268" s="158"/>
      <c r="Y268" s="153"/>
      <c r="Z268" s="152">
        <f>SUM(Z266:Z267)</f>
        <v>-4.750068342803651</v>
      </c>
      <c r="AA268" s="153"/>
      <c r="AB268" s="153"/>
      <c r="AC268" s="152">
        <f>SUM(AC266:AC267)</f>
        <v>9.3911174551907148</v>
      </c>
      <c r="AD268" s="153"/>
      <c r="AE268" s="103"/>
      <c r="AF268" s="103"/>
      <c r="AG268" s="103"/>
      <c r="AH268" s="153">
        <f>SUM(AH266:AH267)</f>
        <v>11.497272234498183</v>
      </c>
      <c r="AI268" s="41" t="s">
        <v>1161</v>
      </c>
      <c r="AJ268" s="5" t="s">
        <v>59</v>
      </c>
      <c r="AK268" s="219">
        <f>INDEX('C-P-RollAdj'!$J$4:$J$76,MATCH(INT(Z268),'C-P-RollAdj'!$I$4:$I$76,FALSE),0)</f>
        <v>-15</v>
      </c>
      <c r="AL268" s="219">
        <f>INDEX('C-P-RollAdj'!$J$4:$J$76,MATCH(INT(AC268),'C-P-RollAdj'!$I$4:$I$76,FALSE),0)</f>
        <v>23</v>
      </c>
      <c r="AM268" s="262">
        <f>SUM(AM264:AM267)</f>
        <v>43.333333333333336</v>
      </c>
      <c r="AN268" s="14">
        <f>SUM(AN264:AN267)</f>
        <v>41.666666666666671</v>
      </c>
      <c r="AO268" s="14">
        <f>SUM(AO264:AO267)</f>
        <v>0</v>
      </c>
      <c r="AP268" s="14">
        <f>SUM(AP264:AP267)</f>
        <v>181.66666666666669</v>
      </c>
      <c r="AQ268" s="30"/>
      <c r="AR268" s="14"/>
    </row>
    <row r="269" spans="1:49" x14ac:dyDescent="0.2">
      <c r="B269" s="155"/>
      <c r="AN269" s="72"/>
      <c r="AO269" s="72"/>
      <c r="AP269" s="72"/>
      <c r="AQ269" s="30"/>
      <c r="AR269" s="14"/>
    </row>
    <row r="270" spans="1:49" x14ac:dyDescent="0.2">
      <c r="A270" t="s">
        <v>629</v>
      </c>
      <c r="B270" s="76" t="s">
        <v>170</v>
      </c>
      <c r="C270" s="76">
        <v>0</v>
      </c>
      <c r="D270" s="76">
        <v>1</v>
      </c>
      <c r="E270" s="76">
        <v>0.31</v>
      </c>
      <c r="F270" s="76">
        <v>28</v>
      </c>
      <c r="G270" s="76">
        <v>0</v>
      </c>
      <c r="H270" s="76">
        <v>0</v>
      </c>
      <c r="I270" s="76">
        <v>0</v>
      </c>
      <c r="J270" s="76">
        <v>17</v>
      </c>
      <c r="K270" s="76">
        <v>17</v>
      </c>
      <c r="L270" s="258">
        <f>INDEX('C-P-RollAdj'!$P$4:$P$900,MATCH((U270),'C-P-RollAdj'!$O$4:$O$900,FALSE),0)</f>
        <v>28.67</v>
      </c>
      <c r="M270" s="76">
        <v>13</v>
      </c>
      <c r="N270" s="76">
        <v>2</v>
      </c>
      <c r="O270" s="76">
        <v>1</v>
      </c>
      <c r="P270" s="76">
        <v>0</v>
      </c>
      <c r="Q270" s="76">
        <v>12</v>
      </c>
      <c r="R270" s="76">
        <v>0</v>
      </c>
      <c r="S270" s="76">
        <v>33</v>
      </c>
      <c r="T270" s="76">
        <v>109</v>
      </c>
      <c r="U270" s="76">
        <v>28.2</v>
      </c>
      <c r="V270" s="100">
        <v>0.13700000000000001</v>
      </c>
      <c r="W270" s="76">
        <v>0.87</v>
      </c>
      <c r="Y270" s="50">
        <f>+(Q270-R270)/(T270-R270)*100</f>
        <v>11.009174311926607</v>
      </c>
      <c r="Z270" s="6">
        <f>IF(Y270&lt;LeagueRatings!$K$21,((LeagueRatings!$K$21-Y270)/LeagueRatings!$K$21)*36,(LeagueRatings!$K$21-Y270)*6.48)</f>
        <v>-13.323908561953381</v>
      </c>
      <c r="AA270" s="16">
        <f>INDEX('C-P-RollAdj'!$B$4:$B$76,MATCH(INT(Z270),'C-P-RollAdj'!$A$4:$A$76,FALSE),0)</f>
        <v>1.5</v>
      </c>
      <c r="AB270" s="16">
        <f>(P270/(T270-R270))*100</f>
        <v>0</v>
      </c>
      <c r="AC270" s="6">
        <f>IF(AB270&lt;LeagueRatings!$K$19,((LeagueRatings!$K$19-AB270)/LeagueRatings!$K$19)*36,(LeagueRatings!$K$19-AB270)/LeagueRatings!$K$22)</f>
        <v>36</v>
      </c>
      <c r="AD270" s="16">
        <f>INDEX('C-P-RollAdj'!$F$4:$F$76,MATCH(INT(AC270),'C-P-RollAdj'!$E$4:$E$76,FALSE),0)</f>
        <v>-3.26</v>
      </c>
      <c r="AE270" s="17">
        <f>+((LeagueRatings!$I$6-E270)*5)+9.5</f>
        <v>28.958051455277403</v>
      </c>
      <c r="AF270" s="17">
        <f>IF(AE270&lt;4,4,AE270)</f>
        <v>28.958051455277403</v>
      </c>
      <c r="AG270" s="17">
        <f>IF(M270&lt;L270,((1-(M270/L270))*7)-0.07,(1-(M270/L270))*5)</f>
        <v>3.7559504708754798</v>
      </c>
      <c r="AH270" s="4">
        <f>+AA270+AD270+AF270+AG270</f>
        <v>30.95400192615288</v>
      </c>
      <c r="AI270" s="24"/>
      <c r="AJ270" s="5" t="s">
        <v>24</v>
      </c>
      <c r="AK270" s="219">
        <f>INDEX('C-P-RollAdj'!$J$4:$J$76,MATCH(INT(Z270),'C-P-RollAdj'!$I$4:$I$76,FALSE),0)</f>
        <v>-32</v>
      </c>
      <c r="AL270" s="219">
        <f>INDEX('C-P-RollAdj'!$J$4:$J$76,MATCH(INT(AC270),'C-P-RollAdj'!$I$4:$I$76,FALSE),0)</f>
        <v>66</v>
      </c>
      <c r="AM270" s="262">
        <f>+AR270*LeagueRatings!$K$27</f>
        <v>16.111111111111111</v>
      </c>
      <c r="AN270" s="72">
        <f>F270*LeagueRatings!$K$27</f>
        <v>15.555555555555557</v>
      </c>
      <c r="AO270" s="72">
        <f>G270*LeagueRatings!$K$27</f>
        <v>0</v>
      </c>
      <c r="AP270" s="72">
        <f>T270*LeagueRatings!$K$27</f>
        <v>60.555555555555557</v>
      </c>
      <c r="AQ270" s="24"/>
      <c r="AR270" s="72">
        <f>ROUNDUP(L270,0)</f>
        <v>29</v>
      </c>
    </row>
    <row r="271" spans="1:49" s="24" customFormat="1" x14ac:dyDescent="0.2">
      <c r="A271" s="41" t="s">
        <v>629</v>
      </c>
      <c r="B271" s="76" t="s">
        <v>244</v>
      </c>
      <c r="C271" s="76">
        <v>2</v>
      </c>
      <c r="D271" s="76">
        <v>3</v>
      </c>
      <c r="E271" s="76">
        <v>5.89</v>
      </c>
      <c r="F271" s="76">
        <v>39</v>
      </c>
      <c r="G271" s="76">
        <v>0</v>
      </c>
      <c r="H271" s="76">
        <v>0</v>
      </c>
      <c r="I271" s="76">
        <v>0</v>
      </c>
      <c r="J271" s="76">
        <v>8</v>
      </c>
      <c r="K271" s="76">
        <v>11</v>
      </c>
      <c r="L271" s="258">
        <f>INDEX('C-P-RollAdj'!$P$4:$P$900,MATCH((U271),'C-P-RollAdj'!$O$4:$O$900,FALSE),0)</f>
        <v>36.67</v>
      </c>
      <c r="M271" s="76">
        <v>41</v>
      </c>
      <c r="N271" s="76">
        <v>25</v>
      </c>
      <c r="O271" s="76">
        <v>24</v>
      </c>
      <c r="P271" s="76">
        <v>5</v>
      </c>
      <c r="Q271" s="76">
        <v>25</v>
      </c>
      <c r="R271" s="76">
        <v>3</v>
      </c>
      <c r="S271" s="76">
        <v>41</v>
      </c>
      <c r="T271" s="76">
        <v>174</v>
      </c>
      <c r="U271" s="76">
        <v>36.200000000000003</v>
      </c>
      <c r="V271" s="100">
        <v>0.28899999999999998</v>
      </c>
      <c r="W271" s="76">
        <v>1.8</v>
      </c>
      <c r="X271" s="76"/>
      <c r="Y271" s="50">
        <f>+(Q271-R271)/(T271-R271)*100</f>
        <v>12.865497076023392</v>
      </c>
      <c r="Z271" s="6">
        <f>IF(Y271&lt;LeagueRatings!$K$21,((LeagueRatings!$K$21-Y271)/LeagueRatings!$K$21)*36,(LeagueRatings!$K$21-Y271)*6.48)</f>
        <v>-25.352880073300547</v>
      </c>
      <c r="AA271" s="16">
        <f>INDEX('C-P-RollAdj'!$B$4:$B$76,MATCH(INT(Z271),'C-P-RollAdj'!$A$4:$A$76,FALSE),0)</f>
        <v>3.42</v>
      </c>
      <c r="AB271" s="16">
        <f>(P271/(T271-R271))*100</f>
        <v>2.9239766081871341</v>
      </c>
      <c r="AC271" s="6">
        <f>IF(AB271&lt;LeagueRatings!$K$19,((LeagueRatings!$K$19-AB271)/LeagueRatings!$K$19)*36,(LeagueRatings!$K$19-AB271)/LeagueRatings!$K$22)</f>
        <v>-0.129088575096273</v>
      </c>
      <c r="AD271" s="16">
        <f>INDEX('C-P-RollAdj'!$F$4:$F$76,MATCH(INT(AC271),'C-P-RollAdj'!$E$4:$E$76,FALSE),0)</f>
        <v>0.08</v>
      </c>
      <c r="AE271" s="17">
        <f>+((LeagueRatings!$I$17-E271)*5)+9.5</f>
        <v>0.86438724370636422</v>
      </c>
      <c r="AF271" s="17">
        <f>IF(AE271&lt;4,4,AE271)</f>
        <v>4</v>
      </c>
      <c r="AG271" s="17">
        <f>IF(M271&lt;L271,((1-(M271/L271))*7)-0.07,(1-(M271/L271))*5)</f>
        <v>-0.59040087264794039</v>
      </c>
      <c r="AH271" s="4">
        <f>+AA271+AD271+AF271+AG271</f>
        <v>6.9095991273520596</v>
      </c>
      <c r="AJ271" s="58">
        <v>18</v>
      </c>
      <c r="AK271" s="219">
        <f>INDEX('C-P-RollAdj'!$J$4:$J$76,MATCH(INT(Z271),'C-P-RollAdj'!$I$4:$I$76,FALSE),0)</f>
        <v>-52</v>
      </c>
      <c r="AL271" s="219">
        <f>INDEX('C-P-RollAdj'!$J$4:$J$76,MATCH(INT(AC271),'C-P-RollAdj'!$I$4:$I$76,FALSE),0)</f>
        <v>-11</v>
      </c>
      <c r="AM271" s="262">
        <f>+AR271*LeagueRatings!$K$27</f>
        <v>20.555555555555557</v>
      </c>
      <c r="AN271" s="72">
        <f>F271*LeagueRatings!$K$27</f>
        <v>21.666666666666668</v>
      </c>
      <c r="AO271" s="72">
        <f>G271*LeagueRatings!$K$27</f>
        <v>0</v>
      </c>
      <c r="AP271" s="72">
        <f>T271*LeagueRatings!$K$27</f>
        <v>96.666666666666671</v>
      </c>
      <c r="AR271" s="14">
        <f>ROUNDUP(L271,0)</f>
        <v>37</v>
      </c>
    </row>
    <row r="272" spans="1:49" x14ac:dyDescent="0.2">
      <c r="A272" s="9"/>
      <c r="B272" s="129"/>
      <c r="L272" s="157">
        <f>(L270/100)/((L270+L271)/100)</f>
        <v>0.43878175696357519</v>
      </c>
      <c r="T272" s="158"/>
      <c r="U272" s="158"/>
      <c r="V272" s="282"/>
      <c r="W272" s="158"/>
      <c r="X272" s="158"/>
      <c r="Y272" s="153"/>
      <c r="Z272" s="152">
        <f>Z270*L272</f>
        <v>-5.846288008435927</v>
      </c>
      <c r="AA272" s="153"/>
      <c r="AB272" s="153"/>
      <c r="AC272" s="152">
        <f>AC270*L272</f>
        <v>15.796143250688706</v>
      </c>
      <c r="AD272" s="153"/>
      <c r="AE272" s="103"/>
      <c r="AF272" s="103"/>
      <c r="AG272" s="103"/>
      <c r="AH272" s="154">
        <f>AH270*L272</f>
        <v>13.582051350211252</v>
      </c>
      <c r="AJ272" s="5"/>
      <c r="AK272" s="5"/>
      <c r="AL272" s="5"/>
      <c r="AN272" s="72"/>
      <c r="AO272" s="72"/>
      <c r="AP272" s="72"/>
      <c r="AQ272" s="30"/>
      <c r="AR272" s="14"/>
    </row>
    <row r="273" spans="1:50" x14ac:dyDescent="0.2">
      <c r="A273" s="9"/>
      <c r="B273" s="129"/>
      <c r="L273" s="157">
        <f>(L271/100)/((L270+L271)/100)</f>
        <v>0.56121824303642487</v>
      </c>
      <c r="T273" s="158"/>
      <c r="U273" s="158"/>
      <c r="V273" s="282"/>
      <c r="W273" s="158"/>
      <c r="X273" s="158"/>
      <c r="Y273" s="153"/>
      <c r="Z273" s="152">
        <f>Z271*L273</f>
        <v>-14.228498810650919</v>
      </c>
      <c r="AA273" s="153"/>
      <c r="AB273" s="153"/>
      <c r="AC273" s="152">
        <f>AC271*L273</f>
        <v>-7.2446863311605922E-2</v>
      </c>
      <c r="AD273" s="153"/>
      <c r="AE273" s="103"/>
      <c r="AF273" s="103"/>
      <c r="AG273" s="103"/>
      <c r="AH273" s="154">
        <f>AH271*L273</f>
        <v>3.8777930823385374</v>
      </c>
      <c r="AJ273" s="5"/>
      <c r="AK273" s="5"/>
      <c r="AL273" s="5"/>
      <c r="AN273" s="72"/>
      <c r="AO273" s="72"/>
      <c r="AP273" s="72"/>
      <c r="AQ273" s="30"/>
      <c r="AR273" s="14"/>
    </row>
    <row r="274" spans="1:50" x14ac:dyDescent="0.2">
      <c r="A274" s="9"/>
      <c r="B274" s="129"/>
      <c r="T274" s="158"/>
      <c r="U274" s="158"/>
      <c r="V274" s="282"/>
      <c r="W274" s="158"/>
      <c r="X274" s="158"/>
      <c r="Y274" s="153"/>
      <c r="Z274" s="152">
        <f>SUM(Z272:Z273)</f>
        <v>-20.074786819086846</v>
      </c>
      <c r="AA274" s="153"/>
      <c r="AB274" s="153"/>
      <c r="AC274" s="152">
        <f>SUM(AC272:AC273)</f>
        <v>15.7236963873771</v>
      </c>
      <c r="AD274" s="153"/>
      <c r="AE274" s="103"/>
      <c r="AF274" s="103"/>
      <c r="AG274" s="103"/>
      <c r="AH274" s="153">
        <f>SUM(AH272:AH273)</f>
        <v>17.45984443254979</v>
      </c>
      <c r="AI274" s="41" t="s">
        <v>629</v>
      </c>
      <c r="AJ274" s="5" t="s">
        <v>53</v>
      </c>
      <c r="AK274" s="219">
        <f>INDEX('C-P-RollAdj'!$J$4:$J$76,MATCH(INT(Z274),'C-P-RollAdj'!$I$4:$I$76,FALSE),0)</f>
        <v>-43</v>
      </c>
      <c r="AL274" s="219">
        <f>INDEX('C-P-RollAdj'!$J$4:$J$76,MATCH(INT(AC274),'C-P-RollAdj'!$I$4:$I$76,FALSE),0)</f>
        <v>33</v>
      </c>
      <c r="AM274" s="262">
        <f>SUM(AM270:AM273)</f>
        <v>36.666666666666671</v>
      </c>
      <c r="AN274" s="14">
        <f>SUM(AN270:AN273)</f>
        <v>37.222222222222229</v>
      </c>
      <c r="AO274" s="14">
        <f>SUM(AO270:AO273)</f>
        <v>0</v>
      </c>
      <c r="AP274" s="14">
        <f>SUM(AP270:AP273)</f>
        <v>157.22222222222223</v>
      </c>
      <c r="AQ274" s="30"/>
      <c r="AR274" s="14"/>
    </row>
    <row r="275" spans="1:50" x14ac:dyDescent="0.2">
      <c r="A275" s="204"/>
      <c r="B275" s="196"/>
      <c r="AN275" s="72"/>
      <c r="AO275" s="72"/>
      <c r="AP275" s="72"/>
      <c r="AQ275" s="30"/>
      <c r="AR275" s="14"/>
    </row>
    <row r="276" spans="1:50" x14ac:dyDescent="0.2">
      <c r="A276" t="s">
        <v>325</v>
      </c>
      <c r="B276" s="76" t="s">
        <v>145</v>
      </c>
      <c r="C276" s="76">
        <v>1</v>
      </c>
      <c r="D276" s="76">
        <v>0</v>
      </c>
      <c r="E276" s="76">
        <v>3.72</v>
      </c>
      <c r="F276" s="76">
        <v>9</v>
      </c>
      <c r="G276" s="76">
        <v>0</v>
      </c>
      <c r="H276" s="76">
        <v>0</v>
      </c>
      <c r="I276" s="76">
        <v>0</v>
      </c>
      <c r="J276" s="76">
        <v>0</v>
      </c>
      <c r="K276" s="76">
        <v>0</v>
      </c>
      <c r="L276" s="258">
        <f>INDEX('C-P-RollAdj'!$P$4:$P$900,MATCH((U276),'C-P-RollAdj'!$O$4:$O$900,FALSE),0)</f>
        <v>9.67</v>
      </c>
      <c r="M276" s="76">
        <v>8</v>
      </c>
      <c r="N276" s="76">
        <v>4</v>
      </c>
      <c r="O276" s="76">
        <v>4</v>
      </c>
      <c r="P276" s="76">
        <v>2</v>
      </c>
      <c r="Q276" s="76">
        <v>7</v>
      </c>
      <c r="R276" s="76">
        <v>0</v>
      </c>
      <c r="S276" s="76">
        <v>11</v>
      </c>
      <c r="T276" s="76">
        <v>44</v>
      </c>
      <c r="U276" s="76">
        <v>9.1999999999999993</v>
      </c>
      <c r="V276" s="100">
        <v>0.216</v>
      </c>
      <c r="W276" s="76">
        <v>1.55</v>
      </c>
      <c r="Y276" s="50">
        <f>+(Q276-R276)/(T276-R276)*100</f>
        <v>15.909090909090908</v>
      </c>
      <c r="Z276" s="6">
        <f>IF(Y276&lt;LeagueRatings!$K$10,((LeagueRatings!$K$10-Y276)/LeagueRatings!$K$10)*36,(LeagueRatings!$K$10-Y276)*6.48)</f>
        <v>-46.925128596715432</v>
      </c>
      <c r="AA276" s="260">
        <v>5.44</v>
      </c>
      <c r="AB276" s="16">
        <f>(P276/(T276-R276))*100</f>
        <v>4.5454545454545459</v>
      </c>
      <c r="AC276" s="6">
        <f>IF(AB276&lt;LeagueRatings!$K$8,((LeagueRatings!$K$8-AB276)/LeagueRatings!$K$8)*36,(LeagueRatings!$K$8-AB276)/LeagueRatings!$K$11)</f>
        <v>-10.665907996673527</v>
      </c>
      <c r="AD276" s="16">
        <f>INDEX('C-P-RollAdj'!$F$4:$F$76,MATCH(INT(AC276),'C-P-RollAdj'!$E$4:$E$76,FALSE),0)</f>
        <v>1.03</v>
      </c>
      <c r="AE276" s="17">
        <f>+((LeagueRatings!$I$6-E276)*5)+9.5</f>
        <v>11.908051455277402</v>
      </c>
      <c r="AF276" s="17">
        <f>IF(AE276&lt;4,4,AE276)</f>
        <v>11.908051455277402</v>
      </c>
      <c r="AG276" s="17">
        <f>IF(M276&lt;L276,((1-(M276/L276))*7)-0.07,(1-(M276/L276))*5)</f>
        <v>1.1388934850051706</v>
      </c>
      <c r="AH276" s="4">
        <f>+AA276+AD276+AF276+AG276</f>
        <v>19.516944940282571</v>
      </c>
      <c r="AJ276" s="5" t="s">
        <v>63</v>
      </c>
      <c r="AK276" s="219" t="e">
        <f>INDEX('C-P-RollAdj'!$J$4:$J$76,MATCH(INT(Z276),'C-P-RollAdj'!$I$4:$I$76,FALSE),0)</f>
        <v>#N/A</v>
      </c>
      <c r="AL276" s="219">
        <f>INDEX('C-P-RollAdj'!$J$4:$J$76,MATCH(INT(AC276),'C-P-RollAdj'!$I$4:$I$76,FALSE),0)</f>
        <v>-25</v>
      </c>
      <c r="AM276" s="262">
        <f>+AR276*LeagueRatings!$K$27</f>
        <v>5.5555555555555554</v>
      </c>
      <c r="AN276" s="72">
        <f>F276*LeagueRatings!$K$27</f>
        <v>5</v>
      </c>
      <c r="AO276" s="72">
        <f>G276*LeagueRatings!$K$27</f>
        <v>0</v>
      </c>
      <c r="AP276" s="72">
        <f>T276*LeagueRatings!$K$27</f>
        <v>24.444444444444446</v>
      </c>
      <c r="AQ276" s="28"/>
      <c r="AR276" s="72">
        <f>ROUNDUP(L276,0)</f>
        <v>10</v>
      </c>
    </row>
    <row r="277" spans="1:50" s="24" customFormat="1" x14ac:dyDescent="0.2">
      <c r="A277" s="41" t="s">
        <v>325</v>
      </c>
      <c r="B277" s="76" t="s">
        <v>160</v>
      </c>
      <c r="C277" s="76">
        <v>1</v>
      </c>
      <c r="D277" s="76">
        <v>0</v>
      </c>
      <c r="E277" s="76">
        <v>3.6</v>
      </c>
      <c r="F277" s="76">
        <v>21</v>
      </c>
      <c r="G277" s="76">
        <v>0</v>
      </c>
      <c r="H277" s="76">
        <v>0</v>
      </c>
      <c r="I277" s="76">
        <v>0</v>
      </c>
      <c r="J277" s="76">
        <v>0</v>
      </c>
      <c r="K277" s="76">
        <v>1</v>
      </c>
      <c r="L277" s="258">
        <f>INDEX('C-P-RollAdj'!$P$4:$P$900,MATCH((U277),'C-P-RollAdj'!$O$4:$O$900,FALSE),0)</f>
        <v>20</v>
      </c>
      <c r="M277" s="76">
        <v>14</v>
      </c>
      <c r="N277" s="76">
        <v>8</v>
      </c>
      <c r="O277" s="76">
        <v>8</v>
      </c>
      <c r="P277" s="76">
        <v>0</v>
      </c>
      <c r="Q277" s="76">
        <v>7</v>
      </c>
      <c r="R277" s="76">
        <v>1</v>
      </c>
      <c r="S277" s="76">
        <v>26</v>
      </c>
      <c r="T277" s="76">
        <v>80</v>
      </c>
      <c r="U277" s="76">
        <v>20</v>
      </c>
      <c r="V277" s="100">
        <v>0.2</v>
      </c>
      <c r="W277" s="76">
        <v>1.05</v>
      </c>
      <c r="X277" s="76"/>
      <c r="Y277" s="50">
        <f>+(Q277-R277)/(T277-R277)*100</f>
        <v>7.59493670886076</v>
      </c>
      <c r="Z277" s="6">
        <f>IF(Y277&lt;LeagueRatings!$K$21,((LeagueRatings!$K$21-Y277)/LeagueRatings!$K$21)*36,(LeagueRatings!$K$21-Y277)*6.48)</f>
        <v>5.4608236769824954</v>
      </c>
      <c r="AA277" s="16">
        <f>INDEX('C-P-RollAdj'!$B$4:$B$76,MATCH(INT(Z277),'C-P-RollAdj'!$A$4:$A$76,FALSE),0)</f>
        <v>-0.4</v>
      </c>
      <c r="AB277" s="16">
        <f>(P277/(T277-R277))*100</f>
        <v>0</v>
      </c>
      <c r="AC277" s="6">
        <f>IF(AB277&lt;LeagueRatings!$K$19,((LeagueRatings!$K$19-AB277)/LeagueRatings!$K$19)*36,(LeagueRatings!$K$19-AB277)/LeagueRatings!$K$22)</f>
        <v>36</v>
      </c>
      <c r="AD277" s="16">
        <f>INDEX('C-P-RollAdj'!$F$4:$F$76,MATCH(INT(AC277),'C-P-RollAdj'!$E$4:$E$76,FALSE),0)</f>
        <v>-3.26</v>
      </c>
      <c r="AE277" s="17">
        <f>+((LeagueRatings!$I$6-E277)*5)+9.5</f>
        <v>12.508051455277403</v>
      </c>
      <c r="AF277" s="17">
        <f>IF(AE277&lt;4,4,AE277)</f>
        <v>12.508051455277403</v>
      </c>
      <c r="AG277" s="17">
        <f>IF(M277&lt;L277,((1-(M277/L277))*7)-0.07,(1-(M277/L277))*5)</f>
        <v>2.0300000000000007</v>
      </c>
      <c r="AH277" s="4">
        <f>+AA277+AD277+AF277+AG277</f>
        <v>10.878051455277404</v>
      </c>
      <c r="AJ277" s="5" t="s">
        <v>28</v>
      </c>
      <c r="AK277" s="219">
        <f>INDEX('C-P-RollAdj'!$J$4:$J$76,MATCH(INT(Z277),'C-P-RollAdj'!$I$4:$I$76,FALSE),0)</f>
        <v>15</v>
      </c>
      <c r="AL277" s="219">
        <f>INDEX('C-P-RollAdj'!$J$4:$J$76,MATCH(INT(AC277),'C-P-RollAdj'!$I$4:$I$76,FALSE),0)</f>
        <v>66</v>
      </c>
      <c r="AM277" s="262">
        <f>+AR277*LeagueRatings!$K$27</f>
        <v>11.111111111111111</v>
      </c>
      <c r="AN277" s="72">
        <f>F277*LeagueRatings!$K$27</f>
        <v>11.666666666666668</v>
      </c>
      <c r="AO277" s="72">
        <f>G277*LeagueRatings!$K$27</f>
        <v>0</v>
      </c>
      <c r="AP277" s="72">
        <f>T277*LeagueRatings!$K$27</f>
        <v>44.444444444444443</v>
      </c>
      <c r="AQ277" s="28"/>
      <c r="AR277" s="72">
        <f>ROUNDUP(L277,0)</f>
        <v>20</v>
      </c>
      <c r="AS277" s="113"/>
      <c r="AT277" s="113"/>
      <c r="AU277" s="113"/>
      <c r="AV277" s="28"/>
      <c r="AW277" s="97">
        <v>56.67</v>
      </c>
      <c r="AX277" s="28"/>
    </row>
    <row r="278" spans="1:50" x14ac:dyDescent="0.2">
      <c r="A278" s="9"/>
      <c r="B278" s="129"/>
      <c r="L278" s="157">
        <f>(L276/100)/((L276+L277)/100)</f>
        <v>0.32591843613077176</v>
      </c>
      <c r="T278" s="158"/>
      <c r="U278" s="158"/>
      <c r="V278" s="282"/>
      <c r="W278" s="158"/>
      <c r="X278" s="158"/>
      <c r="Y278" s="153"/>
      <c r="Z278" s="152">
        <f>Z276*L278</f>
        <v>-15.293764527476849</v>
      </c>
      <c r="AA278" s="153"/>
      <c r="AB278" s="153"/>
      <c r="AC278" s="152">
        <f>AC276*L278</f>
        <v>-3.4762160541905285</v>
      </c>
      <c r="AD278" s="153"/>
      <c r="AE278" s="103"/>
      <c r="AF278" s="103"/>
      <c r="AG278" s="103"/>
      <c r="AH278" s="154">
        <f>AH276*L278</f>
        <v>6.3609321729872743</v>
      </c>
      <c r="AJ278" s="5"/>
      <c r="AK278" s="5"/>
      <c r="AL278" s="5"/>
      <c r="AN278" s="72"/>
      <c r="AO278" s="72"/>
      <c r="AP278" s="72"/>
      <c r="AQ278" s="30"/>
      <c r="AR278" s="14"/>
    </row>
    <row r="279" spans="1:50" x14ac:dyDescent="0.2">
      <c r="A279" s="9"/>
      <c r="B279" s="129"/>
      <c r="L279" s="157">
        <f>(L277/100)/((L276+L277)/100)</f>
        <v>0.67408156386922813</v>
      </c>
      <c r="T279" s="158"/>
      <c r="U279" s="158"/>
      <c r="V279" s="282"/>
      <c r="W279" s="158"/>
      <c r="X279" s="158"/>
      <c r="Y279" s="153"/>
      <c r="Z279" s="152">
        <f>Z277*L279</f>
        <v>3.6810405641944692</v>
      </c>
      <c r="AA279" s="153"/>
      <c r="AB279" s="153"/>
      <c r="AC279" s="152">
        <f>AC277*L279</f>
        <v>24.266936299292212</v>
      </c>
      <c r="AD279" s="153"/>
      <c r="AE279" s="103"/>
      <c r="AF279" s="103"/>
      <c r="AG279" s="103"/>
      <c r="AH279" s="154">
        <f>AH277*L279</f>
        <v>7.3326939368233255</v>
      </c>
      <c r="AJ279" s="5"/>
      <c r="AK279" s="5"/>
      <c r="AL279" s="5"/>
      <c r="AN279" s="72"/>
      <c r="AO279" s="72"/>
      <c r="AP279" s="72"/>
      <c r="AQ279" s="30"/>
      <c r="AR279" s="14"/>
    </row>
    <row r="280" spans="1:50" x14ac:dyDescent="0.2">
      <c r="A280" s="9"/>
      <c r="B280" s="129"/>
      <c r="T280" s="158"/>
      <c r="U280" s="158"/>
      <c r="V280" s="282"/>
      <c r="W280" s="158"/>
      <c r="X280" s="158"/>
      <c r="Y280" s="153"/>
      <c r="Z280" s="152">
        <f>SUM(Z278:Z279)</f>
        <v>-11.612723963282381</v>
      </c>
      <c r="AA280" s="153"/>
      <c r="AB280" s="153"/>
      <c r="AC280" s="152">
        <f>SUM(AC278:AC279)</f>
        <v>20.790720245101681</v>
      </c>
      <c r="AD280" s="153"/>
      <c r="AE280" s="103"/>
      <c r="AF280" s="103"/>
      <c r="AG280" s="103"/>
      <c r="AH280" s="153">
        <f>SUM(AH278:AH279)</f>
        <v>13.6936261098106</v>
      </c>
      <c r="AI280" s="41" t="s">
        <v>325</v>
      </c>
      <c r="AJ280" s="5" t="s">
        <v>21</v>
      </c>
      <c r="AK280" s="219">
        <f>INDEX('C-P-RollAdj'!$J$4:$J$76,MATCH(INT(Z280),'C-P-RollAdj'!$I$4:$I$76,FALSE),0)</f>
        <v>-26</v>
      </c>
      <c r="AL280" s="219">
        <f>INDEX('C-P-RollAdj'!$J$4:$J$76,MATCH(INT(AC280),'C-P-RollAdj'!$I$4:$I$76,FALSE),0)</f>
        <v>42</v>
      </c>
      <c r="AM280" s="262">
        <f>SUM(AM276:AM279)</f>
        <v>16.666666666666664</v>
      </c>
      <c r="AN280" s="14">
        <f>SUM(AN276:AN279)</f>
        <v>16.666666666666668</v>
      </c>
      <c r="AO280" s="14">
        <f>SUM(AO276:AO279)</f>
        <v>0</v>
      </c>
      <c r="AP280" s="14">
        <f>SUM(AP276:AP279)</f>
        <v>68.888888888888886</v>
      </c>
      <c r="AQ280" s="30"/>
      <c r="AR280" s="14"/>
    </row>
    <row r="281" spans="1:50" x14ac:dyDescent="0.2">
      <c r="A281" s="204"/>
      <c r="B281" s="196"/>
      <c r="AN281" s="72"/>
      <c r="AO281" s="72"/>
      <c r="AP281" s="72"/>
      <c r="AQ281" s="30"/>
      <c r="AR281" s="14"/>
    </row>
    <row r="282" spans="1:50" x14ac:dyDescent="0.2">
      <c r="A282" t="s">
        <v>471</v>
      </c>
      <c r="B282" s="76" t="s">
        <v>153</v>
      </c>
      <c r="C282" s="76">
        <v>1</v>
      </c>
      <c r="D282" s="76">
        <v>0</v>
      </c>
      <c r="E282" s="76">
        <v>3</v>
      </c>
      <c r="F282" s="76">
        <v>56</v>
      </c>
      <c r="G282" s="76">
        <v>0</v>
      </c>
      <c r="H282" s="76">
        <v>0</v>
      </c>
      <c r="I282" s="76">
        <v>0</v>
      </c>
      <c r="J282" s="76">
        <v>0</v>
      </c>
      <c r="K282" s="76">
        <v>1</v>
      </c>
      <c r="L282" s="258">
        <f>INDEX('C-P-RollAdj'!$P$4:$P$900,MATCH((U282),'C-P-RollAdj'!$O$4:$O$900,FALSE),0)</f>
        <v>36</v>
      </c>
      <c r="M282" s="76">
        <v>38</v>
      </c>
      <c r="N282" s="76">
        <v>14</v>
      </c>
      <c r="O282" s="76">
        <v>12</v>
      </c>
      <c r="P282" s="76">
        <v>1</v>
      </c>
      <c r="Q282" s="76">
        <v>24</v>
      </c>
      <c r="R282" s="76">
        <v>6</v>
      </c>
      <c r="S282" s="76">
        <v>37</v>
      </c>
      <c r="T282" s="76">
        <v>169</v>
      </c>
      <c r="U282" s="76">
        <v>36</v>
      </c>
      <c r="V282" s="100">
        <v>0.26600000000000001</v>
      </c>
      <c r="W282" s="76">
        <v>1.72</v>
      </c>
      <c r="Y282" s="50">
        <f>+(Q282-R282)/(T282-R282)*100</f>
        <v>11.042944785276074</v>
      </c>
      <c r="Z282" s="6">
        <f>IF(Y282&lt;LeagueRatings!$K$10,((LeagueRatings!$K$10-Y282)/LeagueRatings!$K$10)*36,(LeagueRatings!$K$10-Y282)*6.48)</f>
        <v>-15.3925017143953</v>
      </c>
      <c r="AA282" s="16">
        <f>INDEX('C-P-RollAdj'!$B$4:$B$76,MATCH(INT(Z282),'C-P-RollAdj'!$A$4:$A$76,FALSE),0)</f>
        <v>1.7799999999999998</v>
      </c>
      <c r="AB282" s="16">
        <f>(P282/(T282-R282))*100</f>
        <v>0.61349693251533743</v>
      </c>
      <c r="AC282" s="6">
        <f>IF(AB282&lt;LeagueRatings!$K$8,((LeagueRatings!$K$8-AB282)/LeagueRatings!$K$8)*36,(LeagueRatings!$K$8-AB282)/LeagueRatings!$K$11)</f>
        <v>29.102939515977265</v>
      </c>
      <c r="AD282" s="16">
        <f>INDEX('C-P-RollAdj'!$F$4:$F$76,MATCH(INT(AC282),'C-P-RollAdj'!$E$4:$E$76,FALSE),0)</f>
        <v>-2.4899999999999998</v>
      </c>
      <c r="AE282" s="17">
        <f>+((LeagueRatings!$I$6-E282)*5)+9.5</f>
        <v>15.508051455277403</v>
      </c>
      <c r="AF282" s="17">
        <f>IF(AE282&lt;4,4,AE282)</f>
        <v>15.508051455277403</v>
      </c>
      <c r="AG282" s="17">
        <f>IF(M282&lt;L282,((1-(M282/L282))*7)-0.07,(1-(M282/L282))*5)</f>
        <v>-0.2777777777777779</v>
      </c>
      <c r="AH282" s="4">
        <f>+AA282+AD282+AF282+AG282</f>
        <v>14.520273677499624</v>
      </c>
      <c r="AJ282" s="7" t="s">
        <v>19</v>
      </c>
      <c r="AK282" s="219">
        <f>INDEX('C-P-RollAdj'!$J$4:$J$76,MATCH(INT(Z282),'C-P-RollAdj'!$I$4:$I$76,FALSE),0)</f>
        <v>-34</v>
      </c>
      <c r="AL282" s="219">
        <f>INDEX('C-P-RollAdj'!$J$4:$J$76,MATCH(INT(AC282),'C-P-RollAdj'!$I$4:$I$76,FALSE),0)</f>
        <v>55</v>
      </c>
      <c r="AM282" s="262">
        <f>+AR282*LeagueRatings!$K$27</f>
        <v>20</v>
      </c>
      <c r="AN282" s="72">
        <f>F282*LeagueRatings!$K$27</f>
        <v>31.111111111111114</v>
      </c>
      <c r="AO282" s="72">
        <f>G282*LeagueRatings!$K$27</f>
        <v>0</v>
      </c>
      <c r="AP282" s="72">
        <f>T282*LeagueRatings!$K$27</f>
        <v>93.8888888888889</v>
      </c>
      <c r="AQ282" s="26"/>
      <c r="AR282" s="72">
        <f>ROUNDUP(L282,0)</f>
        <v>36</v>
      </c>
    </row>
    <row r="283" spans="1:50" s="26" customFormat="1" x14ac:dyDescent="0.2">
      <c r="A283" s="41" t="s">
        <v>471</v>
      </c>
      <c r="B283" s="76" t="s">
        <v>173</v>
      </c>
      <c r="C283" s="76">
        <v>0</v>
      </c>
      <c r="D283" s="76">
        <v>0</v>
      </c>
      <c r="E283" s="76">
        <v>1.54</v>
      </c>
      <c r="F283" s="76">
        <v>14</v>
      </c>
      <c r="G283" s="76">
        <v>0</v>
      </c>
      <c r="H283" s="76">
        <v>0</v>
      </c>
      <c r="I283" s="76">
        <v>0</v>
      </c>
      <c r="J283" s="76">
        <v>0</v>
      </c>
      <c r="K283" s="76">
        <v>0</v>
      </c>
      <c r="L283" s="258">
        <f>INDEX('C-P-RollAdj'!$P$4:$P$900,MATCH((U283),'C-P-RollAdj'!$O$4:$O$900,FALSE),0)</f>
        <v>11.67</v>
      </c>
      <c r="M283" s="76">
        <v>8</v>
      </c>
      <c r="N283" s="76">
        <v>3</v>
      </c>
      <c r="O283" s="76">
        <v>2</v>
      </c>
      <c r="P283" s="76">
        <v>0</v>
      </c>
      <c r="Q283" s="76">
        <v>5</v>
      </c>
      <c r="R283" s="76">
        <v>2</v>
      </c>
      <c r="S283" s="76">
        <v>9</v>
      </c>
      <c r="T283" s="76">
        <v>46</v>
      </c>
      <c r="U283" s="76">
        <v>11.2</v>
      </c>
      <c r="V283" s="100">
        <v>0.216</v>
      </c>
      <c r="W283" s="76">
        <v>1.1100000000000001</v>
      </c>
      <c r="X283" s="76"/>
      <c r="Y283" s="50">
        <f>+(Q283-R283)/(T283-R283)*100</f>
        <v>6.8181818181818175</v>
      </c>
      <c r="Z283" s="6">
        <f>IF(Y283&lt;LeagueRatings!$K$21,((LeagueRatings!$K$21-Y283)/LeagueRatings!$K$21)*36,(LeagueRatings!$K$21-Y283)*6.48)</f>
        <v>8.584148528200199</v>
      </c>
      <c r="AA283" s="16">
        <f>INDEX('C-P-RollAdj'!$B$4:$B$76,MATCH(INT(Z283),'C-P-RollAdj'!$A$4:$A$76,FALSE),0)</f>
        <v>-0.65</v>
      </c>
      <c r="AB283" s="16">
        <f>(P283/(T283-R283))*100</f>
        <v>0</v>
      </c>
      <c r="AC283" s="6">
        <f>IF(AB283&lt;LeagueRatings!$K$19,((LeagueRatings!$K$19-AB283)/LeagueRatings!$K$19)*36,(LeagueRatings!$K$19-AB283)/LeagueRatings!$K$22)</f>
        <v>36</v>
      </c>
      <c r="AD283" s="16">
        <f>INDEX('C-P-RollAdj'!$F$4:$F$76,MATCH(INT(AC283),'C-P-RollAdj'!$E$4:$E$76,FALSE),0)</f>
        <v>-3.26</v>
      </c>
      <c r="AE283" s="17">
        <f>+((LeagueRatings!$I$6-E283)*5)+9.5</f>
        <v>22.808051455277404</v>
      </c>
      <c r="AF283" s="17">
        <f>IF(AE283&lt;4,4,AE283)</f>
        <v>22.808051455277404</v>
      </c>
      <c r="AG283" s="17">
        <f>IF(M283&lt;L283,((1-(M283/L283))*7)-0.07,(1-(M283/L283))*5)</f>
        <v>2.1313710368466157</v>
      </c>
      <c r="AH283" s="4">
        <f>+AA283+AD283+AF283+AG283</f>
        <v>21.02942249212402</v>
      </c>
      <c r="AJ283" s="7" t="s">
        <v>50</v>
      </c>
      <c r="AK283" s="219">
        <f>INDEX('C-P-RollAdj'!$J$4:$J$76,MATCH(INT(Z283),'C-P-RollAdj'!$I$4:$I$76,FALSE),0)</f>
        <v>22</v>
      </c>
      <c r="AL283" s="219">
        <f>INDEX('C-P-RollAdj'!$J$4:$J$76,MATCH(INT(AC283),'C-P-RollAdj'!$I$4:$I$76,FALSE),0)</f>
        <v>66</v>
      </c>
      <c r="AM283" s="262">
        <f>+AR283*LeagueRatings!$K$27</f>
        <v>6.666666666666667</v>
      </c>
      <c r="AN283" s="72">
        <f>F283*LeagueRatings!$K$27</f>
        <v>7.7777777777777786</v>
      </c>
      <c r="AO283" s="72">
        <f>G283*LeagueRatings!$K$27</f>
        <v>0</v>
      </c>
      <c r="AP283" s="72">
        <f>T283*LeagueRatings!$K$27</f>
        <v>25.555555555555557</v>
      </c>
      <c r="AR283" s="72">
        <f>ROUNDUP(L283,0)</f>
        <v>12</v>
      </c>
      <c r="AS283" s="113"/>
      <c r="AT283" s="113"/>
      <c r="AU283" s="113"/>
      <c r="AW283" s="97">
        <v>16.670000000000002</v>
      </c>
    </row>
    <row r="284" spans="1:50" x14ac:dyDescent="0.2">
      <c r="A284" s="9"/>
      <c r="B284" s="129"/>
      <c r="L284" s="157">
        <f>(L282/100)/((L282+L283)/100)</f>
        <v>0.75519194461925732</v>
      </c>
      <c r="T284" s="158"/>
      <c r="U284" s="158"/>
      <c r="V284" s="282"/>
      <c r="W284" s="158"/>
      <c r="X284" s="158"/>
      <c r="Y284" s="153"/>
      <c r="Z284" s="152">
        <f>Z282*L284</f>
        <v>-11.624293302249438</v>
      </c>
      <c r="AA284" s="153"/>
      <c r="AB284" s="153"/>
      <c r="AC284" s="152">
        <f>AC282*L284</f>
        <v>21.9783054872075</v>
      </c>
      <c r="AD284" s="153"/>
      <c r="AE284" s="103"/>
      <c r="AF284" s="103"/>
      <c r="AG284" s="103"/>
      <c r="AH284" s="154">
        <f>AH282*L284</f>
        <v>10.965593714914755</v>
      </c>
      <c r="AJ284" s="5"/>
      <c r="AK284" s="5"/>
      <c r="AL284" s="5"/>
      <c r="AN284" s="72"/>
      <c r="AO284" s="72"/>
      <c r="AP284" s="72"/>
      <c r="AQ284" s="30"/>
      <c r="AR284" s="14"/>
    </row>
    <row r="285" spans="1:50" x14ac:dyDescent="0.2">
      <c r="A285" s="9"/>
      <c r="B285" s="129"/>
      <c r="L285" s="157">
        <f>(L283/100)/((L282+L283)/100)</f>
        <v>0.2448080553807426</v>
      </c>
      <c r="T285" s="158"/>
      <c r="U285" s="158"/>
      <c r="V285" s="282"/>
      <c r="W285" s="158"/>
      <c r="X285" s="158"/>
      <c r="Y285" s="153"/>
      <c r="Z285" s="152">
        <f>Z283*L285</f>
        <v>2.1014687082881545</v>
      </c>
      <c r="AA285" s="153"/>
      <c r="AB285" s="153"/>
      <c r="AC285" s="152">
        <f>AC283*L285</f>
        <v>8.8130899937067344</v>
      </c>
      <c r="AD285" s="153"/>
      <c r="AE285" s="103"/>
      <c r="AF285" s="103"/>
      <c r="AG285" s="103"/>
      <c r="AH285" s="154">
        <f>AH283*L285</f>
        <v>5.1481720260769315</v>
      </c>
      <c r="AJ285" s="5"/>
      <c r="AK285" s="5"/>
      <c r="AL285" s="5"/>
      <c r="AN285" s="72"/>
      <c r="AO285" s="72"/>
      <c r="AP285" s="72"/>
      <c r="AQ285" s="30"/>
      <c r="AR285" s="14"/>
    </row>
    <row r="286" spans="1:50" x14ac:dyDescent="0.2">
      <c r="A286" s="9"/>
      <c r="B286" s="129"/>
      <c r="T286" s="158"/>
      <c r="U286" s="158"/>
      <c r="V286" s="282"/>
      <c r="W286" s="158"/>
      <c r="X286" s="158"/>
      <c r="Y286" s="153"/>
      <c r="Z286" s="152">
        <f>SUM(Z284:Z285)</f>
        <v>-9.5228245939612837</v>
      </c>
      <c r="AA286" s="153"/>
      <c r="AB286" s="153"/>
      <c r="AC286" s="152">
        <f>SUM(AC284:AC285)</f>
        <v>30.791395480914233</v>
      </c>
      <c r="AD286" s="153"/>
      <c r="AE286" s="103"/>
      <c r="AF286" s="103"/>
      <c r="AG286" s="103"/>
      <c r="AH286" s="153">
        <f>SUM(AH284:AH285)</f>
        <v>16.113765740991688</v>
      </c>
      <c r="AI286" s="41" t="s">
        <v>471</v>
      </c>
      <c r="AJ286" s="5" t="s">
        <v>31</v>
      </c>
      <c r="AK286" s="219">
        <f>INDEX('C-P-RollAdj'!$J$4:$J$76,MATCH(INT(Z286),'C-P-RollAdj'!$I$4:$I$76,FALSE),0)</f>
        <v>-24</v>
      </c>
      <c r="AL286" s="219">
        <f>INDEX('C-P-RollAdj'!$J$4:$J$76,MATCH(INT(AC286),'C-P-RollAdj'!$I$4:$I$76,FALSE),0)</f>
        <v>56</v>
      </c>
      <c r="AM286" s="262">
        <f>SUM(AM282:AM285)</f>
        <v>26.666666666666668</v>
      </c>
      <c r="AN286" s="14">
        <f>SUM(AN282:AN285)</f>
        <v>38.888888888888893</v>
      </c>
      <c r="AO286" s="14">
        <f>SUM(AO282:AO285)</f>
        <v>0</v>
      </c>
      <c r="AP286" s="14">
        <f>SUM(AP282:AP285)</f>
        <v>119.44444444444446</v>
      </c>
      <c r="AQ286" s="30"/>
      <c r="AR286" s="14"/>
    </row>
    <row r="287" spans="1:50" x14ac:dyDescent="0.2">
      <c r="A287" s="204"/>
      <c r="B287" s="196"/>
      <c r="AN287" s="72"/>
      <c r="AO287" s="72"/>
      <c r="AP287" s="72"/>
      <c r="AQ287" s="30"/>
      <c r="AR287" s="14"/>
    </row>
    <row r="288" spans="1:50" x14ac:dyDescent="0.2">
      <c r="A288" t="s">
        <v>469</v>
      </c>
      <c r="B288" s="76" t="s">
        <v>143</v>
      </c>
      <c r="C288" s="76">
        <v>3</v>
      </c>
      <c r="D288" s="76">
        <v>6</v>
      </c>
      <c r="E288" s="76">
        <v>4.47</v>
      </c>
      <c r="F288" s="76">
        <v>58</v>
      </c>
      <c r="G288" s="76">
        <v>0</v>
      </c>
      <c r="H288" s="76">
        <v>0</v>
      </c>
      <c r="I288" s="76">
        <v>0</v>
      </c>
      <c r="J288" s="76">
        <v>6</v>
      </c>
      <c r="K288" s="76">
        <v>11</v>
      </c>
      <c r="L288" s="258">
        <f>INDEX('C-P-RollAdj'!$P$4:$P$900,MATCH((U288),'C-P-RollAdj'!$O$4:$O$900,FALSE),0)</f>
        <v>56.33</v>
      </c>
      <c r="M288" s="76">
        <v>52</v>
      </c>
      <c r="N288" s="76">
        <v>28</v>
      </c>
      <c r="O288" s="76">
        <v>28</v>
      </c>
      <c r="P288" s="76">
        <v>9</v>
      </c>
      <c r="Q288" s="76">
        <v>19</v>
      </c>
      <c r="R288" s="76">
        <v>1</v>
      </c>
      <c r="S288" s="76">
        <v>45</v>
      </c>
      <c r="T288" s="76">
        <v>231</v>
      </c>
      <c r="U288" s="76">
        <v>56.1</v>
      </c>
      <c r="V288" s="100">
        <v>0.248</v>
      </c>
      <c r="W288" s="76">
        <v>1.26</v>
      </c>
      <c r="Y288" s="50">
        <f>+(Q288-R288)/(T288-R288)*100</f>
        <v>7.8260869565217401</v>
      </c>
      <c r="Z288" s="6">
        <f>IF(Y288&lt;LeagueRatings!$K$10,((LeagueRatings!$K$10-Y288)/LeagueRatings!$K$10)*36,(LeagueRatings!$K$10-Y288)*6.48)</f>
        <v>3.4949845056256863</v>
      </c>
      <c r="AA288" s="16">
        <f>INDEX('C-P-RollAdj'!$B$4:$B$76,MATCH(INT(Z288),'C-P-RollAdj'!$A$4:$A$76,FALSE),0)</f>
        <v>-0.24</v>
      </c>
      <c r="AB288" s="16">
        <f>(P288/(T288-R288))*100</f>
        <v>3.9130434782608701</v>
      </c>
      <c r="AC288" s="6">
        <f>IF(AB288&lt;LeagueRatings!$K$8,((LeagueRatings!$K$8-AB288)/LeagueRatings!$K$8)*36,(LeagueRatings!$K$8-AB288)/LeagueRatings!$K$11)</f>
        <v>-5.6442779091917714</v>
      </c>
      <c r="AD288" s="16">
        <f>INDEX('C-P-RollAdj'!$F$4:$F$76,MATCH(INT(AC288),'C-P-RollAdj'!$E$4:$E$76,FALSE),0)</f>
        <v>0.51</v>
      </c>
      <c r="AE288" s="17">
        <f>+((LeagueRatings!$I$6-E288)*5)+9.5</f>
        <v>8.1580514552774055</v>
      </c>
      <c r="AF288" s="17">
        <f>IF(AE288&lt;4,4,AE288)</f>
        <v>8.1580514552774055</v>
      </c>
      <c r="AG288" s="17">
        <f>IF(M288&lt;L288,((1-(M288/L288))*7)-0.07,(1-(M288/L288))*5)</f>
        <v>0.46807917628262002</v>
      </c>
      <c r="AH288" s="4">
        <f>+AA288+AD288+AF288+AG288</f>
        <v>8.896130631560025</v>
      </c>
      <c r="AJ288" s="5" t="s">
        <v>63</v>
      </c>
      <c r="AK288" s="219">
        <f>INDEX('C-P-RollAdj'!$J$4:$J$76,MATCH(INT(Z288),'C-P-RollAdj'!$I$4:$I$76,FALSE),0)</f>
        <v>13</v>
      </c>
      <c r="AL288" s="219">
        <f>INDEX('C-P-RollAdj'!$J$4:$J$76,MATCH(INT(AC288),'C-P-RollAdj'!$I$4:$I$76,FALSE),0)</f>
        <v>-16</v>
      </c>
      <c r="AM288" s="262">
        <f>+AR288*LeagueRatings!$K$27</f>
        <v>31.666666666666668</v>
      </c>
      <c r="AN288" s="72">
        <f>F288*LeagueRatings!$K$27</f>
        <v>32.222222222222221</v>
      </c>
      <c r="AO288" s="72">
        <f>G288*LeagueRatings!$K$27</f>
        <v>0</v>
      </c>
      <c r="AP288" s="72">
        <f>T288*LeagueRatings!$K$27</f>
        <v>128.33333333333334</v>
      </c>
      <c r="AQ288"/>
      <c r="AR288" s="72">
        <f>ROUNDUP(L288,0)</f>
        <v>57</v>
      </c>
    </row>
    <row r="289" spans="1:50" s="24" customFormat="1" x14ac:dyDescent="0.2">
      <c r="A289" s="41" t="s">
        <v>469</v>
      </c>
      <c r="B289" s="76" t="s">
        <v>167</v>
      </c>
      <c r="C289" s="76">
        <v>0</v>
      </c>
      <c r="D289" s="76">
        <v>1</v>
      </c>
      <c r="E289" s="76">
        <v>2.08</v>
      </c>
      <c r="F289" s="76">
        <v>17</v>
      </c>
      <c r="G289" s="76">
        <v>0</v>
      </c>
      <c r="H289" s="76">
        <v>0</v>
      </c>
      <c r="I289" s="76">
        <v>0</v>
      </c>
      <c r="J289" s="76">
        <v>0</v>
      </c>
      <c r="K289" s="76">
        <v>0</v>
      </c>
      <c r="L289" s="258">
        <f>INDEX('C-P-RollAdj'!$P$4:$P$900,MATCH((U289),'C-P-RollAdj'!$O$4:$O$900,FALSE),0)</f>
        <v>17.329999999999998</v>
      </c>
      <c r="M289" s="76">
        <v>11</v>
      </c>
      <c r="N289" s="76">
        <v>4</v>
      </c>
      <c r="O289" s="76">
        <v>4</v>
      </c>
      <c r="P289" s="76">
        <v>3</v>
      </c>
      <c r="Q289" s="76">
        <v>0</v>
      </c>
      <c r="R289" s="76">
        <v>0</v>
      </c>
      <c r="S289" s="76">
        <v>19</v>
      </c>
      <c r="T289" s="76">
        <v>62</v>
      </c>
      <c r="U289" s="76">
        <v>17.100000000000001</v>
      </c>
      <c r="V289" s="100">
        <v>0.17699999999999999</v>
      </c>
      <c r="W289" s="76">
        <v>0.63</v>
      </c>
      <c r="X289" s="76"/>
      <c r="Y289" s="50">
        <f>+(Q289-R289)/(T289-R289)*100</f>
        <v>0</v>
      </c>
      <c r="Z289" s="6">
        <f>IF(Y289&lt;LeagueRatings!$K$21,((LeagueRatings!$K$21-Y289)/LeagueRatings!$K$21)*36,(LeagueRatings!$K$21-Y289)*6.48)</f>
        <v>36</v>
      </c>
      <c r="AA289" s="16">
        <f>INDEX('C-P-RollAdj'!$B$4:$B$76,MATCH(INT(Z289),'C-P-RollAdj'!$A$4:$A$76,FALSE),0)</f>
        <v>-3.62</v>
      </c>
      <c r="AB289" s="16">
        <f>(P289/(T289-R289))*100</f>
        <v>4.838709677419355</v>
      </c>
      <c r="AC289" s="6">
        <f>IF(AB289&lt;LeagueRatings!$K$19,((LeagueRatings!$K$19-AB289)/LeagueRatings!$K$19)*36,(LeagueRatings!$K$19-AB289)/LeagueRatings!$K$22)</f>
        <v>-15.600094413847366</v>
      </c>
      <c r="AD289" s="16">
        <f>INDEX('C-P-RollAdj'!$F$4:$F$76,MATCH(INT(AC289),'C-P-RollAdj'!$E$4:$E$76,FALSE),0)</f>
        <v>1.63</v>
      </c>
      <c r="AE289" s="17">
        <f>+((LeagueRatings!$I$6-E289)*5)+9.5</f>
        <v>20.108051455277405</v>
      </c>
      <c r="AF289" s="17">
        <f>IF(AE289&lt;4,4,AE289)</f>
        <v>20.108051455277405</v>
      </c>
      <c r="AG289" s="17">
        <f>IF(M289&lt;L289,((1-(M289/L289))*7)-0.07,(1-(M289/L289))*5)</f>
        <v>2.486837853433352</v>
      </c>
      <c r="AH289" s="4">
        <f>+AA289+AD289+AF289+AG289</f>
        <v>20.604889308710753</v>
      </c>
      <c r="AJ289" s="5" t="s">
        <v>34</v>
      </c>
      <c r="AK289" s="219">
        <f>INDEX('C-P-RollAdj'!$J$4:$J$76,MATCH(INT(Z289),'C-P-RollAdj'!$I$4:$I$76,FALSE),0)</f>
        <v>66</v>
      </c>
      <c r="AL289" s="219">
        <f>INDEX('C-P-RollAdj'!$J$4:$J$76,MATCH(INT(AC289),'C-P-RollAdj'!$I$4:$I$76,FALSE),0)</f>
        <v>-34</v>
      </c>
      <c r="AM289" s="262">
        <f>+AR289*LeagueRatings!$K$27</f>
        <v>10</v>
      </c>
      <c r="AN289" s="72">
        <f>F289*LeagueRatings!$K$27</f>
        <v>9.4444444444444446</v>
      </c>
      <c r="AO289" s="72">
        <f>G289*LeagueRatings!$K$27</f>
        <v>0</v>
      </c>
      <c r="AP289" s="72">
        <f>T289*LeagueRatings!$K$27</f>
        <v>34.444444444444443</v>
      </c>
      <c r="AQ289"/>
      <c r="AR289" s="72">
        <f>ROUNDUP(L289,0)</f>
        <v>18</v>
      </c>
      <c r="AS289" s="113"/>
      <c r="AT289" s="113"/>
      <c r="AU289" s="113"/>
      <c r="AV289"/>
      <c r="AW289" s="97">
        <v>21.33</v>
      </c>
    </row>
    <row r="290" spans="1:50" x14ac:dyDescent="0.2">
      <c r="A290" s="9"/>
      <c r="B290" s="129"/>
      <c r="L290" s="157">
        <f>(L288/100)/((L288+L289)/100)</f>
        <v>0.76472983980450726</v>
      </c>
      <c r="T290" s="158"/>
      <c r="U290" s="158"/>
      <c r="V290" s="282"/>
      <c r="W290" s="158"/>
      <c r="X290" s="158"/>
      <c r="Y290" s="153"/>
      <c r="Z290" s="152">
        <f>Z288*L290</f>
        <v>2.6727189411063659</v>
      </c>
      <c r="AA290" s="153"/>
      <c r="AB290" s="153"/>
      <c r="AC290" s="152">
        <f>AC288*L290</f>
        <v>-4.3163477413083422</v>
      </c>
      <c r="AD290" s="153"/>
      <c r="AE290" s="103"/>
      <c r="AF290" s="103"/>
      <c r="AG290" s="103"/>
      <c r="AH290" s="154">
        <f>AH288*L290</f>
        <v>6.8031365527528678</v>
      </c>
      <c r="AJ290" s="5"/>
      <c r="AK290" s="5"/>
      <c r="AL290" s="5"/>
      <c r="AN290" s="72"/>
      <c r="AO290" s="72"/>
      <c r="AP290" s="72"/>
      <c r="AQ290" s="30"/>
      <c r="AR290" s="14"/>
    </row>
    <row r="291" spans="1:50" x14ac:dyDescent="0.2">
      <c r="A291" s="9"/>
      <c r="B291" s="129"/>
      <c r="L291" s="157">
        <f>(L289/100)/((L288+L289)/100)</f>
        <v>0.23527016019549279</v>
      </c>
      <c r="T291" s="158"/>
      <c r="U291" s="158"/>
      <c r="V291" s="282"/>
      <c r="W291" s="158"/>
      <c r="X291" s="158"/>
      <c r="Y291" s="153"/>
      <c r="Z291" s="152">
        <f>Z289*L291</f>
        <v>8.4697257670377404</v>
      </c>
      <c r="AA291" s="153"/>
      <c r="AB291" s="153"/>
      <c r="AC291" s="152">
        <f>AC289*L291</f>
        <v>-3.670236711810682</v>
      </c>
      <c r="AD291" s="153"/>
      <c r="AE291" s="103"/>
      <c r="AF291" s="103"/>
      <c r="AG291" s="103"/>
      <c r="AH291" s="154">
        <f>AH289*L291</f>
        <v>4.847715608470776</v>
      </c>
      <c r="AJ291" s="5"/>
      <c r="AK291" s="5"/>
      <c r="AL291" s="5"/>
      <c r="AN291" s="72"/>
      <c r="AO291" s="72"/>
      <c r="AP291" s="72"/>
      <c r="AQ291" s="30"/>
      <c r="AR291" s="14"/>
    </row>
    <row r="292" spans="1:50" x14ac:dyDescent="0.2">
      <c r="A292" s="9"/>
      <c r="B292" s="129"/>
      <c r="T292" s="158"/>
      <c r="U292" s="158"/>
      <c r="V292" s="282"/>
      <c r="W292" s="158"/>
      <c r="X292" s="158"/>
      <c r="Y292" s="153"/>
      <c r="Z292" s="152">
        <f>SUM(Z290:Z291)</f>
        <v>11.142444708144106</v>
      </c>
      <c r="AA292" s="153"/>
      <c r="AB292" s="153"/>
      <c r="AC292" s="152">
        <f>SUM(AC290:AC291)</f>
        <v>-7.9865844531190238</v>
      </c>
      <c r="AD292" s="153"/>
      <c r="AE292" s="103"/>
      <c r="AF292" s="103"/>
      <c r="AG292" s="103"/>
      <c r="AH292" s="153">
        <f>SUM(AH290:AH291)</f>
        <v>11.650852161223643</v>
      </c>
      <c r="AI292" s="41" t="s">
        <v>469</v>
      </c>
      <c r="AJ292" s="5" t="s">
        <v>59</v>
      </c>
      <c r="AK292" s="219">
        <f>INDEX('C-P-RollAdj'!$J$4:$J$76,MATCH(INT(Z292),'C-P-RollAdj'!$I$4:$I$76,FALSE),0)</f>
        <v>25</v>
      </c>
      <c r="AL292" s="219">
        <f>INDEX('C-P-RollAdj'!$J$4:$J$76,MATCH(INT(AC292),'C-P-RollAdj'!$I$4:$I$76,FALSE),0)</f>
        <v>-22</v>
      </c>
      <c r="AM292" s="262">
        <f>SUM(AM288:AM291)</f>
        <v>41.666666666666671</v>
      </c>
      <c r="AN292" s="14">
        <f>SUM(AN288:AN291)</f>
        <v>41.666666666666664</v>
      </c>
      <c r="AO292" s="14">
        <f>SUM(AO288:AO291)</f>
        <v>0</v>
      </c>
      <c r="AP292" s="14">
        <f>SUM(AP288:AP291)</f>
        <v>162.77777777777777</v>
      </c>
      <c r="AQ292" s="30"/>
      <c r="AR292" s="14"/>
    </row>
    <row r="293" spans="1:50" x14ac:dyDescent="0.2">
      <c r="B293" s="155"/>
      <c r="AN293" s="72"/>
      <c r="AO293" s="72"/>
      <c r="AP293" s="72"/>
      <c r="AQ293" s="30"/>
      <c r="AR293" s="14"/>
    </row>
    <row r="294" spans="1:50" s="122" customFormat="1" x14ac:dyDescent="0.2">
      <c r="A294" t="s">
        <v>515</v>
      </c>
      <c r="B294" s="76" t="s">
        <v>143</v>
      </c>
      <c r="C294" s="76">
        <v>10</v>
      </c>
      <c r="D294" s="76">
        <v>4</v>
      </c>
      <c r="E294" s="76">
        <v>4.25</v>
      </c>
      <c r="F294" s="76">
        <v>22</v>
      </c>
      <c r="G294" s="76">
        <v>22</v>
      </c>
      <c r="H294" s="76">
        <v>0</v>
      </c>
      <c r="I294" s="76">
        <v>0</v>
      </c>
      <c r="J294" s="76">
        <v>0</v>
      </c>
      <c r="K294" s="76">
        <v>0</v>
      </c>
      <c r="L294" s="258">
        <f>INDEX('C-P-RollAdj'!$P$4:$P$900,MATCH((U294),'C-P-RollAdj'!$O$4:$O$900,FALSE),0)</f>
        <v>120.67</v>
      </c>
      <c r="M294" s="76">
        <v>104</v>
      </c>
      <c r="N294" s="76">
        <v>61</v>
      </c>
      <c r="O294" s="76">
        <v>57</v>
      </c>
      <c r="P294" s="76">
        <v>20</v>
      </c>
      <c r="Q294" s="76">
        <v>57</v>
      </c>
      <c r="R294" s="76">
        <v>0</v>
      </c>
      <c r="S294" s="76">
        <v>107</v>
      </c>
      <c r="T294" s="76">
        <v>515</v>
      </c>
      <c r="U294" s="76">
        <v>120.2</v>
      </c>
      <c r="V294" s="100">
        <v>0.23300000000000001</v>
      </c>
      <c r="W294" s="76">
        <v>1.33</v>
      </c>
      <c r="X294" s="196"/>
      <c r="Y294" s="50">
        <f>+(Q294-R294)/(T294-R294)*100</f>
        <v>11.067961165048544</v>
      </c>
      <c r="Z294" s="6">
        <f>IF(Y294&lt;LeagueRatings!$K$10,((LeagueRatings!$K$10-Y294)/LeagueRatings!$K$10)*36,(LeagueRatings!$K$10-Y294)*6.48)</f>
        <v>-15.554607855320906</v>
      </c>
      <c r="AA294" s="16">
        <f>INDEX('C-P-RollAdj'!$B$4:$B$76,MATCH(INT(Z294),'C-P-RollAdj'!$A$4:$A$76,FALSE),0)</f>
        <v>1.7799999999999998</v>
      </c>
      <c r="AB294" s="16">
        <f>(P294/(T294-R294))*100</f>
        <v>3.8834951456310676</v>
      </c>
      <c r="AC294" s="6">
        <f>IF(AB294&lt;LeagueRatings!$K$8,((LeagueRatings!$K$8-AB294)/LeagueRatings!$K$8)*36,(LeagueRatings!$K$8-AB294)/LeagueRatings!$K$11)</f>
        <v>-5.4096507752499594</v>
      </c>
      <c r="AD294" s="16">
        <f>INDEX('C-P-RollAdj'!$F$4:$F$76,MATCH(INT(AC294),'C-P-RollAdj'!$E$4:$E$76,FALSE),0)</f>
        <v>0.51</v>
      </c>
      <c r="AE294" s="17">
        <f>+((LeagueRatings!$I$6-E294)*5)+9.5</f>
        <v>9.2580514552774034</v>
      </c>
      <c r="AF294" s="17">
        <f>IF(AE294&lt;4,4,AE294)</f>
        <v>9.2580514552774034</v>
      </c>
      <c r="AG294" s="17">
        <f>IF(M294&lt;L294,((1-(M294/L294))*7)-0.07,(1-(M294/L294))*5)</f>
        <v>0.89701748570481477</v>
      </c>
      <c r="AH294" s="4">
        <f>+AA294+AD294+AF294+AG294</f>
        <v>12.445068940982217</v>
      </c>
      <c r="AI294" s="213"/>
      <c r="AJ294" s="7" t="s">
        <v>24</v>
      </c>
      <c r="AK294" s="219">
        <f>INDEX('C-P-RollAdj'!$J$4:$J$76,MATCH(INT(Z294),'C-P-RollAdj'!$I$4:$I$76,FALSE),0)</f>
        <v>-34</v>
      </c>
      <c r="AL294" s="219">
        <f>INDEX('C-P-RollAdj'!$J$4:$J$76,MATCH(INT(AC294),'C-P-RollAdj'!$I$4:$I$76,FALSE),0)</f>
        <v>-16</v>
      </c>
      <c r="AM294" s="262">
        <f>+AR294*LeagueRatings!$K$27</f>
        <v>67.222222222222229</v>
      </c>
      <c r="AN294" s="72">
        <f>F294*LeagueRatings!$K$27</f>
        <v>12.222222222222223</v>
      </c>
      <c r="AO294" s="72">
        <f>G294*LeagueRatings!$K$27</f>
        <v>12.222222222222223</v>
      </c>
      <c r="AP294" s="72">
        <f>T294*LeagueRatings!$K$27</f>
        <v>286.11111111111114</v>
      </c>
      <c r="AQ294" s="24"/>
      <c r="AR294" s="72">
        <f>ROUNDUP(L294,0)</f>
        <v>121</v>
      </c>
      <c r="AS294" s="123"/>
      <c r="AT294" s="123"/>
      <c r="AU294" s="123"/>
      <c r="AW294" s="71"/>
      <c r="AX294" s="71"/>
    </row>
    <row r="295" spans="1:50" s="24" customFormat="1" x14ac:dyDescent="0.2">
      <c r="A295" s="41" t="s">
        <v>515</v>
      </c>
      <c r="B295" s="76" t="s">
        <v>151</v>
      </c>
      <c r="C295" s="76">
        <v>3</v>
      </c>
      <c r="D295" s="76">
        <v>6</v>
      </c>
      <c r="E295" s="76">
        <v>5.58</v>
      </c>
      <c r="F295" s="76">
        <v>11</v>
      </c>
      <c r="G295" s="76">
        <v>11</v>
      </c>
      <c r="H295" s="76">
        <v>0</v>
      </c>
      <c r="I295" s="76">
        <v>0</v>
      </c>
      <c r="J295" s="76">
        <v>0</v>
      </c>
      <c r="K295" s="76">
        <v>0</v>
      </c>
      <c r="L295" s="258">
        <f>INDEX('C-P-RollAdj'!$P$4:$P$900,MATCH((U295),'C-P-RollAdj'!$O$4:$O$900,FALSE),0)</f>
        <v>61.33</v>
      </c>
      <c r="M295" s="76">
        <v>65</v>
      </c>
      <c r="N295" s="76">
        <v>39</v>
      </c>
      <c r="O295" s="76">
        <v>38</v>
      </c>
      <c r="P295" s="76">
        <v>13</v>
      </c>
      <c r="Q295" s="76">
        <v>22</v>
      </c>
      <c r="R295" s="76">
        <v>0</v>
      </c>
      <c r="S295" s="76">
        <v>37</v>
      </c>
      <c r="T295" s="76">
        <v>270</v>
      </c>
      <c r="U295" s="76">
        <v>61.1</v>
      </c>
      <c r="V295" s="100">
        <v>0.26700000000000002</v>
      </c>
      <c r="W295" s="76">
        <v>1.42</v>
      </c>
      <c r="X295" s="76"/>
      <c r="Y295" s="50">
        <f>+(Q295-R295)/(T295-R295)*100</f>
        <v>8.1481481481481488</v>
      </c>
      <c r="Z295" s="6">
        <f>IF(Y295&lt;LeagueRatings!$K$10,((LeagueRatings!$K$10-Y295)/LeagueRatings!$K$10)*36,(LeagueRatings!$K$10-Y295)*6.48)</f>
        <v>2.1573295470094607</v>
      </c>
      <c r="AA295" s="16">
        <f>INDEX('C-P-RollAdj'!$B$4:$B$76,MATCH(INT(Z295),'C-P-RollAdj'!$A$4:$A$76,FALSE),0)</f>
        <v>-0.16</v>
      </c>
      <c r="AB295" s="16">
        <f>(P295/(T295-R295))*100</f>
        <v>4.8148148148148149</v>
      </c>
      <c r="AC295" s="6">
        <f>IF(AB295&lt;LeagueRatings!$K$8,((LeagueRatings!$K$8-AB295)/LeagueRatings!$K$8)*36,(LeagueRatings!$K$8-AB295)/LeagueRatings!$K$11)</f>
        <v>-12.804750441341678</v>
      </c>
      <c r="AD295" s="16">
        <f>INDEX('C-P-RollAdj'!$F$4:$F$76,MATCH(INT(AC295),'C-P-RollAdj'!$E$4:$E$76,FALSE),0)</f>
        <v>1.2599999999999998</v>
      </c>
      <c r="AE295" s="17">
        <f>+((LeagueRatings!$I$17-E295)*5)+9.5</f>
        <v>2.4143872437063623</v>
      </c>
      <c r="AF295" s="17">
        <f>IF(AE295&lt;4,4,AE295)</f>
        <v>4</v>
      </c>
      <c r="AG295" s="17">
        <f>IF(M295&lt;L295,((1-(M295/L295))*7)-0.07,(1-(M295/L295))*5)</f>
        <v>-0.29920104353497456</v>
      </c>
      <c r="AH295" s="4">
        <f>+AA295+AD295+AF295+AG295</f>
        <v>4.8007989564650249</v>
      </c>
      <c r="AJ295" s="58">
        <v>24</v>
      </c>
      <c r="AK295" s="219">
        <f>INDEX('C-P-RollAdj'!$J$4:$J$76,MATCH(INT(Z295),'C-P-RollAdj'!$I$4:$I$76,FALSE),0)</f>
        <v>12</v>
      </c>
      <c r="AL295" s="219">
        <f>INDEX('C-P-RollAdj'!$J$4:$J$76,MATCH(INT(AC295),'C-P-RollAdj'!$I$4:$I$76,FALSE),0)</f>
        <v>-31</v>
      </c>
      <c r="AM295" s="262">
        <f>+AR295*LeagueRatings!$K$27</f>
        <v>34.444444444444443</v>
      </c>
      <c r="AN295" s="72">
        <f>F295*LeagueRatings!$K$27</f>
        <v>6.1111111111111116</v>
      </c>
      <c r="AO295" s="72">
        <f>G295*LeagueRatings!$K$27</f>
        <v>6.1111111111111116</v>
      </c>
      <c r="AP295" s="72">
        <f>T295*LeagueRatings!$K$27</f>
        <v>150</v>
      </c>
      <c r="AR295" s="14">
        <f>ROUNDUP(L295,0)</f>
        <v>62</v>
      </c>
    </row>
    <row r="296" spans="1:50" s="122" customFormat="1" x14ac:dyDescent="0.2">
      <c r="A296" s="9"/>
      <c r="B296" s="129"/>
      <c r="C296" s="205"/>
      <c r="D296" s="196"/>
      <c r="E296" s="205"/>
      <c r="F296" s="196"/>
      <c r="G296" s="196"/>
      <c r="H296" s="196"/>
      <c r="I296" s="206"/>
      <c r="J296" s="206"/>
      <c r="K296" s="206"/>
      <c r="L296" s="157">
        <f>(L294/100)/((L294+L295)/100)</f>
        <v>0.66302197802197804</v>
      </c>
      <c r="M296" s="146"/>
      <c r="N296" s="146"/>
      <c r="O296" s="146"/>
      <c r="P296" s="146"/>
      <c r="Q296" s="146"/>
      <c r="R296" s="146"/>
      <c r="S296" s="146"/>
      <c r="T296" s="158"/>
      <c r="U296" s="158"/>
      <c r="V296" s="282"/>
      <c r="W296" s="158"/>
      <c r="X296" s="158"/>
      <c r="Y296" s="153"/>
      <c r="Z296" s="152">
        <f>Z294*L296</f>
        <v>-10.313046867591066</v>
      </c>
      <c r="AA296" s="153"/>
      <c r="AB296" s="153"/>
      <c r="AC296" s="152">
        <f>AC294*L296</f>
        <v>-3.5867173574143552</v>
      </c>
      <c r="AD296" s="153"/>
      <c r="AE296" s="103"/>
      <c r="AF296" s="103"/>
      <c r="AG296" s="103"/>
      <c r="AH296" s="154">
        <f>AH294*L296</f>
        <v>8.251354225869914</v>
      </c>
      <c r="AI296" s="168"/>
      <c r="AJ296" s="5"/>
      <c r="AK296" s="5"/>
      <c r="AL296" s="5"/>
      <c r="AM296" s="262"/>
      <c r="AN296" s="72"/>
      <c r="AO296" s="72"/>
      <c r="AP296" s="72"/>
      <c r="AQ296" s="30"/>
      <c r="AR296" s="14"/>
      <c r="AS296" s="123"/>
      <c r="AT296" s="123"/>
      <c r="AU296" s="123"/>
      <c r="AW296" s="71"/>
      <c r="AX296" s="71"/>
    </row>
    <row r="297" spans="1:50" s="122" customFormat="1" x14ac:dyDescent="0.2">
      <c r="A297" s="9"/>
      <c r="B297" s="129"/>
      <c r="C297" s="205"/>
      <c r="D297" s="196"/>
      <c r="E297" s="205"/>
      <c r="F297" s="196"/>
      <c r="G297" s="196"/>
      <c r="H297" s="196"/>
      <c r="I297" s="206"/>
      <c r="J297" s="206"/>
      <c r="K297" s="206"/>
      <c r="L297" s="157">
        <f>(L295/100)/((L294+L295)/100)</f>
        <v>0.33697802197802196</v>
      </c>
      <c r="M297" s="146"/>
      <c r="N297" s="146"/>
      <c r="O297" s="146"/>
      <c r="P297" s="146"/>
      <c r="Q297" s="146"/>
      <c r="R297" s="146"/>
      <c r="S297" s="146"/>
      <c r="T297" s="158"/>
      <c r="U297" s="158"/>
      <c r="V297" s="282"/>
      <c r="W297" s="158"/>
      <c r="X297" s="158"/>
      <c r="Y297" s="153"/>
      <c r="Z297" s="152">
        <f>Z295*L297</f>
        <v>0.72697264350599022</v>
      </c>
      <c r="AA297" s="153"/>
      <c r="AB297" s="153"/>
      <c r="AC297" s="152">
        <f>AC295*L297</f>
        <v>-4.3149194756455227</v>
      </c>
      <c r="AD297" s="153"/>
      <c r="AE297" s="103"/>
      <c r="AF297" s="103"/>
      <c r="AG297" s="103"/>
      <c r="AH297" s="154">
        <f>AH295*L297</f>
        <v>1.617763736263736</v>
      </c>
      <c r="AI297" s="168"/>
      <c r="AJ297" s="5"/>
      <c r="AK297" s="5"/>
      <c r="AL297" s="5"/>
      <c r="AM297" s="262"/>
      <c r="AN297" s="72"/>
      <c r="AO297" s="72"/>
      <c r="AP297" s="72"/>
      <c r="AQ297" s="30"/>
      <c r="AR297" s="14"/>
      <c r="AS297" s="123"/>
      <c r="AT297" s="123"/>
      <c r="AU297" s="123"/>
      <c r="AW297" s="71"/>
      <c r="AX297" s="71"/>
    </row>
    <row r="298" spans="1:50" s="122" customFormat="1" x14ac:dyDescent="0.2">
      <c r="A298" s="9"/>
      <c r="B298" s="129"/>
      <c r="C298" s="205"/>
      <c r="D298" s="196"/>
      <c r="E298" s="205"/>
      <c r="F298" s="196"/>
      <c r="G298" s="196"/>
      <c r="H298" s="196"/>
      <c r="I298" s="206"/>
      <c r="J298" s="206"/>
      <c r="K298" s="206"/>
      <c r="L298" s="157"/>
      <c r="M298" s="146"/>
      <c r="N298" s="146"/>
      <c r="O298" s="146"/>
      <c r="P298" s="146"/>
      <c r="Q298" s="146"/>
      <c r="R298" s="146"/>
      <c r="S298" s="146"/>
      <c r="T298" s="158"/>
      <c r="U298" s="158"/>
      <c r="V298" s="282"/>
      <c r="W298" s="158"/>
      <c r="X298" s="158"/>
      <c r="Y298" s="153"/>
      <c r="Z298" s="152">
        <f>SUM(Z296:Z297)</f>
        <v>-9.5860742240850758</v>
      </c>
      <c r="AA298" s="153"/>
      <c r="AB298" s="153"/>
      <c r="AC298" s="152">
        <f>SUM(AC296:AC297)</f>
        <v>-7.9016368330598779</v>
      </c>
      <c r="AD298" s="153"/>
      <c r="AE298" s="103"/>
      <c r="AF298" s="103"/>
      <c r="AG298" s="103"/>
      <c r="AH298" s="153">
        <f>SUM(AH296:AH297)</f>
        <v>9.8691179621336502</v>
      </c>
      <c r="AI298" s="41" t="s">
        <v>515</v>
      </c>
      <c r="AJ298" s="5" t="s">
        <v>39</v>
      </c>
      <c r="AK298" s="219">
        <f>INDEX('C-P-RollAdj'!$J$4:$J$76,MATCH(INT(Z298),'C-P-RollAdj'!$I$4:$I$76,FALSE),0)</f>
        <v>-24</v>
      </c>
      <c r="AL298" s="219">
        <f>INDEX('C-P-RollAdj'!$J$4:$J$76,MATCH(INT(AC298),'C-P-RollAdj'!$I$4:$I$76,FALSE),0)</f>
        <v>-22</v>
      </c>
      <c r="AM298" s="262">
        <f>SUM(AM294:AM297)</f>
        <v>101.66666666666667</v>
      </c>
      <c r="AN298" s="14">
        <f>SUM(AN294:AN297)</f>
        <v>18.333333333333336</v>
      </c>
      <c r="AO298" s="14">
        <f>SUM(AO294:AO297)</f>
        <v>18.333333333333336</v>
      </c>
      <c r="AP298" s="14">
        <f>SUM(AP294:AP297)</f>
        <v>436.11111111111114</v>
      </c>
      <c r="AQ298" s="30"/>
      <c r="AR298" s="14"/>
      <c r="AS298" s="123"/>
      <c r="AT298" s="123"/>
      <c r="AU298" s="123"/>
      <c r="AW298" s="71"/>
      <c r="AX298" s="71"/>
    </row>
    <row r="299" spans="1:50" s="122" customFormat="1" x14ac:dyDescent="0.2">
      <c r="A299" s="204"/>
      <c r="B299" s="196"/>
      <c r="C299" s="205"/>
      <c r="D299" s="196"/>
      <c r="E299" s="205"/>
      <c r="F299" s="196"/>
      <c r="G299" s="196"/>
      <c r="H299" s="196"/>
      <c r="I299" s="206"/>
      <c r="J299" s="206"/>
      <c r="K299" s="206"/>
      <c r="L299" s="205"/>
      <c r="M299" s="196"/>
      <c r="N299" s="196"/>
      <c r="O299" s="196"/>
      <c r="P299" s="196"/>
      <c r="Q299" s="196"/>
      <c r="R299" s="196"/>
      <c r="S299" s="196"/>
      <c r="T299" s="196"/>
      <c r="U299" s="196"/>
      <c r="V299" s="277"/>
      <c r="W299" s="196"/>
      <c r="X299" s="196"/>
      <c r="Y299" s="207"/>
      <c r="Z299" s="208"/>
      <c r="AA299" s="209"/>
      <c r="AB299" s="210"/>
      <c r="AC299" s="208"/>
      <c r="AD299" s="209"/>
      <c r="AE299" s="211"/>
      <c r="AF299" s="211"/>
      <c r="AG299" s="211"/>
      <c r="AH299" s="212"/>
      <c r="AI299" s="213"/>
      <c r="AJ299" s="214"/>
      <c r="AK299" s="214"/>
      <c r="AL299" s="214"/>
      <c r="AM299" s="206"/>
      <c r="AN299" s="121"/>
      <c r="AO299" s="121"/>
      <c r="AP299" s="121"/>
      <c r="AR299" s="112"/>
      <c r="AS299" s="123"/>
      <c r="AT299" s="123"/>
      <c r="AU299" s="123"/>
      <c r="AW299" s="71"/>
      <c r="AX299" s="71"/>
    </row>
    <row r="300" spans="1:50" x14ac:dyDescent="0.2">
      <c r="A300" t="s">
        <v>369</v>
      </c>
      <c r="B300" s="76" t="s">
        <v>169</v>
      </c>
      <c r="C300" s="76">
        <v>0</v>
      </c>
      <c r="D300" s="76">
        <v>0</v>
      </c>
      <c r="E300" s="76">
        <v>4.41</v>
      </c>
      <c r="F300" s="76">
        <v>15</v>
      </c>
      <c r="G300" s="76">
        <v>0</v>
      </c>
      <c r="H300" s="76">
        <v>0</v>
      </c>
      <c r="I300" s="76">
        <v>0</v>
      </c>
      <c r="J300" s="76">
        <v>0</v>
      </c>
      <c r="K300" s="76">
        <v>0</v>
      </c>
      <c r="L300" s="258">
        <f>INDEX('C-P-RollAdj'!$P$4:$P$900,MATCH((U300),'C-P-RollAdj'!$O$4:$O$900,FALSE),0)</f>
        <v>16.329999999999998</v>
      </c>
      <c r="M300" s="76">
        <v>18</v>
      </c>
      <c r="N300" s="76">
        <v>9</v>
      </c>
      <c r="O300" s="76">
        <v>8</v>
      </c>
      <c r="P300" s="76">
        <v>1</v>
      </c>
      <c r="Q300" s="76">
        <v>6</v>
      </c>
      <c r="R300" s="76">
        <v>0</v>
      </c>
      <c r="S300" s="76">
        <v>13</v>
      </c>
      <c r="T300" s="76">
        <v>71</v>
      </c>
      <c r="U300" s="76">
        <v>16.100000000000001</v>
      </c>
      <c r="V300" s="100">
        <v>0.28999999999999998</v>
      </c>
      <c r="W300" s="76">
        <v>1.47</v>
      </c>
      <c r="Y300" s="50">
        <f>+(Q300-R300)/(T300-R300)*100</f>
        <v>8.4507042253521121</v>
      </c>
      <c r="Z300" s="6">
        <f>IF(Y300&lt;LeagueRatings!$K$21,((LeagueRatings!$K$21-Y300)/LeagueRatings!$K$21)*36,(LeagueRatings!$K$21-Y300)*6.48)</f>
        <v>2.0197897250932031</v>
      </c>
      <c r="AA300" s="16">
        <f>INDEX('C-P-RollAdj'!$B$4:$B$76,MATCH(INT(Z300),'C-P-RollAdj'!$A$4:$A$76,FALSE),0)</f>
        <v>-0.16</v>
      </c>
      <c r="AB300" s="16">
        <f>(P300/(T300-R300))*100</f>
        <v>1.4084507042253522</v>
      </c>
      <c r="AC300" s="6">
        <f>IF(AB300&lt;LeagueRatings!$K$19,((LeagueRatings!$K$19-AB300)/LeagueRatings!$K$19)*36,(LeagueRatings!$K$19-AB300)/LeagueRatings!$K$22)</f>
        <v>18.563885555485378</v>
      </c>
      <c r="AD300" s="16">
        <f>INDEX('C-P-RollAdj'!$F$4:$F$76,MATCH(INT(AC300),'C-P-RollAdj'!$E$4:$E$76,FALSE),0)</f>
        <v>-1.4100000000000001</v>
      </c>
      <c r="AE300" s="17">
        <f>+((LeagueRatings!$I$17-E300)*5)+9.5</f>
        <v>8.2643872437063628</v>
      </c>
      <c r="AF300" s="17">
        <f>IF(AE300&lt;4,4,AE300)</f>
        <v>8.2643872437063628</v>
      </c>
      <c r="AG300" s="17">
        <f>IF(M300&lt;L300,((1-(M300/L300))*7)-0.07,(1-(M300/L300))*5)</f>
        <v>-0.51132884262094391</v>
      </c>
      <c r="AH300" s="4">
        <f>+AA300+AD300+AF300+AG300</f>
        <v>6.1830584010854182</v>
      </c>
      <c r="AJ300" s="5" t="s">
        <v>68</v>
      </c>
      <c r="AK300" s="219">
        <f>INDEX('C-P-RollAdj'!$J$4:$J$76,MATCH(INT(Z300),'C-P-RollAdj'!$I$4:$I$76,FALSE),0)</f>
        <v>12</v>
      </c>
      <c r="AL300" s="219">
        <f>INDEX('C-P-RollAdj'!$J$4:$J$76,MATCH(INT(AC300),'C-P-RollAdj'!$I$4:$I$76,FALSE),0)</f>
        <v>36</v>
      </c>
      <c r="AM300" s="262">
        <f>+AR300*LeagueRatings!$K$27</f>
        <v>9.4444444444444446</v>
      </c>
      <c r="AN300" s="72">
        <f>F300*LeagueRatings!$K$27</f>
        <v>8.3333333333333339</v>
      </c>
      <c r="AO300" s="72">
        <f>G300*LeagueRatings!$K$27</f>
        <v>0</v>
      </c>
      <c r="AP300" s="72">
        <f>T300*LeagueRatings!$K$27</f>
        <v>39.444444444444443</v>
      </c>
      <c r="AQ300"/>
      <c r="AR300" s="14">
        <f>ROUNDUP(L300,0)</f>
        <v>17</v>
      </c>
    </row>
    <row r="301" spans="1:50" s="24" customFormat="1" x14ac:dyDescent="0.2">
      <c r="A301" s="41" t="s">
        <v>369</v>
      </c>
      <c r="B301" s="76" t="s">
        <v>166</v>
      </c>
      <c r="C301" s="76">
        <v>0</v>
      </c>
      <c r="D301" s="76">
        <v>0</v>
      </c>
      <c r="E301" s="76">
        <v>2.4500000000000002</v>
      </c>
      <c r="F301" s="76">
        <v>16</v>
      </c>
      <c r="G301" s="76">
        <v>0</v>
      </c>
      <c r="H301" s="76">
        <v>0</v>
      </c>
      <c r="I301" s="76">
        <v>0</v>
      </c>
      <c r="J301" s="76">
        <v>0</v>
      </c>
      <c r="K301" s="76">
        <v>0</v>
      </c>
      <c r="L301" s="258">
        <f>INDEX('C-P-RollAdj'!$P$4:$P$900,MATCH((U301),'C-P-RollAdj'!$O$4:$O$900,FALSE),0)</f>
        <v>18.329999999999998</v>
      </c>
      <c r="M301" s="76">
        <v>16</v>
      </c>
      <c r="N301" s="76">
        <v>5</v>
      </c>
      <c r="O301" s="76">
        <v>5</v>
      </c>
      <c r="P301" s="76">
        <v>1</v>
      </c>
      <c r="Q301" s="76">
        <v>3</v>
      </c>
      <c r="R301" s="76">
        <v>0</v>
      </c>
      <c r="S301" s="76">
        <v>14</v>
      </c>
      <c r="T301" s="76">
        <v>76</v>
      </c>
      <c r="U301" s="76">
        <v>18.100000000000001</v>
      </c>
      <c r="V301" s="100">
        <v>0.22500000000000001</v>
      </c>
      <c r="W301" s="76">
        <v>1.04</v>
      </c>
      <c r="X301" s="76"/>
      <c r="Y301" s="50">
        <f>+(Q301-R301)/(T301-R301)*100</f>
        <v>3.9473684210526314</v>
      </c>
      <c r="Z301" s="6">
        <f>IF(Y301&lt;LeagueRatings!$K$21,((LeagueRatings!$K$21-Y301)/LeagueRatings!$K$21)*36,(LeagueRatings!$K$21-Y301)*6.48)</f>
        <v>20.127664937379059</v>
      </c>
      <c r="AA301" s="16">
        <f>INDEX('C-P-RollAdj'!$B$4:$B$76,MATCH(INT(Z301),'C-P-RollAdj'!$A$4:$A$76,FALSE),0)</f>
        <v>-1.79</v>
      </c>
      <c r="AB301" s="16">
        <f>(P301/(T301-R301))*100</f>
        <v>1.3157894736842104</v>
      </c>
      <c r="AC301" s="6">
        <f>IF(AB301&lt;LeagueRatings!$K$19,((LeagueRatings!$K$19-AB301)/LeagueRatings!$K$19)*36,(LeagueRatings!$K$19-AB301)/LeagueRatings!$K$22)</f>
        <v>19.71099834788766</v>
      </c>
      <c r="AD301" s="16">
        <f>INDEX('C-P-RollAdj'!$F$4:$F$76,MATCH(INT(AC301),'C-P-RollAdj'!$E$4:$E$76,FALSE),0)</f>
        <v>-1.5</v>
      </c>
      <c r="AE301" s="17">
        <f>+((LeagueRatings!$I$6-E301)*5)+9.5</f>
        <v>18.258051455277403</v>
      </c>
      <c r="AF301" s="17">
        <f>IF(AE301&lt;4,4,AE301)</f>
        <v>18.258051455277403</v>
      </c>
      <c r="AG301" s="17">
        <f>IF(M301&lt;L301,((1-(M301/L301))*7)-0.07,(1-(M301/L301))*5)</f>
        <v>0.81979814511729354</v>
      </c>
      <c r="AH301" s="4">
        <f>+AA301+AD301+AF301+AG301</f>
        <v>15.787849600394697</v>
      </c>
      <c r="AJ301" s="5" t="s">
        <v>59</v>
      </c>
      <c r="AK301" s="219">
        <f>INDEX('C-P-RollAdj'!$J$4:$J$76,MATCH(INT(Z301),'C-P-RollAdj'!$I$4:$I$76,FALSE),0)</f>
        <v>42</v>
      </c>
      <c r="AL301" s="219">
        <f>INDEX('C-P-RollAdj'!$J$4:$J$76,MATCH(INT(AC301),'C-P-RollAdj'!$I$4:$I$76,FALSE),0)</f>
        <v>41</v>
      </c>
      <c r="AM301" s="262">
        <f>+AR301*LeagueRatings!$K$27</f>
        <v>10.555555555555555</v>
      </c>
      <c r="AN301" s="72">
        <f>F301*LeagueRatings!$K$27</f>
        <v>8.8888888888888893</v>
      </c>
      <c r="AO301" s="72">
        <f>G301*LeagueRatings!$K$27</f>
        <v>0</v>
      </c>
      <c r="AP301" s="72">
        <f>T301*LeagueRatings!$K$27</f>
        <v>42.222222222222221</v>
      </c>
      <c r="AR301" s="72">
        <f>ROUNDUP(L301,0)</f>
        <v>19</v>
      </c>
      <c r="AS301" s="113"/>
      <c r="AT301" s="113"/>
      <c r="AU301" s="113"/>
      <c r="AW301" s="144">
        <v>213</v>
      </c>
    </row>
    <row r="302" spans="1:50" x14ac:dyDescent="0.2">
      <c r="A302" s="9"/>
      <c r="B302" s="129"/>
      <c r="L302" s="157">
        <f>(L300/100)/((L300+L301)/100)</f>
        <v>0.47114829774956718</v>
      </c>
      <c r="T302" s="158"/>
      <c r="U302" s="158"/>
      <c r="V302" s="282"/>
      <c r="W302" s="158"/>
      <c r="X302" s="158"/>
      <c r="Y302" s="153"/>
      <c r="Z302" s="152">
        <f>Z300*L302</f>
        <v>0.95162049078972888</v>
      </c>
      <c r="AA302" s="153"/>
      <c r="AB302" s="153"/>
      <c r="AC302" s="152">
        <f>AC300*L302</f>
        <v>8.7463430790847134</v>
      </c>
      <c r="AD302" s="153"/>
      <c r="AE302" s="103"/>
      <c r="AF302" s="103"/>
      <c r="AG302" s="103"/>
      <c r="AH302" s="154">
        <f>AH300*L302</f>
        <v>2.9131374405575552</v>
      </c>
      <c r="AJ302" s="5"/>
      <c r="AK302" s="5"/>
      <c r="AL302" s="5"/>
      <c r="AN302" s="72"/>
      <c r="AO302" s="72"/>
      <c r="AP302" s="72"/>
      <c r="AQ302" s="30"/>
      <c r="AR302" s="14"/>
    </row>
    <row r="303" spans="1:50" x14ac:dyDescent="0.2">
      <c r="A303" s="9"/>
      <c r="B303" s="129"/>
      <c r="L303" s="157">
        <f>(L301/100)/((L300+L301)/100)</f>
        <v>0.52885170225043276</v>
      </c>
      <c r="T303" s="158"/>
      <c r="U303" s="158"/>
      <c r="V303" s="282"/>
      <c r="W303" s="158"/>
      <c r="X303" s="158"/>
      <c r="Y303" s="153"/>
      <c r="Z303" s="152">
        <f>Z301*L303</f>
        <v>10.644549864459266</v>
      </c>
      <c r="AA303" s="153"/>
      <c r="AB303" s="153"/>
      <c r="AC303" s="152">
        <f>AC301*L303</f>
        <v>10.424195029335857</v>
      </c>
      <c r="AD303" s="153"/>
      <c r="AE303" s="103"/>
      <c r="AF303" s="103"/>
      <c r="AG303" s="103"/>
      <c r="AH303" s="154">
        <f>AH301*L303</f>
        <v>8.3494311360425506</v>
      </c>
      <c r="AJ303" s="5"/>
      <c r="AK303" s="5"/>
      <c r="AL303" s="5"/>
      <c r="AN303" s="72"/>
      <c r="AO303" s="72"/>
      <c r="AP303" s="72"/>
      <c r="AQ303" s="30"/>
      <c r="AR303" s="14"/>
    </row>
    <row r="304" spans="1:50" x14ac:dyDescent="0.2">
      <c r="A304" s="9"/>
      <c r="B304" s="129"/>
      <c r="T304" s="158"/>
      <c r="U304" s="158"/>
      <c r="V304" s="282"/>
      <c r="W304" s="158"/>
      <c r="X304" s="158"/>
      <c r="Y304" s="153"/>
      <c r="Z304" s="152">
        <f>SUM(Z302:Z303)</f>
        <v>11.596170355248995</v>
      </c>
      <c r="AA304" s="153"/>
      <c r="AB304" s="153"/>
      <c r="AC304" s="152">
        <f>SUM(AC302:AC303)</f>
        <v>19.170538108420573</v>
      </c>
      <c r="AD304" s="153"/>
      <c r="AE304" s="103"/>
      <c r="AF304" s="103"/>
      <c r="AG304" s="103"/>
      <c r="AH304" s="153">
        <f>SUM(AH302:AH303)</f>
        <v>11.262568576600106</v>
      </c>
      <c r="AI304" s="41" t="s">
        <v>369</v>
      </c>
      <c r="AJ304" s="5" t="s">
        <v>59</v>
      </c>
      <c r="AK304" s="219">
        <f>INDEX('C-P-RollAdj'!$J$4:$J$76,MATCH(INT(Z304),'C-P-RollAdj'!$I$4:$I$76,FALSE),0)</f>
        <v>25</v>
      </c>
      <c r="AL304" s="219">
        <f>INDEX('C-P-RollAdj'!$J$4:$J$76,MATCH(INT(AC304),'C-P-RollAdj'!$I$4:$I$76,FALSE),0)</f>
        <v>41</v>
      </c>
      <c r="AM304" s="262">
        <f>SUM(AM300:AM303)</f>
        <v>20</v>
      </c>
      <c r="AN304" s="14">
        <f>SUM(AN300:AN303)</f>
        <v>17.222222222222221</v>
      </c>
      <c r="AO304" s="14">
        <f>SUM(AO300:AO303)</f>
        <v>0</v>
      </c>
      <c r="AP304" s="14">
        <f>SUM(AP300:AP303)</f>
        <v>81.666666666666657</v>
      </c>
      <c r="AQ304" s="30"/>
      <c r="AR304" s="14"/>
    </row>
    <row r="305" spans="1:50" x14ac:dyDescent="0.2">
      <c r="A305" s="204"/>
      <c r="B305" s="196"/>
      <c r="AN305" s="72"/>
      <c r="AO305" s="72"/>
      <c r="AP305" s="72"/>
      <c r="AQ305" s="30"/>
      <c r="AR305" s="14"/>
    </row>
    <row r="306" spans="1:50" s="122" customFormat="1" x14ac:dyDescent="0.2">
      <c r="A306" t="s">
        <v>556</v>
      </c>
      <c r="B306" s="76" t="s">
        <v>170</v>
      </c>
      <c r="C306" s="76">
        <v>2</v>
      </c>
      <c r="D306" s="76">
        <v>7</v>
      </c>
      <c r="E306" s="76">
        <v>4.28</v>
      </c>
      <c r="F306" s="76">
        <v>11</v>
      </c>
      <c r="G306" s="76">
        <v>11</v>
      </c>
      <c r="H306" s="76">
        <v>0</v>
      </c>
      <c r="I306" s="76">
        <v>0</v>
      </c>
      <c r="J306" s="76">
        <v>0</v>
      </c>
      <c r="K306" s="76">
        <v>0</v>
      </c>
      <c r="L306" s="258">
        <f>INDEX('C-P-RollAdj'!$P$4:$P$900,MATCH((U306),'C-P-RollAdj'!$O$4:$O$900,FALSE),0)</f>
        <v>67.33</v>
      </c>
      <c r="M306" s="76">
        <v>69</v>
      </c>
      <c r="N306" s="76">
        <v>33</v>
      </c>
      <c r="O306" s="76">
        <v>32</v>
      </c>
      <c r="P306" s="76">
        <v>9</v>
      </c>
      <c r="Q306" s="76">
        <v>27</v>
      </c>
      <c r="R306" s="76">
        <v>2</v>
      </c>
      <c r="S306" s="76">
        <v>57</v>
      </c>
      <c r="T306" s="76">
        <v>284</v>
      </c>
      <c r="U306" s="76">
        <v>67.099999999999994</v>
      </c>
      <c r="V306" s="100">
        <v>0.27200000000000002</v>
      </c>
      <c r="W306" s="76">
        <v>1.43</v>
      </c>
      <c r="X306" s="196"/>
      <c r="Y306" s="50">
        <f>+(Q306-R306)/(T306-R306)*100</f>
        <v>8.8652482269503547</v>
      </c>
      <c r="Z306" s="6">
        <f>IF(Y306&lt;LeagueRatings!$K$21,((LeagueRatings!$K$21-Y306)/LeagueRatings!$K$21)*36,(LeagueRatings!$K$21-Y306)*6.48)</f>
        <v>0.3529117978962355</v>
      </c>
      <c r="AA306" s="16">
        <f>INDEX('C-P-RollAdj'!$B$4:$B$76,MATCH(INT(Z306),'C-P-RollAdj'!$A$4:$A$76,FALSE),0)</f>
        <v>0</v>
      </c>
      <c r="AB306" s="16">
        <f>(P306/(T306-R306))*100</f>
        <v>3.1914893617021276</v>
      </c>
      <c r="AC306" s="6">
        <f>IF(AB306&lt;LeagueRatings!$K$19,((LeagueRatings!$K$19-AB306)/LeagueRatings!$K$19)*36,(LeagueRatings!$K$19-AB306)/LeagueRatings!$K$22)</f>
        <v>-2.2905864037363761</v>
      </c>
      <c r="AD306" s="16">
        <f>INDEX('C-P-RollAdj'!$F$4:$F$76,MATCH(INT(AC306),'C-P-RollAdj'!$E$4:$E$76,FALSE),0)</f>
        <v>0.24</v>
      </c>
      <c r="AE306" s="17">
        <f>+((LeagueRatings!$I$6-E306)*5)+9.5</f>
        <v>9.1080514552774012</v>
      </c>
      <c r="AF306" s="17">
        <f>IF(AE306&lt;4,4,AE306)</f>
        <v>9.1080514552774012</v>
      </c>
      <c r="AG306" s="17">
        <f>IF(M306&lt;L306,((1-(M306/L306))*7)-0.07,(1-(M306/L306))*5)</f>
        <v>-0.12401604039803948</v>
      </c>
      <c r="AH306" s="4">
        <f>+AA306+AD306+AF306+AG306</f>
        <v>9.2240354148793617</v>
      </c>
      <c r="AI306" s="213"/>
      <c r="AJ306" s="7" t="s">
        <v>16</v>
      </c>
      <c r="AK306" s="219">
        <f>INDEX('C-P-RollAdj'!$J$4:$J$76,MATCH(INT(Z306),'C-P-RollAdj'!$I$4:$I$76,FALSE),0)</f>
        <v>0</v>
      </c>
      <c r="AL306" s="219">
        <f>INDEX('C-P-RollAdj'!$J$4:$J$76,MATCH(INT(AC306),'C-P-RollAdj'!$I$4:$I$76,FALSE),0)</f>
        <v>-13</v>
      </c>
      <c r="AM306" s="262">
        <f>+AR306*LeagueRatings!$K$27</f>
        <v>37.777777777777779</v>
      </c>
      <c r="AN306" s="72">
        <f>F306*LeagueRatings!$K$27</f>
        <v>6.1111111111111116</v>
      </c>
      <c r="AO306" s="72">
        <f>G306*LeagueRatings!$K$27</f>
        <v>6.1111111111111116</v>
      </c>
      <c r="AP306" s="72">
        <f>T306*LeagueRatings!$K$27</f>
        <v>157.77777777777777</v>
      </c>
      <c r="AQ306" s="26"/>
      <c r="AR306" s="72">
        <f>ROUNDUP(L306,0)</f>
        <v>68</v>
      </c>
      <c r="AS306" s="123"/>
      <c r="AT306" s="123"/>
      <c r="AU306" s="123"/>
      <c r="AW306" s="71"/>
      <c r="AX306" s="71"/>
    </row>
    <row r="307" spans="1:50" s="122" customFormat="1" x14ac:dyDescent="0.2">
      <c r="A307" s="41" t="s">
        <v>556</v>
      </c>
      <c r="B307" s="76" t="s">
        <v>147</v>
      </c>
      <c r="C307" s="76">
        <v>4</v>
      </c>
      <c r="D307" s="76">
        <v>12</v>
      </c>
      <c r="E307" s="76">
        <v>6.77</v>
      </c>
      <c r="F307" s="76">
        <v>22</v>
      </c>
      <c r="G307" s="76">
        <v>22</v>
      </c>
      <c r="H307" s="76">
        <v>1</v>
      </c>
      <c r="I307" s="76">
        <v>0</v>
      </c>
      <c r="J307" s="76">
        <v>0</v>
      </c>
      <c r="K307" s="76">
        <v>0</v>
      </c>
      <c r="L307" s="258">
        <f>INDEX('C-P-RollAdj'!$P$4:$P$900,MATCH((U307),'C-P-RollAdj'!$O$4:$O$900,FALSE),0)</f>
        <v>114.33</v>
      </c>
      <c r="M307" s="76">
        <v>139</v>
      </c>
      <c r="N307" s="76">
        <v>89</v>
      </c>
      <c r="O307" s="76">
        <v>86</v>
      </c>
      <c r="P307" s="76">
        <v>31</v>
      </c>
      <c r="Q307" s="76">
        <v>55</v>
      </c>
      <c r="R307" s="76">
        <v>1</v>
      </c>
      <c r="S307" s="76">
        <v>78</v>
      </c>
      <c r="T307" s="76">
        <v>538</v>
      </c>
      <c r="U307" s="76">
        <v>114.1</v>
      </c>
      <c r="V307" s="100">
        <v>0.29599999999999999</v>
      </c>
      <c r="W307" s="76">
        <v>1.7</v>
      </c>
      <c r="X307" s="76"/>
      <c r="Y307" s="50">
        <f>+(Q307-R307)/(T307-R307)*100</f>
        <v>10.05586592178771</v>
      </c>
      <c r="Z307" s="6">
        <f>IF(Y307&lt;LeagueRatings!$K$10,((LeagueRatings!$K$10-Y307)/LeagueRatings!$K$10)*36,(LeagueRatings!$K$10-Y307)*6.48)</f>
        <v>-8.9962306789907007</v>
      </c>
      <c r="AA307" s="16">
        <f>INDEX('C-P-RollAdj'!$B$4:$B$76,MATCH(INT(Z307),'C-P-RollAdj'!$A$4:$A$76,FALSE),0)</f>
        <v>0.87000000000000011</v>
      </c>
      <c r="AB307" s="16">
        <f>(P307/(T307-R307))*100</f>
        <v>5.7728119180633151</v>
      </c>
      <c r="AC307" s="6">
        <f>IF(AB307&lt;LeagueRatings!$K$8,((LeagueRatings!$K$8-AB307)/LeagueRatings!$K$8)*36,(LeagueRatings!$K$8-AB307)/LeagueRatings!$K$11)</f>
        <v>-20.411681007469411</v>
      </c>
      <c r="AD307" s="16">
        <f>INDEX('C-P-RollAdj'!$F$4:$F$76,MATCH(INT(AC307),'C-P-RollAdj'!$E$4:$E$76,FALSE),0)</f>
        <v>2.31</v>
      </c>
      <c r="AE307" s="17">
        <f>+((LeagueRatings!$I$6-E307)*5)+9.5</f>
        <v>-3.3419485447225945</v>
      </c>
      <c r="AF307" s="17">
        <f>IF(AE307&lt;4,4,AE307)</f>
        <v>4</v>
      </c>
      <c r="AG307" s="17">
        <f>IF(M307&lt;L307,((1-(M307/L307))*7)-0.07,(1-(M307/L307))*5)</f>
        <v>-1.0788944284089919</v>
      </c>
      <c r="AH307" s="4">
        <f>+AA307+AD307+AF307+AG307</f>
        <v>6.1011055715910079</v>
      </c>
      <c r="AJ307" s="5" t="s">
        <v>39</v>
      </c>
      <c r="AK307" s="219">
        <f>INDEX('C-P-RollAdj'!$J$4:$J$76,MATCH(INT(Z307),'C-P-RollAdj'!$I$4:$I$76,FALSE),0)</f>
        <v>-23</v>
      </c>
      <c r="AL307" s="219">
        <f>INDEX('C-P-RollAdj'!$J$4:$J$76,MATCH(INT(AC307),'C-P-RollAdj'!$I$4:$I$76,FALSE),0)</f>
        <v>-43</v>
      </c>
      <c r="AM307" s="262">
        <f>+AR307*LeagueRatings!$K$27</f>
        <v>63.888888888888893</v>
      </c>
      <c r="AN307" s="72">
        <f>F307*LeagueRatings!$K$27</f>
        <v>12.222222222222223</v>
      </c>
      <c r="AO307" s="72">
        <f>G307*LeagueRatings!$K$27</f>
        <v>12.222222222222223</v>
      </c>
      <c r="AP307" s="72">
        <f>T307*LeagueRatings!$K$27</f>
        <v>298.88888888888891</v>
      </c>
      <c r="AQ307" s="26"/>
      <c r="AR307" s="72">
        <f>ROUNDUP(L307,0)</f>
        <v>115</v>
      </c>
      <c r="AS307" s="113"/>
      <c r="AT307" s="113"/>
      <c r="AU307" s="113"/>
      <c r="AV307" s="26"/>
      <c r="AW307" s="97">
        <v>121</v>
      </c>
      <c r="AX307" s="26"/>
    </row>
    <row r="308" spans="1:50" s="122" customFormat="1" x14ac:dyDescent="0.2">
      <c r="A308" s="9"/>
      <c r="B308" s="129"/>
      <c r="C308" s="205"/>
      <c r="D308" s="196"/>
      <c r="E308" s="205"/>
      <c r="F308" s="196"/>
      <c r="G308" s="196"/>
      <c r="H308" s="196"/>
      <c r="I308" s="206"/>
      <c r="J308" s="206"/>
      <c r="K308" s="206"/>
      <c r="L308" s="157">
        <f>(L306/100)/((L306+L307)/100)</f>
        <v>0.37063745458548936</v>
      </c>
      <c r="M308" s="146"/>
      <c r="N308" s="146"/>
      <c r="O308" s="146"/>
      <c r="P308" s="146"/>
      <c r="Q308" s="146"/>
      <c r="R308" s="146"/>
      <c r="S308" s="146"/>
      <c r="T308" s="158"/>
      <c r="U308" s="158"/>
      <c r="V308" s="282"/>
      <c r="W308" s="158"/>
      <c r="X308" s="158"/>
      <c r="Y308" s="153"/>
      <c r="Z308" s="152">
        <f>Z306*L308</f>
        <v>0.1308023304654494</v>
      </c>
      <c r="AA308" s="153"/>
      <c r="AB308" s="153"/>
      <c r="AC308" s="152">
        <f>AC306*L308</f>
        <v>-0.84897711418898048</v>
      </c>
      <c r="AD308" s="153"/>
      <c r="AE308" s="103"/>
      <c r="AF308" s="103"/>
      <c r="AG308" s="103"/>
      <c r="AH308" s="154">
        <f>AH306*L308</f>
        <v>3.418773007177295</v>
      </c>
      <c r="AI308" s="168"/>
      <c r="AJ308" s="5"/>
      <c r="AK308" s="5"/>
      <c r="AL308" s="5"/>
      <c r="AM308" s="262"/>
      <c r="AN308" s="72"/>
      <c r="AO308" s="72"/>
      <c r="AP308" s="72"/>
      <c r="AQ308" s="30"/>
      <c r="AR308" s="14"/>
      <c r="AS308" s="123"/>
      <c r="AT308" s="123"/>
      <c r="AU308" s="123"/>
      <c r="AW308" s="71"/>
      <c r="AX308" s="71"/>
    </row>
    <row r="309" spans="1:50" s="122" customFormat="1" x14ac:dyDescent="0.2">
      <c r="A309" s="9"/>
      <c r="B309" s="129"/>
      <c r="C309" s="205"/>
      <c r="D309" s="196"/>
      <c r="E309" s="205"/>
      <c r="F309" s="196"/>
      <c r="G309" s="196"/>
      <c r="H309" s="196"/>
      <c r="I309" s="206"/>
      <c r="J309" s="206"/>
      <c r="K309" s="206"/>
      <c r="L309" s="157">
        <f>(L307/100)/((L306+L307)/100)</f>
        <v>0.62936254541451064</v>
      </c>
      <c r="M309" s="146"/>
      <c r="N309" s="146"/>
      <c r="O309" s="146"/>
      <c r="P309" s="146"/>
      <c r="Q309" s="146"/>
      <c r="R309" s="146"/>
      <c r="S309" s="146"/>
      <c r="T309" s="158"/>
      <c r="U309" s="158"/>
      <c r="V309" s="282"/>
      <c r="W309" s="158"/>
      <c r="X309" s="158"/>
      <c r="Y309" s="153"/>
      <c r="Z309" s="152">
        <f>Z307*L309</f>
        <v>-5.6618906392656987</v>
      </c>
      <c r="AA309" s="153"/>
      <c r="AB309" s="153"/>
      <c r="AC309" s="152">
        <f>AC307*L309</f>
        <v>-12.846347515049972</v>
      </c>
      <c r="AD309" s="153"/>
      <c r="AE309" s="103"/>
      <c r="AF309" s="103"/>
      <c r="AG309" s="103"/>
      <c r="AH309" s="154">
        <f>AH307*L309</f>
        <v>3.8398073323791695</v>
      </c>
      <c r="AI309" s="168"/>
      <c r="AJ309" s="5"/>
      <c r="AK309" s="5"/>
      <c r="AL309" s="5"/>
      <c r="AM309" s="262"/>
      <c r="AN309" s="72"/>
      <c r="AO309" s="72"/>
      <c r="AP309" s="72"/>
      <c r="AQ309" s="30"/>
      <c r="AR309" s="14"/>
      <c r="AS309" s="123"/>
      <c r="AT309" s="123"/>
      <c r="AU309" s="123"/>
      <c r="AW309" s="71"/>
      <c r="AX309" s="71"/>
    </row>
    <row r="310" spans="1:50" s="122" customFormat="1" x14ac:dyDescent="0.2">
      <c r="A310" s="9"/>
      <c r="B310" s="129"/>
      <c r="C310" s="205"/>
      <c r="D310" s="196"/>
      <c r="E310" s="205"/>
      <c r="F310" s="196"/>
      <c r="G310" s="196"/>
      <c r="H310" s="196"/>
      <c r="I310" s="206"/>
      <c r="J310" s="206"/>
      <c r="K310" s="206"/>
      <c r="L310" s="157"/>
      <c r="M310" s="146"/>
      <c r="N310" s="146"/>
      <c r="O310" s="146"/>
      <c r="P310" s="146"/>
      <c r="Q310" s="146"/>
      <c r="R310" s="146"/>
      <c r="S310" s="146"/>
      <c r="T310" s="158"/>
      <c r="U310" s="158"/>
      <c r="V310" s="282"/>
      <c r="W310" s="158"/>
      <c r="X310" s="158"/>
      <c r="Y310" s="153"/>
      <c r="Z310" s="152">
        <f>SUM(Z308:Z309)</f>
        <v>-5.5310883088002489</v>
      </c>
      <c r="AA310" s="153"/>
      <c r="AB310" s="153"/>
      <c r="AC310" s="152">
        <f>SUM(AC308:AC309)</f>
        <v>-13.695324629238952</v>
      </c>
      <c r="AD310" s="153"/>
      <c r="AE310" s="103"/>
      <c r="AF310" s="103"/>
      <c r="AG310" s="103"/>
      <c r="AH310" s="153">
        <f>SUM(AH308:AH309)</f>
        <v>7.258580339556465</v>
      </c>
      <c r="AI310" s="41" t="s">
        <v>556</v>
      </c>
      <c r="AJ310" s="5" t="s">
        <v>55</v>
      </c>
      <c r="AK310" s="219">
        <f>INDEX('C-P-RollAdj'!$J$4:$J$76,MATCH(INT(Z310),'C-P-RollAdj'!$I$4:$I$76,FALSE),0)</f>
        <v>-16</v>
      </c>
      <c r="AL310" s="219">
        <f>INDEX('C-P-RollAdj'!$J$4:$J$76,MATCH(INT(AC310),'C-P-RollAdj'!$I$4:$I$76,FALSE),0)</f>
        <v>-32</v>
      </c>
      <c r="AM310" s="262">
        <f>SUM(AM306:AM309)</f>
        <v>101.66666666666667</v>
      </c>
      <c r="AN310" s="14">
        <f>SUM(AN306:AN309)</f>
        <v>18.333333333333336</v>
      </c>
      <c r="AO310" s="14">
        <f>SUM(AO306:AO309)</f>
        <v>18.333333333333336</v>
      </c>
      <c r="AP310" s="14">
        <f>SUM(AP306:AP309)</f>
        <v>456.66666666666669</v>
      </c>
      <c r="AQ310" s="30"/>
      <c r="AR310" s="14"/>
      <c r="AS310" s="123"/>
      <c r="AT310" s="123"/>
      <c r="AU310" s="123"/>
      <c r="AW310" s="71"/>
      <c r="AX310" s="71"/>
    </row>
    <row r="311" spans="1:50" s="122" customFormat="1" x14ac:dyDescent="0.2">
      <c r="A311" s="146"/>
      <c r="B311" s="155"/>
      <c r="C311" s="205"/>
      <c r="D311" s="196"/>
      <c r="E311" s="205"/>
      <c r="F311" s="196"/>
      <c r="G311" s="196"/>
      <c r="H311" s="196"/>
      <c r="I311" s="206"/>
      <c r="J311" s="206"/>
      <c r="K311" s="206"/>
      <c r="L311" s="205"/>
      <c r="M311" s="196"/>
      <c r="N311" s="196"/>
      <c r="O311" s="196"/>
      <c r="P311" s="196"/>
      <c r="Q311" s="196"/>
      <c r="R311" s="196"/>
      <c r="S311" s="196"/>
      <c r="T311" s="196"/>
      <c r="U311" s="196"/>
      <c r="V311" s="277"/>
      <c r="W311" s="196"/>
      <c r="X311" s="196"/>
      <c r="Y311" s="207"/>
      <c r="Z311" s="208"/>
      <c r="AA311" s="209"/>
      <c r="AB311" s="210"/>
      <c r="AC311" s="208"/>
      <c r="AD311" s="209"/>
      <c r="AE311" s="211"/>
      <c r="AF311" s="211"/>
      <c r="AG311" s="211"/>
      <c r="AH311" s="212"/>
      <c r="AI311" s="213"/>
      <c r="AJ311" s="214"/>
      <c r="AK311" s="214"/>
      <c r="AL311" s="214"/>
      <c r="AM311" s="206"/>
      <c r="AN311" s="121"/>
      <c r="AO311" s="121"/>
      <c r="AP311" s="121"/>
      <c r="AR311" s="112"/>
      <c r="AS311" s="123"/>
      <c r="AT311" s="123"/>
      <c r="AU311" s="123"/>
      <c r="AW311" s="71"/>
      <c r="AX311" s="71"/>
    </row>
    <row r="312" spans="1:50" x14ac:dyDescent="0.2">
      <c r="A312" t="s">
        <v>521</v>
      </c>
      <c r="B312" s="76" t="s">
        <v>143</v>
      </c>
      <c r="C312" s="76">
        <v>1</v>
      </c>
      <c r="D312" s="76">
        <v>4</v>
      </c>
      <c r="E312" s="76">
        <v>3.82</v>
      </c>
      <c r="F312" s="76">
        <v>38</v>
      </c>
      <c r="G312" s="76">
        <v>0</v>
      </c>
      <c r="H312" s="76">
        <v>0</v>
      </c>
      <c r="I312" s="76">
        <v>0</v>
      </c>
      <c r="J312" s="76">
        <v>6</v>
      </c>
      <c r="K312" s="76">
        <v>9</v>
      </c>
      <c r="L312" s="258">
        <f>INDEX('C-P-RollAdj'!$P$4:$P$900,MATCH((U312),'C-P-RollAdj'!$O$4:$O$900,FALSE),0)</f>
        <v>37.67</v>
      </c>
      <c r="M312" s="76">
        <v>36</v>
      </c>
      <c r="N312" s="76">
        <v>16</v>
      </c>
      <c r="O312" s="76">
        <v>16</v>
      </c>
      <c r="P312" s="76">
        <v>4</v>
      </c>
      <c r="Q312" s="76">
        <v>13</v>
      </c>
      <c r="R312" s="76">
        <v>3</v>
      </c>
      <c r="S312" s="76">
        <v>25</v>
      </c>
      <c r="T312" s="76">
        <v>160</v>
      </c>
      <c r="U312" s="76">
        <v>37.200000000000003</v>
      </c>
      <c r="V312" s="100">
        <v>0.25700000000000001</v>
      </c>
      <c r="W312" s="76">
        <v>1.3</v>
      </c>
      <c r="Y312" s="50">
        <f>+(Q312-R312)/(T312-R312)*100</f>
        <v>6.369426751592357</v>
      </c>
      <c r="Z312" s="6">
        <f>IF(Y312&lt;LeagueRatings!$K$10,((LeagueRatings!$K$10-Y312)/LeagueRatings!$K$10)*36,(LeagueRatings!$K$10-Y312)*6.48)</f>
        <v>9.5451041623988253</v>
      </c>
      <c r="AA312" s="16">
        <f>INDEX('C-P-RollAdj'!$B$4:$B$76,MATCH(INT(Z312),'C-P-RollAdj'!$A$4:$A$76,FALSE),0)</f>
        <v>-0.74</v>
      </c>
      <c r="AB312" s="16">
        <f>(P312/(T312-R312))*100</f>
        <v>2.547770700636943</v>
      </c>
      <c r="AC312" s="6">
        <f>IF(AB312&lt;LeagueRatings!$K$8,((LeagueRatings!$K$8-AB312)/LeagueRatings!$K$8)*36,(LeagueRatings!$K$8-AB312)/LeagueRatings!$K$11)</f>
        <v>7.3574303466062263</v>
      </c>
      <c r="AD312" s="16">
        <f>INDEX('C-P-RollAdj'!$F$4:$F$76,MATCH(INT(AC312),'C-P-RollAdj'!$E$4:$E$76,FALSE),0)</f>
        <v>-0.49000000000000005</v>
      </c>
      <c r="AE312" s="17">
        <f>+((LeagueRatings!$I$17-E312)*5)+9.5</f>
        <v>11.214387243706364</v>
      </c>
      <c r="AF312" s="17">
        <f>IF(AE312&lt;4,4,AE312)</f>
        <v>11.214387243706364</v>
      </c>
      <c r="AG312" s="17">
        <f>IF(M312&lt;L312,((1-(M312/L312))*7)-0.07,(1-(M312/L312))*5)</f>
        <v>0.24032651977701108</v>
      </c>
      <c r="AH312" s="4">
        <f>+AA312+AD312+AF312+AG312</f>
        <v>10.224713763483374</v>
      </c>
      <c r="AJ312" s="7" t="s">
        <v>16</v>
      </c>
      <c r="AK312" s="219">
        <f>INDEX('C-P-RollAdj'!$J$4:$J$76,MATCH(INT(Z312),'C-P-RollAdj'!$I$4:$I$76,FALSE),0)</f>
        <v>23</v>
      </c>
      <c r="AL312" s="219">
        <f>INDEX('C-P-RollAdj'!$J$4:$J$76,MATCH(INT(AC312),'C-P-RollAdj'!$I$4:$I$76,FALSE),0)</f>
        <v>21</v>
      </c>
      <c r="AM312" s="262">
        <f>+AR312*LeagueRatings!$K$27</f>
        <v>21.111111111111111</v>
      </c>
      <c r="AN312" s="72">
        <f>F312*LeagueRatings!$K$27</f>
        <v>21.111111111111111</v>
      </c>
      <c r="AO312" s="72">
        <f>G312*LeagueRatings!$K$27</f>
        <v>0</v>
      </c>
      <c r="AP312" s="72">
        <f>T312*LeagueRatings!$K$27</f>
        <v>88.888888888888886</v>
      </c>
      <c r="AQ312" s="24"/>
      <c r="AR312" s="14">
        <f>ROUNDUP(L312,0)</f>
        <v>38</v>
      </c>
    </row>
    <row r="313" spans="1:50" s="24" customFormat="1" x14ac:dyDescent="0.2">
      <c r="A313" s="41" t="s">
        <v>521</v>
      </c>
      <c r="B313" s="76" t="s">
        <v>161</v>
      </c>
      <c r="C313" s="76">
        <v>1</v>
      </c>
      <c r="D313" s="76">
        <v>1</v>
      </c>
      <c r="E313" s="76">
        <v>2.5099999999999998</v>
      </c>
      <c r="F313" s="76">
        <v>16</v>
      </c>
      <c r="G313" s="76">
        <v>0</v>
      </c>
      <c r="H313" s="76">
        <v>0</v>
      </c>
      <c r="I313" s="76">
        <v>0</v>
      </c>
      <c r="J313" s="76">
        <v>0</v>
      </c>
      <c r="K313" s="76">
        <v>0</v>
      </c>
      <c r="L313" s="258">
        <f>INDEX('C-P-RollAdj'!$P$4:$P$900,MATCH((U313),'C-P-RollAdj'!$O$4:$O$900,FALSE),0)</f>
        <v>14.33</v>
      </c>
      <c r="M313" s="76">
        <v>11</v>
      </c>
      <c r="N313" s="76">
        <v>4</v>
      </c>
      <c r="O313" s="76">
        <v>4</v>
      </c>
      <c r="P313" s="76">
        <v>4</v>
      </c>
      <c r="Q313" s="76">
        <v>5</v>
      </c>
      <c r="R313" s="76">
        <v>0</v>
      </c>
      <c r="S313" s="76">
        <v>15</v>
      </c>
      <c r="T313" s="76">
        <v>57</v>
      </c>
      <c r="U313" s="76">
        <v>14.1</v>
      </c>
      <c r="V313" s="100">
        <v>0.216</v>
      </c>
      <c r="W313" s="76">
        <v>1.1200000000000001</v>
      </c>
      <c r="X313" s="76"/>
      <c r="Y313" s="50">
        <f>+(Q313-R313)/(T313-R313)*100</f>
        <v>8.7719298245614024</v>
      </c>
      <c r="Z313" s="6">
        <f>IF(Y313&lt;LeagueRatings!$K$21,((LeagueRatings!$K$21-Y313)/LeagueRatings!$K$21)*36,(LeagueRatings!$K$21-Y313)*6.48)</f>
        <v>0.72814430528680663</v>
      </c>
      <c r="AA313" s="16">
        <f>INDEX('C-P-RollAdj'!$B$4:$B$76,MATCH(INT(Z313),'C-P-RollAdj'!$A$4:$A$76,FALSE),0)</f>
        <v>0</v>
      </c>
      <c r="AB313" s="16">
        <f>(P313/(T313-R313))*100</f>
        <v>7.0175438596491224</v>
      </c>
      <c r="AC313" s="6">
        <f>IF(AB313&lt;LeagueRatings!$K$19,((LeagueRatings!$K$19-AB313)/LeagueRatings!$K$19)*36,(LeagueRatings!$K$19-AB313)/LeagueRatings!$K$22)</f>
        <v>-33.205032092426187</v>
      </c>
      <c r="AD313" s="16">
        <f>INDEX('C-P-RollAdj'!$F$4:$F$76,MATCH(INT(AC313),'C-P-RollAdj'!$E$4:$E$76,FALSE),0)</f>
        <v>4.4800000000000004</v>
      </c>
      <c r="AE313" s="17">
        <f>+((LeagueRatings!$I$17-E313)*5)+9.5</f>
        <v>17.764387243706363</v>
      </c>
      <c r="AF313" s="17">
        <f>IF(AE313&lt;4,4,AE313)</f>
        <v>17.764387243706363</v>
      </c>
      <c r="AG313" s="17">
        <f>IF(M313&lt;L313,((1-(M313/L313))*7)-0.07,(1-(M313/L313))*5)</f>
        <v>1.5566573621772501</v>
      </c>
      <c r="AH313" s="4">
        <f>+AA313+AD313+AF313+AG313</f>
        <v>23.801044605883614</v>
      </c>
      <c r="AJ313" s="7" t="s">
        <v>34</v>
      </c>
      <c r="AK313" s="219">
        <f>INDEX('C-P-RollAdj'!$J$4:$J$76,MATCH(INT(Z313),'C-P-RollAdj'!$I$4:$I$76,FALSE),0)</f>
        <v>0</v>
      </c>
      <c r="AL313" s="219">
        <f>INDEX('C-P-RollAdj'!$J$4:$J$76,MATCH(INT(AC313),'C-P-RollAdj'!$I$4:$I$76,FALSE),0)</f>
        <v>-64</v>
      </c>
      <c r="AM313" s="262">
        <f>+AR313*LeagueRatings!$K$27</f>
        <v>8.3333333333333339</v>
      </c>
      <c r="AN313" s="72">
        <f>F313*LeagueRatings!$K$27</f>
        <v>8.8888888888888893</v>
      </c>
      <c r="AO313" s="72">
        <f>G313*LeagueRatings!$K$27</f>
        <v>0</v>
      </c>
      <c r="AP313" s="72">
        <f>T313*LeagueRatings!$K$27</f>
        <v>31.666666666666668</v>
      </c>
      <c r="AR313" s="14">
        <f>ROUNDUP(L313,0)</f>
        <v>15</v>
      </c>
    </row>
    <row r="314" spans="1:50" x14ac:dyDescent="0.2">
      <c r="A314" s="9"/>
      <c r="B314" s="129"/>
      <c r="L314" s="157">
        <f>(L312/100)/((L312+L313)/100)</f>
        <v>0.72442307692307695</v>
      </c>
      <c r="T314" s="158"/>
      <c r="U314" s="158"/>
      <c r="V314" s="282"/>
      <c r="W314" s="158"/>
      <c r="X314" s="158"/>
      <c r="Y314" s="153"/>
      <c r="Z314" s="152">
        <f>Z312*L314</f>
        <v>6.9146937268762265</v>
      </c>
      <c r="AA314" s="153"/>
      <c r="AB314" s="153"/>
      <c r="AC314" s="152">
        <f>AC312*L314</f>
        <v>5.3298923299357028</v>
      </c>
      <c r="AD314" s="153"/>
      <c r="AE314" s="103"/>
      <c r="AF314" s="103"/>
      <c r="AG314" s="103"/>
      <c r="AH314" s="154">
        <f>AH312*L314</f>
        <v>7.4070186052003599</v>
      </c>
      <c r="AJ314" s="5"/>
      <c r="AK314" s="5"/>
      <c r="AL314" s="5"/>
      <c r="AN314" s="72"/>
      <c r="AO314" s="72"/>
      <c r="AP314" s="72"/>
      <c r="AQ314" s="30"/>
      <c r="AR314" s="14"/>
    </row>
    <row r="315" spans="1:50" x14ac:dyDescent="0.2">
      <c r="A315" s="9"/>
      <c r="B315" s="129"/>
      <c r="L315" s="157">
        <f>(L313/100)/((L312+L313)/100)</f>
        <v>0.27557692307692311</v>
      </c>
      <c r="T315" s="158"/>
      <c r="U315" s="158"/>
      <c r="V315" s="282"/>
      <c r="W315" s="158"/>
      <c r="X315" s="158"/>
      <c r="Y315" s="153"/>
      <c r="Z315" s="152">
        <f>Z313*L315</f>
        <v>0.20065976720692191</v>
      </c>
      <c r="AA315" s="153"/>
      <c r="AB315" s="153"/>
      <c r="AC315" s="152">
        <f>AC313*L315</f>
        <v>-9.150540574701294</v>
      </c>
      <c r="AD315" s="153"/>
      <c r="AE315" s="103"/>
      <c r="AF315" s="103"/>
      <c r="AG315" s="103"/>
      <c r="AH315" s="154">
        <f>AH313*L315</f>
        <v>6.5590186385060045</v>
      </c>
      <c r="AJ315" s="5"/>
      <c r="AK315" s="5"/>
      <c r="AL315" s="5"/>
      <c r="AN315" s="72"/>
      <c r="AO315" s="72"/>
      <c r="AP315" s="72"/>
      <c r="AQ315" s="30"/>
      <c r="AR315" s="14"/>
    </row>
    <row r="316" spans="1:50" x14ac:dyDescent="0.2">
      <c r="A316" s="9"/>
      <c r="B316" s="129"/>
      <c r="T316" s="158"/>
      <c r="U316" s="158"/>
      <c r="V316" s="282"/>
      <c r="W316" s="158"/>
      <c r="X316" s="158"/>
      <c r="Y316" s="153"/>
      <c r="Z316" s="152">
        <f>SUM(Z314:Z315)</f>
        <v>7.1153534940831484</v>
      </c>
      <c r="AA316" s="153"/>
      <c r="AB316" s="153"/>
      <c r="AC316" s="152">
        <f>SUM(AC314:AC315)</f>
        <v>-3.8206482447655912</v>
      </c>
      <c r="AD316" s="153"/>
      <c r="AE316" s="103"/>
      <c r="AF316" s="103"/>
      <c r="AG316" s="103"/>
      <c r="AH316" s="153">
        <f>SUM(AH314:AH315)</f>
        <v>13.966037243706364</v>
      </c>
      <c r="AI316" s="41" t="s">
        <v>521</v>
      </c>
      <c r="AJ316" s="5" t="s">
        <v>21</v>
      </c>
      <c r="AK316" s="219">
        <f>INDEX('C-P-RollAdj'!$J$4:$J$76,MATCH(INT(Z316),'C-P-RollAdj'!$I$4:$I$76,FALSE),0)</f>
        <v>21</v>
      </c>
      <c r="AL316" s="219">
        <f>INDEX('C-P-RollAdj'!$J$4:$J$76,MATCH(INT(AC316),'C-P-RollAdj'!$I$4:$I$76,FALSE),0)</f>
        <v>-14</v>
      </c>
      <c r="AM316" s="262">
        <f>SUM(AM312:AM315)</f>
        <v>29.444444444444443</v>
      </c>
      <c r="AN316" s="14">
        <f>SUM(AN312:AN315)</f>
        <v>30</v>
      </c>
      <c r="AO316" s="14">
        <f>SUM(AO312:AO315)</f>
        <v>0</v>
      </c>
      <c r="AP316" s="14">
        <f>SUM(AP312:AP315)</f>
        <v>120.55555555555556</v>
      </c>
      <c r="AQ316" s="30"/>
      <c r="AR316" s="14"/>
    </row>
    <row r="317" spans="1:50" x14ac:dyDescent="0.2">
      <c r="A317" s="204"/>
      <c r="B317" s="196"/>
      <c r="AN317" s="72"/>
      <c r="AO317" s="72"/>
      <c r="AP317" s="72"/>
      <c r="AQ317" s="30"/>
      <c r="AR317" s="14"/>
    </row>
    <row r="318" spans="1:50" x14ac:dyDescent="0.2">
      <c r="A318" t="s">
        <v>557</v>
      </c>
      <c r="B318" s="76" t="s">
        <v>166</v>
      </c>
      <c r="C318" s="76">
        <v>1</v>
      </c>
      <c r="D318" s="76">
        <v>3</v>
      </c>
      <c r="E318" s="76">
        <v>3.68</v>
      </c>
      <c r="F318" s="76">
        <v>27</v>
      </c>
      <c r="G318" s="76">
        <v>0</v>
      </c>
      <c r="H318" s="76">
        <v>0</v>
      </c>
      <c r="I318" s="76">
        <v>0</v>
      </c>
      <c r="J318" s="76">
        <v>0</v>
      </c>
      <c r="K318" s="76">
        <v>4</v>
      </c>
      <c r="L318" s="258">
        <f>INDEX('C-P-RollAdj'!$P$4:$P$900,MATCH((U318),'C-P-RollAdj'!$O$4:$O$900,FALSE),0)</f>
        <v>22</v>
      </c>
      <c r="M318" s="76">
        <v>18</v>
      </c>
      <c r="N318" s="76">
        <v>13</v>
      </c>
      <c r="O318" s="76">
        <v>9</v>
      </c>
      <c r="P318" s="76">
        <v>3</v>
      </c>
      <c r="Q318" s="76">
        <v>9</v>
      </c>
      <c r="R318" s="76">
        <v>1</v>
      </c>
      <c r="S318" s="76">
        <v>22</v>
      </c>
      <c r="T318" s="76">
        <v>92</v>
      </c>
      <c r="U318" s="76">
        <v>22</v>
      </c>
      <c r="V318" s="100">
        <v>0.22500000000000001</v>
      </c>
      <c r="W318" s="76">
        <v>1.23</v>
      </c>
      <c r="Y318" s="50">
        <f>+(Q318-R318)/(T318-R318)*100</f>
        <v>8.791208791208792</v>
      </c>
      <c r="Z318" s="6">
        <f>IF(Y318&lt;LeagueRatings!$K$21,((LeagueRatings!$K$21-Y318)/LeagueRatings!$K$21)*36,(LeagueRatings!$K$21-Y318)*6.48)</f>
        <v>0.6506237433203963</v>
      </c>
      <c r="AA318" s="16">
        <f>INDEX('C-P-RollAdj'!$B$4:$B$76,MATCH(INT(Z318),'C-P-RollAdj'!$A$4:$A$76,FALSE),0)</f>
        <v>0</v>
      </c>
      <c r="AB318" s="16">
        <f>(P318/(T318-R318))*100</f>
        <v>3.296703296703297</v>
      </c>
      <c r="AC318" s="6">
        <f>IF(AB318&lt;LeagueRatings!$K$19,((LeagueRatings!$K$19-AB318)/LeagueRatings!$K$19)*36,(LeagueRatings!$K$19-AB318)/LeagueRatings!$K$22)</f>
        <v>-3.1407129455909955</v>
      </c>
      <c r="AD318" s="16">
        <f>INDEX('C-P-RollAdj'!$F$4:$F$76,MATCH(INT(AC318),'C-P-RollAdj'!$E$4:$E$76,FALSE),0)</f>
        <v>0.32999999999999996</v>
      </c>
      <c r="AE318" s="17">
        <f>+((LeagueRatings!$I$17-E318)*5)+9.5</f>
        <v>11.914387243706361</v>
      </c>
      <c r="AF318" s="17">
        <f>IF(AE318&lt;4,4,AE318)</f>
        <v>11.914387243706361</v>
      </c>
      <c r="AG318" s="17">
        <f>IF(M318&lt;L318,((1-(M318/L318))*7)-0.07,(1-(M318/L318))*5)</f>
        <v>1.2027272727272724</v>
      </c>
      <c r="AH318" s="4">
        <f>+AA318+AD318+AF318+AG318</f>
        <v>13.447114516433635</v>
      </c>
      <c r="AJ318" s="5" t="s">
        <v>50</v>
      </c>
      <c r="AK318" s="219">
        <f>INDEX('C-P-RollAdj'!$J$4:$J$76,MATCH(INT(Z318),'C-P-RollAdj'!$I$4:$I$76,FALSE),0)</f>
        <v>0</v>
      </c>
      <c r="AL318" s="219">
        <f>INDEX('C-P-RollAdj'!$J$4:$J$76,MATCH(INT(AC318),'C-P-RollAdj'!$I$4:$I$76,FALSE),0)</f>
        <v>-14</v>
      </c>
      <c r="AM318" s="262">
        <f>+AR318*LeagueRatings!$K$27</f>
        <v>12.222222222222223</v>
      </c>
      <c r="AN318" s="72">
        <f>F318*LeagueRatings!$K$27</f>
        <v>15</v>
      </c>
      <c r="AO318" s="72">
        <f>G318*LeagueRatings!$K$27</f>
        <v>0</v>
      </c>
      <c r="AP318" s="72">
        <f>T318*LeagueRatings!$K$27</f>
        <v>51.111111111111114</v>
      </c>
      <c r="AQ318"/>
      <c r="AR318" s="14">
        <f>ROUNDUP(L318,0)</f>
        <v>22</v>
      </c>
    </row>
    <row r="319" spans="1:50" customFormat="1" x14ac:dyDescent="0.2">
      <c r="A319" s="41" t="s">
        <v>557</v>
      </c>
      <c r="B319" s="76" t="s">
        <v>171</v>
      </c>
      <c r="C319" s="76">
        <v>1</v>
      </c>
      <c r="D319" s="76">
        <v>1</v>
      </c>
      <c r="E319" s="76">
        <v>2.95</v>
      </c>
      <c r="F319" s="76">
        <v>26</v>
      </c>
      <c r="G319" s="76">
        <v>0</v>
      </c>
      <c r="H319" s="76">
        <v>0</v>
      </c>
      <c r="I319" s="76">
        <v>0</v>
      </c>
      <c r="J319" s="76">
        <v>0</v>
      </c>
      <c r="K319" s="76">
        <v>1</v>
      </c>
      <c r="L319" s="258">
        <f>INDEX('C-P-RollAdj'!$P$4:$P$900,MATCH((U319),'C-P-RollAdj'!$O$4:$O$900,FALSE),0)</f>
        <v>18.329999999999998</v>
      </c>
      <c r="M319" s="76">
        <v>13</v>
      </c>
      <c r="N319" s="76">
        <v>6</v>
      </c>
      <c r="O319" s="76">
        <v>6</v>
      </c>
      <c r="P319" s="76">
        <v>0</v>
      </c>
      <c r="Q319" s="76">
        <v>9</v>
      </c>
      <c r="R319" s="76">
        <v>0</v>
      </c>
      <c r="S319" s="76">
        <v>26</v>
      </c>
      <c r="T319" s="76">
        <v>75</v>
      </c>
      <c r="U319" s="76">
        <v>18.100000000000001</v>
      </c>
      <c r="V319" s="100">
        <v>0.19700000000000001</v>
      </c>
      <c r="W319" s="76">
        <v>1.2</v>
      </c>
      <c r="X319" s="76"/>
      <c r="Y319" s="50">
        <f>+(Q319-R319)/(T319-R319)*100</f>
        <v>12</v>
      </c>
      <c r="Z319" s="6">
        <f>IF(Y319&lt;LeagueRatings!$K$21,((LeagueRatings!$K$21-Y319)/LeagueRatings!$K$21)*36,(LeagueRatings!$K$21-Y319)*6.48)</f>
        <v>-19.74445902066897</v>
      </c>
      <c r="AA319" s="16">
        <f>INDEX('C-P-RollAdj'!$B$4:$B$76,MATCH(INT(Z319),'C-P-RollAdj'!$A$4:$A$76,FALSE),0)</f>
        <v>2.38</v>
      </c>
      <c r="AB319" s="16">
        <f>(P319/(T319-R319))*100</f>
        <v>0</v>
      </c>
      <c r="AC319" s="6">
        <f>IF(AB319&lt;LeagueRatings!$K$19,((LeagueRatings!$K$19-AB319)/LeagueRatings!$K$19)*36,(LeagueRatings!$K$19-AB319)/LeagueRatings!$K$22)</f>
        <v>36</v>
      </c>
      <c r="AD319" s="16">
        <f>INDEX('C-P-RollAdj'!$F$4:$F$76,MATCH(INT(AC319),'C-P-RollAdj'!$E$4:$E$76,FALSE),0)</f>
        <v>-3.26</v>
      </c>
      <c r="AE319" s="17">
        <f>+((LeagueRatings!$I$17-E319)*5)+9.5</f>
        <v>15.564387243706362</v>
      </c>
      <c r="AF319" s="17">
        <f>IF(AE319&lt;4,4,AE319)</f>
        <v>15.564387243706362</v>
      </c>
      <c r="AG319" s="17">
        <f>IF(M319&lt;L319,((1-(M319/L319))*7)-0.07,(1-(M319/L319))*5)</f>
        <v>1.9654609929078013</v>
      </c>
      <c r="AH319" s="4">
        <f>+AA319+AD319+AF319+AG319</f>
        <v>16.649848236614162</v>
      </c>
      <c r="AI319" s="168"/>
      <c r="AJ319" s="5" t="s">
        <v>14</v>
      </c>
      <c r="AK319" s="219">
        <f>INDEX('C-P-RollAdj'!$J$4:$J$76,MATCH(INT(Z319),'C-P-RollAdj'!$I$4:$I$76,FALSE),0)</f>
        <v>-42</v>
      </c>
      <c r="AL319" s="219">
        <f>INDEX('C-P-RollAdj'!$J$4:$J$76,MATCH(INT(AC319),'C-P-RollAdj'!$I$4:$I$76,FALSE),0)</f>
        <v>66</v>
      </c>
      <c r="AM319" s="262">
        <f>+AR319*LeagueRatings!$K$27</f>
        <v>10.555555555555555</v>
      </c>
      <c r="AN319" s="72">
        <f>F319*LeagueRatings!$K$27</f>
        <v>14.444444444444445</v>
      </c>
      <c r="AO319" s="72">
        <f>G319*LeagueRatings!$K$27</f>
        <v>0</v>
      </c>
      <c r="AP319" s="72">
        <f>T319*LeagueRatings!$K$27</f>
        <v>41.666666666666671</v>
      </c>
      <c r="AR319" s="14">
        <f>ROUNDUP(L319,0)</f>
        <v>19</v>
      </c>
    </row>
    <row r="320" spans="1:50" x14ac:dyDescent="0.2">
      <c r="A320" s="9"/>
      <c r="B320" s="129"/>
      <c r="L320" s="157">
        <f>(L318/100)/((L318+L319)/100)</f>
        <v>0.54549962806843544</v>
      </c>
      <c r="T320" s="158"/>
      <c r="U320" s="158"/>
      <c r="V320" s="282"/>
      <c r="W320" s="158"/>
      <c r="X320" s="158"/>
      <c r="Y320" s="153"/>
      <c r="Z320" s="152">
        <f>Z318*L320</f>
        <v>0.3549150099937694</v>
      </c>
      <c r="AA320" s="153"/>
      <c r="AB320" s="153"/>
      <c r="AC320" s="152">
        <f>AC318*L320</f>
        <v>-1.7132577436896084</v>
      </c>
      <c r="AD320" s="153"/>
      <c r="AE320" s="103"/>
      <c r="AF320" s="103"/>
      <c r="AG320" s="103"/>
      <c r="AH320" s="154">
        <f>AH318*L320</f>
        <v>7.335395967308207</v>
      </c>
      <c r="AJ320" s="5"/>
      <c r="AK320" s="5"/>
      <c r="AL320" s="5"/>
      <c r="AN320" s="72"/>
      <c r="AO320" s="72"/>
      <c r="AP320" s="72"/>
      <c r="AQ320" s="30"/>
      <c r="AR320" s="14"/>
    </row>
    <row r="321" spans="1:50" x14ac:dyDescent="0.2">
      <c r="A321" s="9"/>
      <c r="B321" s="129"/>
      <c r="L321" s="157">
        <f>(L319/100)/((L318+L319)/100)</f>
        <v>0.45450037193156456</v>
      </c>
      <c r="T321" s="158"/>
      <c r="U321" s="158"/>
      <c r="V321" s="282"/>
      <c r="W321" s="158"/>
      <c r="X321" s="158"/>
      <c r="Y321" s="153"/>
      <c r="Z321" s="152">
        <f>Z319*L321</f>
        <v>-8.9738639684815809</v>
      </c>
      <c r="AA321" s="153"/>
      <c r="AB321" s="153"/>
      <c r="AC321" s="152">
        <f>AC319*L321</f>
        <v>16.362013389536322</v>
      </c>
      <c r="AD321" s="153"/>
      <c r="AE321" s="103"/>
      <c r="AF321" s="103"/>
      <c r="AG321" s="103"/>
      <c r="AH321" s="154">
        <f>AH319*L321</f>
        <v>7.5673622161452405</v>
      </c>
      <c r="AJ321" s="5"/>
      <c r="AK321" s="5"/>
      <c r="AL321" s="5"/>
      <c r="AN321" s="72"/>
      <c r="AO321" s="72"/>
      <c r="AP321" s="72"/>
      <c r="AQ321" s="30"/>
      <c r="AR321" s="14"/>
    </row>
    <row r="322" spans="1:50" x14ac:dyDescent="0.2">
      <c r="A322" s="9"/>
      <c r="B322" s="129"/>
      <c r="T322" s="158"/>
      <c r="U322" s="158"/>
      <c r="V322" s="282"/>
      <c r="W322" s="158"/>
      <c r="X322" s="158"/>
      <c r="Y322" s="153"/>
      <c r="Z322" s="152">
        <f>SUM(Z320:Z321)</f>
        <v>-8.6189489584878114</v>
      </c>
      <c r="AA322" s="153"/>
      <c r="AB322" s="153"/>
      <c r="AC322" s="152">
        <f>SUM(AC320:AC321)</f>
        <v>14.648755645846714</v>
      </c>
      <c r="AD322" s="153"/>
      <c r="AE322" s="103"/>
      <c r="AF322" s="103"/>
      <c r="AG322" s="103"/>
      <c r="AH322" s="153">
        <f>SUM(AH320:AH321)</f>
        <v>14.902758183453447</v>
      </c>
      <c r="AI322" s="41" t="s">
        <v>557</v>
      </c>
      <c r="AJ322" s="5" t="s">
        <v>14</v>
      </c>
      <c r="AK322" s="219">
        <f>INDEX('C-P-RollAdj'!$J$4:$J$76,MATCH(INT(Z322),'C-P-RollAdj'!$I$4:$I$76,FALSE),0)</f>
        <v>-23</v>
      </c>
      <c r="AL322" s="219">
        <f>INDEX('C-P-RollAdj'!$J$4:$J$76,MATCH(INT(AC322),'C-P-RollAdj'!$I$4:$I$76,FALSE),0)</f>
        <v>32</v>
      </c>
      <c r="AM322" s="262">
        <f>SUM(AM318:AM321)</f>
        <v>22.777777777777779</v>
      </c>
      <c r="AN322" s="14">
        <f>SUM(AN318:AN321)</f>
        <v>29.444444444444443</v>
      </c>
      <c r="AO322" s="14">
        <f>SUM(AO318:AO321)</f>
        <v>0</v>
      </c>
      <c r="AP322" s="14">
        <f>SUM(AP318:AP321)</f>
        <v>92.777777777777786</v>
      </c>
      <c r="AQ322" s="30"/>
      <c r="AR322" s="14"/>
    </row>
    <row r="323" spans="1:50" x14ac:dyDescent="0.2">
      <c r="A323" s="204"/>
      <c r="B323" s="196"/>
      <c r="AN323" s="72"/>
      <c r="AO323" s="72"/>
      <c r="AP323" s="72"/>
      <c r="AQ323" s="30"/>
      <c r="AR323" s="14"/>
    </row>
    <row r="324" spans="1:50" x14ac:dyDescent="0.2">
      <c r="A324" t="s">
        <v>481</v>
      </c>
      <c r="B324" s="76" t="s">
        <v>156</v>
      </c>
      <c r="C324" s="76">
        <v>1</v>
      </c>
      <c r="D324" s="76">
        <v>3</v>
      </c>
      <c r="E324" s="76">
        <v>6.21</v>
      </c>
      <c r="F324" s="76">
        <v>38</v>
      </c>
      <c r="G324" s="76">
        <v>0</v>
      </c>
      <c r="H324" s="76">
        <v>0</v>
      </c>
      <c r="I324" s="76">
        <v>0</v>
      </c>
      <c r="J324" s="76">
        <v>3</v>
      </c>
      <c r="K324" s="76">
        <v>4</v>
      </c>
      <c r="L324" s="258">
        <f>INDEX('C-P-RollAdj'!$P$4:$P$900,MATCH((U324),'C-P-RollAdj'!$O$4:$O$900,FALSE),0)</f>
        <v>33.33</v>
      </c>
      <c r="M324" s="76">
        <v>43</v>
      </c>
      <c r="N324" s="76">
        <v>23</v>
      </c>
      <c r="O324" s="76">
        <v>23</v>
      </c>
      <c r="P324" s="76">
        <v>6</v>
      </c>
      <c r="Q324" s="76">
        <v>10</v>
      </c>
      <c r="R324" s="76">
        <v>1</v>
      </c>
      <c r="S324" s="76">
        <v>32</v>
      </c>
      <c r="T324" s="76">
        <v>156</v>
      </c>
      <c r="U324" s="76">
        <v>33.1</v>
      </c>
      <c r="V324" s="100">
        <v>0.309</v>
      </c>
      <c r="W324" s="76">
        <v>1.59</v>
      </c>
      <c r="Y324" s="50">
        <f>+(Q324-R324)/(T324-R324)*100</f>
        <v>5.806451612903226</v>
      </c>
      <c r="Z324" s="6">
        <f>IF(Y324&lt;LeagueRatings!$K$10,((LeagueRatings!$K$10-Y324)/LeagueRatings!$K$10)*36,(LeagueRatings!$K$10-Y324)*6.48)</f>
        <v>11.883375600948092</v>
      </c>
      <c r="AA324" s="16">
        <f>INDEX('C-P-RollAdj'!$B$4:$B$76,MATCH(INT(Z324),'C-P-RollAdj'!$A$4:$A$76,FALSE),0)</f>
        <v>-0.92</v>
      </c>
      <c r="AB324" s="16">
        <f>(P324/(T324-R324))*100</f>
        <v>3.870967741935484</v>
      </c>
      <c r="AC324" s="6">
        <f>IF(AB324&lt;LeagueRatings!$K$8,((LeagueRatings!$K$8-AB324)/LeagueRatings!$K$8)*36,(LeagueRatings!$K$8-AB324)/LeagueRatings!$K$11)</f>
        <v>-5.3101775203068939</v>
      </c>
      <c r="AD324" s="16">
        <f>INDEX('C-P-RollAdj'!$F$4:$F$76,MATCH(INT(AC324),'C-P-RollAdj'!$E$4:$E$76,FALSE),0)</f>
        <v>0.51</v>
      </c>
      <c r="AE324" s="17">
        <f>+((LeagueRatings!$I$17-E324)*5)+9.5</f>
        <v>-0.7356127562936372</v>
      </c>
      <c r="AF324" s="17">
        <f>IF(AE324&lt;4,4,AE324)</f>
        <v>4</v>
      </c>
      <c r="AG324" s="17">
        <f>IF(M324&lt;L324,((1-(M324/L324))*7)-0.07,(1-(M324/L324))*5)</f>
        <v>-1.4506450645064506</v>
      </c>
      <c r="AH324" s="4">
        <f>+AA324+AD324+AF324+AG324</f>
        <v>2.1393549354935493</v>
      </c>
      <c r="AI324" s="24"/>
      <c r="AJ324" s="58">
        <v>6</v>
      </c>
      <c r="AK324" s="219">
        <f>INDEX('C-P-RollAdj'!$J$4:$J$76,MATCH(INT(Z324),'C-P-RollAdj'!$I$4:$I$76,FALSE),0)</f>
        <v>25</v>
      </c>
      <c r="AL324" s="219">
        <f>INDEX('C-P-RollAdj'!$J$4:$J$76,MATCH(INT(AC324),'C-P-RollAdj'!$I$4:$I$76,FALSE),0)</f>
        <v>-16</v>
      </c>
      <c r="AM324" s="262">
        <f>+AR324*LeagueRatings!$K$27</f>
        <v>18.888888888888889</v>
      </c>
      <c r="AN324" s="72">
        <f>F324*LeagueRatings!$K$27</f>
        <v>21.111111111111111</v>
      </c>
      <c r="AO324" s="72">
        <f>G324*LeagueRatings!$K$27</f>
        <v>0</v>
      </c>
      <c r="AP324" s="72">
        <f>T324*LeagueRatings!$K$27</f>
        <v>86.666666666666671</v>
      </c>
      <c r="AQ324" s="24"/>
      <c r="AR324" s="14">
        <f>ROUNDUP(L324,0)</f>
        <v>34</v>
      </c>
    </row>
    <row r="325" spans="1:50" s="24" customFormat="1" x14ac:dyDescent="0.2">
      <c r="A325" s="41" t="s">
        <v>481</v>
      </c>
      <c r="B325" s="76" t="s">
        <v>154</v>
      </c>
      <c r="C325" s="76">
        <v>3</v>
      </c>
      <c r="D325" s="76">
        <v>0</v>
      </c>
      <c r="E325" s="76">
        <v>3.44</v>
      </c>
      <c r="F325" s="76">
        <v>19</v>
      </c>
      <c r="G325" s="76">
        <v>0</v>
      </c>
      <c r="H325" s="76">
        <v>0</v>
      </c>
      <c r="I325" s="76">
        <v>0</v>
      </c>
      <c r="J325" s="76">
        <v>0</v>
      </c>
      <c r="K325" s="76">
        <v>0</v>
      </c>
      <c r="L325" s="258">
        <f>INDEX('C-P-RollAdj'!$P$4:$P$900,MATCH((U325),'C-P-RollAdj'!$O$4:$O$900,FALSE),0)</f>
        <v>18.329999999999998</v>
      </c>
      <c r="M325" s="76">
        <v>13</v>
      </c>
      <c r="N325" s="76">
        <v>7</v>
      </c>
      <c r="O325" s="76">
        <v>7</v>
      </c>
      <c r="P325" s="76">
        <v>1</v>
      </c>
      <c r="Q325" s="76">
        <v>3</v>
      </c>
      <c r="R325" s="76">
        <v>0</v>
      </c>
      <c r="S325" s="76">
        <v>16</v>
      </c>
      <c r="T325" s="76">
        <v>72</v>
      </c>
      <c r="U325" s="76">
        <v>18.100000000000001</v>
      </c>
      <c r="V325" s="100">
        <v>0.191</v>
      </c>
      <c r="W325" s="76">
        <v>0.87</v>
      </c>
      <c r="X325" s="76"/>
      <c r="Y325" s="50">
        <f>+(Q325-R325)/(T325-R325)*100</f>
        <v>4.1666666666666661</v>
      </c>
      <c r="Z325" s="6">
        <f>IF(Y325&lt;LeagueRatings!$K$10,((LeagueRatings!$K$10-Y325)/LeagueRatings!$K$10)*36,(LeagueRatings!$K$10-Y325)*6.48)</f>
        <v>18.694088972902566</v>
      </c>
      <c r="AA325" s="16">
        <f>INDEX('C-P-RollAdj'!$B$4:$B$76,MATCH(INT(Z325),'C-P-RollAdj'!$A$4:$A$76,FALSE),0)</f>
        <v>-1.5899999999999999</v>
      </c>
      <c r="AB325" s="16">
        <f>(P325/(T325-R325))*100</f>
        <v>1.3888888888888888</v>
      </c>
      <c r="AC325" s="6">
        <f>IF(AB325&lt;LeagueRatings!$K$8,((LeagueRatings!$K$8-AB325)/LeagueRatings!$K$8)*36,(LeagueRatings!$K$8-AB325)/LeagueRatings!$K$11)</f>
        <v>20.385821404226313</v>
      </c>
      <c r="AD325" s="16">
        <f>INDEX('C-P-RollAdj'!$F$4:$F$76,MATCH(INT(AC325),'C-P-RollAdj'!$E$4:$E$76,FALSE),0)</f>
        <v>-1.59</v>
      </c>
      <c r="AE325" s="17">
        <f>+((LeagueRatings!$I$6-E325)*5)+9.5</f>
        <v>13.308051455277404</v>
      </c>
      <c r="AF325" s="17">
        <f>IF(AE325&lt;4,4,AE325)</f>
        <v>13.308051455277404</v>
      </c>
      <c r="AG325" s="17">
        <f>IF(M325&lt;L325,((1-(M325/L325))*7)-0.07,(1-(M325/L325))*5)</f>
        <v>1.9654609929078013</v>
      </c>
      <c r="AH325" s="4">
        <f>+AA325+AD325+AF325+AG325</f>
        <v>12.093512448185205</v>
      </c>
      <c r="AJ325" s="94" t="s">
        <v>39</v>
      </c>
      <c r="AK325" s="219">
        <f>INDEX('C-P-RollAdj'!$J$4:$J$76,MATCH(INT(Z325),'C-P-RollAdj'!$I$4:$I$76,FALSE),0)</f>
        <v>36</v>
      </c>
      <c r="AL325" s="219">
        <f>INDEX('C-P-RollAdj'!$J$4:$J$76,MATCH(INT(AC325),'C-P-RollAdj'!$I$4:$I$76,FALSE),0)</f>
        <v>42</v>
      </c>
      <c r="AM325" s="262">
        <f>+AR325*LeagueRatings!$K$27</f>
        <v>10.555555555555555</v>
      </c>
      <c r="AN325" s="72">
        <f>F325*LeagueRatings!$K$27</f>
        <v>10.555555555555555</v>
      </c>
      <c r="AO325" s="72">
        <f>G325*LeagueRatings!$K$27</f>
        <v>0</v>
      </c>
      <c r="AP325" s="72">
        <f>T325*LeagueRatings!$K$27</f>
        <v>40</v>
      </c>
      <c r="AQ325" s="76"/>
      <c r="AR325" s="72">
        <f>ROUNDUP(L325,0)</f>
        <v>19</v>
      </c>
      <c r="AS325" s="113"/>
      <c r="AT325" s="113"/>
      <c r="AU325" s="113"/>
      <c r="AV325" s="76"/>
      <c r="AW325" s="97">
        <v>53</v>
      </c>
      <c r="AX325"/>
    </row>
    <row r="326" spans="1:50" x14ac:dyDescent="0.2">
      <c r="A326" s="9"/>
      <c r="B326" s="129"/>
      <c r="L326" s="157">
        <f>(L324/100)/((L324+L325)/100)</f>
        <v>0.64518002322880375</v>
      </c>
      <c r="T326" s="158"/>
      <c r="U326" s="158"/>
      <c r="V326" s="282"/>
      <c r="W326" s="158"/>
      <c r="X326" s="158"/>
      <c r="Y326" s="153"/>
      <c r="Z326" s="152">
        <f>Z324*L326</f>
        <v>7.6669165462562896</v>
      </c>
      <c r="AA326" s="153"/>
      <c r="AB326" s="153"/>
      <c r="AC326" s="152">
        <f>AC324*L326</f>
        <v>-3.4260204559006735</v>
      </c>
      <c r="AD326" s="153"/>
      <c r="AE326" s="103"/>
      <c r="AF326" s="103"/>
      <c r="AG326" s="103"/>
      <c r="AH326" s="154">
        <f>AH324*L326</f>
        <v>1.380269066976384</v>
      </c>
      <c r="AJ326" s="5"/>
      <c r="AK326" s="5"/>
      <c r="AL326" s="5"/>
      <c r="AN326" s="72"/>
      <c r="AO326" s="72"/>
      <c r="AP326" s="72"/>
      <c r="AR326" s="14"/>
    </row>
    <row r="327" spans="1:50" x14ac:dyDescent="0.2">
      <c r="A327" s="9"/>
      <c r="B327" s="129"/>
      <c r="L327" s="157">
        <f>(L325/100)/((L324+L325)/100)</f>
        <v>0.35481997677119631</v>
      </c>
      <c r="T327" s="158"/>
      <c r="U327" s="158"/>
      <c r="V327" s="282"/>
      <c r="W327" s="158"/>
      <c r="X327" s="158"/>
      <c r="Y327" s="153"/>
      <c r="Z327" s="152">
        <f>Z325*L327</f>
        <v>6.6330362151239655</v>
      </c>
      <c r="AA327" s="153"/>
      <c r="AB327" s="153"/>
      <c r="AC327" s="152">
        <f>AC325*L327</f>
        <v>7.2332966771093368</v>
      </c>
      <c r="AD327" s="153"/>
      <c r="AE327" s="103"/>
      <c r="AF327" s="103"/>
      <c r="AG327" s="103"/>
      <c r="AH327" s="154">
        <f>AH325*L327</f>
        <v>4.291019805947248</v>
      </c>
      <c r="AJ327" s="5"/>
      <c r="AK327" s="5"/>
      <c r="AL327" s="5"/>
      <c r="AN327" s="72"/>
      <c r="AO327" s="72"/>
      <c r="AP327" s="72"/>
      <c r="AR327" s="14"/>
    </row>
    <row r="328" spans="1:50" x14ac:dyDescent="0.2">
      <c r="A328" s="9"/>
      <c r="B328" s="129"/>
      <c r="T328" s="158"/>
      <c r="U328" s="158"/>
      <c r="V328" s="282"/>
      <c r="W328" s="158"/>
      <c r="X328" s="158"/>
      <c r="Y328" s="153"/>
      <c r="Z328" s="152">
        <f>SUM(Z326:Z327)</f>
        <v>14.299952761380254</v>
      </c>
      <c r="AA328" s="153"/>
      <c r="AB328" s="153"/>
      <c r="AC328" s="152">
        <f>SUM(AC326:AC327)</f>
        <v>3.8072762212086633</v>
      </c>
      <c r="AD328" s="153"/>
      <c r="AE328" s="103"/>
      <c r="AF328" s="103"/>
      <c r="AG328" s="103"/>
      <c r="AH328" s="153">
        <f>SUM(AH326:AH327)</f>
        <v>5.6712888729236317</v>
      </c>
      <c r="AI328" s="41" t="s">
        <v>481</v>
      </c>
      <c r="AJ328" s="5" t="s">
        <v>24</v>
      </c>
      <c r="AK328" s="219">
        <f>INDEX('C-P-RollAdj'!$J$4:$J$76,MATCH(INT(Z328),'C-P-RollAdj'!$I$4:$I$76,FALSE),0)</f>
        <v>32</v>
      </c>
      <c r="AL328" s="121">
        <f>INDEX('C-P-RollAdj'!$J$4:$J$76,MATCH(INT(AC328),'C-P-RollAdj'!$I$4:$I$76,FALSE),0)</f>
        <v>13</v>
      </c>
      <c r="AM328" s="262">
        <f>SUM(AM324:AM327)</f>
        <v>29.444444444444443</v>
      </c>
      <c r="AN328" s="14">
        <f>SUM(AN324:AN327)</f>
        <v>31.666666666666664</v>
      </c>
      <c r="AO328" s="14">
        <f>SUM(AO324:AO327)</f>
        <v>0</v>
      </c>
      <c r="AP328" s="14">
        <f>SUM(AP324:AP327)</f>
        <v>126.66666666666667</v>
      </c>
      <c r="AR328" s="14"/>
    </row>
    <row r="329" spans="1:50" x14ac:dyDescent="0.2">
      <c r="A329" s="204"/>
      <c r="B329" s="196"/>
      <c r="AR329" s="14"/>
    </row>
    <row r="330" spans="1:50" x14ac:dyDescent="0.2">
      <c r="A330" t="s">
        <v>586</v>
      </c>
      <c r="B330" s="76" t="s">
        <v>161</v>
      </c>
      <c r="C330" s="76">
        <v>3</v>
      </c>
      <c r="D330" s="76">
        <v>2</v>
      </c>
      <c r="E330" s="76">
        <v>5.91</v>
      </c>
      <c r="F330" s="76">
        <v>29</v>
      </c>
      <c r="G330" s="76">
        <v>1</v>
      </c>
      <c r="H330" s="76">
        <v>0</v>
      </c>
      <c r="I330" s="76">
        <v>0</v>
      </c>
      <c r="J330" s="76">
        <v>0</v>
      </c>
      <c r="K330" s="76">
        <v>1</v>
      </c>
      <c r="L330" s="258">
        <f>INDEX('C-P-RollAdj'!$P$4:$P$900,MATCH((U330),'C-P-RollAdj'!$O$4:$O$900,FALSE),0)</f>
        <v>35</v>
      </c>
      <c r="M330" s="76">
        <v>31</v>
      </c>
      <c r="N330" s="76">
        <v>24</v>
      </c>
      <c r="O330" s="76">
        <v>23</v>
      </c>
      <c r="P330" s="76">
        <v>7</v>
      </c>
      <c r="Q330" s="76">
        <v>19</v>
      </c>
      <c r="R330" s="76">
        <v>4</v>
      </c>
      <c r="S330" s="76">
        <v>27</v>
      </c>
      <c r="T330" s="76">
        <v>152</v>
      </c>
      <c r="U330" s="76">
        <v>35</v>
      </c>
      <c r="V330" s="100">
        <v>0.23799999999999999</v>
      </c>
      <c r="W330" s="76">
        <v>1.43</v>
      </c>
      <c r="Y330" s="50">
        <f>+(Q330-R330)/(T330-R330)*100</f>
        <v>10.135135135135135</v>
      </c>
      <c r="Z330" s="6">
        <f>IF(Y330&lt;LeagueRatings!$K$21,((LeagueRatings!$K$21-Y330)/LeagueRatings!$K$21)*36,(LeagueRatings!$K$21-Y330)*6.48)</f>
        <v>-7.6601346963446426</v>
      </c>
      <c r="AA330" s="16">
        <f>INDEX('C-P-RollAdj'!$B$4:$B$76,MATCH(INT(Z330),'C-P-RollAdj'!$A$4:$A$76,FALSE),0)</f>
        <v>0.76</v>
      </c>
      <c r="AB330" s="16">
        <f>(P330/(T330-R330))*100</f>
        <v>4.7297297297297298</v>
      </c>
      <c r="AC330" s="6">
        <f>IF(AB330&lt;LeagueRatings!$K$19,((LeagueRatings!$K$19-AB330)/LeagueRatings!$K$19)*36,(LeagueRatings!$K$19-AB330)/LeagueRatings!$K$22)</f>
        <v>-14.719538562953197</v>
      </c>
      <c r="AD330" s="16">
        <f>INDEX('C-P-RollAdj'!$F$4:$F$76,MATCH(INT(AC330),'C-P-RollAdj'!$E$4:$E$76,FALSE),0)</f>
        <v>1.5</v>
      </c>
      <c r="AE330" s="17">
        <f>+((LeagueRatings!$I$6-E330)*5)+9.5</f>
        <v>0.95805145527740265</v>
      </c>
      <c r="AF330" s="17">
        <f>IF(AE330&lt;4,4,AE330)</f>
        <v>4</v>
      </c>
      <c r="AG330" s="17">
        <f>IF(M330&lt;L330,((1-(M330/L330))*7)-0.07,(1-(M330/L330))*5)</f>
        <v>0.7300000000000002</v>
      </c>
      <c r="AH330" s="4">
        <f>+AA330+AD330+AF330+AG330</f>
        <v>6.99</v>
      </c>
      <c r="AI330" s="24"/>
      <c r="AJ330" s="5" t="s">
        <v>16</v>
      </c>
      <c r="AK330" s="219">
        <f>INDEX('C-P-RollAdj'!$J$4:$J$76,MATCH(INT(Z330),'C-P-RollAdj'!$I$4:$I$76,FALSE),0)</f>
        <v>-22</v>
      </c>
      <c r="AL330" s="219">
        <f>INDEX('C-P-RollAdj'!$J$4:$J$76,MATCH(INT(AC330),'C-P-RollAdj'!$I$4:$I$76,FALSE),0)</f>
        <v>-33</v>
      </c>
      <c r="AM330" s="262">
        <f>+AR330*LeagueRatings!$K$27</f>
        <v>19.444444444444446</v>
      </c>
      <c r="AN330" s="72">
        <f>F330*LeagueRatings!$K$27</f>
        <v>16.111111111111111</v>
      </c>
      <c r="AO330" s="72">
        <f>G330*LeagueRatings!$K$27</f>
        <v>0.55555555555555558</v>
      </c>
      <c r="AP330" s="72">
        <f>T330*LeagueRatings!$K$27</f>
        <v>84.444444444444443</v>
      </c>
      <c r="AQ330" s="24"/>
      <c r="AR330" s="72">
        <f>ROUNDUP(L330,0)</f>
        <v>35</v>
      </c>
    </row>
    <row r="331" spans="1:50" s="24" customFormat="1" x14ac:dyDescent="0.2">
      <c r="A331" s="41" t="s">
        <v>586</v>
      </c>
      <c r="B331" s="76" t="s">
        <v>152</v>
      </c>
      <c r="C331" s="76">
        <v>4</v>
      </c>
      <c r="D331" s="76">
        <v>2</v>
      </c>
      <c r="E331" s="76">
        <v>3.26</v>
      </c>
      <c r="F331" s="76">
        <v>29</v>
      </c>
      <c r="G331" s="76">
        <v>0</v>
      </c>
      <c r="H331" s="76">
        <v>0</v>
      </c>
      <c r="I331" s="76">
        <v>0</v>
      </c>
      <c r="J331" s="76">
        <v>0</v>
      </c>
      <c r="K331" s="76">
        <v>2</v>
      </c>
      <c r="L331" s="258">
        <f>INDEX('C-P-RollAdj'!$P$4:$P$900,MATCH((U331),'C-P-RollAdj'!$O$4:$O$900,FALSE),0)</f>
        <v>30.33</v>
      </c>
      <c r="M331" s="76">
        <v>28</v>
      </c>
      <c r="N331" s="76">
        <v>13</v>
      </c>
      <c r="O331" s="76">
        <v>11</v>
      </c>
      <c r="P331" s="76">
        <v>4</v>
      </c>
      <c r="Q331" s="76">
        <v>10</v>
      </c>
      <c r="R331" s="76">
        <v>2</v>
      </c>
      <c r="S331" s="76">
        <v>25</v>
      </c>
      <c r="T331" s="76">
        <v>125</v>
      </c>
      <c r="U331" s="76">
        <v>30.1</v>
      </c>
      <c r="V331" s="100">
        <v>0.25</v>
      </c>
      <c r="W331" s="76">
        <v>1.25</v>
      </c>
      <c r="X331" s="76"/>
      <c r="Y331" s="50">
        <f>+(Q331-R331)/(T331-R331)*100</f>
        <v>6.5040650406504072</v>
      </c>
      <c r="Z331" s="6">
        <f>IF(Y331&lt;LeagueRatings!$K$10,((LeagueRatings!$K$10-Y331)/LeagueRatings!$K$10)*36,(LeagueRatings!$K$10-Y331)*6.48)</f>
        <v>8.9858949820918088</v>
      </c>
      <c r="AA331" s="16">
        <f>INDEX('C-P-RollAdj'!$B$4:$B$76,MATCH(INT(Z331),'C-P-RollAdj'!$A$4:$A$76,FALSE),0)</f>
        <v>-0.65</v>
      </c>
      <c r="AB331" s="16">
        <f>(P331/(T331-R331))*100</f>
        <v>3.2520325203252036</v>
      </c>
      <c r="AC331" s="6">
        <f>IF(AB331&lt;LeagueRatings!$K$8,((LeagueRatings!$K$8-AB331)/LeagueRatings!$K$8)*36,(LeagueRatings!$K$8-AB331)/LeagueRatings!$K$11)</f>
        <v>-0.3955517455993065</v>
      </c>
      <c r="AD331" s="16">
        <f>INDEX('C-P-RollAdj'!$F$4:$F$76,MATCH(INT(AC331),'C-P-RollAdj'!$E$4:$E$76,FALSE),0)</f>
        <v>0.08</v>
      </c>
      <c r="AE331" s="17">
        <f>+((LeagueRatings!$I$6-E331)*5)+9.5</f>
        <v>14.208051455277404</v>
      </c>
      <c r="AF331" s="17">
        <f>IF(AE331&lt;4,4,AE331)</f>
        <v>14.208051455277404</v>
      </c>
      <c r="AG331" s="17">
        <f>IF(M331&lt;L331,((1-(M331/L331))*7)-0.07,(1-(M331/L331))*5)</f>
        <v>0.46775140125288467</v>
      </c>
      <c r="AH331" s="4">
        <f>+AA331+AD331+AF331+AG331</f>
        <v>14.105802856530289</v>
      </c>
      <c r="AJ331" s="5" t="s">
        <v>59</v>
      </c>
      <c r="AK331" s="219">
        <f>INDEX('C-P-RollAdj'!$J$4:$J$76,MATCH(INT(Z331),'C-P-RollAdj'!$I$4:$I$76,FALSE),0)</f>
        <v>22</v>
      </c>
      <c r="AL331" s="219">
        <f>INDEX('C-P-RollAdj'!$J$4:$J$76,MATCH(INT(AC331),'C-P-RollAdj'!$I$4:$I$76,FALSE),0)</f>
        <v>-11</v>
      </c>
      <c r="AM331" s="262">
        <f>+AR331*LeagueRatings!$K$27</f>
        <v>17.222222222222221</v>
      </c>
      <c r="AN331" s="72">
        <f>F331*LeagueRatings!$K$27</f>
        <v>16.111111111111111</v>
      </c>
      <c r="AO331" s="72">
        <f>G331*LeagueRatings!$K$27</f>
        <v>0</v>
      </c>
      <c r="AP331" s="72">
        <f>T331*LeagueRatings!$K$27</f>
        <v>69.444444444444443</v>
      </c>
      <c r="AR331" s="72">
        <f>ROUNDUP(L331,0)</f>
        <v>31</v>
      </c>
      <c r="AS331" s="113"/>
      <c r="AT331" s="113"/>
      <c r="AU331" s="113"/>
      <c r="AW331" s="97">
        <v>182</v>
      </c>
    </row>
    <row r="332" spans="1:50" x14ac:dyDescent="0.2">
      <c r="A332" s="9"/>
      <c r="B332" s="129"/>
      <c r="L332" s="157">
        <f>(L330/100)/((L330+L331)/100)</f>
        <v>0.53574161947038113</v>
      </c>
      <c r="T332" s="158"/>
      <c r="U332" s="158"/>
      <c r="V332" s="282"/>
      <c r="W332" s="158"/>
      <c r="X332" s="158"/>
      <c r="Y332" s="153"/>
      <c r="Z332" s="152">
        <f>Z330*L332</f>
        <v>-4.1038529675809352</v>
      </c>
      <c r="AA332" s="153"/>
      <c r="AB332" s="153"/>
      <c r="AC332" s="152">
        <f>AC330*L332</f>
        <v>-7.8858694275732724</v>
      </c>
      <c r="AD332" s="153"/>
      <c r="AE332" s="103"/>
      <c r="AF332" s="103"/>
      <c r="AG332" s="103"/>
      <c r="AH332" s="154">
        <f>AH330*L332</f>
        <v>3.7448339200979643</v>
      </c>
      <c r="AJ332" s="5"/>
      <c r="AK332" s="5"/>
      <c r="AL332" s="5"/>
      <c r="AN332" s="72"/>
      <c r="AR332" s="14"/>
    </row>
    <row r="333" spans="1:50" x14ac:dyDescent="0.2">
      <c r="A333" s="9"/>
      <c r="B333" s="129"/>
      <c r="L333" s="157">
        <f>(L331/100)/((L330+L331)/100)</f>
        <v>0.46425838052961882</v>
      </c>
      <c r="T333" s="158"/>
      <c r="U333" s="158"/>
      <c r="V333" s="282"/>
      <c r="W333" s="158"/>
      <c r="X333" s="158"/>
      <c r="Y333" s="153"/>
      <c r="Z333" s="152">
        <f>Z331*L333</f>
        <v>4.1717770519951713</v>
      </c>
      <c r="AA333" s="153"/>
      <c r="AB333" s="153"/>
      <c r="AC333" s="152">
        <f>AC331*L333</f>
        <v>-0.18363821282759782</v>
      </c>
      <c r="AD333" s="153"/>
      <c r="AE333" s="103"/>
      <c r="AF333" s="103"/>
      <c r="AG333" s="103"/>
      <c r="AH333" s="154">
        <f>AH331*L333</f>
        <v>6.5487371902428233</v>
      </c>
      <c r="AJ333" s="5"/>
      <c r="AK333" s="5"/>
      <c r="AL333" s="5"/>
      <c r="AN333" s="72"/>
      <c r="AR333" s="14"/>
    </row>
    <row r="334" spans="1:50" x14ac:dyDescent="0.2">
      <c r="A334" s="9"/>
      <c r="B334" s="129"/>
      <c r="T334" s="158"/>
      <c r="U334" s="158"/>
      <c r="V334" s="282"/>
      <c r="W334" s="158"/>
      <c r="X334" s="158"/>
      <c r="Y334" s="153"/>
      <c r="Z334" s="152">
        <f>SUM(Z332:Z333)</f>
        <v>6.7924084414236141E-2</v>
      </c>
      <c r="AA334" s="153"/>
      <c r="AB334" s="153"/>
      <c r="AC334" s="152">
        <f>SUM(AC332:AC333)</f>
        <v>-8.0695076404008699</v>
      </c>
      <c r="AD334" s="153"/>
      <c r="AE334" s="103"/>
      <c r="AF334" s="103"/>
      <c r="AG334" s="103"/>
      <c r="AH334" s="153">
        <f>SUM(AH332:AH333)</f>
        <v>10.293571110340787</v>
      </c>
      <c r="AI334" s="41" t="s">
        <v>586</v>
      </c>
      <c r="AJ334" s="5" t="s">
        <v>68</v>
      </c>
      <c r="AK334" s="219">
        <f>INDEX('C-P-RollAdj'!$J$4:$J$76,MATCH(INT(Z334),'C-P-RollAdj'!$I$4:$I$76,FALSE),0)</f>
        <v>0</v>
      </c>
      <c r="AL334" s="219">
        <f>INDEX('C-P-RollAdj'!$J$4:$J$76,MATCH(INT(AC334),'C-P-RollAdj'!$I$4:$I$76,FALSE),0)</f>
        <v>-23</v>
      </c>
      <c r="AM334" s="262">
        <f>SUM(AM330:AM333)</f>
        <v>36.666666666666671</v>
      </c>
      <c r="AN334" s="14">
        <f>SUM(AN330:AN333)</f>
        <v>32.222222222222221</v>
      </c>
      <c r="AO334" s="14">
        <f>SUM(AO330:AO333)</f>
        <v>0.55555555555555558</v>
      </c>
      <c r="AP334" s="14">
        <f>SUM(AP330:AP333)</f>
        <v>153.88888888888889</v>
      </c>
      <c r="AR334" s="14"/>
    </row>
    <row r="335" spans="1:50" x14ac:dyDescent="0.2">
      <c r="B335" s="155"/>
      <c r="AR335" s="14"/>
    </row>
    <row r="336" spans="1:50" x14ac:dyDescent="0.2">
      <c r="A336" t="s">
        <v>610</v>
      </c>
      <c r="B336" s="76" t="s">
        <v>155</v>
      </c>
      <c r="C336" s="76">
        <v>2</v>
      </c>
      <c r="D336" s="76">
        <v>3</v>
      </c>
      <c r="E336" s="76">
        <v>10.55</v>
      </c>
      <c r="F336" s="76">
        <v>21</v>
      </c>
      <c r="G336" s="76">
        <v>0</v>
      </c>
      <c r="H336" s="76">
        <v>0</v>
      </c>
      <c r="I336" s="76">
        <v>0</v>
      </c>
      <c r="J336" s="76">
        <v>0</v>
      </c>
      <c r="K336" s="76">
        <v>2</v>
      </c>
      <c r="L336" s="258">
        <f>INDEX('C-P-RollAdj'!$P$4:$P$900,MATCH((U336),'C-P-RollAdj'!$O$4:$O$900,FALSE),0)</f>
        <v>21.33</v>
      </c>
      <c r="M336" s="76">
        <v>38</v>
      </c>
      <c r="N336" s="76">
        <v>25</v>
      </c>
      <c r="O336" s="76">
        <v>25</v>
      </c>
      <c r="P336" s="76">
        <v>7</v>
      </c>
      <c r="Q336" s="76">
        <v>9</v>
      </c>
      <c r="R336" s="76">
        <v>0</v>
      </c>
      <c r="S336" s="76">
        <v>11</v>
      </c>
      <c r="T336" s="76">
        <v>109</v>
      </c>
      <c r="U336" s="76">
        <v>21.1</v>
      </c>
      <c r="V336" s="100">
        <v>0.39200000000000002</v>
      </c>
      <c r="W336" s="76">
        <v>2.2000000000000002</v>
      </c>
      <c r="Y336" s="50">
        <f>+(Q336-R336)/(T336-R336)*100</f>
        <v>8.2568807339449553</v>
      </c>
      <c r="Z336" s="6">
        <f>IF(Y336&lt;LeagueRatings!$K$10,((LeagueRatings!$K$10-Y336)/LeagueRatings!$K$10)*36,(LeagueRatings!$K$10-Y336)*6.48)</f>
        <v>1.705717597678476</v>
      </c>
      <c r="AA336" s="16">
        <f>INDEX('C-P-RollAdj'!$B$4:$B$76,MATCH(INT(Z336),'C-P-RollAdj'!$A$4:$A$76,FALSE),0)</f>
        <v>-0.08</v>
      </c>
      <c r="AB336" s="16">
        <f>(P336/(T336-R336))*100</f>
        <v>6.4220183486238538</v>
      </c>
      <c r="AC336" s="6">
        <f>IF(AB336&lt;LeagueRatings!$K$8,((LeagueRatings!$K$8-AB336)/LeagueRatings!$K$8)*36,(LeagueRatings!$K$8-AB336)/LeagueRatings!$K$11)</f>
        <v>-25.566673881259582</v>
      </c>
      <c r="AD336" s="16">
        <f>INDEX('C-P-RollAdj'!$F$4:$F$76,MATCH(INT(AC336),'C-P-RollAdj'!$E$4:$E$76,FALSE),0)</f>
        <v>3.0799999999999996</v>
      </c>
      <c r="AE336" s="17">
        <f>+((LeagueRatings!$I$17-E336)*5)+9.5</f>
        <v>-22.43561275629364</v>
      </c>
      <c r="AF336" s="17">
        <f>IF(AE336&lt;4,4,AE336)</f>
        <v>4</v>
      </c>
      <c r="AG336" s="17">
        <f>IF(M336&lt;L336,((1-(M336/L336))*7)-0.07,(1-(M336/L336))*5)</f>
        <v>-3.9076418190342244</v>
      </c>
      <c r="AH336" s="4">
        <f>+AA336+AD336+AF336+AG336</f>
        <v>3.0923581809657756</v>
      </c>
      <c r="AI336" s="24"/>
      <c r="AJ336" s="58">
        <v>10</v>
      </c>
      <c r="AK336" s="219">
        <f>INDEX('C-P-RollAdj'!$J$4:$J$76,MATCH(INT(Z336),'C-P-RollAdj'!$I$4:$I$76,FALSE),0)</f>
        <v>11</v>
      </c>
      <c r="AL336" s="219">
        <f>INDEX('C-P-RollAdj'!$J$4:$J$76,MATCH(INT(AC336),'C-P-RollAdj'!$I$4:$I$76,FALSE),0)</f>
        <v>-52</v>
      </c>
      <c r="AM336" s="262">
        <f>+AR336*LeagueRatings!$K$27</f>
        <v>12.222222222222223</v>
      </c>
      <c r="AN336" s="72">
        <f>F336*LeagueRatings!$K$27</f>
        <v>11.666666666666668</v>
      </c>
      <c r="AO336" s="72">
        <f>G336*LeagueRatings!$K$27</f>
        <v>0</v>
      </c>
      <c r="AP336" s="72">
        <f>T336*LeagueRatings!$K$27</f>
        <v>60.555555555555557</v>
      </c>
      <c r="AQ336" s="24"/>
      <c r="AR336" s="14">
        <f>ROUNDUP(L336,0)</f>
        <v>22</v>
      </c>
    </row>
    <row r="337" spans="1:50" x14ac:dyDescent="0.2">
      <c r="A337" s="41" t="s">
        <v>610</v>
      </c>
      <c r="B337" s="76" t="s">
        <v>154</v>
      </c>
      <c r="C337" s="76">
        <v>0</v>
      </c>
      <c r="D337" s="76">
        <v>1</v>
      </c>
      <c r="E337" s="76">
        <v>3.6</v>
      </c>
      <c r="F337" s="76">
        <v>29</v>
      </c>
      <c r="G337" s="76">
        <v>0</v>
      </c>
      <c r="H337" s="76">
        <v>0</v>
      </c>
      <c r="I337" s="76">
        <v>0</v>
      </c>
      <c r="J337" s="76">
        <v>1</v>
      </c>
      <c r="K337" s="76">
        <v>2</v>
      </c>
      <c r="L337" s="258">
        <f>INDEX('C-P-RollAdj'!$P$4:$P$900,MATCH((U337),'C-P-RollAdj'!$O$4:$O$900,FALSE),0)</f>
        <v>25</v>
      </c>
      <c r="M337" s="76">
        <v>22</v>
      </c>
      <c r="N337" s="76">
        <v>10</v>
      </c>
      <c r="O337" s="76">
        <v>10</v>
      </c>
      <c r="P337" s="76">
        <v>4</v>
      </c>
      <c r="Q337" s="76">
        <v>10</v>
      </c>
      <c r="R337" s="76">
        <v>0</v>
      </c>
      <c r="S337" s="76">
        <v>17</v>
      </c>
      <c r="T337" s="76">
        <v>100</v>
      </c>
      <c r="U337" s="76">
        <v>25</v>
      </c>
      <c r="V337" s="100">
        <v>0.24399999999999999</v>
      </c>
      <c r="W337" s="76">
        <v>1.28</v>
      </c>
      <c r="X337" s="76"/>
      <c r="Y337" s="50">
        <f>+(Q337-R337)/(T337-R337)*100</f>
        <v>10</v>
      </c>
      <c r="Z337" s="6">
        <f>IF(Y337&lt;LeagueRatings!$K$10,((LeagueRatings!$K$10-Y337)/LeagueRatings!$K$10)*36,(LeagueRatings!$K$10-Y337)*6.48)</f>
        <v>-8.6342195058063407</v>
      </c>
      <c r="AA337" s="16">
        <f>INDEX('C-P-RollAdj'!$B$4:$B$76,MATCH(INT(Z337),'C-P-RollAdj'!$A$4:$A$76,FALSE),0)</f>
        <v>0.87000000000000011</v>
      </c>
      <c r="AB337" s="16">
        <f>(P337/(T337-R337))*100</f>
        <v>4</v>
      </c>
      <c r="AC337" s="6">
        <f>IF(AB337&lt;LeagueRatings!$K$8,((LeagueRatings!$K$8-AB337)/LeagueRatings!$K$8)*36,(LeagueRatings!$K$8-AB337)/LeagueRatings!$K$11)</f>
        <v>-6.3347520462205091</v>
      </c>
      <c r="AD337" s="16">
        <f>INDEX('C-P-RollAdj'!$F$4:$F$76,MATCH(INT(AC337),'C-P-RollAdj'!$E$4:$E$76,FALSE),0)</f>
        <v>0.61</v>
      </c>
      <c r="AE337" s="17">
        <f>+((LeagueRatings!$I$17-E337)*5)+9.5</f>
        <v>12.314387243706362</v>
      </c>
      <c r="AF337" s="17">
        <f>IF(AE337&lt;4,4,AE337)</f>
        <v>12.314387243706362</v>
      </c>
      <c r="AG337" s="17">
        <f>IF(M337&lt;L337,((1-(M337/L337))*7)-0.07,(1-(M337/L337))*5)</f>
        <v>0.77</v>
      </c>
      <c r="AH337" s="4">
        <f>+AA337+AD337+AF337+AG337</f>
        <v>14.564387243706362</v>
      </c>
      <c r="AI337" s="24"/>
      <c r="AJ337" s="5" t="s">
        <v>55</v>
      </c>
      <c r="AK337" s="219">
        <f>INDEX('C-P-RollAdj'!$J$4:$J$76,MATCH(INT(Z337),'C-P-RollAdj'!$I$4:$I$76,FALSE),0)</f>
        <v>-23</v>
      </c>
      <c r="AL337" s="219">
        <f>INDEX('C-P-RollAdj'!$J$4:$J$76,MATCH(INT(AC337),'C-P-RollAdj'!$I$4:$I$76,FALSE),0)</f>
        <v>-21</v>
      </c>
      <c r="AM337" s="262">
        <f>+AR337*LeagueRatings!$K$27</f>
        <v>13.888888888888889</v>
      </c>
      <c r="AN337" s="72">
        <f>F337*LeagueRatings!$K$27</f>
        <v>16.111111111111111</v>
      </c>
      <c r="AO337" s="72">
        <f>G337*LeagueRatings!$K$27</f>
        <v>0</v>
      </c>
      <c r="AP337" s="72">
        <f>T337*LeagueRatings!$K$27</f>
        <v>55.555555555555557</v>
      </c>
      <c r="AQ337" s="24"/>
      <c r="AR337" s="14">
        <f>ROUNDUP(L337,0)</f>
        <v>25</v>
      </c>
    </row>
    <row r="338" spans="1:50" x14ac:dyDescent="0.2">
      <c r="A338" s="204"/>
      <c r="B338" s="196"/>
      <c r="L338" s="157">
        <f>(L336/100)/((L336+L337)/100)</f>
        <v>0.46039283401683573</v>
      </c>
      <c r="T338" s="158"/>
      <c r="U338" s="158"/>
      <c r="V338" s="282"/>
      <c r="W338" s="158"/>
      <c r="X338" s="158"/>
      <c r="Y338" s="153"/>
      <c r="Z338" s="152">
        <f>Z336*L338</f>
        <v>0.78530015882758242</v>
      </c>
      <c r="AA338" s="153"/>
      <c r="AB338" s="153"/>
      <c r="AC338" s="152">
        <f>AC336*L338</f>
        <v>-11.770713444577313</v>
      </c>
      <c r="AD338" s="153"/>
      <c r="AE338" s="103"/>
      <c r="AF338" s="103"/>
      <c r="AG338" s="103"/>
      <c r="AH338" s="154">
        <f>AH336*L338</f>
        <v>1.4236995467299804</v>
      </c>
      <c r="AJ338" s="5"/>
      <c r="AK338" s="5"/>
      <c r="AL338" s="5"/>
      <c r="AN338" s="72"/>
      <c r="AO338" s="72"/>
      <c r="AP338" s="72"/>
      <c r="AR338" s="14"/>
    </row>
    <row r="339" spans="1:50" x14ac:dyDescent="0.2">
      <c r="B339" s="155"/>
      <c r="L339" s="157">
        <f>(L337/100)/((L336+L337)/100)</f>
        <v>0.53960716598316427</v>
      </c>
      <c r="T339" s="158"/>
      <c r="U339" s="158"/>
      <c r="V339" s="282"/>
      <c r="W339" s="158"/>
      <c r="X339" s="158"/>
      <c r="Y339" s="153"/>
      <c r="Z339" s="152">
        <f>Z337*L339</f>
        <v>-4.6590867180047164</v>
      </c>
      <c r="AA339" s="153"/>
      <c r="AB339" s="153"/>
      <c r="AC339" s="152">
        <f>AC337*L339</f>
        <v>-3.4182775988670997</v>
      </c>
      <c r="AD339" s="153"/>
      <c r="AE339" s="103"/>
      <c r="AF339" s="103"/>
      <c r="AG339" s="103"/>
      <c r="AH339" s="154">
        <f>AH337*L339</f>
        <v>7.8590477248577395</v>
      </c>
      <c r="AJ339" s="5"/>
      <c r="AK339" s="5"/>
      <c r="AL339" s="5"/>
      <c r="AN339" s="72"/>
      <c r="AO339" s="72"/>
      <c r="AP339" s="72"/>
      <c r="AR339" s="14"/>
    </row>
    <row r="340" spans="1:50" x14ac:dyDescent="0.2">
      <c r="A340" s="221"/>
      <c r="B340" s="221"/>
      <c r="T340" s="158"/>
      <c r="U340" s="158"/>
      <c r="V340" s="282"/>
      <c r="W340" s="158"/>
      <c r="X340" s="158"/>
      <c r="Y340" s="153"/>
      <c r="Z340" s="152">
        <f>SUM(Z338:Z339)</f>
        <v>-3.8737865591771339</v>
      </c>
      <c r="AA340" s="153"/>
      <c r="AB340" s="153"/>
      <c r="AC340" s="152">
        <f>SUM(AC338:AC339)</f>
        <v>-15.188991043444412</v>
      </c>
      <c r="AD340" s="153"/>
      <c r="AE340" s="103"/>
      <c r="AF340" s="103"/>
      <c r="AG340" s="103"/>
      <c r="AH340" s="153">
        <f>SUM(AH338:AH339)</f>
        <v>9.28274727158772</v>
      </c>
      <c r="AI340" s="41" t="s">
        <v>610</v>
      </c>
      <c r="AJ340" s="5" t="s">
        <v>39</v>
      </c>
      <c r="AK340" s="219">
        <f>INDEX('C-P-RollAdj'!$J$4:$J$76,MATCH(INT(Z340),'C-P-RollAdj'!$I$4:$I$76,FALSE),0)</f>
        <v>-14</v>
      </c>
      <c r="AL340" s="121">
        <f>INDEX('C-P-RollAdj'!$J$4:$J$76,MATCH(INT(AC340),'C-P-RollAdj'!$I$4:$I$76,FALSE),0)</f>
        <v>-34</v>
      </c>
      <c r="AM340" s="262">
        <f>SUM(AM336:AM339)</f>
        <v>26.111111111111114</v>
      </c>
      <c r="AN340" s="14">
        <f>SUM(AN336:AN339)</f>
        <v>27.777777777777779</v>
      </c>
      <c r="AO340" s="14">
        <f>SUM(AO336:AO339)</f>
        <v>0</v>
      </c>
      <c r="AP340" s="14">
        <f>SUM(AP336:AP339)</f>
        <v>116.11111111111111</v>
      </c>
      <c r="AR340" s="14"/>
    </row>
    <row r="341" spans="1:50" x14ac:dyDescent="0.2">
      <c r="A341" s="122"/>
      <c r="B341" s="122"/>
      <c r="AR341" s="14"/>
    </row>
    <row r="342" spans="1:50" s="122" customFormat="1" x14ac:dyDescent="0.2">
      <c r="A342" t="s">
        <v>320</v>
      </c>
      <c r="B342" s="76" t="s">
        <v>159</v>
      </c>
      <c r="C342" s="76">
        <v>2</v>
      </c>
      <c r="D342" s="76">
        <v>3</v>
      </c>
      <c r="E342" s="76">
        <v>2.82</v>
      </c>
      <c r="F342" s="76">
        <v>36</v>
      </c>
      <c r="G342" s="76">
        <v>0</v>
      </c>
      <c r="H342" s="76">
        <v>0</v>
      </c>
      <c r="I342" s="76">
        <v>0</v>
      </c>
      <c r="J342" s="76">
        <v>18</v>
      </c>
      <c r="K342" s="76">
        <v>20</v>
      </c>
      <c r="L342" s="258">
        <f>INDEX('C-P-RollAdj'!$P$4:$P$900,MATCH((U342),'C-P-RollAdj'!$O$4:$O$900,FALSE),0)</f>
        <v>38.33</v>
      </c>
      <c r="M342" s="76">
        <v>41</v>
      </c>
      <c r="N342" s="76">
        <v>13</v>
      </c>
      <c r="O342" s="76">
        <v>12</v>
      </c>
      <c r="P342" s="76">
        <v>1</v>
      </c>
      <c r="Q342" s="76">
        <v>15</v>
      </c>
      <c r="R342" s="76">
        <v>5</v>
      </c>
      <c r="S342" s="76">
        <v>27</v>
      </c>
      <c r="T342" s="76">
        <v>165</v>
      </c>
      <c r="U342" s="76">
        <v>38.1</v>
      </c>
      <c r="V342" s="100">
        <v>0.28100000000000003</v>
      </c>
      <c r="W342" s="76">
        <v>1.46</v>
      </c>
      <c r="X342" s="196"/>
      <c r="Y342" s="50">
        <f>+(Q342-R342)/(T342-R342)*100</f>
        <v>6.25</v>
      </c>
      <c r="Z342" s="6">
        <f>IF(Y342&lt;LeagueRatings!$K$21,((LeagueRatings!$K$21-Y342)/LeagueRatings!$K$21)*36,(LeagueRatings!$K$21-Y342)*6.48)</f>
        <v>10.868802817516846</v>
      </c>
      <c r="AA342" s="16">
        <f>INDEX('C-P-RollAdj'!$B$4:$B$76,MATCH(INT(Z342),'C-P-RollAdj'!$A$4:$A$76,FALSE),0)</f>
        <v>-0.83000000000000007</v>
      </c>
      <c r="AB342" s="16">
        <f>(P342/(T342-R342))*100</f>
        <v>0.625</v>
      </c>
      <c r="AC342" s="6">
        <f>IF(AB342&lt;LeagueRatings!$K$19,((LeagueRatings!$K$19-AB342)/LeagueRatings!$K$19)*36,(LeagueRatings!$K$19-AB342)/LeagueRatings!$K$22)</f>
        <v>28.262724215246639</v>
      </c>
      <c r="AD342" s="16">
        <f>INDEX('C-P-RollAdj'!$F$4:$F$76,MATCH(INT(AC342),'C-P-RollAdj'!$E$4:$E$76,FALSE),0)</f>
        <v>-2.38</v>
      </c>
      <c r="AE342" s="17">
        <f>+((LeagueRatings!$I$6-E342)*5)+9.5</f>
        <v>16.408051455277402</v>
      </c>
      <c r="AF342" s="17">
        <f>IF(AE342&lt;4,4,AE342)</f>
        <v>16.408051455277402</v>
      </c>
      <c r="AG342" s="17">
        <f>IF(M342&lt;L342,((1-(M342/L342))*7)-0.07,(1-(M342/L342))*5)</f>
        <v>-0.34829115575267466</v>
      </c>
      <c r="AH342" s="4">
        <f>+AA342+AD342+AF342+AG342</f>
        <v>12.849760299524727</v>
      </c>
      <c r="AI342" s="24"/>
      <c r="AJ342" s="5" t="s">
        <v>60</v>
      </c>
      <c r="AK342" s="219">
        <f>INDEX('C-P-RollAdj'!$J$4:$J$76,MATCH(INT(Z342),'C-P-RollAdj'!$I$4:$I$76,FALSE),0)</f>
        <v>24</v>
      </c>
      <c r="AL342" s="219">
        <f>INDEX('C-P-RollAdj'!$J$4:$J$76,MATCH(INT(AC342),'C-P-RollAdj'!$I$4:$I$76,FALSE),0)</f>
        <v>54</v>
      </c>
      <c r="AM342" s="262">
        <f>+AR342*LeagueRatings!$K$27</f>
        <v>21.666666666666668</v>
      </c>
      <c r="AN342" s="72">
        <f>F342*LeagueRatings!$K$27</f>
        <v>20</v>
      </c>
      <c r="AO342" s="72">
        <f>G342*LeagueRatings!$K$27</f>
        <v>0</v>
      </c>
      <c r="AP342" s="72">
        <f>T342*LeagueRatings!$K$27</f>
        <v>91.666666666666671</v>
      </c>
      <c r="AQ342" s="26"/>
      <c r="AR342" s="72">
        <f>ROUNDUP(L342,0)</f>
        <v>39</v>
      </c>
      <c r="AS342" s="123"/>
      <c r="AT342" s="123"/>
      <c r="AU342" s="123"/>
      <c r="AW342" s="71"/>
      <c r="AX342" s="71"/>
    </row>
    <row r="343" spans="1:50" customFormat="1" x14ac:dyDescent="0.2">
      <c r="A343" s="41" t="s">
        <v>320</v>
      </c>
      <c r="B343" s="76" t="s">
        <v>146</v>
      </c>
      <c r="C343" s="76">
        <v>2</v>
      </c>
      <c r="D343" s="76">
        <v>4</v>
      </c>
      <c r="E343" s="76">
        <v>1.52</v>
      </c>
      <c r="F343" s="76">
        <v>33</v>
      </c>
      <c r="G343" s="76">
        <v>0</v>
      </c>
      <c r="H343" s="76">
        <v>0</v>
      </c>
      <c r="I343" s="76">
        <v>0</v>
      </c>
      <c r="J343" s="76">
        <v>4</v>
      </c>
      <c r="K343" s="76">
        <v>8</v>
      </c>
      <c r="L343" s="258">
        <f>INDEX('C-P-RollAdj'!$P$4:$P$900,MATCH((U343),'C-P-RollAdj'!$O$4:$O$900,FALSE),0)</f>
        <v>29.67</v>
      </c>
      <c r="M343" s="76">
        <v>26</v>
      </c>
      <c r="N343" s="76">
        <v>8</v>
      </c>
      <c r="O343" s="76">
        <v>5</v>
      </c>
      <c r="P343" s="76">
        <v>1</v>
      </c>
      <c r="Q343" s="76">
        <v>11</v>
      </c>
      <c r="R343" s="76">
        <v>2</v>
      </c>
      <c r="S343" s="76">
        <v>31</v>
      </c>
      <c r="T343" s="76">
        <v>124</v>
      </c>
      <c r="U343" s="76">
        <v>29.2</v>
      </c>
      <c r="V343" s="100">
        <v>0.23400000000000001</v>
      </c>
      <c r="W343" s="76">
        <v>1.25</v>
      </c>
      <c r="X343" s="76"/>
      <c r="Y343" s="50">
        <f>+(Q343-R343)/(T343-R343)*100</f>
        <v>7.3770491803278686</v>
      </c>
      <c r="Z343" s="6">
        <f>IF(Y343&lt;LeagueRatings!$K$10,((LeagueRatings!$K$10-Y343)/LeagueRatings!$K$10)*36,(LeagueRatings!$K$10-Y343)*6.48)</f>
        <v>5.3600263782537256</v>
      </c>
      <c r="AA343" s="16">
        <f>INDEX('C-P-RollAdj'!$B$4:$B$76,MATCH(INT(Z343),'C-P-RollAdj'!$A$4:$A$76,FALSE),0)</f>
        <v>-0.4</v>
      </c>
      <c r="AB343" s="16">
        <f>(P343/(T343-R343))*100</f>
        <v>0.81967213114754101</v>
      </c>
      <c r="AC343" s="6">
        <f>IF(AB343&lt;LeagueRatings!$K$8,((LeagueRatings!$K$8-AB343)/LeagueRatings!$K$8)*36,(LeagueRatings!$K$8-AB343)/LeagueRatings!$K$11)</f>
        <v>26.785074927084381</v>
      </c>
      <c r="AD343" s="16">
        <f>INDEX('C-P-RollAdj'!$F$4:$F$76,MATCH(INT(AC343),'C-P-RollAdj'!$E$4:$E$76,FALSE),0)</f>
        <v>-2.1799999999999997</v>
      </c>
      <c r="AE343" s="17">
        <f>+((LeagueRatings!$I$17-E343)*5)+9.5</f>
        <v>22.714387243706362</v>
      </c>
      <c r="AF343" s="17">
        <f>IF(AE343&lt;4,4,AE343)</f>
        <v>22.714387243706362</v>
      </c>
      <c r="AG343" s="17">
        <f>IF(M343&lt;L343,((1-(M343/L343))*7)-0.07,(1-(M343/L343))*5)</f>
        <v>0.79585776879002412</v>
      </c>
      <c r="AH343" s="4">
        <f>+AA343+AD343+AF343+AG343</f>
        <v>20.930245012496389</v>
      </c>
      <c r="AI343" s="168"/>
      <c r="AJ343" s="5" t="s">
        <v>66</v>
      </c>
      <c r="AK343" s="219">
        <f>INDEX('C-P-RollAdj'!$J$4:$J$76,MATCH(INT(Z343),'C-P-RollAdj'!$I$4:$I$76,FALSE),0)</f>
        <v>15</v>
      </c>
      <c r="AL343" s="219">
        <f>INDEX('C-P-RollAdj'!$J$4:$J$76,MATCH(INT(AC343),'C-P-RollAdj'!$I$4:$I$76,FALSE),0)</f>
        <v>52</v>
      </c>
      <c r="AM343" s="262">
        <f>+AR343*LeagueRatings!$K$27</f>
        <v>16.666666666666668</v>
      </c>
      <c r="AN343" s="72">
        <f>F343*LeagueRatings!$K$27</f>
        <v>18.333333333333336</v>
      </c>
      <c r="AO343" s="72">
        <f>G343*LeagueRatings!$K$27</f>
        <v>0</v>
      </c>
      <c r="AP343" s="72">
        <f>T343*LeagueRatings!$K$27</f>
        <v>68.888888888888886</v>
      </c>
      <c r="AR343" s="14">
        <f>ROUNDUP(L343,0)</f>
        <v>30</v>
      </c>
    </row>
    <row r="344" spans="1:50" s="122" customFormat="1" x14ac:dyDescent="0.2">
      <c r="A344" s="9"/>
      <c r="B344" s="129"/>
      <c r="C344" s="205"/>
      <c r="D344" s="196"/>
      <c r="E344" s="205"/>
      <c r="F344" s="196"/>
      <c r="G344" s="196"/>
      <c r="H344" s="196"/>
      <c r="I344" s="206"/>
      <c r="J344" s="206"/>
      <c r="K344" s="206"/>
      <c r="L344" s="157">
        <f>(L342/100)/((L342+L343)/100)</f>
        <v>0.56367647058823522</v>
      </c>
      <c r="M344" s="146"/>
      <c r="N344" s="146"/>
      <c r="O344" s="146"/>
      <c r="P344" s="146"/>
      <c r="Q344" s="146"/>
      <c r="R344" s="146"/>
      <c r="S344" s="146"/>
      <c r="T344" s="158"/>
      <c r="U344" s="158"/>
      <c r="V344" s="282"/>
      <c r="W344" s="158"/>
      <c r="X344" s="158"/>
      <c r="Y344" s="153"/>
      <c r="Z344" s="152">
        <f>Z342*L344</f>
        <v>6.1264884116973626</v>
      </c>
      <c r="AA344" s="153"/>
      <c r="AB344" s="153"/>
      <c r="AC344" s="152">
        <f>AC342*L344</f>
        <v>15.931032634858875</v>
      </c>
      <c r="AD344" s="153"/>
      <c r="AE344" s="103"/>
      <c r="AF344" s="103"/>
      <c r="AG344" s="103"/>
      <c r="AH344" s="154">
        <f>AH342*L344</f>
        <v>7.2431075335409218</v>
      </c>
      <c r="AI344" s="168"/>
      <c r="AJ344" s="5"/>
      <c r="AK344" s="5"/>
      <c r="AL344" s="5"/>
      <c r="AM344" s="262"/>
      <c r="AN344" s="72"/>
      <c r="AO344" s="72"/>
      <c r="AP344" s="72"/>
      <c r="AR344" s="112"/>
      <c r="AS344" s="123"/>
      <c r="AT344" s="123"/>
      <c r="AU344" s="123"/>
      <c r="AW344" s="71"/>
      <c r="AX344" s="71"/>
    </row>
    <row r="345" spans="1:50" s="122" customFormat="1" x14ac:dyDescent="0.2">
      <c r="A345" s="9"/>
      <c r="B345" s="129"/>
      <c r="C345" s="205"/>
      <c r="D345" s="196"/>
      <c r="E345" s="205"/>
      <c r="F345" s="196"/>
      <c r="G345" s="196"/>
      <c r="H345" s="196"/>
      <c r="I345" s="206"/>
      <c r="J345" s="206"/>
      <c r="K345" s="206"/>
      <c r="L345" s="157">
        <f>(L343/100)/((L342+L343)/100)</f>
        <v>0.43632352941176472</v>
      </c>
      <c r="M345" s="146"/>
      <c r="N345" s="146"/>
      <c r="O345" s="146"/>
      <c r="P345" s="146"/>
      <c r="Q345" s="146"/>
      <c r="R345" s="146"/>
      <c r="S345" s="146"/>
      <c r="T345" s="158"/>
      <c r="U345" s="158"/>
      <c r="V345" s="282"/>
      <c r="W345" s="158"/>
      <c r="X345" s="158"/>
      <c r="Y345" s="153"/>
      <c r="Z345" s="152">
        <f>Z343*L345</f>
        <v>2.3387056270998241</v>
      </c>
      <c r="AA345" s="153"/>
      <c r="AB345" s="153"/>
      <c r="AC345" s="152">
        <f>AC343*L345</f>
        <v>11.686958427744024</v>
      </c>
      <c r="AD345" s="153"/>
      <c r="AE345" s="103"/>
      <c r="AF345" s="103"/>
      <c r="AG345" s="103"/>
      <c r="AH345" s="154">
        <f>AH343*L345</f>
        <v>9.1323583753054098</v>
      </c>
      <c r="AI345" s="168"/>
      <c r="AJ345" s="5"/>
      <c r="AK345" s="5"/>
      <c r="AL345" s="5"/>
      <c r="AM345" s="262"/>
      <c r="AN345" s="72"/>
      <c r="AO345" s="72"/>
      <c r="AP345" s="72"/>
      <c r="AR345" s="112"/>
      <c r="AS345" s="123"/>
      <c r="AT345" s="123"/>
      <c r="AU345" s="123"/>
      <c r="AW345" s="71"/>
      <c r="AX345" s="71"/>
    </row>
    <row r="346" spans="1:50" x14ac:dyDescent="0.2">
      <c r="A346" s="9"/>
      <c r="B346" s="129"/>
      <c r="T346" s="158"/>
      <c r="U346" s="158"/>
      <c r="V346" s="282"/>
      <c r="W346" s="158"/>
      <c r="X346" s="158"/>
      <c r="Y346" s="153"/>
      <c r="Z346" s="152">
        <f>SUM(Z344:Z345)</f>
        <v>8.4651940387971862</v>
      </c>
      <c r="AA346" s="153"/>
      <c r="AB346" s="153"/>
      <c r="AC346" s="152">
        <f>SUM(AC344:AC345)</f>
        <v>27.617991062602897</v>
      </c>
      <c r="AD346" s="153"/>
      <c r="AE346" s="103"/>
      <c r="AF346" s="103"/>
      <c r="AG346" s="103"/>
      <c r="AH346" s="153">
        <f>SUM(AH344:AH345)</f>
        <v>16.37546590884633</v>
      </c>
      <c r="AI346" s="41" t="s">
        <v>320</v>
      </c>
      <c r="AJ346" s="5" t="s">
        <v>67</v>
      </c>
      <c r="AK346" s="219">
        <f>INDEX('C-P-RollAdj'!$J$4:$J$76,MATCH(INT(Z346),'C-P-RollAdj'!$I$4:$I$76,FALSE),0)</f>
        <v>22</v>
      </c>
      <c r="AL346" s="219">
        <f>INDEX('C-P-RollAdj'!$J$4:$J$76,MATCH(INT(AC346),'C-P-RollAdj'!$I$4:$I$76,FALSE),0)</f>
        <v>53</v>
      </c>
      <c r="AM346" s="262">
        <f>SUM(AM342:AM345)</f>
        <v>38.333333333333336</v>
      </c>
      <c r="AN346" s="14">
        <f>SUM(AN342:AN345)</f>
        <v>38.333333333333336</v>
      </c>
      <c r="AO346" s="14">
        <f>SUM(AO342:AO345)</f>
        <v>0</v>
      </c>
      <c r="AP346" s="14">
        <f>SUM(AP342:AP345)</f>
        <v>160.55555555555554</v>
      </c>
      <c r="AQ346" s="122"/>
      <c r="AR346" s="112"/>
    </row>
    <row r="347" spans="1:50" s="296" customFormat="1" x14ac:dyDescent="0.2">
      <c r="A347" s="9"/>
      <c r="B347" s="129"/>
      <c r="E347" s="157"/>
      <c r="L347" s="157"/>
      <c r="T347" s="158"/>
      <c r="U347" s="158"/>
      <c r="V347" s="282"/>
      <c r="W347" s="158"/>
      <c r="X347" s="158"/>
      <c r="Y347" s="153"/>
      <c r="Z347" s="152"/>
      <c r="AA347" s="153"/>
      <c r="AB347" s="153"/>
      <c r="AC347" s="152"/>
      <c r="AD347" s="153"/>
      <c r="AE347" s="103"/>
      <c r="AF347" s="103"/>
      <c r="AG347" s="103"/>
      <c r="AH347" s="153"/>
      <c r="AI347" s="41"/>
      <c r="AJ347" s="5"/>
      <c r="AK347" s="219"/>
      <c r="AL347" s="219"/>
      <c r="AM347" s="262"/>
      <c r="AN347" s="14"/>
      <c r="AO347" s="14"/>
      <c r="AP347" s="14"/>
      <c r="AQ347" s="122"/>
      <c r="AR347" s="112"/>
    </row>
    <row r="348" spans="1:50" x14ac:dyDescent="0.2">
      <c r="A348" s="204"/>
      <c r="B348" s="196"/>
      <c r="L348" s="205"/>
      <c r="M348" s="196"/>
      <c r="N348" s="196"/>
      <c r="O348" s="196"/>
      <c r="P348" s="196"/>
      <c r="Q348" s="196"/>
      <c r="R348" s="196"/>
      <c r="S348" s="196"/>
      <c r="T348" s="196"/>
      <c r="U348" s="196"/>
      <c r="V348" s="277"/>
      <c r="W348" s="196"/>
      <c r="X348" s="196"/>
      <c r="Y348" s="207"/>
      <c r="Z348" s="208"/>
      <c r="AA348" s="209"/>
      <c r="AB348" s="210"/>
      <c r="AC348" s="208"/>
      <c r="AD348" s="209"/>
      <c r="AE348" s="211"/>
      <c r="AF348" s="211"/>
      <c r="AG348" s="211"/>
      <c r="AH348" s="212"/>
      <c r="AI348" s="301">
        <f>COUNTA(AI5:AI346)</f>
        <v>57</v>
      </c>
      <c r="AJ348" s="214"/>
      <c r="AK348" s="214"/>
      <c r="AL348" s="214"/>
      <c r="AM348" s="206"/>
      <c r="AN348" s="121"/>
      <c r="AO348" s="121"/>
      <c r="AP348" s="121"/>
      <c r="AQ348" s="122"/>
      <c r="AR348" s="112"/>
    </row>
    <row r="349" spans="1:50" x14ac:dyDescent="0.2">
      <c r="A349" s="261" t="s">
        <v>1256</v>
      </c>
      <c r="B349" s="155" t="s">
        <v>164</v>
      </c>
      <c r="C349" s="202">
        <v>4</v>
      </c>
      <c r="D349" s="202">
        <v>7</v>
      </c>
      <c r="E349" s="185">
        <v>4.4800000000000004</v>
      </c>
      <c r="F349" s="202">
        <v>16</v>
      </c>
      <c r="G349" s="202">
        <v>16</v>
      </c>
      <c r="H349" s="202">
        <v>0</v>
      </c>
      <c r="I349" s="202">
        <v>0</v>
      </c>
      <c r="J349" s="202">
        <v>0</v>
      </c>
      <c r="K349" s="202">
        <v>0</v>
      </c>
      <c r="L349" s="185">
        <v>88.33</v>
      </c>
      <c r="M349" s="202">
        <v>85</v>
      </c>
      <c r="N349" s="202">
        <v>46</v>
      </c>
      <c r="O349" s="202">
        <v>44</v>
      </c>
      <c r="P349" s="202">
        <v>8</v>
      </c>
      <c r="Q349" s="202">
        <v>25</v>
      </c>
      <c r="R349" s="202">
        <v>0</v>
      </c>
      <c r="S349" s="202">
        <v>79</v>
      </c>
      <c r="T349" s="202">
        <v>372</v>
      </c>
      <c r="U349" s="202"/>
      <c r="V349" s="283"/>
      <c r="W349" s="202"/>
      <c r="Y349" s="50">
        <f>+(Q349-R349)/(T349-R349)*100</f>
        <v>6.7204301075268811</v>
      </c>
      <c r="Z349" s="6">
        <f>IF(Y349&lt;LeagueRatings!$K$21,((LeagueRatings!$K$21-Y349)/LeagueRatings!$K$21)*36,(LeagueRatings!$K$21-Y349)*6.48)</f>
        <v>8.977207330663278</v>
      </c>
      <c r="AA349" s="16">
        <f>INDEX('C-P-RollAdj'!$B$4:$B$76,MATCH(INT(Z349),'C-P-RollAdj'!$A$4:$A$76,FALSE),0)</f>
        <v>-0.65</v>
      </c>
      <c r="AB349" s="16">
        <f>(P349/(T349-R349))*100</f>
        <v>2.1505376344086025</v>
      </c>
      <c r="AC349" s="6">
        <f>IF(AB349&lt;LeagueRatings!$K$19,((LeagueRatings!$K$19-AB349)/LeagueRatings!$K$19)*36,(LeagueRatings!$K$19-AB349)/LeagueRatings!$K$22)</f>
        <v>9.3771155793432648</v>
      </c>
      <c r="AD349" s="16">
        <f>INDEX('C-P-RollAdj'!$F$4:$F$76,MATCH(INT(AC349),'C-P-RollAdj'!$E$4:$E$76,FALSE),0)</f>
        <v>-0.65</v>
      </c>
      <c r="AE349" s="17">
        <f>+((LeagueRatings!$I$17-E349)*5)+9.5</f>
        <v>7.9143872437063605</v>
      </c>
      <c r="AF349" s="17">
        <f>IF(AE349&lt;4,4,AE349)</f>
        <v>7.9143872437063605</v>
      </c>
      <c r="AG349" s="17">
        <f>IF(M349&lt;L349,((1-(M349/L349))*7)-0.07,(1-(M349/L349))*5)</f>
        <v>0.19389675082078589</v>
      </c>
      <c r="AH349" s="4">
        <f>+AA349+AD349+AF349+AG349</f>
        <v>6.8082839945271463</v>
      </c>
      <c r="AJ349" s="5" t="s">
        <v>24</v>
      </c>
      <c r="AK349" s="219">
        <f>INDEX('C-P-RollAdj'!$J$4:$J$76,MATCH(INT(Z349),'C-P-RollAdj'!$I$4:$I$76,FALSE),0)</f>
        <v>22</v>
      </c>
      <c r="AL349" s="219">
        <f>INDEX('C-P-RollAdj'!$J$4:$J$76,MATCH(INT(AC349),'C-P-RollAdj'!$I$4:$I$76,FALSE),0)</f>
        <v>23</v>
      </c>
      <c r="AM349" s="262">
        <f>+AR349*LeagueRatings!$K$27</f>
        <v>49.44444444444445</v>
      </c>
      <c r="AN349" s="72">
        <f>F349*LeagueRatings!$K$27</f>
        <v>8.8888888888888893</v>
      </c>
      <c r="AO349" s="72">
        <f>G349*LeagueRatings!$K$27</f>
        <v>8.8888888888888893</v>
      </c>
      <c r="AP349" s="72">
        <f>T349*LeagueRatings!$K$27</f>
        <v>206.66666666666669</v>
      </c>
      <c r="AQ349" s="24"/>
      <c r="AR349" s="14">
        <f>ROUNDUP(L349,0)</f>
        <v>89</v>
      </c>
    </row>
    <row r="350" spans="1:50" x14ac:dyDescent="0.2">
      <c r="A350" s="187"/>
      <c r="B350" s="155" t="s">
        <v>156</v>
      </c>
      <c r="C350" s="202">
        <v>0</v>
      </c>
      <c r="D350" s="202">
        <v>3</v>
      </c>
      <c r="E350" s="185">
        <v>6.66</v>
      </c>
      <c r="F350" s="202">
        <v>6</v>
      </c>
      <c r="G350" s="202">
        <v>5</v>
      </c>
      <c r="H350" s="202">
        <v>0</v>
      </c>
      <c r="I350" s="202">
        <v>0</v>
      </c>
      <c r="J350" s="202">
        <v>0</v>
      </c>
      <c r="K350" s="202">
        <v>0</v>
      </c>
      <c r="L350" s="185">
        <v>24.33</v>
      </c>
      <c r="M350" s="202">
        <v>31</v>
      </c>
      <c r="N350" s="202">
        <v>19</v>
      </c>
      <c r="O350" s="202">
        <v>18</v>
      </c>
      <c r="P350" s="202">
        <v>3</v>
      </c>
      <c r="Q350" s="202">
        <v>6</v>
      </c>
      <c r="R350" s="202">
        <v>1</v>
      </c>
      <c r="S350" s="202">
        <v>18</v>
      </c>
      <c r="T350" s="202">
        <v>106</v>
      </c>
      <c r="U350" s="202"/>
      <c r="V350" s="283"/>
      <c r="W350" s="202"/>
      <c r="Y350" s="50">
        <f>+(Q350-R350)/(T350-R350)*100</f>
        <v>4.7619047619047619</v>
      </c>
      <c r="Z350" s="6">
        <f>IF(Y350&lt;LeagueRatings!$K$21,((LeagueRatings!$K$21-Y350)/LeagueRatings!$K$21)*36,(LeagueRatings!$K$21-Y350)*6.48)</f>
        <v>16.85242119429855</v>
      </c>
      <c r="AA350" s="16">
        <f>INDEX('C-P-RollAdj'!$B$4:$B$76,MATCH(INT(Z350),'C-P-RollAdj'!$A$4:$A$76,FALSE),0)</f>
        <v>-1.39</v>
      </c>
      <c r="AB350" s="16">
        <f>(P350/(T350-R350))*100</f>
        <v>2.8571428571428572</v>
      </c>
      <c r="AC350" s="6">
        <f>IF(AB350&lt;LeagueRatings!$K$19,((LeagueRatings!$K$19-AB350)/LeagueRatings!$K$19)*36,(LeagueRatings!$K$19-AB350)/LeagueRatings!$K$22)</f>
        <v>0.62959641255605481</v>
      </c>
      <c r="AD350" s="16">
        <f>INDEX('C-P-RollAdj'!$F$4:$F$76,MATCH(INT(AC350),'C-P-RollAdj'!$E$4:$E$76,FALSE),0)</f>
        <v>0</v>
      </c>
      <c r="AE350" s="17">
        <f>+((LeagueRatings!$I$17-E350)*5)+9.5</f>
        <v>-2.9856127562936372</v>
      </c>
      <c r="AF350" s="17">
        <f>IF(AE350&lt;4,4,AE350)</f>
        <v>4</v>
      </c>
      <c r="AG350" s="17">
        <f>IF(M350&lt;L350,((1-(M350/L350))*7)-0.07,(1-(M350/L350))*5)</f>
        <v>-1.3707357172215373</v>
      </c>
      <c r="AH350" s="4">
        <f>+AA350+AD350+AF350+AG350</f>
        <v>1.239264282778463</v>
      </c>
      <c r="AI350" s="24"/>
      <c r="AJ350" s="5" t="s">
        <v>50</v>
      </c>
      <c r="AK350" s="219">
        <f>INDEX('C-P-RollAdj'!$J$4:$J$76,MATCH(INT(Z350),'C-P-RollAdj'!$I$4:$I$76,FALSE),0)</f>
        <v>34</v>
      </c>
      <c r="AL350" s="219">
        <f>INDEX('C-P-RollAdj'!$J$4:$J$76,MATCH(INT(AC350),'C-P-RollAdj'!$I$4:$I$76,FALSE),0)</f>
        <v>0</v>
      </c>
      <c r="AM350" s="262">
        <f>+AR350*LeagueRatings!$K$27</f>
        <v>13.888888888888889</v>
      </c>
      <c r="AN350" s="72">
        <f>F350*LeagueRatings!$K$27</f>
        <v>3.3333333333333335</v>
      </c>
      <c r="AO350" s="72">
        <f>G350*LeagueRatings!$K$27</f>
        <v>2.7777777777777777</v>
      </c>
      <c r="AP350" s="72">
        <f>T350*LeagueRatings!$K$27</f>
        <v>58.888888888888893</v>
      </c>
      <c r="AQ350" s="24"/>
      <c r="AR350" s="14">
        <f>ROUNDUP(L350,0)</f>
        <v>25</v>
      </c>
    </row>
    <row r="351" spans="1:50" s="34" customFormat="1" x14ac:dyDescent="0.2">
      <c r="A351" s="41" t="s">
        <v>360</v>
      </c>
      <c r="B351" s="202" t="s">
        <v>143</v>
      </c>
      <c r="C351" s="202">
        <v>0</v>
      </c>
      <c r="D351" s="202">
        <v>0</v>
      </c>
      <c r="E351" s="185">
        <v>4.91</v>
      </c>
      <c r="F351" s="202">
        <v>2</v>
      </c>
      <c r="G351" s="202">
        <v>0</v>
      </c>
      <c r="H351" s="202">
        <v>0</v>
      </c>
      <c r="I351" s="202">
        <v>0</v>
      </c>
      <c r="J351" s="202">
        <v>0</v>
      </c>
      <c r="K351" s="202">
        <v>0</v>
      </c>
      <c r="L351" s="185">
        <v>3.67</v>
      </c>
      <c r="M351" s="202">
        <v>4</v>
      </c>
      <c r="N351" s="202">
        <v>2</v>
      </c>
      <c r="O351" s="202">
        <v>2</v>
      </c>
      <c r="P351" s="202">
        <v>2</v>
      </c>
      <c r="Q351" s="202">
        <v>1</v>
      </c>
      <c r="R351" s="202">
        <v>0</v>
      </c>
      <c r="S351" s="202">
        <v>3</v>
      </c>
      <c r="T351" s="202">
        <v>16</v>
      </c>
      <c r="U351" s="202"/>
      <c r="V351" s="283"/>
      <c r="W351" s="202"/>
      <c r="X351" s="76"/>
      <c r="Y351" s="50">
        <f>+(Q351-R351)/(T351-R351)*100</f>
        <v>6.25</v>
      </c>
      <c r="Z351" s="6">
        <f>IF(Y351&lt;LeagueRatings!$K$10,((LeagueRatings!$K$10-Y351)/LeagueRatings!$K$10)*36,(LeagueRatings!$K$10-Y351)*6.48)</f>
        <v>10.041133459353849</v>
      </c>
      <c r="AA351" s="16">
        <f>INDEX('C-P-RollAdj'!$B$4:$B$76,MATCH(INT(Z351),'C-P-RollAdj'!$A$4:$A$76,FALSE),0)</f>
        <v>-0.83000000000000007</v>
      </c>
      <c r="AB351" s="16">
        <f>(P351/(T351-R351))*100</f>
        <v>12.5</v>
      </c>
      <c r="AC351" s="6">
        <f>IF(AB351&lt;LeagueRatings!$K$8,((LeagueRatings!$K$8-AB351)/LeagueRatings!$K$8)*36,(LeagueRatings!$K$8-AB351)/LeagueRatings!$K$11)</f>
        <v>-73.828598940779969</v>
      </c>
      <c r="AD351" s="16">
        <v>4.8600000000000003</v>
      </c>
      <c r="AE351" s="17">
        <f>+((LeagueRatings!$I$6-E351)*5)+9.5</f>
        <v>5.9580514552774027</v>
      </c>
      <c r="AF351" s="17">
        <f>IF(AE351&lt;4,4,AE351)</f>
        <v>5.9580514552774027</v>
      </c>
      <c r="AG351" s="17">
        <f>IF(M351&lt;L351,((1-(M351/L351))*7)-0.07,(1-(M351/L351))*5)</f>
        <v>-0.44959128065395149</v>
      </c>
      <c r="AH351" s="4">
        <f>+AA351+AD351+AF351+AG351</f>
        <v>9.5384601746234523</v>
      </c>
      <c r="AJ351" s="5" t="s">
        <v>34</v>
      </c>
      <c r="AK351" s="219">
        <f>INDEX('C-P-RollAdj'!$J$4:$J$76,MATCH(INT(Z351),'C-P-RollAdj'!$I$4:$I$76,FALSE),0)</f>
        <v>24</v>
      </c>
      <c r="AL351" s="219" t="e">
        <f>INDEX('C-P-RollAdj'!$J$4:$J$76,MATCH(INT(AC351),'C-P-RollAdj'!$I$4:$I$76,FALSE),0)</f>
        <v>#N/A</v>
      </c>
      <c r="AM351" s="262">
        <f>+AR351*LeagueRatings!$K$27</f>
        <v>2.2222222222222223</v>
      </c>
      <c r="AN351" s="72">
        <f>F351*LeagueRatings!$K$27</f>
        <v>1.1111111111111112</v>
      </c>
      <c r="AO351" s="72">
        <f>G351*LeagueRatings!$K$27</f>
        <v>0</v>
      </c>
      <c r="AP351" s="72">
        <f>T351*LeagueRatings!$K$27</f>
        <v>8.8888888888888893</v>
      </c>
      <c r="AQ351" s="24"/>
      <c r="AR351" s="72">
        <f>ROUNDUP(L351,0)</f>
        <v>4</v>
      </c>
      <c r="AS351" s="113"/>
      <c r="AT351" s="113"/>
      <c r="AU351" s="113"/>
      <c r="AV351" s="24"/>
      <c r="AW351" s="97">
        <v>26</v>
      </c>
      <c r="AX351" s="24"/>
    </row>
    <row r="352" spans="1:50" x14ac:dyDescent="0.2">
      <c r="A352" s="9"/>
      <c r="B352" s="129"/>
      <c r="L352" s="157">
        <f>(L349/100)/((L349+L350+L351)/100)</f>
        <v>0.75930542422418978</v>
      </c>
      <c r="T352" s="158"/>
      <c r="U352" s="158"/>
      <c r="V352" s="282"/>
      <c r="W352" s="158"/>
      <c r="X352" s="158"/>
      <c r="Y352" s="153"/>
      <c r="Z352" s="152">
        <f>Z349*L352</f>
        <v>6.8164422205577866</v>
      </c>
      <c r="AA352" s="153"/>
      <c r="AB352" s="153"/>
      <c r="AC352" s="152">
        <f>AC349*L352</f>
        <v>7.1200947229724969</v>
      </c>
      <c r="AD352" s="153"/>
      <c r="AE352" s="103"/>
      <c r="AF352" s="103"/>
      <c r="AG352" s="103"/>
      <c r="AH352" s="152">
        <f>AH349*L352</f>
        <v>5.1695669667031963</v>
      </c>
      <c r="AN352" s="72"/>
      <c r="AO352" s="72"/>
      <c r="AP352" s="72"/>
      <c r="AQ352" s="30"/>
      <c r="AR352" s="14"/>
    </row>
    <row r="353" spans="1:44" x14ac:dyDescent="0.2">
      <c r="A353" s="9"/>
      <c r="B353" s="129"/>
      <c r="L353" s="157">
        <f>(L350/100)/((L349+L350+L351)/100)</f>
        <v>0.20914639387948078</v>
      </c>
      <c r="T353" s="158"/>
      <c r="U353" s="158"/>
      <c r="V353" s="282"/>
      <c r="W353" s="158"/>
      <c r="X353" s="158"/>
      <c r="Y353" s="153"/>
      <c r="Z353" s="152">
        <f>Z350*L353</f>
        <v>3.5246231209256744</v>
      </c>
      <c r="AA353" s="153"/>
      <c r="AB353" s="153"/>
      <c r="AC353" s="152">
        <f>AC350*L353</f>
        <v>0.13167781928555672</v>
      </c>
      <c r="AD353" s="153"/>
      <c r="AE353" s="103"/>
      <c r="AF353" s="103"/>
      <c r="AG353" s="103"/>
      <c r="AH353" s="152">
        <f>AH350*L353</f>
        <v>0.25918765580675668</v>
      </c>
      <c r="AN353" s="72"/>
      <c r="AO353" s="72"/>
      <c r="AP353" s="72"/>
      <c r="AQ353" s="30"/>
      <c r="AR353" s="14"/>
    </row>
    <row r="354" spans="1:44" x14ac:dyDescent="0.2">
      <c r="A354" s="9"/>
      <c r="B354" s="129"/>
      <c r="L354" s="157">
        <f>(L351/100)/((L349+L350+L351)/100)</f>
        <v>3.1548181896329408E-2</v>
      </c>
      <c r="T354" s="158"/>
      <c r="U354" s="158"/>
      <c r="V354" s="282"/>
      <c r="W354" s="158"/>
      <c r="X354" s="158"/>
      <c r="Y354" s="153"/>
      <c r="Z354" s="152">
        <f>Z351*L354</f>
        <v>0.31677950482101458</v>
      </c>
      <c r="AA354" s="153"/>
      <c r="AB354" s="153"/>
      <c r="AC354" s="152">
        <f>AC351*L354</f>
        <v>-2.3291580685348792</v>
      </c>
      <c r="AD354" s="153"/>
      <c r="AE354" s="103"/>
      <c r="AF354" s="103"/>
      <c r="AG354" s="103"/>
      <c r="AH354" s="152">
        <f>AH351*L354</f>
        <v>0.30092107659991463</v>
      </c>
      <c r="AN354" s="72"/>
      <c r="AO354" s="72"/>
      <c r="AP354" s="72"/>
      <c r="AQ354" s="30"/>
      <c r="AR354" s="14"/>
    </row>
    <row r="355" spans="1:44" x14ac:dyDescent="0.2">
      <c r="A355" s="9"/>
      <c r="B355" s="129"/>
      <c r="L355" s="194"/>
      <c r="M355" s="193"/>
      <c r="N355" s="193"/>
      <c r="O355" s="193"/>
      <c r="P355" s="193"/>
      <c r="Q355" s="193"/>
      <c r="R355" s="193"/>
      <c r="S355" s="193"/>
      <c r="T355" s="193"/>
      <c r="U355" s="193"/>
      <c r="V355" s="284"/>
      <c r="W355" s="193"/>
      <c r="X355" s="193"/>
      <c r="Y355" s="193"/>
      <c r="Z355" s="195">
        <f>SUM(Z352:Z354)</f>
        <v>10.657844846304474</v>
      </c>
      <c r="AA355" s="193"/>
      <c r="AB355" s="193"/>
      <c r="AC355" s="195">
        <f>SUM(AC352:AC354)</f>
        <v>4.9226144737231738</v>
      </c>
      <c r="AD355" s="193"/>
      <c r="AE355" s="193"/>
      <c r="AF355" s="193"/>
      <c r="AG355" s="193"/>
      <c r="AH355" s="164">
        <f>SUM(AH352:AH354)</f>
        <v>5.7296756991098672</v>
      </c>
      <c r="AI355" s="264" t="s">
        <v>360</v>
      </c>
      <c r="AJ355" s="9" t="s">
        <v>24</v>
      </c>
      <c r="AK355" s="219">
        <f>INDEX('C-P-RollAdj'!$J$4:$J$76,MATCH(INT(Z355),'C-P-RollAdj'!$I$4:$I$76,FALSE),0)</f>
        <v>24</v>
      </c>
      <c r="AL355" s="219">
        <f>INDEX('C-P-RollAdj'!$J$4:$J$76,MATCH(INT(AC355),'C-P-RollAdj'!$I$4:$I$76,FALSE),0)</f>
        <v>14</v>
      </c>
      <c r="AM355" s="206">
        <f>SUM(AM349:AM354)</f>
        <v>65.555555555555571</v>
      </c>
      <c r="AN355" s="72">
        <f>SUM(AN349:AN354)</f>
        <v>13.333333333333334</v>
      </c>
      <c r="AO355" s="72">
        <f>SUM(AO349:AO354)</f>
        <v>11.666666666666668</v>
      </c>
      <c r="AP355" s="72">
        <f>SUM(AP349:AP354)</f>
        <v>274.44444444444451</v>
      </c>
      <c r="AQ355" s="30"/>
      <c r="AR355" s="14"/>
    </row>
    <row r="356" spans="1:44" x14ac:dyDescent="0.2">
      <c r="A356" s="204"/>
      <c r="AN356" s="72"/>
      <c r="AO356" s="72"/>
      <c r="AP356" s="72"/>
      <c r="AQ356" s="30"/>
      <c r="AR356" s="14"/>
    </row>
    <row r="357" spans="1:44" x14ac:dyDescent="0.2">
      <c r="A357" s="221"/>
      <c r="B357" s="221"/>
      <c r="AR357" s="14"/>
    </row>
    <row r="358" spans="1:44" x14ac:dyDescent="0.2">
      <c r="A358" s="221" t="s">
        <v>839</v>
      </c>
      <c r="B358" s="221" t="s">
        <v>154</v>
      </c>
      <c r="AR358" s="14"/>
    </row>
    <row r="359" spans="1:44" x14ac:dyDescent="0.2">
      <c r="A359" s="221"/>
      <c r="B359" s="221" t="s">
        <v>161</v>
      </c>
      <c r="AR359" s="14"/>
    </row>
    <row r="360" spans="1:44" x14ac:dyDescent="0.2">
      <c r="B360" s="155"/>
      <c r="AR360" s="14"/>
    </row>
    <row r="361" spans="1:44" x14ac:dyDescent="0.2">
      <c r="A361" s="221" t="s">
        <v>832</v>
      </c>
      <c r="B361" s="221" t="s">
        <v>152</v>
      </c>
      <c r="AR361" s="14"/>
    </row>
    <row r="362" spans="1:44" x14ac:dyDescent="0.2">
      <c r="A362" s="221"/>
      <c r="B362" s="221" t="s">
        <v>165</v>
      </c>
      <c r="AR362" s="14"/>
    </row>
    <row r="363" spans="1:44" x14ac:dyDescent="0.2">
      <c r="B363" s="155"/>
      <c r="AR363" s="14"/>
    </row>
    <row r="364" spans="1:44" x14ac:dyDescent="0.2">
      <c r="A364" s="221" t="s">
        <v>833</v>
      </c>
      <c r="B364" s="221" t="s">
        <v>146</v>
      </c>
      <c r="AR364" s="14"/>
    </row>
    <row r="365" spans="1:44" x14ac:dyDescent="0.2">
      <c r="A365" s="221"/>
      <c r="B365" s="221" t="s">
        <v>155</v>
      </c>
      <c r="AR365" s="14"/>
    </row>
    <row r="366" spans="1:44" x14ac:dyDescent="0.2">
      <c r="B366" s="155"/>
      <c r="AR366" s="14"/>
    </row>
    <row r="367" spans="1:44" x14ac:dyDescent="0.2">
      <c r="A367" s="221" t="s">
        <v>892</v>
      </c>
      <c r="B367" s="221" t="s">
        <v>160</v>
      </c>
      <c r="AR367" s="14"/>
    </row>
    <row r="368" spans="1:44" x14ac:dyDescent="0.2">
      <c r="A368" s="221"/>
      <c r="B368" s="221" t="s">
        <v>161</v>
      </c>
      <c r="AR368" s="14"/>
    </row>
    <row r="369" spans="1:44" x14ac:dyDescent="0.2">
      <c r="B369" s="155"/>
      <c r="AR369" s="14"/>
    </row>
    <row r="370" spans="1:44" x14ac:dyDescent="0.2">
      <c r="A370" s="221" t="s">
        <v>1258</v>
      </c>
      <c r="B370" s="221" t="s">
        <v>165</v>
      </c>
      <c r="AR370" s="14"/>
    </row>
    <row r="371" spans="1:44" x14ac:dyDescent="0.2">
      <c r="A371" s="221"/>
      <c r="B371" s="221" t="s">
        <v>153</v>
      </c>
      <c r="AR371" s="14"/>
    </row>
    <row r="372" spans="1:44" x14ac:dyDescent="0.2">
      <c r="B372" s="155"/>
      <c r="AR372" s="14"/>
    </row>
    <row r="373" spans="1:44" x14ac:dyDescent="0.2">
      <c r="A373" s="221" t="s">
        <v>854</v>
      </c>
      <c r="B373" s="221" t="s">
        <v>161</v>
      </c>
      <c r="AR373" s="14"/>
    </row>
    <row r="374" spans="1:44" x14ac:dyDescent="0.2">
      <c r="A374" s="221"/>
      <c r="B374" s="221" t="s">
        <v>156</v>
      </c>
      <c r="AR374" s="14"/>
    </row>
    <row r="375" spans="1:44" x14ac:dyDescent="0.2">
      <c r="B375" s="155"/>
      <c r="AR375" s="14"/>
    </row>
    <row r="376" spans="1:44" x14ac:dyDescent="0.2">
      <c r="A376" s="221" t="s">
        <v>1260</v>
      </c>
      <c r="B376" s="221" t="s">
        <v>156</v>
      </c>
      <c r="AR376" s="14"/>
    </row>
    <row r="377" spans="1:44" x14ac:dyDescent="0.2">
      <c r="A377" s="221"/>
      <c r="B377" s="221" t="s">
        <v>163</v>
      </c>
      <c r="AR377" s="14"/>
    </row>
    <row r="378" spans="1:44" x14ac:dyDescent="0.2">
      <c r="B378" s="155"/>
      <c r="AR378" s="14"/>
    </row>
    <row r="379" spans="1:44" x14ac:dyDescent="0.2">
      <c r="A379" s="221" t="s">
        <v>1261</v>
      </c>
      <c r="B379" s="221" t="s">
        <v>160</v>
      </c>
      <c r="AR379" s="14"/>
    </row>
    <row r="380" spans="1:44" x14ac:dyDescent="0.2">
      <c r="A380" s="221"/>
      <c r="B380" s="221" t="s">
        <v>152</v>
      </c>
      <c r="AR380" s="14"/>
    </row>
    <row r="381" spans="1:44" x14ac:dyDescent="0.2">
      <c r="A381" s="221"/>
      <c r="B381" s="221"/>
      <c r="AR381" s="14"/>
    </row>
    <row r="382" spans="1:44" x14ac:dyDescent="0.2">
      <c r="A382" s="221" t="s">
        <v>863</v>
      </c>
      <c r="B382" s="221" t="s">
        <v>151</v>
      </c>
      <c r="AR382" s="14"/>
    </row>
    <row r="383" spans="1:44" x14ac:dyDescent="0.2">
      <c r="A383" s="221"/>
      <c r="B383" s="221" t="s">
        <v>167</v>
      </c>
      <c r="AR383" s="14"/>
    </row>
    <row r="384" spans="1:44" x14ac:dyDescent="0.2">
      <c r="A384" s="221"/>
      <c r="B384" s="221"/>
      <c r="AR384" s="14"/>
    </row>
    <row r="385" spans="1:44" x14ac:dyDescent="0.2">
      <c r="A385" s="221" t="s">
        <v>838</v>
      </c>
      <c r="B385" s="221" t="s">
        <v>146</v>
      </c>
      <c r="AR385" s="14"/>
    </row>
    <row r="386" spans="1:44" x14ac:dyDescent="0.2">
      <c r="A386" s="221"/>
      <c r="B386" s="221" t="s">
        <v>153</v>
      </c>
      <c r="AR386" s="14"/>
    </row>
    <row r="387" spans="1:44" x14ac:dyDescent="0.2">
      <c r="A387" s="221"/>
      <c r="B387" s="221"/>
      <c r="AR387" s="14"/>
    </row>
    <row r="388" spans="1:44" x14ac:dyDescent="0.2">
      <c r="A388" s="221" t="s">
        <v>1268</v>
      </c>
      <c r="B388" s="221" t="s">
        <v>145</v>
      </c>
      <c r="AR388" s="14"/>
    </row>
    <row r="389" spans="1:44" x14ac:dyDescent="0.2">
      <c r="A389" s="221"/>
      <c r="B389" s="221" t="s">
        <v>163</v>
      </c>
      <c r="AR389" s="14"/>
    </row>
    <row r="390" spans="1:44" x14ac:dyDescent="0.2">
      <c r="A390" s="222"/>
      <c r="B390" s="223"/>
      <c r="AR390" s="14"/>
    </row>
    <row r="391" spans="1:44" x14ac:dyDescent="0.2">
      <c r="A391" s="221" t="s">
        <v>858</v>
      </c>
      <c r="B391" s="221" t="s">
        <v>152</v>
      </c>
      <c r="AR391" s="14"/>
    </row>
    <row r="392" spans="1:44" x14ac:dyDescent="0.2">
      <c r="A392" s="221"/>
      <c r="B392" s="221" t="s">
        <v>154</v>
      </c>
      <c r="AR392" s="14"/>
    </row>
    <row r="393" spans="1:44" x14ac:dyDescent="0.2">
      <c r="A393" s="222"/>
      <c r="B393" s="223"/>
      <c r="AR393" s="14"/>
    </row>
    <row r="394" spans="1:44" x14ac:dyDescent="0.2">
      <c r="A394" s="224"/>
      <c r="B394" s="224"/>
      <c r="AR394" s="14"/>
    </row>
    <row r="395" spans="1:44" x14ac:dyDescent="0.2">
      <c r="A395" s="224"/>
      <c r="B395" s="224"/>
      <c r="AR395" s="14"/>
    </row>
    <row r="396" spans="1:44" x14ac:dyDescent="0.2">
      <c r="A396" s="222"/>
      <c r="B396" s="223"/>
      <c r="AR396" s="14"/>
    </row>
    <row r="397" spans="1:44" x14ac:dyDescent="0.2">
      <c r="B397" s="155"/>
      <c r="AR397" s="14"/>
    </row>
    <row r="398" spans="1:44" x14ac:dyDescent="0.2">
      <c r="A398" t="s">
        <v>408</v>
      </c>
      <c r="B398" s="76" t="s">
        <v>148</v>
      </c>
      <c r="AR398" s="14"/>
    </row>
    <row r="399" spans="1:44" x14ac:dyDescent="0.2">
      <c r="A399" s="41" t="s">
        <v>408</v>
      </c>
      <c r="B399" s="76" t="s">
        <v>169</v>
      </c>
      <c r="AR399" s="14"/>
    </row>
    <row r="400" spans="1:44" x14ac:dyDescent="0.2">
      <c r="C400" s="76">
        <v>2</v>
      </c>
      <c r="D400" s="76">
        <v>3</v>
      </c>
      <c r="E400" s="97">
        <v>3.92</v>
      </c>
      <c r="F400" s="76">
        <v>49</v>
      </c>
      <c r="G400" s="76">
        <v>0</v>
      </c>
      <c r="H400" s="76">
        <v>0</v>
      </c>
      <c r="I400" s="76">
        <v>0</v>
      </c>
      <c r="J400" s="76">
        <v>10</v>
      </c>
      <c r="K400" s="76">
        <v>13</v>
      </c>
      <c r="AN400" s="72"/>
      <c r="AO400" s="72"/>
      <c r="AP400" s="72"/>
      <c r="AQ400" s="30"/>
      <c r="AR400" s="14"/>
    </row>
    <row r="401" spans="1:44" x14ac:dyDescent="0.2">
      <c r="C401" s="76">
        <v>0</v>
      </c>
      <c r="D401" s="76">
        <v>1</v>
      </c>
      <c r="E401" s="97">
        <v>4.09</v>
      </c>
      <c r="F401" s="76">
        <v>13</v>
      </c>
      <c r="G401" s="76">
        <v>0</v>
      </c>
      <c r="H401" s="76">
        <v>0</v>
      </c>
      <c r="I401" s="76">
        <v>0</v>
      </c>
      <c r="J401" s="76">
        <v>0</v>
      </c>
      <c r="K401" s="76">
        <v>0</v>
      </c>
      <c r="AN401" s="72"/>
      <c r="AO401" s="72"/>
      <c r="AP401" s="72"/>
      <c r="AQ401" s="30"/>
      <c r="AR401" s="14"/>
    </row>
    <row r="402" spans="1:44" x14ac:dyDescent="0.2">
      <c r="AN402" s="72"/>
      <c r="AO402" s="72"/>
      <c r="AP402" s="72"/>
      <c r="AQ402" s="30"/>
      <c r="AR402" s="14">
        <f t="shared" ref="AR402:AR433" si="0">ROUNDUP(L519,0)</f>
        <v>1</v>
      </c>
    </row>
    <row r="403" spans="1:44" x14ac:dyDescent="0.2">
      <c r="L403" s="97">
        <v>43.67</v>
      </c>
      <c r="M403" s="76">
        <v>34</v>
      </c>
      <c r="N403" s="76">
        <v>21</v>
      </c>
      <c r="O403" s="76">
        <v>19</v>
      </c>
      <c r="P403" s="76">
        <v>6</v>
      </c>
      <c r="Q403" s="76">
        <v>30</v>
      </c>
      <c r="R403" s="76">
        <v>3</v>
      </c>
      <c r="S403" s="76">
        <v>51</v>
      </c>
      <c r="T403" s="76">
        <v>196</v>
      </c>
      <c r="U403" s="76"/>
      <c r="V403" s="100"/>
      <c r="W403" s="76"/>
      <c r="Y403" s="151">
        <f>+(Q403-R403)/(T403-R403)*100</f>
        <v>13.989637305699482</v>
      </c>
      <c r="Z403" s="152">
        <f>IF(Y403&lt;LeagueRatings!$K$21,((LeagueRatings!$K$21-Y403)/LeagueRatings!$K$21)*36,(LeagueRatings!$K$21-Y403)*6.48)</f>
        <v>-32.637308761601609</v>
      </c>
      <c r="AA403" s="146">
        <v>5.44</v>
      </c>
      <c r="AB403" s="153">
        <f>(P403/(T403-R403))*100</f>
        <v>3.1088082901554404</v>
      </c>
      <c r="AC403" s="152">
        <f>IF(AB403&lt;LeagueRatings!$K$19,((LeagueRatings!$K$19-AB403)/LeagueRatings!$K$19)*36,(LeagueRatings!$K$19-AB403)/LeagueRatings!$K$22)</f>
        <v>-1.6225249589283441</v>
      </c>
      <c r="AD403" s="146">
        <v>0.61</v>
      </c>
      <c r="AE403" s="103">
        <f>+((LeagueRatings!$I$17-E400)*5)+9.5</f>
        <v>10.714387243706362</v>
      </c>
      <c r="AF403" s="103">
        <f>IF(AE403&lt;4,4,AE403)</f>
        <v>10.714387243706362</v>
      </c>
      <c r="AG403" s="103">
        <f>IF(M403&lt;L403,((1-(M403/L403))*7)-0.07,(1-(M403/L403))*5)</f>
        <v>1.4800343485230132</v>
      </c>
      <c r="AH403" s="154">
        <f>+AA403+AD403+AF403+AG403</f>
        <v>18.244421592229376</v>
      </c>
      <c r="AM403" s="262">
        <f>+AR112*LeagueRatings!$K$27</f>
        <v>0</v>
      </c>
      <c r="AN403" s="72">
        <f>F400*LeagueRatings!$K$27</f>
        <v>27.222222222222225</v>
      </c>
      <c r="AO403" s="72">
        <f>G400*LeagueRatings!$K$27</f>
        <v>0</v>
      </c>
      <c r="AP403" s="72">
        <f>T403*LeagueRatings!$K$27</f>
        <v>108.8888888888889</v>
      </c>
      <c r="AQ403" s="30"/>
      <c r="AR403" s="14">
        <f t="shared" si="0"/>
        <v>1</v>
      </c>
    </row>
    <row r="404" spans="1:44" x14ac:dyDescent="0.2">
      <c r="A404" t="s">
        <v>363</v>
      </c>
      <c r="B404" s="76" t="s">
        <v>162</v>
      </c>
      <c r="L404" s="97">
        <v>11</v>
      </c>
      <c r="M404" s="76">
        <v>9</v>
      </c>
      <c r="N404" s="76">
        <v>5</v>
      </c>
      <c r="O404" s="76">
        <v>5</v>
      </c>
      <c r="P404" s="76">
        <v>0</v>
      </c>
      <c r="Q404" s="76">
        <v>6</v>
      </c>
      <c r="R404" s="76">
        <v>0</v>
      </c>
      <c r="S404" s="76">
        <v>12</v>
      </c>
      <c r="T404" s="76">
        <v>47</v>
      </c>
      <c r="U404" s="76"/>
      <c r="V404" s="100"/>
      <c r="W404" s="76"/>
      <c r="X404" s="138"/>
      <c r="Y404" s="151">
        <f>+(Q404-R404)/(T404-R404)*100</f>
        <v>12.76595744680851</v>
      </c>
      <c r="Z404" s="152">
        <f>IF(Y404&lt;LeagueRatings!$K$21,((LeagueRatings!$K$21-Y404)/LeagueRatings!$K$21)*36,(LeagueRatings!$K$21-Y404)*6.48)</f>
        <v>-24.707863275988117</v>
      </c>
      <c r="AA404" s="153">
        <v>4.18</v>
      </c>
      <c r="AB404" s="153">
        <f>(P404/(T404-R404))*100</f>
        <v>0</v>
      </c>
      <c r="AC404" s="152">
        <f>IF(AB404&lt;LeagueRatings!$K$19,((LeagueRatings!$K$19-AB404)/LeagueRatings!$K$19)*36,(LeagueRatings!$K$19-AB404)/LeagueRatings!$K$22)</f>
        <v>36</v>
      </c>
      <c r="AD404" s="153">
        <v>-3.26</v>
      </c>
      <c r="AE404" s="103">
        <f>+((LeagueRatings!$I$17-E401)*5)+9.5</f>
        <v>9.8643872437063642</v>
      </c>
      <c r="AF404" s="103">
        <f>IF(AE404&lt;4,4,AE404)</f>
        <v>9.8643872437063642</v>
      </c>
      <c r="AG404" s="103">
        <f>IF(M404&lt;L404,((1-(M404/L404))*7)-0.07,(1-(M404/L404))*5)</f>
        <v>1.2027272727272724</v>
      </c>
      <c r="AH404" s="154">
        <f>+AA404+AD404+AF404+AG404</f>
        <v>11.987114516433637</v>
      </c>
      <c r="AJ404" s="58"/>
      <c r="AK404" s="5"/>
      <c r="AL404" s="5"/>
      <c r="AM404" s="262">
        <f>+AR113*LeagueRatings!$K$27</f>
        <v>0</v>
      </c>
      <c r="AN404" s="72">
        <f>F401*LeagueRatings!$K$27</f>
        <v>7.2222222222222223</v>
      </c>
      <c r="AO404" s="72">
        <f>G401*LeagueRatings!$K$27</f>
        <v>0</v>
      </c>
      <c r="AP404" s="72">
        <f>T404*LeagueRatings!$K$27</f>
        <v>26.111111111111111</v>
      </c>
      <c r="AQ404" s="30"/>
      <c r="AR404" s="14">
        <f t="shared" si="0"/>
        <v>0</v>
      </c>
    </row>
    <row r="405" spans="1:44" x14ac:dyDescent="0.2">
      <c r="A405" s="41" t="s">
        <v>363</v>
      </c>
      <c r="B405" s="76" t="s">
        <v>166</v>
      </c>
      <c r="L405" s="157">
        <f>(L403/100)/((L403+L404)/100)</f>
        <v>0.79879275653923554</v>
      </c>
      <c r="T405" s="158"/>
      <c r="U405" s="158"/>
      <c r="V405" s="282"/>
      <c r="W405" s="158"/>
      <c r="X405" s="158"/>
      <c r="Y405" s="153"/>
      <c r="Z405" s="152">
        <f>Z403*L405</f>
        <v>-26.070445831701893</v>
      </c>
      <c r="AA405" s="153"/>
      <c r="AB405" s="153"/>
      <c r="AC405" s="152">
        <f>AC403*L405</f>
        <v>-1.2960611844960819</v>
      </c>
      <c r="AD405" s="153"/>
      <c r="AE405" s="103"/>
      <c r="AF405" s="103"/>
      <c r="AG405" s="103"/>
      <c r="AH405" s="154">
        <f>AH403*L405</f>
        <v>14.573511815120852</v>
      </c>
      <c r="AJ405" s="5"/>
      <c r="AK405" s="5"/>
      <c r="AL405" s="5"/>
      <c r="AN405" s="72">
        <f>F402*LeagueRatings!$K$27</f>
        <v>0</v>
      </c>
      <c r="AO405" s="72">
        <f>G402*LeagueRatings!$K$27</f>
        <v>0</v>
      </c>
      <c r="AP405" s="72">
        <f>T405*LeagueRatings!$K$27</f>
        <v>0</v>
      </c>
      <c r="AQ405" s="30"/>
      <c r="AR405" s="14">
        <f t="shared" si="0"/>
        <v>0</v>
      </c>
    </row>
    <row r="406" spans="1:44" x14ac:dyDescent="0.2">
      <c r="C406" s="76">
        <v>4</v>
      </c>
      <c r="D406" s="76">
        <v>2</v>
      </c>
      <c r="E406" s="97">
        <v>1.86</v>
      </c>
      <c r="F406" s="76">
        <v>51</v>
      </c>
      <c r="G406" s="76">
        <v>0</v>
      </c>
      <c r="H406" s="76">
        <v>0</v>
      </c>
      <c r="I406" s="76">
        <v>0</v>
      </c>
      <c r="J406" s="76">
        <v>7</v>
      </c>
      <c r="K406" s="76">
        <v>13</v>
      </c>
      <c r="L406" s="157">
        <f>(L404/100)/((L403+L404)/100)</f>
        <v>0.2012072434607646</v>
      </c>
      <c r="T406" s="158"/>
      <c r="U406" s="158"/>
      <c r="V406" s="282"/>
      <c r="W406" s="158"/>
      <c r="X406" s="158"/>
      <c r="Y406" s="153"/>
      <c r="Z406" s="152">
        <f>Z404*L406</f>
        <v>-4.9714010615670263</v>
      </c>
      <c r="AA406" s="153"/>
      <c r="AB406" s="153"/>
      <c r="AC406" s="152">
        <f>AC404*L406</f>
        <v>7.2434607645875255</v>
      </c>
      <c r="AD406" s="153"/>
      <c r="AE406" s="103"/>
      <c r="AF406" s="103"/>
      <c r="AG406" s="103"/>
      <c r="AH406" s="154">
        <f>AH404*L406</f>
        <v>2.4118942689001286</v>
      </c>
      <c r="AJ406" s="5"/>
      <c r="AK406" s="5"/>
      <c r="AL406" s="5"/>
      <c r="AN406" s="72">
        <f>F403*LeagueRatings!$K$27</f>
        <v>0</v>
      </c>
      <c r="AO406" s="72">
        <f>G403*LeagueRatings!$K$27</f>
        <v>0</v>
      </c>
      <c r="AP406" s="72">
        <f>T406*LeagueRatings!$K$27</f>
        <v>0</v>
      </c>
      <c r="AQ406" s="30"/>
      <c r="AR406" s="14">
        <f t="shared" si="0"/>
        <v>98</v>
      </c>
    </row>
    <row r="407" spans="1:44" x14ac:dyDescent="0.2">
      <c r="C407" s="76">
        <v>0</v>
      </c>
      <c r="D407" s="76">
        <v>1</v>
      </c>
      <c r="E407" s="97">
        <v>4.3499999999999996</v>
      </c>
      <c r="F407" s="76">
        <v>11</v>
      </c>
      <c r="G407" s="76">
        <v>0</v>
      </c>
      <c r="H407" s="76">
        <v>0</v>
      </c>
      <c r="I407" s="76">
        <v>0</v>
      </c>
      <c r="J407" s="76">
        <v>0</v>
      </c>
      <c r="K407" s="76">
        <v>2</v>
      </c>
      <c r="T407" s="158"/>
      <c r="U407" s="158"/>
      <c r="V407" s="282"/>
      <c r="W407" s="158"/>
      <c r="X407" s="158"/>
      <c r="Y407" s="153"/>
      <c r="Z407" s="152">
        <f>SUM(Z405:Z406)</f>
        <v>-31.041846893268918</v>
      </c>
      <c r="AA407" s="153"/>
      <c r="AB407" s="153"/>
      <c r="AC407" s="152">
        <f>SUM(AC405:AC406)</f>
        <v>5.9473995800914441</v>
      </c>
      <c r="AD407" s="153"/>
      <c r="AE407" s="103"/>
      <c r="AF407" s="103"/>
      <c r="AG407" s="103"/>
      <c r="AH407" s="153">
        <f>SUM(AH405:AH406)</f>
        <v>16.98540608402098</v>
      </c>
      <c r="AI407" s="171" t="s">
        <v>408</v>
      </c>
      <c r="AJ407" s="5" t="s">
        <v>21</v>
      </c>
      <c r="AK407" s="5" t="s">
        <v>61</v>
      </c>
      <c r="AL407" s="5" t="s">
        <v>57</v>
      </c>
      <c r="AM407" s="262">
        <f>SUM(AM403:AM406)</f>
        <v>0</v>
      </c>
      <c r="AN407" s="14">
        <f>SUM(AN403:AN406)</f>
        <v>34.44444444444445</v>
      </c>
      <c r="AO407" s="14">
        <f>SUM(AO403:AO406)</f>
        <v>0</v>
      </c>
      <c r="AP407" s="14">
        <f>SUM(AP403:AP406)</f>
        <v>135</v>
      </c>
      <c r="AQ407" s="30"/>
      <c r="AR407" s="14">
        <f t="shared" si="0"/>
        <v>31</v>
      </c>
    </row>
    <row r="408" spans="1:44" x14ac:dyDescent="0.2">
      <c r="AR408" s="14">
        <f t="shared" si="0"/>
        <v>1</v>
      </c>
    </row>
    <row r="409" spans="1:44" x14ac:dyDescent="0.2">
      <c r="L409" s="97">
        <v>48.33</v>
      </c>
      <c r="M409" s="76">
        <v>32</v>
      </c>
      <c r="N409" s="76">
        <v>10</v>
      </c>
      <c r="O409" s="76">
        <v>10</v>
      </c>
      <c r="P409" s="76">
        <v>3</v>
      </c>
      <c r="Q409" s="76">
        <v>17</v>
      </c>
      <c r="R409" s="76">
        <v>0</v>
      </c>
      <c r="S409" s="76">
        <v>37</v>
      </c>
      <c r="T409" s="76">
        <v>189</v>
      </c>
      <c r="U409" s="76"/>
      <c r="V409" s="100"/>
      <c r="W409" s="76"/>
      <c r="Y409" s="50">
        <f>+(Q409-R409)/(T409-R409)*100</f>
        <v>8.9947089947089935</v>
      </c>
      <c r="Z409" s="152">
        <f>IF(Y409&lt;LeagueRatings!$K$10,((LeagueRatings!$K$10-Y409)/LeagueRatings!$K$10)*36,(LeagueRatings!$K$10-Y409)*6.48)</f>
        <v>-2.1199337915206176</v>
      </c>
      <c r="AA409" s="153">
        <v>0.45</v>
      </c>
      <c r="AB409" s="153">
        <f>(P409/(T409-R409))*100</f>
        <v>1.5873015873015872</v>
      </c>
      <c r="AC409" s="152">
        <f>IF(AB409&lt;LeagueRatings!$K$8,((LeagueRatings!$K$8-AB409)/LeagueRatings!$K$8)*36,(LeagueRatings!$K$8-AB409)/LeagueRatings!$K$11)</f>
        <v>18.155224461972928</v>
      </c>
      <c r="AD409" s="153">
        <v>-0.89</v>
      </c>
      <c r="AE409" s="103">
        <f>+((LeagueRatings!$I$6-E406)*5)+9.5</f>
        <v>21.208051455277403</v>
      </c>
      <c r="AF409" s="103">
        <f>IF(AE409&lt;4,4,AE409)</f>
        <v>21.208051455277403</v>
      </c>
      <c r="AG409" s="103">
        <f>IF(M409&lt;L409,((1-(M409/L409))*7)-0.07,(1-(M409/L409))*5)</f>
        <v>2.2951975998344714</v>
      </c>
      <c r="AH409" s="154">
        <f>+AA409+AD409+AF409+AG409</f>
        <v>23.063249055111871</v>
      </c>
      <c r="AJ409" s="7"/>
      <c r="AK409" s="7"/>
      <c r="AL409" s="7"/>
      <c r="AM409" s="262">
        <f>+AR70*LeagueRatings!$K$27</f>
        <v>0</v>
      </c>
      <c r="AN409" s="72">
        <f>F406*LeagueRatings!$K$27</f>
        <v>28.333333333333336</v>
      </c>
      <c r="AO409" s="72">
        <f>G406*LeagueRatings!$K$27</f>
        <v>0</v>
      </c>
      <c r="AP409" s="72">
        <f>T409*LeagueRatings!$K$27</f>
        <v>105</v>
      </c>
      <c r="AQ409" s="30"/>
      <c r="AR409" s="14">
        <f t="shared" si="0"/>
        <v>1</v>
      </c>
    </row>
    <row r="410" spans="1:44" x14ac:dyDescent="0.2">
      <c r="A410" t="s">
        <v>382</v>
      </c>
      <c r="B410" s="76" t="s">
        <v>146</v>
      </c>
      <c r="L410" s="97">
        <v>10.33</v>
      </c>
      <c r="M410" s="76">
        <v>9</v>
      </c>
      <c r="N410" s="76">
        <v>5</v>
      </c>
      <c r="O410" s="76">
        <v>5</v>
      </c>
      <c r="P410" s="76">
        <v>1</v>
      </c>
      <c r="Q410" s="76">
        <v>2</v>
      </c>
      <c r="R410" s="76">
        <v>0</v>
      </c>
      <c r="S410" s="76">
        <v>12</v>
      </c>
      <c r="T410" s="76">
        <v>42</v>
      </c>
      <c r="U410" s="76"/>
      <c r="V410" s="100"/>
      <c r="W410" s="76"/>
      <c r="X410" s="138"/>
      <c r="Y410" s="151">
        <f>+(Q410-R410)/(T410-R410)*100</f>
        <v>4.7619047619047619</v>
      </c>
      <c r="Z410" s="152">
        <f>IF(Y410&lt;LeagueRatings!$K$21,((LeagueRatings!$K$21-Y410)/LeagueRatings!$K$21)*36,(LeagueRatings!$K$21-Y410)*6.48)</f>
        <v>16.85242119429855</v>
      </c>
      <c r="AA410" s="153">
        <v>-1.29</v>
      </c>
      <c r="AB410" s="153">
        <f>(P410/(T410-R410))*100</f>
        <v>2.3809523809523809</v>
      </c>
      <c r="AC410" s="152">
        <f>IF(AB410&lt;LeagueRatings!$K$19,((LeagueRatings!$K$19-AB410)/LeagueRatings!$K$19)*36,(LeagueRatings!$K$19-AB410)/LeagueRatings!$K$22)</f>
        <v>6.5246636771300466</v>
      </c>
      <c r="AD410" s="153">
        <v>0.08</v>
      </c>
      <c r="AE410" s="103">
        <f>+((LeagueRatings!$I$17-E407)*5)+9.5</f>
        <v>8.5643872437063635</v>
      </c>
      <c r="AF410" s="103">
        <f>IF(AE410&lt;4,4,AE410)</f>
        <v>8.5643872437063635</v>
      </c>
      <c r="AG410" s="103">
        <f>IF(M410&lt;L410,((1-(M410/L410))*7)-0.07,(1-(M410/L410))*5)</f>
        <v>0.83125847047434664</v>
      </c>
      <c r="AH410" s="154">
        <f>+AA410+AD410+AF410+AG410</f>
        <v>8.1856457141807102</v>
      </c>
      <c r="AJ410" s="5"/>
      <c r="AK410" s="5"/>
      <c r="AL410" s="5"/>
      <c r="AM410" s="262">
        <f>+AR71*LeagueRatings!$K$27</f>
        <v>0</v>
      </c>
      <c r="AN410" s="72">
        <f>F407*LeagueRatings!$K$27</f>
        <v>6.1111111111111116</v>
      </c>
      <c r="AO410" s="72">
        <f>G407*LeagueRatings!$K$27</f>
        <v>0</v>
      </c>
      <c r="AP410" s="72">
        <f>T410*LeagueRatings!$K$27</f>
        <v>23.333333333333336</v>
      </c>
      <c r="AQ410" s="30"/>
      <c r="AR410" s="14">
        <f t="shared" si="0"/>
        <v>0</v>
      </c>
    </row>
    <row r="411" spans="1:44" x14ac:dyDescent="0.2">
      <c r="A411" s="41" t="s">
        <v>382</v>
      </c>
      <c r="B411" s="76" t="s">
        <v>152</v>
      </c>
      <c r="L411" s="157">
        <f>(L409/100)/((L409+L410)/100)</f>
        <v>0.82390044323218548</v>
      </c>
      <c r="T411" s="158"/>
      <c r="U411" s="158"/>
      <c r="V411" s="282"/>
      <c r="W411" s="158"/>
      <c r="X411" s="158"/>
      <c r="Y411" s="153"/>
      <c r="Z411" s="152">
        <f>Z409*L411</f>
        <v>-1.7466143904567244</v>
      </c>
      <c r="AA411" s="153"/>
      <c r="AB411" s="153"/>
      <c r="AC411" s="152">
        <f>AC409*L411</f>
        <v>14.958097481199312</v>
      </c>
      <c r="AD411" s="153"/>
      <c r="AE411" s="103"/>
      <c r="AF411" s="103"/>
      <c r="AG411" s="103"/>
      <c r="AH411" s="154">
        <f>AH409*L411</f>
        <v>19.001821118880954</v>
      </c>
      <c r="AJ411" s="5"/>
      <c r="AK411" s="5"/>
      <c r="AL411" s="5"/>
      <c r="AN411" s="72">
        <f>F408*LeagueRatings!$K$27</f>
        <v>0</v>
      </c>
      <c r="AO411" s="72">
        <f>G408*LeagueRatings!$K$27</f>
        <v>0</v>
      </c>
      <c r="AP411" s="72">
        <f>T411*LeagueRatings!$K$27</f>
        <v>0</v>
      </c>
      <c r="AQ411" s="30"/>
      <c r="AR411" s="14">
        <f t="shared" si="0"/>
        <v>0</v>
      </c>
    </row>
    <row r="412" spans="1:44" x14ac:dyDescent="0.2">
      <c r="C412" s="76">
        <v>1</v>
      </c>
      <c r="D412" s="76">
        <v>1</v>
      </c>
      <c r="E412" s="97">
        <v>4.55</v>
      </c>
      <c r="F412" s="76">
        <v>28</v>
      </c>
      <c r="G412" s="76">
        <v>0</v>
      </c>
      <c r="H412" s="76">
        <v>0</v>
      </c>
      <c r="I412" s="76">
        <v>0</v>
      </c>
      <c r="J412" s="76">
        <v>0</v>
      </c>
      <c r="K412" s="76">
        <v>1</v>
      </c>
      <c r="L412" s="157">
        <f>(L410/100)/((L409+L410)/100)</f>
        <v>0.17609955676781452</v>
      </c>
      <c r="T412" s="158"/>
      <c r="U412" s="158"/>
      <c r="V412" s="282"/>
      <c r="W412" s="158"/>
      <c r="X412" s="158"/>
      <c r="Y412" s="153"/>
      <c r="Z412" s="152">
        <f>Z410*L412</f>
        <v>2.9677039027804981</v>
      </c>
      <c r="AA412" s="153"/>
      <c r="AB412" s="153"/>
      <c r="AC412" s="152">
        <f>AC410*L412</f>
        <v>1.14899038160166</v>
      </c>
      <c r="AD412" s="153"/>
      <c r="AE412" s="103"/>
      <c r="AF412" s="103"/>
      <c r="AG412" s="103"/>
      <c r="AH412" s="154">
        <f>AH410*L412</f>
        <v>1.4414885821255836</v>
      </c>
      <c r="AJ412" s="5"/>
      <c r="AK412" s="5"/>
      <c r="AL412" s="5"/>
      <c r="AN412" s="72">
        <f>F409*LeagueRatings!$K$27</f>
        <v>0</v>
      </c>
      <c r="AO412" s="72">
        <f>G409*LeagueRatings!$K$27</f>
        <v>0</v>
      </c>
      <c r="AP412" s="72">
        <f>T412*LeagueRatings!$K$27</f>
        <v>0</v>
      </c>
      <c r="AQ412" s="30"/>
      <c r="AR412" s="14">
        <f t="shared" si="0"/>
        <v>110</v>
      </c>
    </row>
    <row r="413" spans="1:44" x14ac:dyDescent="0.2">
      <c r="C413" s="76">
        <v>2</v>
      </c>
      <c r="D413" s="76">
        <v>3</v>
      </c>
      <c r="E413" s="97">
        <v>4.25</v>
      </c>
      <c r="F413" s="76">
        <v>12</v>
      </c>
      <c r="G413" s="76">
        <v>12</v>
      </c>
      <c r="H413" s="76">
        <v>0</v>
      </c>
      <c r="I413" s="76">
        <v>0</v>
      </c>
      <c r="J413" s="76">
        <v>0</v>
      </c>
      <c r="K413" s="76">
        <v>0</v>
      </c>
      <c r="T413" s="158"/>
      <c r="U413" s="158"/>
      <c r="V413" s="282"/>
      <c r="W413" s="158"/>
      <c r="X413" s="158"/>
      <c r="Y413" s="153"/>
      <c r="Z413" s="152">
        <f>SUM(Z411:Z412)</f>
        <v>1.2210895123237737</v>
      </c>
      <c r="AA413" s="153"/>
      <c r="AB413" s="153"/>
      <c r="AC413" s="152">
        <f>SUM(AC411:AC412)</f>
        <v>16.107087862800974</v>
      </c>
      <c r="AD413" s="153"/>
      <c r="AE413" s="103"/>
      <c r="AF413" s="103"/>
      <c r="AG413" s="103"/>
      <c r="AH413" s="153">
        <f>SUM(AH411:AH412)</f>
        <v>20.443309701006537</v>
      </c>
      <c r="AI413" s="41" t="s">
        <v>363</v>
      </c>
      <c r="AJ413" s="5" t="s">
        <v>63</v>
      </c>
      <c r="AK413" s="5" t="s">
        <v>29</v>
      </c>
      <c r="AL413" s="5" t="s">
        <v>62</v>
      </c>
      <c r="AM413" s="262">
        <f>SUM(AM409:AM412)</f>
        <v>0</v>
      </c>
      <c r="AN413" s="14">
        <f>SUM(AN409:AN412)</f>
        <v>34.44444444444445</v>
      </c>
      <c r="AO413" s="14">
        <f>SUM(AO409:AO412)</f>
        <v>0</v>
      </c>
      <c r="AP413" s="14">
        <f>SUM(AP409:AP412)</f>
        <v>128.33333333333334</v>
      </c>
      <c r="AQ413" s="30"/>
      <c r="AR413" s="14">
        <f t="shared" si="0"/>
        <v>91</v>
      </c>
    </row>
    <row r="414" spans="1:44" x14ac:dyDescent="0.2">
      <c r="AN414" s="72">
        <f>F411*LeagueRatings!$K$27</f>
        <v>0</v>
      </c>
      <c r="AO414" s="72">
        <f>G411*LeagueRatings!$K$27</f>
        <v>0</v>
      </c>
      <c r="AP414" s="72">
        <f>T414*LeagueRatings!$K$27</f>
        <v>0</v>
      </c>
      <c r="AQ414" s="30"/>
      <c r="AR414" s="14">
        <f t="shared" si="0"/>
        <v>1</v>
      </c>
    </row>
    <row r="415" spans="1:44" x14ac:dyDescent="0.2">
      <c r="L415" s="97">
        <v>31.67</v>
      </c>
      <c r="M415" s="76">
        <v>34</v>
      </c>
      <c r="N415" s="76">
        <v>17</v>
      </c>
      <c r="O415" s="76">
        <v>16</v>
      </c>
      <c r="P415" s="76">
        <v>3</v>
      </c>
      <c r="Q415" s="76">
        <v>15</v>
      </c>
      <c r="R415" s="76">
        <v>2</v>
      </c>
      <c r="S415" s="76">
        <v>29</v>
      </c>
      <c r="T415" s="76">
        <v>143</v>
      </c>
      <c r="U415" s="76"/>
      <c r="V415" s="100"/>
      <c r="W415" s="76"/>
      <c r="Y415" s="151">
        <f>+(Q415-R415)/(T415-R415)*100</f>
        <v>9.2198581560283674</v>
      </c>
      <c r="Z415" s="152">
        <f>IF(Y415&lt;LeagueRatings!$K$10,((LeagueRatings!$K$10-Y415)/LeagueRatings!$K$10)*36,(LeagueRatings!$K$10-Y415)*6.48)</f>
        <v>-3.5789003568701609</v>
      </c>
      <c r="AA415" s="153">
        <v>0.65</v>
      </c>
      <c r="AB415" s="153">
        <f>(P415/(T415-R415))*100</f>
        <v>2.1276595744680851</v>
      </c>
      <c r="AC415" s="152">
        <f>IF(AB415&lt;LeagueRatings!$K$8,((LeagueRatings!$K$8-AB415)/LeagueRatings!$K$8)*36,(LeagueRatings!$K$8-AB415)/LeagueRatings!$K$11)</f>
        <v>12.080407257538184</v>
      </c>
      <c r="AD415" s="153">
        <v>-0.21</v>
      </c>
      <c r="AE415" s="103">
        <f>+((LeagueRatings!$I$6-E412)*5)+9.5</f>
        <v>7.7580514552774043</v>
      </c>
      <c r="AF415" s="103">
        <f>IF(AE415&lt;4,4,AE415)</f>
        <v>7.7580514552774043</v>
      </c>
      <c r="AG415" s="103">
        <f>IF(M415&lt;L415,((1-(M415/L415))*7)-0.07,(1-(M415/L415))*5)</f>
        <v>-0.36785601515629929</v>
      </c>
      <c r="AH415" s="154">
        <f>+AA415+AD415+AF415+AG415</f>
        <v>7.8301954401211056</v>
      </c>
      <c r="AJ415" s="7"/>
      <c r="AK415" s="7"/>
      <c r="AL415" s="7"/>
      <c r="AM415" s="262">
        <f>+AR334*LeagueRatings!$K$27</f>
        <v>0</v>
      </c>
      <c r="AN415" s="72">
        <f>F412*LeagueRatings!$K$27</f>
        <v>15.555555555555557</v>
      </c>
      <c r="AO415" s="72">
        <f>G412*LeagueRatings!$K$27</f>
        <v>0</v>
      </c>
      <c r="AP415" s="72">
        <f>T415*LeagueRatings!$K$27</f>
        <v>79.444444444444443</v>
      </c>
      <c r="AQ415" s="30"/>
      <c r="AR415" s="14">
        <f t="shared" si="0"/>
        <v>1</v>
      </c>
    </row>
    <row r="416" spans="1:44" x14ac:dyDescent="0.2">
      <c r="A416" t="s">
        <v>577</v>
      </c>
      <c r="B416" s="76" t="s">
        <v>151</v>
      </c>
      <c r="L416" s="97">
        <v>65.266999999999996</v>
      </c>
      <c r="M416" s="76">
        <v>67</v>
      </c>
      <c r="N416" s="76">
        <v>34</v>
      </c>
      <c r="O416" s="76">
        <v>31</v>
      </c>
      <c r="P416" s="76">
        <v>7</v>
      </c>
      <c r="Q416" s="76">
        <v>19</v>
      </c>
      <c r="R416" s="76">
        <v>1</v>
      </c>
      <c r="S416" s="76">
        <v>55</v>
      </c>
      <c r="T416" s="76">
        <v>286</v>
      </c>
      <c r="U416" s="76"/>
      <c r="V416" s="100"/>
      <c r="W416" s="76"/>
      <c r="X416" s="138"/>
      <c r="Y416" s="162">
        <f>+(Q416-R416)/(T416-R416)*100</f>
        <v>6.3157894736842106</v>
      </c>
      <c r="Z416" s="163">
        <f>IF(Y416&lt;LeagueRatings!$K$21,((LeagueRatings!$K$21-Y416)/LeagueRatings!$K$21)*36,(LeagueRatings!$K$21-Y416)*6.48)</f>
        <v>10.604263899806497</v>
      </c>
      <c r="AA416" s="164">
        <v>-0.65</v>
      </c>
      <c r="AB416" s="164">
        <f>(P416/(T416-R416))*100</f>
        <v>2.4561403508771931</v>
      </c>
      <c r="AC416" s="163">
        <f>IF(AB416&lt;LeagueRatings!$K$19,((LeagueRatings!$K$19-AB416)/LeagueRatings!$K$19)*36,(LeagueRatings!$K$19-AB416)/LeagueRatings!$K$22)</f>
        <v>5.5938635827236256</v>
      </c>
      <c r="AD416" s="164">
        <v>0.16</v>
      </c>
      <c r="AE416" s="71">
        <f>+((LeagueRatings!$I$17-E413)*5)+9.5</f>
        <v>9.0643872437063635</v>
      </c>
      <c r="AF416" s="71">
        <f>IF(AE416&lt;4,4,AE416)</f>
        <v>9.0643872437063635</v>
      </c>
      <c r="AG416" s="103">
        <f>IF(M416&lt;L416,((1-(M416/L416))*7)-0.07,(1-(M416/L416))*5)</f>
        <v>-0.13276234544256749</v>
      </c>
      <c r="AH416" s="165">
        <f>+AA416+AD416+AF416+AG416</f>
        <v>8.4416248982637967</v>
      </c>
      <c r="AJ416" s="7"/>
      <c r="AK416" s="7"/>
      <c r="AL416" s="7"/>
      <c r="AM416" s="262">
        <f>+AR335*LeagueRatings!$K$27</f>
        <v>0</v>
      </c>
      <c r="AN416" s="72">
        <f>F413*LeagueRatings!$K$27</f>
        <v>6.666666666666667</v>
      </c>
      <c r="AO416" s="72">
        <f>G413*LeagueRatings!$K$27</f>
        <v>6.666666666666667</v>
      </c>
      <c r="AP416" s="72">
        <f>T416*LeagueRatings!$K$27</f>
        <v>158.88888888888889</v>
      </c>
      <c r="AQ416" s="30"/>
      <c r="AR416" s="14">
        <f t="shared" si="0"/>
        <v>0</v>
      </c>
    </row>
    <row r="417" spans="1:44" x14ac:dyDescent="0.2">
      <c r="A417" s="41" t="s">
        <v>577</v>
      </c>
      <c r="B417" s="76" t="s">
        <v>165</v>
      </c>
      <c r="L417" s="157">
        <f>(L415/100)/((L415+L416)/100)</f>
        <v>0.32670703652887961</v>
      </c>
      <c r="T417" s="158"/>
      <c r="U417" s="158"/>
      <c r="V417" s="282"/>
      <c r="W417" s="158"/>
      <c r="X417" s="158"/>
      <c r="Y417" s="153"/>
      <c r="Z417" s="152">
        <f>Z415*L417</f>
        <v>-1.1692519296252</v>
      </c>
      <c r="AA417" s="153"/>
      <c r="AB417" s="153"/>
      <c r="AC417" s="152">
        <f>AC415*L417</f>
        <v>3.9467540551722697</v>
      </c>
      <c r="AD417" s="153"/>
      <c r="AE417" s="103"/>
      <c r="AF417" s="103"/>
      <c r="AG417" s="103"/>
      <c r="AH417" s="154">
        <f>AH415*L417</f>
        <v>2.5581799476839127</v>
      </c>
      <c r="AJ417" s="5"/>
      <c r="AK417" s="5"/>
      <c r="AL417" s="5"/>
      <c r="AN417" s="72">
        <f>F414*LeagueRatings!$K$27</f>
        <v>0</v>
      </c>
      <c r="AO417" s="72">
        <f>G414*LeagueRatings!$K$27</f>
        <v>0</v>
      </c>
      <c r="AP417" s="72">
        <f>T417*LeagueRatings!$K$27</f>
        <v>0</v>
      </c>
      <c r="AQ417" s="30"/>
      <c r="AR417" s="14">
        <f t="shared" si="0"/>
        <v>0</v>
      </c>
    </row>
    <row r="418" spans="1:44" x14ac:dyDescent="0.2">
      <c r="C418" s="76">
        <v>5</v>
      </c>
      <c r="D418" s="76">
        <v>13</v>
      </c>
      <c r="E418" s="97">
        <v>4.9400000000000004</v>
      </c>
      <c r="F418" s="76">
        <v>23</v>
      </c>
      <c r="G418" s="76">
        <v>23</v>
      </c>
      <c r="H418" s="76">
        <v>0</v>
      </c>
      <c r="I418" s="76">
        <v>0</v>
      </c>
      <c r="J418" s="76">
        <v>0</v>
      </c>
      <c r="K418" s="76">
        <v>0</v>
      </c>
      <c r="L418" s="157">
        <f>(L416/100)/((L415+L416)/100)</f>
        <v>0.67329296347112044</v>
      </c>
      <c r="T418" s="158"/>
      <c r="U418" s="158"/>
      <c r="V418" s="282"/>
      <c r="W418" s="158"/>
      <c r="X418" s="158"/>
      <c r="Y418" s="153"/>
      <c r="Z418" s="152">
        <f>Z416*L418</f>
        <v>7.1397762665305375</v>
      </c>
      <c r="AA418" s="153"/>
      <c r="AB418" s="153"/>
      <c r="AC418" s="152">
        <f>AC416*L418</f>
        <v>3.7663089888651688</v>
      </c>
      <c r="AD418" s="153"/>
      <c r="AE418" s="103"/>
      <c r="AF418" s="103"/>
      <c r="AG418" s="103"/>
      <c r="AH418" s="154">
        <f>AH416*L418</f>
        <v>5.6836866442636271</v>
      </c>
      <c r="AJ418" s="5"/>
      <c r="AK418" s="5"/>
      <c r="AL418" s="5"/>
      <c r="AN418" s="72">
        <f>F415*LeagueRatings!$K$27</f>
        <v>0</v>
      </c>
      <c r="AO418" s="72">
        <f>G415*LeagueRatings!$K$27</f>
        <v>0</v>
      </c>
      <c r="AP418" s="72">
        <f>T418*LeagueRatings!$K$27</f>
        <v>0</v>
      </c>
      <c r="AQ418" s="30"/>
      <c r="AR418" s="14">
        <f t="shared" si="0"/>
        <v>97</v>
      </c>
    </row>
    <row r="419" spans="1:44" x14ac:dyDescent="0.2">
      <c r="C419" s="76">
        <v>2</v>
      </c>
      <c r="D419" s="76">
        <v>4</v>
      </c>
      <c r="E419" s="97">
        <v>8.0299999999999994</v>
      </c>
      <c r="F419" s="76">
        <v>9</v>
      </c>
      <c r="G419" s="76">
        <v>3</v>
      </c>
      <c r="H419" s="76">
        <v>0</v>
      </c>
      <c r="I419" s="76">
        <v>0</v>
      </c>
      <c r="J419" s="76">
        <v>0</v>
      </c>
      <c r="K419" s="76">
        <v>0</v>
      </c>
      <c r="T419" s="158"/>
      <c r="U419" s="158"/>
      <c r="V419" s="282"/>
      <c r="W419" s="158"/>
      <c r="X419" s="158"/>
      <c r="Y419" s="153"/>
      <c r="Z419" s="152">
        <f>SUM(Z417:Z418)</f>
        <v>5.9705243369053376</v>
      </c>
      <c r="AA419" s="153"/>
      <c r="AB419" s="153"/>
      <c r="AC419" s="152">
        <f>SUM(AC417:AC418)</f>
        <v>7.7130630440374386</v>
      </c>
      <c r="AD419" s="153"/>
      <c r="AE419" s="103"/>
      <c r="AF419" s="103"/>
      <c r="AG419" s="103"/>
      <c r="AH419" s="153">
        <f>SUM(AH417:AH418)</f>
        <v>8.2418665919475398</v>
      </c>
      <c r="AI419" s="41" t="s">
        <v>382</v>
      </c>
      <c r="AJ419" s="5" t="s">
        <v>24</v>
      </c>
      <c r="AK419" s="5" t="s">
        <v>22</v>
      </c>
      <c r="AL419" s="5" t="s">
        <v>45</v>
      </c>
      <c r="AM419" s="262">
        <f>SUM(AM415:AM418)</f>
        <v>0</v>
      </c>
      <c r="AN419" s="14">
        <f>SUM(AN415:AN418)</f>
        <v>22.222222222222225</v>
      </c>
      <c r="AO419" s="14">
        <f>SUM(AO415:AO418)</f>
        <v>6.666666666666667</v>
      </c>
      <c r="AP419" s="14">
        <f>SUM(AP415:AP418)</f>
        <v>238.33333333333331</v>
      </c>
      <c r="AQ419" s="30"/>
      <c r="AR419" s="14">
        <f t="shared" si="0"/>
        <v>22</v>
      </c>
    </row>
    <row r="420" spans="1:44" x14ac:dyDescent="0.2">
      <c r="AN420" s="72">
        <f>F417*LeagueRatings!$K$27</f>
        <v>0</v>
      </c>
      <c r="AO420" s="72">
        <f>G417*LeagueRatings!$K$27</f>
        <v>0</v>
      </c>
      <c r="AP420" s="72">
        <f>T420*LeagueRatings!$K$27</f>
        <v>0</v>
      </c>
      <c r="AQ420" s="30"/>
      <c r="AR420" s="14">
        <f t="shared" si="0"/>
        <v>1</v>
      </c>
    </row>
    <row r="421" spans="1:44" x14ac:dyDescent="0.2">
      <c r="L421" s="97">
        <v>129.33000000000001</v>
      </c>
      <c r="M421" s="76">
        <v>157</v>
      </c>
      <c r="N421" s="76">
        <v>76</v>
      </c>
      <c r="O421" s="76">
        <v>71</v>
      </c>
      <c r="P421" s="76">
        <v>13</v>
      </c>
      <c r="Q421" s="76">
        <v>32</v>
      </c>
      <c r="R421" s="76">
        <v>1</v>
      </c>
      <c r="S421" s="76">
        <v>61</v>
      </c>
      <c r="T421" s="76">
        <v>572</v>
      </c>
      <c r="U421" s="76"/>
      <c r="V421" s="100"/>
      <c r="W421" s="76"/>
      <c r="Y421" s="151">
        <f>+(Q421-R421)/(T421-R421)*100</f>
        <v>5.4290718038528896</v>
      </c>
      <c r="Z421" s="152">
        <f>IF(Y421&lt;LeagueRatings!$K$10,((LeagueRatings!$K$10-Y421)/LeagueRatings!$K$10)*36,(LeagueRatings!$K$10-Y421)*6.48)</f>
        <v>13.450791936671646</v>
      </c>
      <c r="AA421" s="153">
        <v>-1.01</v>
      </c>
      <c r="AB421" s="153">
        <f>(P421/(T421-R421))*100</f>
        <v>2.276707530647986</v>
      </c>
      <c r="AC421" s="152">
        <f>IF(AB421&lt;LeagueRatings!$K$8,((LeagueRatings!$K$8-AB421)/LeagueRatings!$K$8)*36,(LeagueRatings!$K$8-AB421)/LeagueRatings!$K$11)</f>
        <v>10.404779044406004</v>
      </c>
      <c r="AD421" s="153">
        <v>-7.0000000000000007E-2</v>
      </c>
      <c r="AE421" s="103">
        <f>+((LeagueRatings!$I$6-E418)*5)+9.5</f>
        <v>5.8080514552774014</v>
      </c>
      <c r="AF421" s="103">
        <f>IF(AE421&lt;4,4,AE421)</f>
        <v>5.8080514552774014</v>
      </c>
      <c r="AG421" s="103">
        <f>IF(M421&lt;L421,((1-(M421/L421))*7)-0.07,(1-(M421/L421))*5)</f>
        <v>-1.0697440655686996</v>
      </c>
      <c r="AH421" s="154">
        <f>+AA421+AD421+AF421+AG421</f>
        <v>3.6583073897087015</v>
      </c>
      <c r="AM421" s="262">
        <f>+AR256*LeagueRatings!$K$27</f>
        <v>0</v>
      </c>
      <c r="AN421" s="72">
        <f>F418*LeagueRatings!$K$27</f>
        <v>12.777777777777779</v>
      </c>
      <c r="AO421" s="72">
        <f>G418*LeagueRatings!$K$27</f>
        <v>12.777777777777779</v>
      </c>
      <c r="AP421" s="72">
        <f>T421*LeagueRatings!$K$27</f>
        <v>317.77777777777777</v>
      </c>
      <c r="AQ421" s="30"/>
      <c r="AR421" s="14">
        <f t="shared" si="0"/>
        <v>1</v>
      </c>
    </row>
    <row r="422" spans="1:44" x14ac:dyDescent="0.2">
      <c r="A422" t="s">
        <v>547</v>
      </c>
      <c r="B422" s="76" t="s">
        <v>164</v>
      </c>
      <c r="L422" s="97">
        <v>24.266999999999999</v>
      </c>
      <c r="M422" s="76">
        <v>34</v>
      </c>
      <c r="N422" s="76">
        <v>28</v>
      </c>
      <c r="O422" s="76">
        <v>22</v>
      </c>
      <c r="P422" s="76">
        <v>7</v>
      </c>
      <c r="Q422" s="76">
        <v>8</v>
      </c>
      <c r="R422" s="76">
        <v>1</v>
      </c>
      <c r="S422" s="76">
        <v>18</v>
      </c>
      <c r="T422" s="76">
        <v>115</v>
      </c>
      <c r="U422" s="76"/>
      <c r="V422" s="100"/>
      <c r="W422" s="76"/>
      <c r="Y422" s="162">
        <f>+(Q422-R422)/(T422-R422)*100</f>
        <v>6.140350877192982</v>
      </c>
      <c r="Z422" s="163">
        <f>IF(Y422&lt;LeagueRatings!$K$21,((LeagueRatings!$K$21-Y422)/LeagueRatings!$K$21)*36,(LeagueRatings!$K$21-Y422)*6.48)</f>
        <v>11.309701013700764</v>
      </c>
      <c r="AA422" s="164">
        <v>-0.74</v>
      </c>
      <c r="AB422" s="164">
        <f>(P422/(T422-R422))*100</f>
        <v>6.140350877192982</v>
      </c>
      <c r="AC422" s="163">
        <f>IF(AB422&lt;LeagueRatings!$K$19,((LeagueRatings!$K$19-AB422)/LeagueRatings!$K$19)*36,(LeagueRatings!$K$19-AB422)/LeagueRatings!$K$22)</f>
        <v>-26.117329910141201</v>
      </c>
      <c r="AD422" s="164">
        <v>3.24</v>
      </c>
      <c r="AE422" s="71">
        <f>+((LeagueRatings!$I$17-E419)*5)+9.5</f>
        <v>-9.8356127562936351</v>
      </c>
      <c r="AF422" s="71">
        <f>IF(AE422&lt;4,4,AE422)</f>
        <v>4</v>
      </c>
      <c r="AG422" s="103">
        <f>IF(M422&lt;L422,((1-(M422/L422))*7)-0.07,(1-(M422/L422))*5)</f>
        <v>-2.0053982774961887</v>
      </c>
      <c r="AH422" s="165">
        <f>+AA422+AD422+AF422+AG422</f>
        <v>4.4946017225038108</v>
      </c>
      <c r="AM422" s="262">
        <f>+AR257*LeagueRatings!$K$27</f>
        <v>0</v>
      </c>
      <c r="AN422" s="72">
        <f>F419*LeagueRatings!$K$27</f>
        <v>5</v>
      </c>
      <c r="AO422" s="72">
        <f>G419*LeagueRatings!$K$27</f>
        <v>1.6666666666666667</v>
      </c>
      <c r="AP422" s="72">
        <f>T422*LeagueRatings!$K$27</f>
        <v>63.888888888888893</v>
      </c>
      <c r="AQ422" s="30"/>
      <c r="AR422" s="14">
        <f t="shared" si="0"/>
        <v>0</v>
      </c>
    </row>
    <row r="423" spans="1:44" x14ac:dyDescent="0.2">
      <c r="A423" s="41" t="s">
        <v>547</v>
      </c>
      <c r="B423" s="76" t="s">
        <v>244</v>
      </c>
      <c r="L423" s="157">
        <f>(L421/100)/((L421+L422)/100)</f>
        <v>0.84200863298111295</v>
      </c>
      <c r="Y423" s="153"/>
      <c r="Z423" s="152">
        <f>Z421*L423</f>
        <v>11.325682931110268</v>
      </c>
      <c r="AA423" s="153"/>
      <c r="AB423" s="153"/>
      <c r="AC423" s="152">
        <f>AC421*L423</f>
        <v>8.7609137796508296</v>
      </c>
      <c r="AD423" s="153"/>
      <c r="AE423" s="103"/>
      <c r="AF423" s="103"/>
      <c r="AG423" s="103"/>
      <c r="AH423" s="154">
        <f>AH421*L423</f>
        <v>3.0803264042333276</v>
      </c>
      <c r="AN423" s="72">
        <f>F420*LeagueRatings!$K$27</f>
        <v>0</v>
      </c>
      <c r="AO423" s="72">
        <f>G420*LeagueRatings!$K$27</f>
        <v>0</v>
      </c>
      <c r="AP423" s="72">
        <f>T423*LeagueRatings!$K$27</f>
        <v>0</v>
      </c>
      <c r="AQ423" s="30"/>
      <c r="AR423" s="14">
        <f t="shared" si="0"/>
        <v>0</v>
      </c>
    </row>
    <row r="424" spans="1:44" x14ac:dyDescent="0.2">
      <c r="C424" s="76">
        <v>9</v>
      </c>
      <c r="D424" s="76">
        <v>7</v>
      </c>
      <c r="E424" s="97">
        <v>4.41</v>
      </c>
      <c r="F424" s="76">
        <v>20</v>
      </c>
      <c r="G424" s="76">
        <v>20</v>
      </c>
      <c r="H424" s="76">
        <v>0</v>
      </c>
      <c r="I424" s="76">
        <v>0</v>
      </c>
      <c r="J424" s="76">
        <v>0</v>
      </c>
      <c r="K424" s="76">
        <v>0</v>
      </c>
      <c r="L424" s="157">
        <f>(L422/100)/((L421+L422)/100)</f>
        <v>0.15799136701888708</v>
      </c>
      <c r="Y424" s="153"/>
      <c r="Z424" s="152">
        <f>Z422*L424</f>
        <v>1.7868351237294766</v>
      </c>
      <c r="AA424" s="153"/>
      <c r="AB424" s="153"/>
      <c r="AC424" s="152">
        <f>AC422*L424</f>
        <v>-4.1263126553864753</v>
      </c>
      <c r="AD424" s="153"/>
      <c r="AE424" s="103"/>
      <c r="AF424" s="103"/>
      <c r="AG424" s="103"/>
      <c r="AH424" s="154">
        <f>AH422*L424</f>
        <v>0.71010827034382162</v>
      </c>
      <c r="AN424" s="72">
        <f>F421*LeagueRatings!$K$27</f>
        <v>0</v>
      </c>
      <c r="AO424" s="72">
        <f>G421*LeagueRatings!$K$27</f>
        <v>0</v>
      </c>
      <c r="AP424" s="72">
        <f>T424*LeagueRatings!$K$27</f>
        <v>0</v>
      </c>
      <c r="AQ424" s="30"/>
      <c r="AR424" s="14">
        <f t="shared" si="0"/>
        <v>43</v>
      </c>
    </row>
    <row r="425" spans="1:44" x14ac:dyDescent="0.2">
      <c r="C425" s="76">
        <v>4</v>
      </c>
      <c r="D425" s="76">
        <v>4</v>
      </c>
      <c r="E425" s="97">
        <v>2.39</v>
      </c>
      <c r="F425" s="76">
        <v>10</v>
      </c>
      <c r="G425" s="76">
        <v>10</v>
      </c>
      <c r="H425" s="76">
        <v>0</v>
      </c>
      <c r="I425" s="76">
        <v>0</v>
      </c>
      <c r="J425" s="76">
        <v>0</v>
      </c>
      <c r="K425" s="76">
        <v>0</v>
      </c>
      <c r="Y425" s="153"/>
      <c r="Z425" s="152">
        <f>SUM(Z423:Z424)</f>
        <v>13.112518054839745</v>
      </c>
      <c r="AA425" s="153"/>
      <c r="AB425" s="153"/>
      <c r="AC425" s="152">
        <f>SUM(AC423:AC424)</f>
        <v>4.6346011242643543</v>
      </c>
      <c r="AD425" s="153"/>
      <c r="AE425" s="103"/>
      <c r="AF425" s="103"/>
      <c r="AG425" s="103"/>
      <c r="AH425" s="153">
        <f>SUM(AH423:AH424)</f>
        <v>3.7904346745771491</v>
      </c>
      <c r="AI425" s="41" t="s">
        <v>577</v>
      </c>
      <c r="AJ425" s="5" t="s">
        <v>78</v>
      </c>
      <c r="AK425" s="5" t="s">
        <v>48</v>
      </c>
      <c r="AL425" s="5" t="s">
        <v>71</v>
      </c>
      <c r="AM425" s="262">
        <f>SUM(AM421:AM424)</f>
        <v>0</v>
      </c>
      <c r="AN425" s="14">
        <f>SUM(AN421:AN424)</f>
        <v>17.777777777777779</v>
      </c>
      <c r="AO425" s="14">
        <f>SUM(AO421:AO424)</f>
        <v>14.444444444444445</v>
      </c>
      <c r="AP425" s="14">
        <f>SUM(AP421:AP424)</f>
        <v>381.66666666666669</v>
      </c>
      <c r="AQ425" s="30"/>
      <c r="AR425" s="14">
        <f t="shared" si="0"/>
        <v>20</v>
      </c>
    </row>
    <row r="426" spans="1:44" x14ac:dyDescent="0.2">
      <c r="AN426" s="72">
        <f>F423*LeagueRatings!$K$27</f>
        <v>0</v>
      </c>
      <c r="AO426" s="72">
        <f>G423*LeagueRatings!$K$27</f>
        <v>0</v>
      </c>
      <c r="AP426" s="72">
        <f>T426*LeagueRatings!$K$27</f>
        <v>0</v>
      </c>
      <c r="AQ426" s="30"/>
      <c r="AR426" s="14">
        <f t="shared" si="0"/>
        <v>1</v>
      </c>
    </row>
    <row r="427" spans="1:44" x14ac:dyDescent="0.2">
      <c r="L427" s="97">
        <v>116.33</v>
      </c>
      <c r="M427" s="76">
        <v>119</v>
      </c>
      <c r="N427" s="76">
        <v>61</v>
      </c>
      <c r="O427" s="76">
        <v>57</v>
      </c>
      <c r="P427" s="76">
        <v>7</v>
      </c>
      <c r="Q427" s="76">
        <v>51</v>
      </c>
      <c r="R427" s="76">
        <v>1</v>
      </c>
      <c r="S427" s="76">
        <v>75</v>
      </c>
      <c r="T427" s="76">
        <v>507</v>
      </c>
      <c r="U427" s="76"/>
      <c r="V427" s="100"/>
      <c r="W427" s="76"/>
      <c r="Y427" s="151">
        <f>+(Q427-R427)/(T427-R427)*100</f>
        <v>9.8814229249011856</v>
      </c>
      <c r="Z427" s="152">
        <f>IF(Y427&lt;LeagueRatings!$K$10,((LeagueRatings!$K$10-Y427)/LeagueRatings!$K$10)*36,(LeagueRatings!$K$10-Y427)*6.48)</f>
        <v>-7.8658400591660227</v>
      </c>
      <c r="AA427" s="146">
        <v>1.1100000000000001</v>
      </c>
      <c r="AB427" s="153">
        <f>(P427/(T427-R427))*100</f>
        <v>1.383399209486166</v>
      </c>
      <c r="AC427" s="152">
        <f>IF(AB427&lt;LeagueRatings!$K$8,((LeagueRatings!$K$8-AB427)/LeagueRatings!$K$8)*36,(LeagueRatings!$K$8-AB427)/LeagueRatings!$K$11)</f>
        <v>20.447537525158225</v>
      </c>
      <c r="AD427" s="146">
        <v>-1.1399999999999999</v>
      </c>
      <c r="AE427" s="103">
        <f>+((LeagueRatings!$I$6-E424)*5)+9.5</f>
        <v>8.4580514552774027</v>
      </c>
      <c r="AF427" s="103">
        <f>IF(AE427&lt;4,4,AE427)</f>
        <v>8.4580514552774027</v>
      </c>
      <c r="AG427" s="103">
        <f>IF(M427&lt;L427,((1-(M427/L427))*7)-0.07,(1-(M427/L427))*5)</f>
        <v>-0.11475973523596639</v>
      </c>
      <c r="AH427" s="154">
        <f>+AA427+AD427+AF427+AG427</f>
        <v>8.3132917200414376</v>
      </c>
      <c r="AM427" s="262">
        <f>+AR16*LeagueRatings!$K$27</f>
        <v>0</v>
      </c>
      <c r="AN427" s="72">
        <f>F424*LeagueRatings!$K$27</f>
        <v>11.111111111111111</v>
      </c>
      <c r="AO427" s="72">
        <f>G424*LeagueRatings!$K$27</f>
        <v>11.111111111111111</v>
      </c>
      <c r="AP427" s="72">
        <f>T427*LeagueRatings!$K$27</f>
        <v>281.66666666666669</v>
      </c>
      <c r="AQ427" s="30"/>
      <c r="AR427" s="14">
        <f t="shared" si="0"/>
        <v>1</v>
      </c>
    </row>
    <row r="428" spans="1:44" x14ac:dyDescent="0.2">
      <c r="A428" t="s">
        <v>573</v>
      </c>
      <c r="B428" s="76" t="s">
        <v>151</v>
      </c>
      <c r="L428" s="97">
        <v>64</v>
      </c>
      <c r="M428" s="76">
        <v>54</v>
      </c>
      <c r="N428" s="76">
        <v>19</v>
      </c>
      <c r="O428" s="76">
        <v>17</v>
      </c>
      <c r="P428" s="76">
        <v>2</v>
      </c>
      <c r="Q428" s="76">
        <v>22</v>
      </c>
      <c r="R428" s="76">
        <v>0</v>
      </c>
      <c r="S428" s="76">
        <v>40</v>
      </c>
      <c r="T428" s="76">
        <v>259</v>
      </c>
      <c r="U428" s="76"/>
      <c r="V428" s="100"/>
      <c r="W428" s="76"/>
      <c r="X428" s="138"/>
      <c r="Y428" s="151">
        <f>+(Q428-R428)/(T428-R428)*100</f>
        <v>8.4942084942084932</v>
      </c>
      <c r="Z428" s="152">
        <f>IF(Y428&lt;LeagueRatings!$K$10,((LeagueRatings!$K$10-Y428)/LeagueRatings!$K$10)*36,(LeagueRatings!$K$10-Y428)*6.48)</f>
        <v>0.71999605286701251</v>
      </c>
      <c r="AA428" s="153">
        <v>0.18</v>
      </c>
      <c r="AB428" s="153">
        <f>(P428/(T428-R428))*100</f>
        <v>0.77220077220077221</v>
      </c>
      <c r="AC428" s="152">
        <f>IF(AB428&lt;LeagueRatings!$K$8,((LeagueRatings!$K$8-AB428)/LeagueRatings!$K$8)*36,(LeagueRatings!$K$8-AB428)/LeagueRatings!$K$11)</f>
        <v>27.318757846365209</v>
      </c>
      <c r="AD428" s="153">
        <v>-1.98</v>
      </c>
      <c r="AE428" s="103">
        <f>+((LeagueRatings!$I$6-E425)*5)+9.5</f>
        <v>18.558051455277401</v>
      </c>
      <c r="AF428" s="103">
        <f>IF(AE428&lt;4,4,AE428)</f>
        <v>18.558051455277401</v>
      </c>
      <c r="AG428" s="103">
        <f>IF(M428&lt;L428,((1-(M428/L428))*7)-0.07,(1-(M428/L428))*5)</f>
        <v>1.0237499999999999</v>
      </c>
      <c r="AH428" s="154">
        <f>+AA428+AD428+AF428+AG428</f>
        <v>17.7818014552774</v>
      </c>
      <c r="AJ428" s="5"/>
      <c r="AK428" s="5"/>
      <c r="AL428" s="5"/>
      <c r="AM428" s="262">
        <f>+AR17*LeagueRatings!$K$27</f>
        <v>0</v>
      </c>
      <c r="AN428" s="72">
        <f>F425*LeagueRatings!$K$27</f>
        <v>5.5555555555555554</v>
      </c>
      <c r="AO428" s="72">
        <f>G425*LeagueRatings!$K$27</f>
        <v>5.5555555555555554</v>
      </c>
      <c r="AP428" s="72">
        <f>T428*LeagueRatings!$K$27</f>
        <v>143.88888888888889</v>
      </c>
      <c r="AQ428" s="30"/>
      <c r="AR428" s="14">
        <f t="shared" si="0"/>
        <v>0</v>
      </c>
    </row>
    <row r="429" spans="1:44" x14ac:dyDescent="0.2">
      <c r="A429" s="41" t="s">
        <v>573</v>
      </c>
      <c r="B429" s="76" t="s">
        <v>164</v>
      </c>
      <c r="L429" s="157">
        <f>(L427/100)/((L427+L428)/100)</f>
        <v>0.645095103421505</v>
      </c>
      <c r="T429" s="158"/>
      <c r="U429" s="158"/>
      <c r="V429" s="282"/>
      <c r="W429" s="158"/>
      <c r="X429" s="158"/>
      <c r="Y429" s="153"/>
      <c r="Z429" s="152">
        <f>Z427*L429</f>
        <v>-5.0742149064647224</v>
      </c>
      <c r="AA429" s="153"/>
      <c r="AB429" s="153"/>
      <c r="AC429" s="152">
        <f>AC427*L429</f>
        <v>13.19060633450705</v>
      </c>
      <c r="AD429" s="153"/>
      <c r="AE429" s="103"/>
      <c r="AF429" s="103"/>
      <c r="AG429" s="103"/>
      <c r="AH429" s="154">
        <f>AH427*L429</f>
        <v>5.3628637819132727</v>
      </c>
      <c r="AJ429" s="5"/>
      <c r="AK429" s="5"/>
      <c r="AL429" s="5"/>
      <c r="AN429" s="72">
        <f>F426*LeagueRatings!$K$27</f>
        <v>0</v>
      </c>
      <c r="AO429" s="72">
        <f>G426*LeagueRatings!$K$27</f>
        <v>0</v>
      </c>
      <c r="AP429" s="72">
        <f>T429*LeagueRatings!$K$27</f>
        <v>0</v>
      </c>
      <c r="AQ429" s="30"/>
      <c r="AR429" s="14">
        <f t="shared" si="0"/>
        <v>0</v>
      </c>
    </row>
    <row r="430" spans="1:44" x14ac:dyDescent="0.2">
      <c r="C430" s="76">
        <v>2</v>
      </c>
      <c r="D430" s="76">
        <v>5</v>
      </c>
      <c r="E430" s="97">
        <v>4.5999999999999996</v>
      </c>
      <c r="F430" s="76">
        <v>30</v>
      </c>
      <c r="G430" s="76">
        <v>8</v>
      </c>
      <c r="H430" s="76">
        <v>0</v>
      </c>
      <c r="I430" s="76">
        <v>0</v>
      </c>
      <c r="J430" s="76">
        <v>0</v>
      </c>
      <c r="K430" s="76">
        <v>0</v>
      </c>
      <c r="L430" s="157">
        <f>(L428/100)/((L427+L428)/100)</f>
        <v>0.354904896578495</v>
      </c>
      <c r="T430" s="158"/>
      <c r="U430" s="158"/>
      <c r="V430" s="282"/>
      <c r="W430" s="158"/>
      <c r="X430" s="158"/>
      <c r="Y430" s="153"/>
      <c r="Z430" s="152">
        <f>Z428*L430</f>
        <v>0.25553012467969172</v>
      </c>
      <c r="AA430" s="153"/>
      <c r="AB430" s="153"/>
      <c r="AC430" s="152">
        <f>AC428*L430</f>
        <v>9.6955609281171924</v>
      </c>
      <c r="AD430" s="153"/>
      <c r="AE430" s="103"/>
      <c r="AF430" s="103"/>
      <c r="AG430" s="103"/>
      <c r="AH430" s="154">
        <f>AH428*L430</f>
        <v>6.3108484064645571</v>
      </c>
      <c r="AJ430" s="5"/>
      <c r="AK430" s="5"/>
      <c r="AL430" s="5"/>
      <c r="AN430" s="72">
        <f>F427*LeagueRatings!$K$27</f>
        <v>0</v>
      </c>
      <c r="AO430" s="72">
        <f>G427*LeagueRatings!$K$27</f>
        <v>0</v>
      </c>
      <c r="AP430" s="72">
        <f>T430*LeagueRatings!$K$27</f>
        <v>0</v>
      </c>
      <c r="AQ430" s="30"/>
      <c r="AR430" s="14">
        <f t="shared" si="0"/>
        <v>1</v>
      </c>
    </row>
    <row r="431" spans="1:44" x14ac:dyDescent="0.2">
      <c r="C431" s="76">
        <v>0</v>
      </c>
      <c r="D431" s="76">
        <v>1</v>
      </c>
      <c r="E431" s="97">
        <v>3.12</v>
      </c>
      <c r="F431" s="76">
        <v>5</v>
      </c>
      <c r="G431" s="76">
        <v>1</v>
      </c>
      <c r="H431" s="76">
        <v>0</v>
      </c>
      <c r="I431" s="76">
        <v>0</v>
      </c>
      <c r="J431" s="76">
        <v>0</v>
      </c>
      <c r="K431" s="76">
        <v>0</v>
      </c>
      <c r="T431" s="158"/>
      <c r="U431" s="158"/>
      <c r="V431" s="282"/>
      <c r="W431" s="158"/>
      <c r="X431" s="158"/>
      <c r="Y431" s="153"/>
      <c r="Z431" s="152">
        <f>SUM(Z429:Z430)</f>
        <v>-4.8186847817850307</v>
      </c>
      <c r="AA431" s="153"/>
      <c r="AB431" s="153"/>
      <c r="AC431" s="152">
        <f>SUM(AC429:AC430)</f>
        <v>22.886167262624241</v>
      </c>
      <c r="AD431" s="153"/>
      <c r="AE431" s="103"/>
      <c r="AF431" s="103"/>
      <c r="AG431" s="103"/>
      <c r="AH431" s="153">
        <f>SUM(AH429:AH430)</f>
        <v>11.673712188377831</v>
      </c>
      <c r="AI431" s="41" t="s">
        <v>547</v>
      </c>
      <c r="AJ431" s="5" t="s">
        <v>39</v>
      </c>
      <c r="AK431" s="5" t="s">
        <v>46</v>
      </c>
      <c r="AL431" s="5" t="s">
        <v>54</v>
      </c>
      <c r="AM431" s="262">
        <f>SUM(AM427:AM430)</f>
        <v>0</v>
      </c>
      <c r="AN431" s="14">
        <f>SUM(AN427:AN430)</f>
        <v>16.666666666666664</v>
      </c>
      <c r="AO431" s="14">
        <f>SUM(AO427:AO430)</f>
        <v>16.666666666666664</v>
      </c>
      <c r="AP431" s="14">
        <f>SUM(AP427:AP430)</f>
        <v>425.55555555555554</v>
      </c>
      <c r="AQ431" s="30"/>
      <c r="AR431" s="14">
        <f t="shared" si="0"/>
        <v>6</v>
      </c>
    </row>
    <row r="432" spans="1:44" x14ac:dyDescent="0.2">
      <c r="AN432" s="72">
        <f>F429*LeagueRatings!$K$27</f>
        <v>0</v>
      </c>
      <c r="AO432" s="72">
        <f>G429*LeagueRatings!$K$27</f>
        <v>0</v>
      </c>
      <c r="AP432" s="72">
        <f>T432*LeagueRatings!$K$27</f>
        <v>0</v>
      </c>
      <c r="AQ432" s="30"/>
      <c r="AR432" s="14">
        <f t="shared" si="0"/>
        <v>166</v>
      </c>
    </row>
    <row r="433" spans="1:44" x14ac:dyDescent="0.2">
      <c r="L433" s="97">
        <v>92</v>
      </c>
      <c r="M433" s="76">
        <v>92</v>
      </c>
      <c r="N433" s="76">
        <v>49</v>
      </c>
      <c r="O433" s="76">
        <v>47</v>
      </c>
      <c r="P433" s="76">
        <v>9</v>
      </c>
      <c r="Q433" s="76">
        <v>41</v>
      </c>
      <c r="R433" s="76">
        <v>1</v>
      </c>
      <c r="S433" s="76">
        <v>74</v>
      </c>
      <c r="T433" s="76">
        <v>408</v>
      </c>
      <c r="U433" s="76"/>
      <c r="V433" s="100"/>
      <c r="W433" s="76"/>
      <c r="Y433" s="162">
        <f>+(Q433-R433)/(T433-R433)*100</f>
        <v>9.8280098280098276</v>
      </c>
      <c r="Z433" s="163">
        <f>IF(Y433&lt;LeagueRatings!$K$21,((LeagueRatings!$K$21-Y433)/LeagueRatings!$K$21)*36,(LeagueRatings!$K$21-Y433)*6.48)</f>
        <v>-5.6699627061726501</v>
      </c>
      <c r="AA433" s="146">
        <v>1.1100000000000001</v>
      </c>
      <c r="AB433" s="164">
        <f>(P433/(T433-R433))*100</f>
        <v>2.2113022113022112</v>
      </c>
      <c r="AC433" s="163">
        <f>IF(AB433&lt;LeagueRatings!$K$19,((LeagueRatings!$K$19-AB433)/LeagueRatings!$K$19)*36,(LeagueRatings!$K$19-AB433)/LeagueRatings!$K$22)</f>
        <v>8.62487191635174</v>
      </c>
      <c r="AD433" s="146">
        <v>0</v>
      </c>
      <c r="AE433" s="71">
        <f>+((LeagueRatings!$I$17-E430)*5)+9.5</f>
        <v>7.3143872437063644</v>
      </c>
      <c r="AF433" s="71">
        <f>IF(AE433&lt;4,4,AE433)</f>
        <v>7.3143872437063644</v>
      </c>
      <c r="AG433" s="103">
        <f>IF(M433&lt;L433,((1-(M433/L433))*7)-0.07,(1-(M433/L433))*5)</f>
        <v>0</v>
      </c>
      <c r="AH433" s="165">
        <f>+AA433+AD433+AF433+AG433</f>
        <v>8.4243872437063647</v>
      </c>
      <c r="AM433" s="262">
        <f>+AR328*LeagueRatings!$K$27</f>
        <v>0</v>
      </c>
      <c r="AN433" s="72">
        <f>F430*LeagueRatings!$K$27</f>
        <v>16.666666666666668</v>
      </c>
      <c r="AO433" s="72">
        <f>G430*LeagueRatings!$K$27</f>
        <v>4.4444444444444446</v>
      </c>
      <c r="AP433" s="72">
        <f>T433*LeagueRatings!$K$27</f>
        <v>226.66666666666669</v>
      </c>
      <c r="AQ433" s="30"/>
      <c r="AR433" s="14">
        <f t="shared" si="0"/>
        <v>1</v>
      </c>
    </row>
    <row r="434" spans="1:44" x14ac:dyDescent="0.2">
      <c r="A434" t="s">
        <v>505</v>
      </c>
      <c r="B434" s="76" t="s">
        <v>146</v>
      </c>
      <c r="L434" s="97">
        <v>8.67</v>
      </c>
      <c r="M434" s="76">
        <v>5</v>
      </c>
      <c r="N434" s="76">
        <v>4</v>
      </c>
      <c r="O434" s="76">
        <v>3</v>
      </c>
      <c r="P434" s="76">
        <v>0</v>
      </c>
      <c r="Q434" s="76">
        <v>5</v>
      </c>
      <c r="R434" s="76">
        <v>1</v>
      </c>
      <c r="S434" s="76">
        <v>9</v>
      </c>
      <c r="T434" s="76">
        <v>35</v>
      </c>
      <c r="U434" s="76"/>
      <c r="V434" s="100"/>
      <c r="W434" s="76"/>
      <c r="X434" s="138"/>
      <c r="Y434" s="162">
        <f>+(Q434-R434)/(T434-R434)*100</f>
        <v>11.76470588235294</v>
      </c>
      <c r="Z434" s="163">
        <f>IF(Y434&lt;LeagueRatings!$K$21,((LeagueRatings!$K$21-Y434)/LeagueRatings!$K$21)*36,(LeagueRatings!$K$21-Y434)*6.48)</f>
        <v>-18.219753138316019</v>
      </c>
      <c r="AA434" s="164">
        <v>3.06</v>
      </c>
      <c r="AB434" s="164">
        <f>(P434/(T434-R434))*100</f>
        <v>0</v>
      </c>
      <c r="AC434" s="163">
        <f>IF(AB434&lt;LeagueRatings!$K$19,((LeagueRatings!$K$19-AB434)/LeagueRatings!$K$19)*36,(LeagueRatings!$K$19-AB434)/LeagueRatings!$K$22)</f>
        <v>36</v>
      </c>
      <c r="AD434" s="164">
        <v>-3.26</v>
      </c>
      <c r="AE434" s="71">
        <f>+((LeagueRatings!$I$17-E431)*5)+9.5</f>
        <v>14.714387243706362</v>
      </c>
      <c r="AF434" s="71">
        <f>IF(AE434&lt;4,4,AE434)</f>
        <v>14.714387243706362</v>
      </c>
      <c r="AG434" s="103">
        <f>IF(M434&lt;L434,((1-(M434/L434))*7)-0.07,(1-(M434/L434))*5)</f>
        <v>2.8930911188004615</v>
      </c>
      <c r="AH434" s="165">
        <f>+AA434+AD434+AF434+AG434</f>
        <v>17.407478362506826</v>
      </c>
      <c r="AJ434" s="5"/>
      <c r="AK434" s="5"/>
      <c r="AL434" s="5"/>
      <c r="AM434" s="262">
        <f>+AR329*LeagueRatings!$K$27</f>
        <v>0</v>
      </c>
      <c r="AN434" s="72">
        <f>F431*LeagueRatings!$K$27</f>
        <v>2.7777777777777777</v>
      </c>
      <c r="AO434" s="72">
        <f>G431*LeagueRatings!$K$27</f>
        <v>0.55555555555555558</v>
      </c>
      <c r="AP434" s="72">
        <f>T434*LeagueRatings!$K$27</f>
        <v>19.444444444444446</v>
      </c>
      <c r="AQ434" s="30"/>
      <c r="AR434" s="14">
        <f t="shared" ref="AR434:AR465" si="1">ROUNDUP(L551,0)</f>
        <v>1</v>
      </c>
    </row>
    <row r="435" spans="1:44" x14ac:dyDescent="0.2">
      <c r="A435" s="41" t="s">
        <v>505</v>
      </c>
      <c r="B435" s="76" t="s">
        <v>161</v>
      </c>
      <c r="L435" s="157">
        <f>(L433/100)/((L433+L434)/100)</f>
        <v>0.91387702393960479</v>
      </c>
      <c r="T435" s="158"/>
      <c r="U435" s="158"/>
      <c r="V435" s="282"/>
      <c r="W435" s="158"/>
      <c r="X435" s="158"/>
      <c r="Y435" s="153"/>
      <c r="Z435" s="152">
        <f>Z433*L435</f>
        <v>-5.1816486437656097</v>
      </c>
      <c r="AA435" s="153"/>
      <c r="AB435" s="153"/>
      <c r="AC435" s="152">
        <f>AC433*L435</f>
        <v>7.8820722787758042</v>
      </c>
      <c r="AD435" s="153"/>
      <c r="AE435" s="103"/>
      <c r="AF435" s="103"/>
      <c r="AG435" s="103"/>
      <c r="AH435" s="154">
        <f>AH433*L435</f>
        <v>7.6988539427931428</v>
      </c>
      <c r="AJ435" s="5"/>
      <c r="AK435" s="5"/>
      <c r="AL435" s="5"/>
      <c r="AN435" s="72">
        <f>F432*LeagueRatings!$K$27</f>
        <v>0</v>
      </c>
      <c r="AO435" s="72">
        <f>G432*LeagueRatings!$K$27</f>
        <v>0</v>
      </c>
      <c r="AP435" s="72">
        <f>T435*LeagueRatings!$K$27</f>
        <v>0</v>
      </c>
      <c r="AQ435" s="30"/>
      <c r="AR435" s="14">
        <f t="shared" si="1"/>
        <v>1</v>
      </c>
    </row>
    <row r="436" spans="1:44" x14ac:dyDescent="0.2">
      <c r="C436" s="76">
        <v>2</v>
      </c>
      <c r="D436" s="76">
        <v>4</v>
      </c>
      <c r="E436" s="97">
        <v>6.07</v>
      </c>
      <c r="F436" s="76">
        <v>17</v>
      </c>
      <c r="G436" s="76">
        <v>10</v>
      </c>
      <c r="H436" s="76">
        <v>0</v>
      </c>
      <c r="I436" s="76">
        <v>0</v>
      </c>
      <c r="J436" s="76">
        <v>0</v>
      </c>
      <c r="K436" s="76">
        <v>0</v>
      </c>
      <c r="L436" s="157">
        <f>(L434/100)/((L433+L434)/100)</f>
        <v>8.6122976060395359E-2</v>
      </c>
      <c r="T436" s="158"/>
      <c r="U436" s="158"/>
      <c r="V436" s="282"/>
      <c r="W436" s="158"/>
      <c r="X436" s="158"/>
      <c r="Y436" s="153"/>
      <c r="Z436" s="152">
        <f>Z434*L436</f>
        <v>-1.5691393633575037</v>
      </c>
      <c r="AA436" s="153"/>
      <c r="AB436" s="153"/>
      <c r="AC436" s="152">
        <f>AC434*L436</f>
        <v>3.1004271381742328</v>
      </c>
      <c r="AD436" s="153"/>
      <c r="AE436" s="103"/>
      <c r="AF436" s="103"/>
      <c r="AG436" s="103"/>
      <c r="AH436" s="154">
        <f>AH434*L436</f>
        <v>1.4991838422860255</v>
      </c>
      <c r="AJ436" s="5"/>
      <c r="AK436" s="5"/>
      <c r="AL436" s="5"/>
      <c r="AN436" s="72">
        <f>F433*LeagueRatings!$K$27</f>
        <v>0</v>
      </c>
      <c r="AO436" s="72">
        <f>G433*LeagueRatings!$K$27</f>
        <v>0</v>
      </c>
      <c r="AP436" s="72">
        <f>T436*LeagueRatings!$K$27</f>
        <v>0</v>
      </c>
      <c r="AQ436" s="30"/>
      <c r="AR436" s="14">
        <f t="shared" si="1"/>
        <v>0</v>
      </c>
    </row>
    <row r="437" spans="1:44" x14ac:dyDescent="0.2">
      <c r="C437" s="76">
        <v>2</v>
      </c>
      <c r="D437" s="76">
        <v>1</v>
      </c>
      <c r="E437" s="97">
        <v>3.98</v>
      </c>
      <c r="F437" s="76">
        <v>4</v>
      </c>
      <c r="G437" s="76">
        <v>4</v>
      </c>
      <c r="H437" s="76">
        <v>0</v>
      </c>
      <c r="I437" s="76">
        <v>0</v>
      </c>
      <c r="J437" s="76">
        <v>0</v>
      </c>
      <c r="K437" s="76">
        <v>0</v>
      </c>
      <c r="T437" s="158"/>
      <c r="U437" s="158"/>
      <c r="V437" s="282"/>
      <c r="W437" s="158"/>
      <c r="X437" s="158"/>
      <c r="Y437" s="153"/>
      <c r="Z437" s="152">
        <f>SUM(Z435:Z436)</f>
        <v>-6.7507880071231137</v>
      </c>
      <c r="AA437" s="153"/>
      <c r="AB437" s="153"/>
      <c r="AC437" s="152">
        <f>SUM(AC435:AC436)</f>
        <v>10.982499416950038</v>
      </c>
      <c r="AD437" s="153"/>
      <c r="AE437" s="103"/>
      <c r="AF437" s="103"/>
      <c r="AG437" s="103"/>
      <c r="AH437" s="153">
        <f>SUM(AH435:AH436)</f>
        <v>9.198037785079169</v>
      </c>
      <c r="AI437" s="41" t="s">
        <v>573</v>
      </c>
      <c r="AJ437" s="5" t="s">
        <v>66</v>
      </c>
      <c r="AK437" s="5" t="s">
        <v>18</v>
      </c>
      <c r="AL437" s="5" t="s">
        <v>22</v>
      </c>
      <c r="AM437" s="262">
        <f>SUM(AM433:AM436)</f>
        <v>0</v>
      </c>
      <c r="AN437" s="14">
        <f>SUM(AN433:AN436)</f>
        <v>19.444444444444446</v>
      </c>
      <c r="AO437" s="14">
        <f>SUM(AO433:AO436)</f>
        <v>5</v>
      </c>
      <c r="AP437" s="14">
        <f>SUM(AP433:AP436)</f>
        <v>246.11111111111114</v>
      </c>
      <c r="AQ437" s="30"/>
      <c r="AR437" s="14">
        <f t="shared" si="1"/>
        <v>0</v>
      </c>
    </row>
    <row r="438" spans="1:44" x14ac:dyDescent="0.2">
      <c r="AN438" s="72">
        <f>F435*LeagueRatings!$K$27</f>
        <v>0</v>
      </c>
      <c r="AO438" s="72">
        <f>G435*LeagueRatings!$K$27</f>
        <v>0</v>
      </c>
      <c r="AP438" s="72">
        <f>T438*LeagueRatings!$K$27</f>
        <v>0</v>
      </c>
      <c r="AQ438" s="30"/>
      <c r="AR438" s="14">
        <f t="shared" si="1"/>
        <v>78</v>
      </c>
    </row>
    <row r="439" spans="1:44" x14ac:dyDescent="0.2">
      <c r="L439" s="97">
        <v>59.33</v>
      </c>
      <c r="M439" s="76">
        <v>69</v>
      </c>
      <c r="N439" s="76">
        <v>45</v>
      </c>
      <c r="O439" s="76">
        <v>40</v>
      </c>
      <c r="P439" s="76">
        <v>10</v>
      </c>
      <c r="Q439" s="76">
        <v>26</v>
      </c>
      <c r="R439" s="76">
        <v>0</v>
      </c>
      <c r="S439" s="76">
        <v>43</v>
      </c>
      <c r="T439" s="76">
        <v>277</v>
      </c>
      <c r="U439" s="76"/>
      <c r="V439" s="100"/>
      <c r="W439" s="76"/>
      <c r="Y439" s="151">
        <f>+(Q439-R439)/(T439-R439)*100</f>
        <v>9.3862815884476536</v>
      </c>
      <c r="Z439" s="152">
        <f>IF(Y439&lt;LeagueRatings!$K$10,((LeagueRatings!$K$10-Y439)/LeagueRatings!$K$10)*36,(LeagueRatings!$K$10-Y439)*6.48)</f>
        <v>-4.6573241989471352</v>
      </c>
      <c r="AA439" s="146">
        <v>0.76</v>
      </c>
      <c r="AB439" s="153">
        <f>(P439/(T439-R439))*100</f>
        <v>3.6101083032490973</v>
      </c>
      <c r="AC439" s="152">
        <f>IF(AB439&lt;LeagueRatings!$K$8,((LeagueRatings!$K$8-AB439)/LeagueRatings!$K$8)*36,(LeagueRatings!$K$8-AB439)/LeagueRatings!$K$11)</f>
        <v>-3.2388355184598696</v>
      </c>
      <c r="AD439" s="146">
        <v>0.92</v>
      </c>
      <c r="AE439" s="103">
        <f>+((LeagueRatings!$I$6-E436)*5)+9.5</f>
        <v>0.15805145527740194</v>
      </c>
      <c r="AF439" s="103">
        <f>IF(AE439&lt;4,4,AE439)</f>
        <v>4</v>
      </c>
      <c r="AG439" s="103">
        <f>IF(M439&lt;L439,((1-(M439/L439))*7)-0.07,(1-(M439/L439))*5)</f>
        <v>-0.81493342322602413</v>
      </c>
      <c r="AH439" s="154">
        <f>+AA439+AD439+AF439+AG439</f>
        <v>4.8650665767739758</v>
      </c>
      <c r="AM439" s="262">
        <f>+AR22*LeagueRatings!$K$27</f>
        <v>0</v>
      </c>
      <c r="AN439" s="72">
        <f>F436*LeagueRatings!$K$27</f>
        <v>9.4444444444444446</v>
      </c>
      <c r="AO439" s="72">
        <f>G436*LeagueRatings!$K$27</f>
        <v>5.5555555555555554</v>
      </c>
      <c r="AP439" s="72">
        <f>T439*LeagueRatings!$K$27</f>
        <v>153.88888888888889</v>
      </c>
      <c r="AQ439" s="30"/>
      <c r="AR439" s="14">
        <f t="shared" si="1"/>
        <v>84</v>
      </c>
    </row>
    <row r="440" spans="1:44" x14ac:dyDescent="0.2">
      <c r="A440" t="s">
        <v>338</v>
      </c>
      <c r="B440" s="76" t="s">
        <v>147</v>
      </c>
      <c r="L440" s="97">
        <v>20.329999999999998</v>
      </c>
      <c r="M440" s="76">
        <v>22</v>
      </c>
      <c r="N440" s="76">
        <v>9</v>
      </c>
      <c r="O440" s="76">
        <v>9</v>
      </c>
      <c r="P440" s="76">
        <v>2</v>
      </c>
      <c r="Q440" s="76">
        <v>7</v>
      </c>
      <c r="R440" s="76">
        <v>0</v>
      </c>
      <c r="S440" s="76">
        <v>8</v>
      </c>
      <c r="T440" s="76">
        <v>87</v>
      </c>
      <c r="U440" s="76"/>
      <c r="V440" s="100"/>
      <c r="W440" s="76"/>
      <c r="X440" s="138"/>
      <c r="Y440" s="151">
        <f>+(Q440-R440)/(T440-R440)*100</f>
        <v>8.0459770114942533</v>
      </c>
      <c r="Z440" s="152">
        <f>IF(Y440&lt;LeagueRatings!$K$10,((LeagueRatings!$K$10-Y440)/LeagueRatings!$K$10)*36,(LeagueRatings!$K$10-Y440)*6.48)</f>
        <v>2.5816890511221957</v>
      </c>
      <c r="AA440" s="153">
        <v>-0.08</v>
      </c>
      <c r="AB440" s="153">
        <f>(P440/(T440-R440))*100</f>
        <v>2.2988505747126435</v>
      </c>
      <c r="AC440" s="152">
        <f>IF(AB440&lt;LeagueRatings!$K$8,((LeagueRatings!$K$8-AB440)/LeagueRatings!$K$8)*36,(LeagueRatings!$K$8-AB440)/LeagueRatings!$K$11)</f>
        <v>10.155842324236657</v>
      </c>
      <c r="AD440" s="153">
        <v>-7.0000000000000007E-2</v>
      </c>
      <c r="AE440" s="103">
        <f>+((LeagueRatings!$I$6-E437)*5)+9.5</f>
        <v>10.608051455277403</v>
      </c>
      <c r="AF440" s="103">
        <f>IF(AE440&lt;4,4,AE440)</f>
        <v>10.608051455277403</v>
      </c>
      <c r="AG440" s="103">
        <f>IF(M440&lt;L440,((1-(M440/L440))*7)-0.07,(1-(M440/L440))*5)</f>
        <v>-0.41072306935563296</v>
      </c>
      <c r="AH440" s="154">
        <f>+AA440+AD440+AF440+AG440</f>
        <v>10.047328385921769</v>
      </c>
      <c r="AJ440" s="7"/>
      <c r="AK440" s="7"/>
      <c r="AL440" s="7"/>
      <c r="AM440" s="262">
        <f>+AR23*LeagueRatings!$K$27</f>
        <v>0</v>
      </c>
      <c r="AN440" s="72">
        <f>F437*LeagueRatings!$K$27</f>
        <v>2.2222222222222223</v>
      </c>
      <c r="AO440" s="72">
        <f>G437*LeagueRatings!$K$27</f>
        <v>2.2222222222222223</v>
      </c>
      <c r="AP440" s="72">
        <f>T440*LeagueRatings!$K$27</f>
        <v>48.333333333333336</v>
      </c>
      <c r="AQ440" s="30"/>
      <c r="AR440" s="14">
        <f t="shared" si="1"/>
        <v>1</v>
      </c>
    </row>
    <row r="441" spans="1:44" x14ac:dyDescent="0.2">
      <c r="A441" s="41" t="s">
        <v>338</v>
      </c>
      <c r="B441" s="76" t="s">
        <v>150</v>
      </c>
      <c r="L441" s="157">
        <f>(L439/100)/((L439+L440)/100)</f>
        <v>0.74479035902585988</v>
      </c>
      <c r="T441" s="158"/>
      <c r="U441" s="158"/>
      <c r="V441" s="282"/>
      <c r="W441" s="158"/>
      <c r="X441" s="158"/>
      <c r="Y441" s="153"/>
      <c r="Z441" s="152">
        <f>Z439*L441</f>
        <v>-3.4687301622336619</v>
      </c>
      <c r="AA441" s="153"/>
      <c r="AB441" s="153"/>
      <c r="AC441" s="152">
        <f>AC439*L441</f>
        <v>-2.4122534686194332</v>
      </c>
      <c r="AD441" s="153"/>
      <c r="AE441" s="103"/>
      <c r="AF441" s="103"/>
      <c r="AG441" s="103"/>
      <c r="AH441" s="154">
        <f>AH439*L441</f>
        <v>3.6234546824002005</v>
      </c>
      <c r="AJ441" s="5"/>
      <c r="AK441" s="5"/>
      <c r="AL441" s="5"/>
      <c r="AN441" s="72">
        <f>F438*LeagueRatings!$K$27</f>
        <v>0</v>
      </c>
      <c r="AO441" s="72">
        <f>G438*LeagueRatings!$K$27</f>
        <v>0</v>
      </c>
      <c r="AP441" s="72">
        <f>T441*LeagueRatings!$K$27</f>
        <v>0</v>
      </c>
      <c r="AQ441" s="30"/>
      <c r="AR441" s="14">
        <f t="shared" si="1"/>
        <v>1</v>
      </c>
    </row>
    <row r="442" spans="1:44" x14ac:dyDescent="0.2">
      <c r="C442" s="76">
        <v>0</v>
      </c>
      <c r="D442" s="76">
        <v>2</v>
      </c>
      <c r="E442" s="97">
        <v>6.08</v>
      </c>
      <c r="F442" s="76">
        <v>38</v>
      </c>
      <c r="G442" s="76">
        <v>0</v>
      </c>
      <c r="H442" s="76">
        <v>0</v>
      </c>
      <c r="I442" s="76">
        <v>0</v>
      </c>
      <c r="J442" s="76">
        <v>1</v>
      </c>
      <c r="K442" s="76">
        <v>1</v>
      </c>
      <c r="L442" s="157">
        <f>(L440/100)/((L439+L440)/100)</f>
        <v>0.25520964097414006</v>
      </c>
      <c r="T442" s="158"/>
      <c r="U442" s="158"/>
      <c r="V442" s="282"/>
      <c r="W442" s="158"/>
      <c r="X442" s="158"/>
      <c r="Y442" s="153"/>
      <c r="Z442" s="152">
        <f>Z440*L442</f>
        <v>0.65887193584376391</v>
      </c>
      <c r="AA442" s="153"/>
      <c r="AB442" s="153"/>
      <c r="AC442" s="152">
        <f>AC440*L442</f>
        <v>2.5918688733584134</v>
      </c>
      <c r="AD442" s="153"/>
      <c r="AE442" s="103"/>
      <c r="AF442" s="103"/>
      <c r="AG442" s="103"/>
      <c r="AH442" s="154">
        <f>AH440*L442</f>
        <v>2.5641750701203812</v>
      </c>
      <c r="AJ442" s="5"/>
      <c r="AK442" s="5"/>
      <c r="AL442" s="5"/>
      <c r="AN442" s="72">
        <f>F439*LeagueRatings!$K$27</f>
        <v>0</v>
      </c>
      <c r="AO442" s="72">
        <f>G439*LeagueRatings!$K$27</f>
        <v>0</v>
      </c>
      <c r="AP442" s="72">
        <f>T442*LeagueRatings!$K$27</f>
        <v>0</v>
      </c>
      <c r="AQ442" s="30"/>
      <c r="AR442" s="14">
        <f t="shared" si="1"/>
        <v>0</v>
      </c>
    </row>
    <row r="443" spans="1:44" x14ac:dyDescent="0.2">
      <c r="C443" s="76">
        <v>0</v>
      </c>
      <c r="D443" s="76">
        <v>2</v>
      </c>
      <c r="E443" s="97">
        <v>3.14</v>
      </c>
      <c r="F443" s="76">
        <v>17</v>
      </c>
      <c r="G443" s="76">
        <v>0</v>
      </c>
      <c r="H443" s="76">
        <v>0</v>
      </c>
      <c r="I443" s="76">
        <v>0</v>
      </c>
      <c r="J443" s="76">
        <v>0</v>
      </c>
      <c r="K443" s="76">
        <v>1</v>
      </c>
      <c r="T443" s="158"/>
      <c r="U443" s="158"/>
      <c r="V443" s="282"/>
      <c r="W443" s="158"/>
      <c r="X443" s="158"/>
      <c r="Y443" s="153"/>
      <c r="Z443" s="152">
        <f>SUM(Z441:Z442)</f>
        <v>-2.8098582263898981</v>
      </c>
      <c r="AA443" s="153"/>
      <c r="AB443" s="153"/>
      <c r="AC443" s="152">
        <f>SUM(AC441:AC442)</f>
        <v>0.17961540473898019</v>
      </c>
      <c r="AD443" s="153"/>
      <c r="AE443" s="103"/>
      <c r="AF443" s="103"/>
      <c r="AG443" s="103"/>
      <c r="AH443" s="153">
        <f>SUM(AH441:AH442)</f>
        <v>6.1876297525205821</v>
      </c>
      <c r="AI443" s="41" t="s">
        <v>505</v>
      </c>
      <c r="AJ443" s="5" t="s">
        <v>24</v>
      </c>
      <c r="AK443" s="5" t="s">
        <v>44</v>
      </c>
      <c r="AL443" s="5" t="s">
        <v>35</v>
      </c>
      <c r="AM443" s="262">
        <f>SUM(AM439:AM442)</f>
        <v>0</v>
      </c>
      <c r="AN443" s="14">
        <f>SUM(AN439:AN442)</f>
        <v>11.666666666666668</v>
      </c>
      <c r="AO443" s="14">
        <f>SUM(AO439:AO442)</f>
        <v>7.7777777777777777</v>
      </c>
      <c r="AP443" s="14">
        <f>SUM(AP439:AP442)</f>
        <v>202.22222222222223</v>
      </c>
      <c r="AQ443" s="30"/>
      <c r="AR443" s="14">
        <f t="shared" si="1"/>
        <v>0</v>
      </c>
    </row>
    <row r="444" spans="1:44" x14ac:dyDescent="0.2">
      <c r="AN444" s="72">
        <f>F441*LeagueRatings!$K$27</f>
        <v>0</v>
      </c>
      <c r="AO444" s="72">
        <f>G441*LeagueRatings!$K$27</f>
        <v>0</v>
      </c>
      <c r="AP444" s="72">
        <f>T444*LeagueRatings!$K$27</f>
        <v>0</v>
      </c>
      <c r="AQ444" s="30"/>
      <c r="AR444" s="14">
        <f t="shared" si="1"/>
        <v>0</v>
      </c>
    </row>
    <row r="445" spans="1:44" x14ac:dyDescent="0.2">
      <c r="L445" s="97">
        <v>23.67</v>
      </c>
      <c r="M445" s="76">
        <v>24</v>
      </c>
      <c r="N445" s="76">
        <v>17</v>
      </c>
      <c r="O445" s="76">
        <v>16</v>
      </c>
      <c r="P445" s="76">
        <v>1</v>
      </c>
      <c r="Q445" s="76">
        <v>15</v>
      </c>
      <c r="R445" s="76">
        <v>2</v>
      </c>
      <c r="S445" s="76">
        <v>22</v>
      </c>
      <c r="T445" s="76">
        <v>108</v>
      </c>
      <c r="U445" s="76"/>
      <c r="V445" s="100"/>
      <c r="W445" s="76"/>
      <c r="Y445" s="151">
        <f>+(Q445-R445)/(T445-R445)*100</f>
        <v>12.264150943396226</v>
      </c>
      <c r="Z445" s="152">
        <f>IF(Y445&lt;LeagueRatings!$K$10,((LeagueRatings!$K$10-Y445)/LeagueRatings!$K$10)*36,(LeagueRatings!$K$10-Y445)*6.48)</f>
        <v>-23.305917619013886</v>
      </c>
      <c r="AA445" s="146">
        <v>3.61</v>
      </c>
      <c r="AB445" s="153">
        <f>(P445/(T445-R445))*100</f>
        <v>0.94339622641509435</v>
      </c>
      <c r="AC445" s="152">
        <f>IF(AB445&lt;LeagueRatings!$K$8,((LeagueRatings!$K$8-AB445)/LeagueRatings!$K$8)*36,(LeagueRatings!$K$8-AB445)/LeagueRatings!$K$11)</f>
        <v>25.394142840606548</v>
      </c>
      <c r="AD445" s="146">
        <v>-1.78</v>
      </c>
      <c r="AE445" s="103">
        <f>+((LeagueRatings!$I$6-E442)*5)+9.5</f>
        <v>0.10805145527740301</v>
      </c>
      <c r="AF445" s="103">
        <f>IF(AE445&lt;4,4,AE445)</f>
        <v>4</v>
      </c>
      <c r="AG445" s="103">
        <f>IF(M445&lt;L445,((1-(M445/L445))*7)-0.07,(1-(M445/L445))*5)</f>
        <v>-6.9708491761723002E-2</v>
      </c>
      <c r="AH445" s="154">
        <f>+AA445+AD445+AF445+AG445</f>
        <v>5.7602915082382768</v>
      </c>
      <c r="AM445" s="262">
        <f>+AR232*LeagueRatings!$K$27</f>
        <v>0</v>
      </c>
      <c r="AN445" s="72">
        <f>F442*LeagueRatings!$K$27</f>
        <v>21.111111111111111</v>
      </c>
      <c r="AO445" s="72">
        <f>G442*LeagueRatings!$K$27</f>
        <v>0</v>
      </c>
      <c r="AP445" s="72">
        <f>T445*LeagueRatings!$K$27</f>
        <v>60</v>
      </c>
      <c r="AQ445" s="30"/>
      <c r="AR445" s="14">
        <f t="shared" si="1"/>
        <v>25</v>
      </c>
    </row>
    <row r="446" spans="1:44" x14ac:dyDescent="0.2">
      <c r="A446" t="s">
        <v>640</v>
      </c>
      <c r="B446" s="76" t="s">
        <v>155</v>
      </c>
      <c r="L446" s="97">
        <v>14.33</v>
      </c>
      <c r="M446" s="76">
        <v>12</v>
      </c>
      <c r="N446" s="76">
        <v>7</v>
      </c>
      <c r="O446" s="76">
        <v>5</v>
      </c>
      <c r="P446" s="76">
        <v>1</v>
      </c>
      <c r="Q446" s="76">
        <v>5</v>
      </c>
      <c r="R446" s="76">
        <v>0</v>
      </c>
      <c r="S446" s="76">
        <v>3</v>
      </c>
      <c r="T446" s="76">
        <v>57</v>
      </c>
      <c r="U446" s="76"/>
      <c r="V446" s="100"/>
      <c r="W446" s="76"/>
      <c r="Y446" s="151">
        <f>+(Q446-R446)/(T446-R446)*100</f>
        <v>8.7719298245614024</v>
      </c>
      <c r="Z446" s="152">
        <f>IF(Y446&lt;LeagueRatings!$K$21,((LeagueRatings!$K$21-Y446)/LeagueRatings!$K$21)*36,(LeagueRatings!$K$21-Y446)*6.48)</f>
        <v>0.72814430528680663</v>
      </c>
      <c r="AA446" s="153">
        <v>0.36</v>
      </c>
      <c r="AB446" s="153">
        <f>(P446/(T446-R446))*100</f>
        <v>1.7543859649122806</v>
      </c>
      <c r="AC446" s="152">
        <f>IF(AB446&lt;LeagueRatings!$K$19,((LeagueRatings!$K$19-AB446)/LeagueRatings!$K$19)*36,(LeagueRatings!$K$19-AB446)/LeagueRatings!$K$22)</f>
        <v>14.281331130516877</v>
      </c>
      <c r="AD446" s="153">
        <v>-0.56999999999999995</v>
      </c>
      <c r="AE446" s="103">
        <f>+((LeagueRatings!$I$17-E443)*5)+9.5</f>
        <v>14.614387243706362</v>
      </c>
      <c r="AF446" s="103">
        <f>IF(AE446&lt;4,4,AE446)</f>
        <v>14.614387243706362</v>
      </c>
      <c r="AG446" s="103">
        <f>IF(M446&lt;L446,((1-(M446/L446))*7)-0.07,(1-(M446/L446))*5)</f>
        <v>1.0681716678297282</v>
      </c>
      <c r="AH446" s="154">
        <f>+AA446+AD446+AF446+AG446</f>
        <v>15.472558911536092</v>
      </c>
      <c r="AM446" s="262">
        <f>+AR233*LeagueRatings!$K$27</f>
        <v>0</v>
      </c>
      <c r="AN446" s="72">
        <f>F443*LeagueRatings!$K$27</f>
        <v>9.4444444444444446</v>
      </c>
      <c r="AO446" s="72">
        <f>G443*LeagueRatings!$K$27</f>
        <v>0</v>
      </c>
      <c r="AP446" s="72">
        <f>T446*LeagueRatings!$K$27</f>
        <v>31.666666666666668</v>
      </c>
      <c r="AQ446" s="30"/>
      <c r="AR446" s="14">
        <f t="shared" si="1"/>
        <v>4</v>
      </c>
    </row>
    <row r="447" spans="1:44" x14ac:dyDescent="0.2">
      <c r="A447" s="41" t="s">
        <v>640</v>
      </c>
      <c r="B447" s="76" t="s">
        <v>150</v>
      </c>
      <c r="L447" s="157">
        <f>(L445/100)/((L445+L446)/100)</f>
        <v>0.62289473684210528</v>
      </c>
      <c r="Y447" s="153"/>
      <c r="Z447" s="152">
        <f>Z445*L447</f>
        <v>-14.517133422159439</v>
      </c>
      <c r="AA447" s="153"/>
      <c r="AB447" s="153"/>
      <c r="AC447" s="152">
        <f>AC445*L447</f>
        <v>15.817877922030448</v>
      </c>
      <c r="AD447" s="153"/>
      <c r="AE447" s="103"/>
      <c r="AF447" s="103"/>
      <c r="AG447" s="103"/>
      <c r="AH447" s="154">
        <f>AH445*L447</f>
        <v>3.5880552631578952</v>
      </c>
      <c r="AN447" s="72">
        <f>F444*LeagueRatings!$K$27</f>
        <v>0</v>
      </c>
      <c r="AO447" s="72">
        <f>G444*LeagueRatings!$K$27</f>
        <v>0</v>
      </c>
      <c r="AP447" s="72">
        <f>T447*LeagueRatings!$K$27</f>
        <v>0</v>
      </c>
      <c r="AQ447" s="30"/>
      <c r="AR447" s="14">
        <f t="shared" si="1"/>
        <v>1</v>
      </c>
    </row>
    <row r="448" spans="1:44" x14ac:dyDescent="0.2">
      <c r="C448" s="76">
        <v>1</v>
      </c>
      <c r="D448" s="76">
        <v>1</v>
      </c>
      <c r="E448" s="97">
        <v>3.34</v>
      </c>
      <c r="F448" s="76">
        <v>38</v>
      </c>
      <c r="G448" s="76">
        <v>0</v>
      </c>
      <c r="H448" s="76">
        <v>0</v>
      </c>
      <c r="I448" s="76">
        <v>0</v>
      </c>
      <c r="J448" s="76">
        <v>0</v>
      </c>
      <c r="K448" s="76">
        <v>2</v>
      </c>
      <c r="L448" s="157">
        <f>(L446/100)/((L445+L446)/100)</f>
        <v>0.37710526315789478</v>
      </c>
      <c r="Y448" s="153"/>
      <c r="Z448" s="152">
        <f>Z446*L448</f>
        <v>0.27458704986210369</v>
      </c>
      <c r="AA448" s="153"/>
      <c r="AB448" s="153"/>
      <c r="AC448" s="152">
        <f>AC446*L448</f>
        <v>5.3855651342186022</v>
      </c>
      <c r="AD448" s="153"/>
      <c r="AE448" s="103"/>
      <c r="AF448" s="103"/>
      <c r="AG448" s="103"/>
      <c r="AH448" s="154">
        <f>AH446*L448</f>
        <v>5.8347834000608483</v>
      </c>
      <c r="AN448" s="72">
        <f>F445*LeagueRatings!$K$27</f>
        <v>0</v>
      </c>
      <c r="AO448" s="72">
        <f>G445*LeagueRatings!$K$27</f>
        <v>0</v>
      </c>
      <c r="AP448" s="72">
        <f>T448*LeagueRatings!$K$27</f>
        <v>0</v>
      </c>
      <c r="AQ448" s="30"/>
      <c r="AR448" s="14">
        <f t="shared" si="1"/>
        <v>1</v>
      </c>
    </row>
    <row r="449" spans="1:44" x14ac:dyDescent="0.2">
      <c r="C449" s="76">
        <v>3</v>
      </c>
      <c r="D449" s="76">
        <v>0</v>
      </c>
      <c r="E449" s="97">
        <v>1.53</v>
      </c>
      <c r="F449" s="76">
        <v>23</v>
      </c>
      <c r="G449" s="76">
        <v>0</v>
      </c>
      <c r="H449" s="76">
        <v>0</v>
      </c>
      <c r="I449" s="76">
        <v>0</v>
      </c>
      <c r="J449" s="76">
        <v>0</v>
      </c>
      <c r="K449" s="76">
        <v>0</v>
      </c>
      <c r="Y449" s="153"/>
      <c r="Z449" s="152">
        <f>SUM(Z447:Z448)</f>
        <v>-14.242546372297335</v>
      </c>
      <c r="AA449" s="153"/>
      <c r="AB449" s="153"/>
      <c r="AC449" s="152">
        <f>SUM(AC447:AC448)</f>
        <v>21.20344305624905</v>
      </c>
      <c r="AD449" s="153"/>
      <c r="AE449" s="103"/>
      <c r="AF449" s="103"/>
      <c r="AG449" s="103"/>
      <c r="AH449" s="153">
        <f>SUM(AH447:AH448)</f>
        <v>9.4228386632187444</v>
      </c>
      <c r="AI449" s="41" t="s">
        <v>338</v>
      </c>
      <c r="AJ449" s="5" t="s">
        <v>34</v>
      </c>
      <c r="AK449" s="5" t="s">
        <v>52</v>
      </c>
      <c r="AL449" s="5" t="s">
        <v>49</v>
      </c>
      <c r="AM449" s="262">
        <f>SUM(AM445:AM448)</f>
        <v>0</v>
      </c>
      <c r="AN449" s="14">
        <f>SUM(AN445:AN448)</f>
        <v>30.555555555555557</v>
      </c>
      <c r="AO449" s="14">
        <f>SUM(AO445:AO448)</f>
        <v>0</v>
      </c>
      <c r="AP449" s="14">
        <f>SUM(AP445:AP448)</f>
        <v>91.666666666666671</v>
      </c>
      <c r="AQ449" s="30"/>
      <c r="AR449" s="14">
        <f t="shared" si="1"/>
        <v>0</v>
      </c>
    </row>
    <row r="450" spans="1:44" x14ac:dyDescent="0.2">
      <c r="AN450" s="72">
        <f>F447*LeagueRatings!$K$27</f>
        <v>0</v>
      </c>
      <c r="AO450" s="72">
        <f>G447*LeagueRatings!$K$27</f>
        <v>0</v>
      </c>
      <c r="AP450" s="72">
        <f>T450*LeagueRatings!$K$27</f>
        <v>0</v>
      </c>
      <c r="AQ450" s="30"/>
      <c r="AR450" s="14">
        <f t="shared" si="1"/>
        <v>0</v>
      </c>
    </row>
    <row r="451" spans="1:44" x14ac:dyDescent="0.2">
      <c r="L451" s="97">
        <v>29.67</v>
      </c>
      <c r="M451" s="76">
        <v>27</v>
      </c>
      <c r="N451" s="76">
        <v>14</v>
      </c>
      <c r="O451" s="76">
        <v>11</v>
      </c>
      <c r="P451" s="76">
        <v>2</v>
      </c>
      <c r="Q451" s="76">
        <v>14</v>
      </c>
      <c r="R451" s="76">
        <v>1</v>
      </c>
      <c r="S451" s="76">
        <v>30</v>
      </c>
      <c r="T451" s="76">
        <v>129</v>
      </c>
      <c r="U451" s="76"/>
      <c r="V451" s="100"/>
      <c r="W451" s="76"/>
      <c r="Y451" s="151">
        <f>+(Q451-R451)/(T451-R451)*100</f>
        <v>10.15625</v>
      </c>
      <c r="Z451" s="152">
        <f>IF(Y451&lt;LeagueRatings!$K$10,((LeagueRatings!$K$10-Y451)/LeagueRatings!$K$10)*36,(LeagueRatings!$K$10-Y451)*6.48)</f>
        <v>-9.64671950580634</v>
      </c>
      <c r="AA451" s="146">
        <v>1.37</v>
      </c>
      <c r="AB451" s="153">
        <f>(P451/(T451-R451))*100</f>
        <v>1.5625</v>
      </c>
      <c r="AC451" s="152">
        <f>IF(AB451&lt;LeagueRatings!$K$8,((LeagueRatings!$K$8-AB451)/LeagueRatings!$K$8)*36,(LeagueRatings!$K$8-AB451)/LeagueRatings!$K$11)</f>
        <v>18.434049079754601</v>
      </c>
      <c r="AD451" s="146">
        <v>-0.89</v>
      </c>
      <c r="AE451" s="103">
        <f>+((LeagueRatings!$I$6-E448)*5)+9.5</f>
        <v>13.808051455277404</v>
      </c>
      <c r="AF451" s="103">
        <f>IF(AE451&lt;4,4,AE451)</f>
        <v>13.808051455277404</v>
      </c>
      <c r="AG451" s="103">
        <f>IF(M451&lt;L451,((1-(M451/L451))*7)-0.07,(1-(M451/L451))*5)</f>
        <v>0.55992922143579404</v>
      </c>
      <c r="AH451" s="154">
        <f>+AA451+AD451+AF451+AG451</f>
        <v>14.847980676713199</v>
      </c>
      <c r="AM451" s="262">
        <f>+AR139*LeagueRatings!$K$27</f>
        <v>10.555555555555555</v>
      </c>
      <c r="AN451" s="72">
        <f>F448*LeagueRatings!$K$27</f>
        <v>21.111111111111111</v>
      </c>
      <c r="AO451" s="72">
        <f>G448*LeagueRatings!$K$27</f>
        <v>0</v>
      </c>
      <c r="AP451" s="72">
        <f>T451*LeagueRatings!$K$27</f>
        <v>71.666666666666671</v>
      </c>
      <c r="AQ451" s="30"/>
      <c r="AR451" s="14">
        <f t="shared" si="1"/>
        <v>124</v>
      </c>
    </row>
    <row r="452" spans="1:44" x14ac:dyDescent="0.2">
      <c r="A452" t="s">
        <v>564</v>
      </c>
      <c r="B452" s="76" t="s">
        <v>143</v>
      </c>
      <c r="L452" s="97">
        <v>17.670000000000002</v>
      </c>
      <c r="M452" s="76">
        <v>13</v>
      </c>
      <c r="N452" s="76">
        <v>3</v>
      </c>
      <c r="O452" s="76">
        <v>3</v>
      </c>
      <c r="P452" s="76">
        <v>1</v>
      </c>
      <c r="Q452" s="76">
        <v>4</v>
      </c>
      <c r="R452" s="76">
        <v>1</v>
      </c>
      <c r="S452" s="76">
        <v>16</v>
      </c>
      <c r="T452" s="76">
        <v>67</v>
      </c>
      <c r="U452" s="76"/>
      <c r="V452" s="100"/>
      <c r="W452" s="76"/>
      <c r="X452" s="138"/>
      <c r="Y452" s="151">
        <f>+(Q452-R452)/(T452-R452)*100</f>
        <v>4.5454545454545459</v>
      </c>
      <c r="Z452" s="152">
        <f>IF(Y452&lt;LeagueRatings!$K$21,((LeagueRatings!$K$21-Y452)/LeagueRatings!$K$21)*36,(LeagueRatings!$K$21-Y452)*6.48)</f>
        <v>17.722765685466797</v>
      </c>
      <c r="AA452" s="153">
        <v>-1.39</v>
      </c>
      <c r="AB452" s="153">
        <f>(P452/(T452-R452))*100</f>
        <v>1.5151515151515151</v>
      </c>
      <c r="AC452" s="152">
        <f>IF(AB452&lt;LeagueRatings!$K$19,((LeagueRatings!$K$19-AB452)/LeagueRatings!$K$19)*36,(LeagueRatings!$K$19-AB452)/LeagueRatings!$K$22)</f>
        <v>17.242967794537304</v>
      </c>
      <c r="AD452" s="153">
        <v>-0.89</v>
      </c>
      <c r="AE452" s="103">
        <f>+((LeagueRatings!$I$17-E449)*5)+9.5</f>
        <v>22.664387243706361</v>
      </c>
      <c r="AF452" s="103">
        <f>IF(AE452&lt;4,4,AE452)</f>
        <v>22.664387243706361</v>
      </c>
      <c r="AG452" s="103">
        <f>IF(M452&lt;L452,((1-(M452/L452))*7)-0.07,(1-(M452/L452))*5)</f>
        <v>1.7800282965478214</v>
      </c>
      <c r="AH452" s="154">
        <f>+AA452+AD452+AF452+AG452</f>
        <v>22.164415540254183</v>
      </c>
      <c r="AJ452" s="58"/>
      <c r="AK452" s="5"/>
      <c r="AL452" s="5"/>
      <c r="AM452" s="262">
        <f>+AR140*LeagueRatings!$K$27</f>
        <v>0</v>
      </c>
      <c r="AN452" s="72">
        <f>F449*LeagueRatings!$K$27</f>
        <v>12.777777777777779</v>
      </c>
      <c r="AO452" s="72">
        <f>G449*LeagueRatings!$K$27</f>
        <v>0</v>
      </c>
      <c r="AP452" s="72">
        <f>T452*LeagueRatings!$K$27</f>
        <v>37.222222222222221</v>
      </c>
      <c r="AQ452" s="30"/>
      <c r="AR452" s="14">
        <f t="shared" si="1"/>
        <v>79</v>
      </c>
    </row>
    <row r="453" spans="1:44" x14ac:dyDescent="0.2">
      <c r="A453" s="41" t="s">
        <v>564</v>
      </c>
      <c r="B453" s="76" t="s">
        <v>169</v>
      </c>
      <c r="L453" s="157">
        <f>(L451/100)/((L451+L452)/100)</f>
        <v>0.6267427122940431</v>
      </c>
      <c r="T453" s="158"/>
      <c r="U453" s="158"/>
      <c r="V453" s="282"/>
      <c r="W453" s="158"/>
      <c r="X453" s="158"/>
      <c r="Y453" s="153"/>
      <c r="Z453" s="152">
        <f>Z451*L453</f>
        <v>-6.0460111478089162</v>
      </c>
      <c r="AA453" s="153"/>
      <c r="AB453" s="153"/>
      <c r="AC453" s="152">
        <f>AC451*L453</f>
        <v>11.553405918806908</v>
      </c>
      <c r="AD453" s="153"/>
      <c r="AE453" s="103"/>
      <c r="AF453" s="103"/>
      <c r="AG453" s="103"/>
      <c r="AH453" s="154">
        <f>AH451*L453</f>
        <v>9.305863681412772</v>
      </c>
      <c r="AJ453" s="5"/>
      <c r="AK453" s="5"/>
      <c r="AL453" s="5"/>
      <c r="AN453" s="72">
        <f>F450*LeagueRatings!$K$27</f>
        <v>0</v>
      </c>
      <c r="AO453" s="72">
        <f>G450*LeagueRatings!$K$27</f>
        <v>0</v>
      </c>
      <c r="AP453" s="72">
        <f>T453*LeagueRatings!$K$27</f>
        <v>0</v>
      </c>
      <c r="AQ453" s="30"/>
      <c r="AR453" s="14">
        <f t="shared" si="1"/>
        <v>1</v>
      </c>
    </row>
    <row r="454" spans="1:44" x14ac:dyDescent="0.2">
      <c r="C454" s="76">
        <v>0</v>
      </c>
      <c r="D454" s="76">
        <v>3</v>
      </c>
      <c r="E454" s="97">
        <v>6.39</v>
      </c>
      <c r="F454" s="76">
        <v>34</v>
      </c>
      <c r="G454" s="76">
        <v>0</v>
      </c>
      <c r="H454" s="76">
        <v>0</v>
      </c>
      <c r="I454" s="76">
        <v>0</v>
      </c>
      <c r="J454" s="76">
        <v>11</v>
      </c>
      <c r="K454" s="76">
        <v>14</v>
      </c>
      <c r="L454" s="157">
        <f>(L452/100)/((L451+L452)/100)</f>
        <v>0.3732572877059569</v>
      </c>
      <c r="T454" s="158"/>
      <c r="U454" s="158"/>
      <c r="V454" s="282"/>
      <c r="W454" s="158"/>
      <c r="X454" s="158"/>
      <c r="Y454" s="153"/>
      <c r="Z454" s="152">
        <f>Z452*L454</f>
        <v>6.6151514504055404</v>
      </c>
      <c r="AA454" s="153"/>
      <c r="AB454" s="153"/>
      <c r="AC454" s="152">
        <f>AC452*L454</f>
        <v>6.4360633909901592</v>
      </c>
      <c r="AD454" s="153"/>
      <c r="AE454" s="103"/>
      <c r="AF454" s="103"/>
      <c r="AG454" s="103"/>
      <c r="AH454" s="154">
        <f>AH452*L454</f>
        <v>8.2730296281430373</v>
      </c>
      <c r="AJ454" s="5"/>
      <c r="AK454" s="5"/>
      <c r="AL454" s="5"/>
      <c r="AN454" s="72">
        <f>F451*LeagueRatings!$K$27</f>
        <v>0</v>
      </c>
      <c r="AO454" s="72">
        <f>G451*LeagueRatings!$K$27</f>
        <v>0</v>
      </c>
      <c r="AP454" s="72">
        <f>T454*LeagueRatings!$K$27</f>
        <v>0</v>
      </c>
      <c r="AQ454" s="30"/>
      <c r="AR454" s="14">
        <f t="shared" si="1"/>
        <v>1</v>
      </c>
    </row>
    <row r="455" spans="1:44" x14ac:dyDescent="0.2">
      <c r="C455" s="76">
        <v>1</v>
      </c>
      <c r="D455" s="76">
        <v>1</v>
      </c>
      <c r="E455" s="97">
        <v>10.130000000000001</v>
      </c>
      <c r="F455" s="76">
        <v>14</v>
      </c>
      <c r="G455" s="76">
        <v>0</v>
      </c>
      <c r="H455" s="76">
        <v>0</v>
      </c>
      <c r="I455" s="76">
        <v>0</v>
      </c>
      <c r="J455" s="76">
        <v>0</v>
      </c>
      <c r="K455" s="76">
        <v>0</v>
      </c>
      <c r="T455" s="158"/>
      <c r="U455" s="158"/>
      <c r="V455" s="282"/>
      <c r="W455" s="158"/>
      <c r="X455" s="158"/>
      <c r="Y455" s="153"/>
      <c r="Z455" s="152">
        <f>SUM(Z453:Z454)</f>
        <v>0.56914030259662418</v>
      </c>
      <c r="AA455" s="153"/>
      <c r="AB455" s="153"/>
      <c r="AC455" s="152">
        <f>SUM(AC453:AC454)</f>
        <v>17.989469309797066</v>
      </c>
      <c r="AD455" s="153"/>
      <c r="AE455" s="103"/>
      <c r="AF455" s="103"/>
      <c r="AG455" s="103"/>
      <c r="AH455" s="153">
        <f>SUM(AH453:AH454)</f>
        <v>17.578893309555809</v>
      </c>
      <c r="AI455" s="41" t="s">
        <v>640</v>
      </c>
      <c r="AJ455" s="5" t="s">
        <v>14</v>
      </c>
      <c r="AK455" s="5" t="s">
        <v>29</v>
      </c>
      <c r="AL455" s="5" t="s">
        <v>48</v>
      </c>
      <c r="AM455" s="262">
        <f>SUM(AM451:AM454)</f>
        <v>10.555555555555555</v>
      </c>
      <c r="AN455" s="14">
        <f>SUM(AN451:AN454)</f>
        <v>33.888888888888886</v>
      </c>
      <c r="AO455" s="14">
        <f>SUM(AO451:AO454)</f>
        <v>0</v>
      </c>
      <c r="AP455" s="14">
        <f>SUM(AP451:AP454)</f>
        <v>108.88888888888889</v>
      </c>
      <c r="AQ455" s="30"/>
      <c r="AR455" s="14">
        <f t="shared" si="1"/>
        <v>0</v>
      </c>
    </row>
    <row r="456" spans="1:44" x14ac:dyDescent="0.2">
      <c r="AN456" s="72">
        <f>F453*LeagueRatings!$K$27</f>
        <v>0</v>
      </c>
      <c r="AO456" s="72">
        <f>G453*LeagueRatings!$K$27</f>
        <v>0</v>
      </c>
      <c r="AP456" s="72">
        <f>T456*LeagueRatings!$K$27</f>
        <v>0</v>
      </c>
      <c r="AQ456" s="30"/>
      <c r="AR456" s="14">
        <f t="shared" si="1"/>
        <v>0</v>
      </c>
    </row>
    <row r="457" spans="1:44" x14ac:dyDescent="0.2">
      <c r="L457" s="97">
        <v>31</v>
      </c>
      <c r="M457" s="76">
        <v>33</v>
      </c>
      <c r="N457" s="76">
        <v>22</v>
      </c>
      <c r="O457" s="76">
        <v>22</v>
      </c>
      <c r="P457" s="76">
        <v>8</v>
      </c>
      <c r="Q457" s="76">
        <v>9</v>
      </c>
      <c r="R457" s="76">
        <v>1</v>
      </c>
      <c r="S457" s="76">
        <v>38</v>
      </c>
      <c r="T457" s="76">
        <v>133</v>
      </c>
      <c r="U457" s="76"/>
      <c r="V457" s="100"/>
      <c r="W457" s="76"/>
      <c r="Y457" s="151">
        <f>+(Q457-R457)/(T457-R457)*100</f>
        <v>6.0606060606060606</v>
      </c>
      <c r="Z457" s="152">
        <f>IF(Y457&lt;LeagueRatings!$K$10,((LeagueRatings!$K$10-Y457)/LeagueRatings!$K$10)*36,(LeagueRatings!$K$10-Y457)*6.48)</f>
        <v>10.82776577876737</v>
      </c>
      <c r="AA457" s="146">
        <v>-0.74</v>
      </c>
      <c r="AB457" s="153">
        <f>(P457/(T457-R457))*100</f>
        <v>6.0606060606060606</v>
      </c>
      <c r="AC457" s="152">
        <f>IF(AB457&lt;LeagueRatings!$K$8,((LeagueRatings!$K$8-AB457)/LeagueRatings!$K$8)*36,(LeagueRatings!$K$8-AB457)/LeagueRatings!$K$11)</f>
        <v>-22.696896747931895</v>
      </c>
      <c r="AD457" s="146">
        <v>3.75</v>
      </c>
      <c r="AE457" s="103">
        <f>+((LeagueRatings!$I$6-E454)*5)+9.5</f>
        <v>-1.4419485447225959</v>
      </c>
      <c r="AF457" s="103">
        <f>IF(AE457&lt;4,4,AE457)</f>
        <v>4</v>
      </c>
      <c r="AG457" s="103">
        <f>IF(M457&lt;L457,((1-(M457/L457))*7)-0.07,(1-(M457/L457))*5)</f>
        <v>-0.32258064516129004</v>
      </c>
      <c r="AH457" s="154">
        <f>+AA457+AD457+AF457+AG457</f>
        <v>6.6874193548387098</v>
      </c>
      <c r="AM457" s="262">
        <f>+AR85*LeagueRatings!$K$27</f>
        <v>21.111111111111111</v>
      </c>
      <c r="AN457" s="72">
        <f>F454*LeagueRatings!$K$27</f>
        <v>18.888888888888889</v>
      </c>
      <c r="AO457" s="72">
        <f>G454*LeagueRatings!$K$27</f>
        <v>0</v>
      </c>
      <c r="AP457" s="72">
        <f>T457*LeagueRatings!$K$27</f>
        <v>73.888888888888886</v>
      </c>
      <c r="AQ457" s="30"/>
      <c r="AR457" s="14">
        <f t="shared" si="1"/>
        <v>171</v>
      </c>
    </row>
    <row r="458" spans="1:44" x14ac:dyDescent="0.2">
      <c r="A458" t="s">
        <v>428</v>
      </c>
      <c r="B458" s="76" t="s">
        <v>169</v>
      </c>
      <c r="L458" s="97">
        <v>10.67</v>
      </c>
      <c r="M458" s="76">
        <v>14</v>
      </c>
      <c r="N458" s="76">
        <v>12</v>
      </c>
      <c r="O458" s="76">
        <v>12</v>
      </c>
      <c r="P458" s="76">
        <v>3</v>
      </c>
      <c r="Q458" s="76">
        <v>5</v>
      </c>
      <c r="R458" s="76">
        <v>1</v>
      </c>
      <c r="S458" s="76">
        <v>10</v>
      </c>
      <c r="T458" s="76">
        <v>51</v>
      </c>
      <c r="U458" s="76"/>
      <c r="V458" s="100"/>
      <c r="W458" s="76"/>
      <c r="X458" s="138"/>
      <c r="Y458" s="151">
        <f>+(Q458-R458)/(T458-R458)*100</f>
        <v>8</v>
      </c>
      <c r="Z458" s="152">
        <f>IF(Y458&lt;LeagueRatings!$K$21,((LeagueRatings!$K$21-Y458)/LeagueRatings!$K$21)*36,(LeagueRatings!$K$21-Y458)*6.48)</f>
        <v>3.8320676064215631</v>
      </c>
      <c r="AA458" s="153">
        <v>-0.08</v>
      </c>
      <c r="AB458" s="153">
        <f>(P458/(T458-R458))*100</f>
        <v>6</v>
      </c>
      <c r="AC458" s="152">
        <f>IF(AB458&lt;LeagueRatings!$K$19,((LeagueRatings!$K$19-AB458)/LeagueRatings!$K$19)*36,(LeagueRatings!$K$19-AB458)/LeagueRatings!$K$22)</f>
        <v>-24.983297560975611</v>
      </c>
      <c r="AD458" s="153">
        <v>3.93</v>
      </c>
      <c r="AE458" s="103">
        <f>+((LeagueRatings!$I$17-E455)*5)+9.5</f>
        <v>-20.335612756293642</v>
      </c>
      <c r="AF458" s="103">
        <f>IF(AE458&lt;4,4,AE458)</f>
        <v>4</v>
      </c>
      <c r="AG458" s="103">
        <f>IF(M458&lt;L458,((1-(M458/L458))*7)-0.07,(1-(M458/L458))*5)</f>
        <v>-1.560449859418932</v>
      </c>
      <c r="AH458" s="154">
        <f>+AA458+AD458+AF458+AG458</f>
        <v>6.2895501405810679</v>
      </c>
      <c r="AJ458" s="5"/>
      <c r="AK458" s="5"/>
      <c r="AL458" s="5"/>
      <c r="AM458" s="262">
        <f>+AR86*LeagueRatings!$K$27</f>
        <v>0</v>
      </c>
      <c r="AN458" s="72">
        <f>F455*LeagueRatings!$K$27</f>
        <v>7.7777777777777786</v>
      </c>
      <c r="AO458" s="72">
        <f>G455*LeagueRatings!$K$27</f>
        <v>0</v>
      </c>
      <c r="AP458" s="72">
        <f>T458*LeagueRatings!$K$27</f>
        <v>28.333333333333336</v>
      </c>
      <c r="AQ458" s="30"/>
      <c r="AR458" s="14">
        <f t="shared" si="1"/>
        <v>78</v>
      </c>
    </row>
    <row r="459" spans="1:44" x14ac:dyDescent="0.2">
      <c r="A459" s="41" t="s">
        <v>428</v>
      </c>
      <c r="B459" s="76" t="s">
        <v>143</v>
      </c>
      <c r="L459" s="157">
        <f>(L457/100)/((L457+L458)/100)</f>
        <v>0.7439404847612191</v>
      </c>
      <c r="T459" s="158"/>
      <c r="U459" s="158"/>
      <c r="V459" s="282"/>
      <c r="W459" s="158"/>
      <c r="X459" s="158"/>
      <c r="Y459" s="153"/>
      <c r="Z459" s="152">
        <f>Z457*L459</f>
        <v>8.0552133223371367</v>
      </c>
      <c r="AA459" s="153"/>
      <c r="AB459" s="153"/>
      <c r="AC459" s="152">
        <f>AC457*L459</f>
        <v>-16.885140369231792</v>
      </c>
      <c r="AD459" s="153"/>
      <c r="AE459" s="103"/>
      <c r="AF459" s="103"/>
      <c r="AG459" s="103"/>
      <c r="AH459" s="154">
        <f>AH457*L459</f>
        <v>4.975041996640269</v>
      </c>
      <c r="AJ459" s="5"/>
      <c r="AK459" s="5"/>
      <c r="AL459" s="5"/>
      <c r="AN459" s="72">
        <f>F456*LeagueRatings!$K$27</f>
        <v>0</v>
      </c>
      <c r="AO459" s="72">
        <f>G456*LeagueRatings!$K$27</f>
        <v>0</v>
      </c>
      <c r="AP459" s="72">
        <f>T459*LeagueRatings!$K$27</f>
        <v>0</v>
      </c>
      <c r="AQ459" s="30"/>
      <c r="AR459" s="14">
        <f t="shared" si="1"/>
        <v>1</v>
      </c>
    </row>
    <row r="460" spans="1:44" x14ac:dyDescent="0.2">
      <c r="C460" s="76">
        <v>0</v>
      </c>
      <c r="D460" s="76">
        <v>2</v>
      </c>
      <c r="E460" s="97">
        <v>4.87</v>
      </c>
      <c r="F460" s="76">
        <v>22</v>
      </c>
      <c r="G460" s="76">
        <v>0</v>
      </c>
      <c r="H460" s="76">
        <v>0</v>
      </c>
      <c r="I460" s="76">
        <v>0</v>
      </c>
      <c r="J460" s="76">
        <v>11</v>
      </c>
      <c r="K460" s="76">
        <v>15</v>
      </c>
      <c r="L460" s="157">
        <f>(L458/100)/((L457+L458)/100)</f>
        <v>0.2560595152387809</v>
      </c>
      <c r="T460" s="158"/>
      <c r="U460" s="158"/>
      <c r="V460" s="282"/>
      <c r="W460" s="158"/>
      <c r="X460" s="158"/>
      <c r="Y460" s="153"/>
      <c r="Z460" s="152">
        <f>Z458*L460</f>
        <v>0.98123737366254082</v>
      </c>
      <c r="AA460" s="153"/>
      <c r="AB460" s="153"/>
      <c r="AC460" s="152">
        <f>AC458*L460</f>
        <v>-6.3972110625296326</v>
      </c>
      <c r="AD460" s="153"/>
      <c r="AE460" s="103"/>
      <c r="AF460" s="103"/>
      <c r="AG460" s="103"/>
      <c r="AH460" s="154">
        <f>AH458*L460</f>
        <v>1.6104991600671945</v>
      </c>
      <c r="AJ460" s="5"/>
      <c r="AK460" s="5"/>
      <c r="AL460" s="5"/>
      <c r="AN460" s="72">
        <f>F457*LeagueRatings!$K$27</f>
        <v>0</v>
      </c>
      <c r="AO460" s="72">
        <f>G457*LeagueRatings!$K$27</f>
        <v>0</v>
      </c>
      <c r="AP460" s="72">
        <f>T460*LeagueRatings!$K$27</f>
        <v>0</v>
      </c>
      <c r="AQ460" s="30"/>
      <c r="AR460" s="14">
        <f t="shared" si="1"/>
        <v>1</v>
      </c>
    </row>
    <row r="461" spans="1:44" x14ac:dyDescent="0.2">
      <c r="C461" s="76">
        <v>1</v>
      </c>
      <c r="D461" s="76">
        <v>3</v>
      </c>
      <c r="E461" s="97">
        <v>3.48</v>
      </c>
      <c r="F461" s="76">
        <v>40</v>
      </c>
      <c r="G461" s="76">
        <v>0</v>
      </c>
      <c r="H461" s="76">
        <v>0</v>
      </c>
      <c r="I461" s="76">
        <v>0</v>
      </c>
      <c r="J461" s="76">
        <v>1</v>
      </c>
      <c r="K461" s="76">
        <v>2</v>
      </c>
      <c r="T461" s="158"/>
      <c r="U461" s="158"/>
      <c r="V461" s="282"/>
      <c r="W461" s="158"/>
      <c r="X461" s="158"/>
      <c r="Y461" s="153"/>
      <c r="Z461" s="152">
        <f>SUM(Z459:Z460)</f>
        <v>9.0364506959996778</v>
      </c>
      <c r="AA461" s="153"/>
      <c r="AB461" s="153"/>
      <c r="AC461" s="152">
        <f>SUM(AC459:AC460)</f>
        <v>-23.282351431761423</v>
      </c>
      <c r="AD461" s="153"/>
      <c r="AE461" s="103"/>
      <c r="AF461" s="103"/>
      <c r="AG461" s="103"/>
      <c r="AH461" s="153">
        <f>SUM(AH459:AH460)</f>
        <v>6.585541156707464</v>
      </c>
      <c r="AI461" s="41" t="s">
        <v>564</v>
      </c>
      <c r="AJ461" s="5" t="s">
        <v>66</v>
      </c>
      <c r="AK461" s="5" t="s">
        <v>40</v>
      </c>
      <c r="AL461" s="5" t="s">
        <v>77</v>
      </c>
      <c r="AM461" s="262">
        <f>SUM(AM457:AM460)</f>
        <v>21.111111111111111</v>
      </c>
      <c r="AN461" s="14">
        <f>SUM(AN457:AN460)</f>
        <v>26.666666666666668</v>
      </c>
      <c r="AO461" s="14">
        <f>SUM(AO457:AO460)</f>
        <v>0</v>
      </c>
      <c r="AP461" s="14">
        <f>SUM(AP457:AP460)</f>
        <v>102.22222222222223</v>
      </c>
      <c r="AQ461" s="30"/>
      <c r="AR461" s="14">
        <f t="shared" si="1"/>
        <v>0</v>
      </c>
    </row>
    <row r="462" spans="1:44" x14ac:dyDescent="0.2">
      <c r="AN462" s="72">
        <f>F459*LeagueRatings!$K$27</f>
        <v>0</v>
      </c>
      <c r="AO462" s="72">
        <f>G459*LeagueRatings!$K$27</f>
        <v>0</v>
      </c>
      <c r="AP462" s="72">
        <f>T462*LeagueRatings!$K$27</f>
        <v>0</v>
      </c>
      <c r="AQ462" s="30"/>
      <c r="AR462" s="14">
        <f t="shared" si="1"/>
        <v>0</v>
      </c>
    </row>
    <row r="463" spans="1:44" x14ac:dyDescent="0.2">
      <c r="L463" s="97">
        <v>20.329999999999998</v>
      </c>
      <c r="M463" s="76">
        <v>22</v>
      </c>
      <c r="N463" s="76">
        <v>11</v>
      </c>
      <c r="O463" s="76">
        <v>11</v>
      </c>
      <c r="P463" s="76">
        <v>4</v>
      </c>
      <c r="Q463" s="76">
        <v>11</v>
      </c>
      <c r="R463" s="76">
        <v>1</v>
      </c>
      <c r="S463" s="76">
        <v>21</v>
      </c>
      <c r="T463" s="76">
        <v>93</v>
      </c>
      <c r="U463" s="76"/>
      <c r="V463" s="100"/>
      <c r="W463" s="76"/>
      <c r="Y463" s="162">
        <f>+(Q463-R463)/(T463-R463)*100</f>
        <v>10.869565217391305</v>
      </c>
      <c r="Z463" s="163">
        <f>IF(Y463&lt;LeagueRatings!$K$21,((LeagueRatings!$K$21-Y463)/LeagueRatings!$K$21)*36,(LeagueRatings!$K$21-Y463)*6.48)</f>
        <v>-12.419241629364622</v>
      </c>
      <c r="AA463" s="146">
        <v>2.08</v>
      </c>
      <c r="AB463" s="164">
        <f>(P463/(T463-R463))*100</f>
        <v>4.3478260869565215</v>
      </c>
      <c r="AC463" s="163">
        <f>IF(AB463&lt;LeagueRatings!$K$19,((LeagueRatings!$K$19-AB463)/LeagueRatings!$K$19)*36,(LeagueRatings!$K$19-AB463)/LeagueRatings!$K$22)</f>
        <v>-11.633764581124069</v>
      </c>
      <c r="AD463" s="146">
        <v>1.76</v>
      </c>
      <c r="AE463" s="71">
        <f>+((LeagueRatings!$I$17-E460)*5)+9.5</f>
        <v>5.9643872437063621</v>
      </c>
      <c r="AF463" s="71">
        <f>IF(AE463&lt;4,4,AE463)</f>
        <v>5.9643872437063621</v>
      </c>
      <c r="AG463" s="103">
        <f>IF(M463&lt;L463,((1-(M463/L463))*7)-0.07,(1-(M463/L463))*5)</f>
        <v>-0.41072306935563296</v>
      </c>
      <c r="AH463" s="165">
        <f>+AA463+AD463+AF463+AG463</f>
        <v>9.3936641743507288</v>
      </c>
      <c r="AM463" s="262">
        <f>+AR337*LeagueRatings!$K$27</f>
        <v>13.888888888888889</v>
      </c>
      <c r="AN463" s="72">
        <f>F460*LeagueRatings!$K$27</f>
        <v>12.222222222222223</v>
      </c>
      <c r="AO463" s="72">
        <f>G460*LeagueRatings!$K$27</f>
        <v>0</v>
      </c>
      <c r="AP463" s="72">
        <f>T463*LeagueRatings!$K$27</f>
        <v>51.666666666666671</v>
      </c>
      <c r="AQ463" s="30"/>
      <c r="AR463" s="14">
        <f t="shared" si="1"/>
        <v>21</v>
      </c>
    </row>
    <row r="464" spans="1:44" x14ac:dyDescent="0.2">
      <c r="A464" t="s">
        <v>494</v>
      </c>
      <c r="B464" s="76" t="s">
        <v>161</v>
      </c>
      <c r="L464" s="97">
        <v>33.67</v>
      </c>
      <c r="M464" s="76">
        <v>29</v>
      </c>
      <c r="N464" s="76">
        <v>15</v>
      </c>
      <c r="O464" s="76">
        <v>13</v>
      </c>
      <c r="P464" s="76">
        <v>0</v>
      </c>
      <c r="Q464" s="76">
        <v>10</v>
      </c>
      <c r="R464" s="76">
        <v>1</v>
      </c>
      <c r="S464" s="76">
        <v>36</v>
      </c>
      <c r="T464" s="76">
        <v>142</v>
      </c>
      <c r="U464" s="76"/>
      <c r="V464" s="100"/>
      <c r="W464" s="76"/>
      <c r="X464" s="138"/>
      <c r="Y464" s="162">
        <f>+(Q464-R464)/(T464-R464)*100</f>
        <v>6.3829787234042552</v>
      </c>
      <c r="Z464" s="163">
        <f>IF(Y464&lt;LeagueRatings!$K$21,((LeagueRatings!$K$21-Y464)/LeagueRatings!$K$21)*36,(LeagueRatings!$K$21-Y464)*6.48)</f>
        <v>10.334096494485291</v>
      </c>
      <c r="AA464" s="164">
        <v>-0.65</v>
      </c>
      <c r="AB464" s="164">
        <f>(P464/(T464-R464))*100</f>
        <v>0</v>
      </c>
      <c r="AC464" s="163">
        <f>IF(AB464&lt;LeagueRatings!$K$19,((LeagueRatings!$K$19-AB464)/LeagueRatings!$K$19)*36,(LeagueRatings!$K$19-AB464)/LeagueRatings!$K$22)</f>
        <v>36</v>
      </c>
      <c r="AD464" s="164">
        <v>-3.26</v>
      </c>
      <c r="AE464" s="71">
        <f>+((LeagueRatings!$I$17-E461)*5)+9.5</f>
        <v>12.914387243706363</v>
      </c>
      <c r="AF464" s="71">
        <f>IF(AE464&lt;4,4,AE464)</f>
        <v>12.914387243706363</v>
      </c>
      <c r="AG464" s="103">
        <f>IF(M464&lt;L464,((1-(M464/L464))*7)-0.07,(1-(M464/L464))*5)</f>
        <v>0.90089397089397116</v>
      </c>
      <c r="AH464" s="165">
        <f>+AA464+AD464+AF464+AG464</f>
        <v>9.9052812146003344</v>
      </c>
      <c r="AJ464" s="7"/>
      <c r="AK464" s="7"/>
      <c r="AL464" s="7"/>
      <c r="AM464" s="262">
        <f>+AR338*LeagueRatings!$K$27</f>
        <v>0</v>
      </c>
      <c r="AN464" s="72">
        <f>F461*LeagueRatings!$K$27</f>
        <v>22.222222222222221</v>
      </c>
      <c r="AO464" s="72">
        <f>G461*LeagueRatings!$K$27</f>
        <v>0</v>
      </c>
      <c r="AP464" s="72">
        <f>T464*LeagueRatings!$K$27</f>
        <v>78.888888888888886</v>
      </c>
      <c r="AQ464" s="30"/>
      <c r="AR464" s="14">
        <f t="shared" si="1"/>
        <v>25</v>
      </c>
    </row>
    <row r="465" spans="1:44" x14ac:dyDescent="0.2">
      <c r="A465" s="41" t="s">
        <v>494</v>
      </c>
      <c r="B465" s="76" t="s">
        <v>153</v>
      </c>
      <c r="L465" s="157">
        <f>(L463/100)/((L463+L464)/100)</f>
        <v>0.37648148148148142</v>
      </c>
      <c r="T465" s="158"/>
      <c r="U465" s="158"/>
      <c r="V465" s="282"/>
      <c r="W465" s="158"/>
      <c r="X465" s="158"/>
      <c r="Y465" s="153"/>
      <c r="Z465" s="152">
        <f>Z463*L465</f>
        <v>-4.6756144874996801</v>
      </c>
      <c r="AA465" s="153"/>
      <c r="AB465" s="153"/>
      <c r="AC465" s="152">
        <f>AC463*L465</f>
        <v>-4.3798969247083752</v>
      </c>
      <c r="AD465" s="153"/>
      <c r="AE465" s="103"/>
      <c r="AF465" s="103"/>
      <c r="AG465" s="103"/>
      <c r="AH465" s="154">
        <f>AH463*L465</f>
        <v>3.5365406048990793</v>
      </c>
      <c r="AJ465" s="5"/>
      <c r="AK465" s="5"/>
      <c r="AL465" s="5"/>
      <c r="AN465" s="72">
        <f>F462*LeagueRatings!$K$27</f>
        <v>0</v>
      </c>
      <c r="AO465" s="72">
        <f>G462*LeagueRatings!$K$27</f>
        <v>0</v>
      </c>
      <c r="AP465" s="72">
        <f>T465*LeagueRatings!$K$27</f>
        <v>0</v>
      </c>
      <c r="AQ465" s="30"/>
      <c r="AR465" s="14">
        <f t="shared" si="1"/>
        <v>1</v>
      </c>
    </row>
    <row r="466" spans="1:44" x14ac:dyDescent="0.2">
      <c r="C466" s="76">
        <v>8</v>
      </c>
      <c r="D466" s="76">
        <v>5</v>
      </c>
      <c r="E466" s="97">
        <v>2.98</v>
      </c>
      <c r="F466" s="76">
        <v>17</v>
      </c>
      <c r="G466" s="76">
        <v>17</v>
      </c>
      <c r="H466" s="76">
        <v>0</v>
      </c>
      <c r="I466" s="76">
        <v>0</v>
      </c>
      <c r="J466" s="76">
        <v>0</v>
      </c>
      <c r="K466" s="76">
        <v>0</v>
      </c>
      <c r="L466" s="157">
        <f>(L464/100)/((L463+L464)/100)</f>
        <v>0.62351851851851847</v>
      </c>
      <c r="T466" s="158"/>
      <c r="U466" s="158"/>
      <c r="V466" s="282"/>
      <c r="W466" s="158"/>
      <c r="X466" s="158"/>
      <c r="Y466" s="153"/>
      <c r="Z466" s="152">
        <f>Z464*L466</f>
        <v>6.4435005364688838</v>
      </c>
      <c r="AA466" s="153"/>
      <c r="AB466" s="153"/>
      <c r="AC466" s="152">
        <f>AC464*L466</f>
        <v>22.446666666666665</v>
      </c>
      <c r="AD466" s="153"/>
      <c r="AE466" s="103"/>
      <c r="AF466" s="103"/>
      <c r="AG466" s="103"/>
      <c r="AH466" s="154">
        <f>AH464*L466</f>
        <v>6.1761262684369118</v>
      </c>
      <c r="AJ466" s="5"/>
      <c r="AK466" s="5"/>
      <c r="AL466" s="5"/>
      <c r="AN466" s="72">
        <f>F463*LeagueRatings!$K$27</f>
        <v>0</v>
      </c>
      <c r="AO466" s="72">
        <f>G463*LeagueRatings!$K$27</f>
        <v>0</v>
      </c>
      <c r="AP466" s="72">
        <f>T466*LeagueRatings!$K$27</f>
        <v>0</v>
      </c>
      <c r="AQ466" s="30"/>
      <c r="AR466" s="14">
        <f t="shared" ref="AR466:AR491" si="2">ROUNDUP(L583,0)</f>
        <v>1</v>
      </c>
    </row>
    <row r="467" spans="1:44" x14ac:dyDescent="0.2">
      <c r="C467" s="76">
        <v>2</v>
      </c>
      <c r="D467" s="76">
        <v>6</v>
      </c>
      <c r="E467" s="97">
        <v>4.26</v>
      </c>
      <c r="F467" s="76">
        <v>13</v>
      </c>
      <c r="G467" s="76">
        <v>12</v>
      </c>
      <c r="H467" s="76">
        <v>0</v>
      </c>
      <c r="I467" s="76">
        <v>0</v>
      </c>
      <c r="J467" s="76">
        <v>0</v>
      </c>
      <c r="K467" s="76">
        <v>0</v>
      </c>
      <c r="T467" s="158"/>
      <c r="U467" s="158"/>
      <c r="V467" s="282"/>
      <c r="W467" s="158"/>
      <c r="X467" s="158"/>
      <c r="Y467" s="153"/>
      <c r="Z467" s="152">
        <f>SUM(Z465:Z466)</f>
        <v>1.7678860489692036</v>
      </c>
      <c r="AA467" s="153"/>
      <c r="AB467" s="153"/>
      <c r="AC467" s="152">
        <f>SUM(AC465:AC466)</f>
        <v>18.066769741958289</v>
      </c>
      <c r="AD467" s="153"/>
      <c r="AE467" s="103"/>
      <c r="AF467" s="103"/>
      <c r="AG467" s="103"/>
      <c r="AH467" s="153">
        <f>SUM(AH465:AH466)</f>
        <v>9.7126668733359907</v>
      </c>
      <c r="AI467" s="41" t="s">
        <v>428</v>
      </c>
      <c r="AJ467" s="5" t="s">
        <v>55</v>
      </c>
      <c r="AK467" s="5" t="s">
        <v>29</v>
      </c>
      <c r="AL467" s="5" t="s">
        <v>49</v>
      </c>
      <c r="AM467" s="262">
        <f>SUM(AM463:AM466)</f>
        <v>13.888888888888889</v>
      </c>
      <c r="AN467" s="14">
        <f>SUM(AN463:AN466)</f>
        <v>34.444444444444443</v>
      </c>
      <c r="AO467" s="14">
        <f>SUM(AO463:AO466)</f>
        <v>0</v>
      </c>
      <c r="AP467" s="14">
        <f>SUM(AP463:AP466)</f>
        <v>130.55555555555554</v>
      </c>
      <c r="AQ467" s="30"/>
      <c r="AR467" s="14">
        <f t="shared" si="2"/>
        <v>0</v>
      </c>
    </row>
    <row r="468" spans="1:44" x14ac:dyDescent="0.2">
      <c r="AN468" s="72">
        <f>F465*LeagueRatings!$K$27</f>
        <v>0</v>
      </c>
      <c r="AO468" s="72">
        <f>G465*LeagueRatings!$K$27</f>
        <v>0</v>
      </c>
      <c r="AP468" s="72">
        <f>T468*LeagueRatings!$K$27</f>
        <v>0</v>
      </c>
      <c r="AQ468" s="30"/>
      <c r="AR468" s="14">
        <f t="shared" si="2"/>
        <v>0</v>
      </c>
    </row>
    <row r="469" spans="1:44" x14ac:dyDescent="0.2">
      <c r="L469" s="97">
        <v>108.67</v>
      </c>
      <c r="M469" s="76">
        <v>88</v>
      </c>
      <c r="N469" s="76">
        <v>36</v>
      </c>
      <c r="O469" s="76">
        <v>36</v>
      </c>
      <c r="P469" s="76">
        <v>10</v>
      </c>
      <c r="Q469" s="76">
        <v>23</v>
      </c>
      <c r="R469" s="76">
        <v>2</v>
      </c>
      <c r="S469" s="76">
        <v>104</v>
      </c>
      <c r="T469" s="76">
        <v>429</v>
      </c>
      <c r="U469" s="76"/>
      <c r="V469" s="100"/>
      <c r="W469" s="76"/>
      <c r="Y469" s="151">
        <f>+(Q469-R469)/(T469-R469)*100</f>
        <v>4.918032786885246</v>
      </c>
      <c r="Z469" s="152">
        <f>IF(Y469&lt;LeagueRatings!$K$10,((LeagueRatings!$K$10-Y469)/LeagueRatings!$K$10)*36,(LeagueRatings!$K$10-Y469)*6.48)</f>
        <v>15.573350918835816</v>
      </c>
      <c r="AA469" s="153">
        <v>-1.19</v>
      </c>
      <c r="AB469" s="153">
        <f>(P469/(T469-R469))*100</f>
        <v>2.3419203747072603</v>
      </c>
      <c r="AC469" s="152">
        <f>IF(AB469&lt;LeagueRatings!$K$8,((LeagueRatings!$K$8-AB469)/LeagueRatings!$K$8)*36,(LeagueRatings!$K$8-AB469)/LeagueRatings!$K$11)</f>
        <v>9.6716426488125151</v>
      </c>
      <c r="AD469" s="153">
        <v>0</v>
      </c>
      <c r="AE469" s="103">
        <f>+((LeagueRatings!$I$6-E466)*5)+9.5</f>
        <v>15.608051455277403</v>
      </c>
      <c r="AF469" s="103">
        <f>IF(AE469&lt;4,4,AE469)</f>
        <v>15.608051455277403</v>
      </c>
      <c r="AG469" s="103">
        <f>IF(M469&lt;L469,((1-(M469/L469))*7)-0.07,(1-(M469/L469))*5)</f>
        <v>1.26146222508512</v>
      </c>
      <c r="AH469" s="154">
        <f>+AA469+AD469+AF469+AG469</f>
        <v>15.679513680362524</v>
      </c>
      <c r="AM469" s="262">
        <f>+AR247*LeagueRatings!$K$27</f>
        <v>15.555555555555557</v>
      </c>
      <c r="AN469" s="72">
        <f>F466*LeagueRatings!$K$27</f>
        <v>9.4444444444444446</v>
      </c>
      <c r="AO469" s="72">
        <f>G466*LeagueRatings!$K$27</f>
        <v>9.4444444444444446</v>
      </c>
      <c r="AP469" s="72">
        <f>T469*LeagueRatings!$K$27</f>
        <v>238.33333333333334</v>
      </c>
      <c r="AQ469" s="30"/>
      <c r="AR469" s="14">
        <f t="shared" si="2"/>
        <v>34</v>
      </c>
    </row>
    <row r="470" spans="1:44" x14ac:dyDescent="0.2">
      <c r="A470" t="s">
        <v>580</v>
      </c>
      <c r="B470" s="76" t="s">
        <v>156</v>
      </c>
      <c r="L470" s="97">
        <v>67.67</v>
      </c>
      <c r="M470" s="76">
        <v>66</v>
      </c>
      <c r="N470" s="76">
        <v>34</v>
      </c>
      <c r="O470" s="76">
        <v>32</v>
      </c>
      <c r="P470" s="76">
        <v>13</v>
      </c>
      <c r="Q470" s="76">
        <v>21</v>
      </c>
      <c r="R470" s="76">
        <v>0</v>
      </c>
      <c r="S470" s="76">
        <v>54</v>
      </c>
      <c r="T470" s="76">
        <v>286</v>
      </c>
      <c r="U470" s="76"/>
      <c r="V470" s="100"/>
      <c r="W470" s="76"/>
      <c r="X470" s="138"/>
      <c r="Y470" s="162">
        <f>+(Q470-R470)/(T470-R470)*100</f>
        <v>7.3426573426573425</v>
      </c>
      <c r="Z470" s="163">
        <f>IF(Y470&lt;LeagueRatings!$K$21,((LeagueRatings!$K$21-Y470)/LeagueRatings!$K$21)*36,(LeagueRatings!$K$21-Y470)*6.48)</f>
        <v>6.4752368765232884</v>
      </c>
      <c r="AA470" s="164">
        <v>-0.24</v>
      </c>
      <c r="AB470" s="164">
        <f>(P470/(T470-R470))*100</f>
        <v>4.5454545454545459</v>
      </c>
      <c r="AC470" s="163">
        <f>IF(AB470&lt;LeagueRatings!$K$19,((LeagueRatings!$K$19-AB470)/LeagueRatings!$K$19)*36,(LeagueRatings!$K$19-AB470)/LeagueRatings!$K$22)</f>
        <v>-13.230598669623063</v>
      </c>
      <c r="AD470" s="164">
        <v>2.0299999999999998</v>
      </c>
      <c r="AE470" s="71">
        <f>+((LeagueRatings!$I$17-E467)*5)+9.5</f>
        <v>9.0143872437063628</v>
      </c>
      <c r="AF470" s="71">
        <f>IF(AE470&lt;4,4,AE470)</f>
        <v>9.0143872437063628</v>
      </c>
      <c r="AG470" s="103">
        <f>IF(M470&lt;L470,((1-(M470/L470))*7)-0.07,(1-(M470/L470))*5)</f>
        <v>0.10275011083197866</v>
      </c>
      <c r="AH470" s="165">
        <f>+AA470+AD470+AF470+AG470</f>
        <v>10.907137354538341</v>
      </c>
      <c r="AJ470" s="7"/>
      <c r="AK470" s="7"/>
      <c r="AL470" s="7"/>
      <c r="AM470" s="262">
        <f>+AR248*LeagueRatings!$K$27</f>
        <v>0</v>
      </c>
      <c r="AN470" s="72">
        <f>F467*LeagueRatings!$K$27</f>
        <v>7.2222222222222223</v>
      </c>
      <c r="AO470" s="72">
        <f>G467*LeagueRatings!$K$27</f>
        <v>6.666666666666667</v>
      </c>
      <c r="AP470" s="72">
        <f>T470*LeagueRatings!$K$27</f>
        <v>158.88888888888889</v>
      </c>
      <c r="AQ470" s="30"/>
      <c r="AR470" s="14">
        <f t="shared" si="2"/>
        <v>25</v>
      </c>
    </row>
    <row r="471" spans="1:44" x14ac:dyDescent="0.2">
      <c r="A471" s="41" t="s">
        <v>580</v>
      </c>
      <c r="B471" s="76" t="s">
        <v>150</v>
      </c>
      <c r="L471" s="157">
        <f>(L469/100)/((L469+L470)/100)</f>
        <v>0.61625269365997504</v>
      </c>
      <c r="T471" s="158"/>
      <c r="U471" s="158"/>
      <c r="V471" s="282"/>
      <c r="W471" s="158"/>
      <c r="X471" s="158"/>
      <c r="Y471" s="153"/>
      <c r="Z471" s="152">
        <f>Z469*L471</f>
        <v>9.597119453044618</v>
      </c>
      <c r="AA471" s="153"/>
      <c r="AB471" s="153"/>
      <c r="AC471" s="152">
        <f>AC469*L471</f>
        <v>5.9601758344474085</v>
      </c>
      <c r="AD471" s="153"/>
      <c r="AE471" s="103"/>
      <c r="AF471" s="103"/>
      <c r="AG471" s="103"/>
      <c r="AH471" s="154">
        <f>AH469*L471</f>
        <v>9.6625425408018337</v>
      </c>
      <c r="AJ471" s="5"/>
      <c r="AK471" s="5"/>
      <c r="AL471" s="5"/>
      <c r="AN471" s="72">
        <f>F468*LeagueRatings!$K$27</f>
        <v>0</v>
      </c>
      <c r="AO471" s="72">
        <f>G468*LeagueRatings!$K$27</f>
        <v>0</v>
      </c>
      <c r="AP471" s="72">
        <f>T471*LeagueRatings!$K$27</f>
        <v>0</v>
      </c>
      <c r="AQ471" s="30"/>
      <c r="AR471" s="14">
        <f t="shared" si="2"/>
        <v>1</v>
      </c>
    </row>
    <row r="472" spans="1:44" x14ac:dyDescent="0.2">
      <c r="C472" s="76">
        <v>1</v>
      </c>
      <c r="D472" s="76">
        <v>0</v>
      </c>
      <c r="E472" s="97">
        <v>6.08</v>
      </c>
      <c r="F472" s="76">
        <v>3</v>
      </c>
      <c r="G472" s="76">
        <v>3</v>
      </c>
      <c r="H472" s="76">
        <v>0</v>
      </c>
      <c r="I472" s="76">
        <v>0</v>
      </c>
      <c r="J472" s="76">
        <v>0</v>
      </c>
      <c r="K472" s="76">
        <v>0</v>
      </c>
      <c r="L472" s="157">
        <f>(L470/100)/((L469+L470)/100)</f>
        <v>0.38374730634002491</v>
      </c>
      <c r="T472" s="158"/>
      <c r="U472" s="158"/>
      <c r="V472" s="282"/>
      <c r="W472" s="158"/>
      <c r="X472" s="158"/>
      <c r="Y472" s="153"/>
      <c r="Z472" s="152">
        <f>Z470*L472</f>
        <v>2.4848547092794084</v>
      </c>
      <c r="AA472" s="153"/>
      <c r="AB472" s="153"/>
      <c r="AC472" s="152">
        <f>AC470*L472</f>
        <v>-5.0772066007337679</v>
      </c>
      <c r="AD472" s="153"/>
      <c r="AE472" s="103"/>
      <c r="AF472" s="103"/>
      <c r="AG472" s="103"/>
      <c r="AH472" s="154">
        <f>AH470*L472</f>
        <v>4.1855845796847531</v>
      </c>
      <c r="AJ472" s="5"/>
      <c r="AK472" s="5"/>
      <c r="AL472" s="5"/>
      <c r="AN472" s="72">
        <f>F469*LeagueRatings!$K$27</f>
        <v>0</v>
      </c>
      <c r="AO472" s="72">
        <f>G469*LeagueRatings!$K$27</f>
        <v>0</v>
      </c>
      <c r="AP472" s="72">
        <f>T472*LeagueRatings!$K$27</f>
        <v>0</v>
      </c>
      <c r="AQ472" s="30"/>
      <c r="AR472" s="14">
        <f t="shared" si="2"/>
        <v>1</v>
      </c>
    </row>
    <row r="473" spans="1:44" x14ac:dyDescent="0.2">
      <c r="C473" s="76">
        <v>0</v>
      </c>
      <c r="D473" s="76">
        <v>2</v>
      </c>
      <c r="E473" s="97">
        <v>4.66</v>
      </c>
      <c r="F473" s="76">
        <v>6</v>
      </c>
      <c r="G473" s="76">
        <v>3</v>
      </c>
      <c r="H473" s="76">
        <v>0</v>
      </c>
      <c r="I473" s="76">
        <v>0</v>
      </c>
      <c r="J473" s="76">
        <v>0</v>
      </c>
      <c r="K473" s="76">
        <v>0</v>
      </c>
      <c r="T473" s="158"/>
      <c r="U473" s="158"/>
      <c r="V473" s="282"/>
      <c r="W473" s="158"/>
      <c r="X473" s="158"/>
      <c r="Y473" s="153"/>
      <c r="Z473" s="152">
        <f>SUM(Z471:Z472)</f>
        <v>12.081974162324027</v>
      </c>
      <c r="AA473" s="153"/>
      <c r="AB473" s="153"/>
      <c r="AC473" s="152">
        <f>SUM(AC471:AC472)</f>
        <v>0.88296923371364056</v>
      </c>
      <c r="AD473" s="153"/>
      <c r="AE473" s="103"/>
      <c r="AF473" s="103"/>
      <c r="AG473" s="103"/>
      <c r="AH473" s="153">
        <f>SUM(AH471:AH472)</f>
        <v>13.848127120486588</v>
      </c>
      <c r="AI473" s="41" t="s">
        <v>494</v>
      </c>
      <c r="AJ473" s="5" t="s">
        <v>59</v>
      </c>
      <c r="AK473" s="5" t="s">
        <v>65</v>
      </c>
      <c r="AL473" s="5" t="s">
        <v>35</v>
      </c>
      <c r="AM473" s="262">
        <f>SUM(AM469:AM472)</f>
        <v>15.555555555555557</v>
      </c>
      <c r="AN473" s="14">
        <f>SUM(AN469:AN472)</f>
        <v>16.666666666666668</v>
      </c>
      <c r="AO473" s="14">
        <f>SUM(AO469:AO472)</f>
        <v>16.111111111111111</v>
      </c>
      <c r="AP473" s="14">
        <f>SUM(AP469:AP472)</f>
        <v>397.22222222222223</v>
      </c>
      <c r="AQ473" s="30"/>
      <c r="AR473" s="14">
        <f t="shared" si="2"/>
        <v>0</v>
      </c>
    </row>
    <row r="474" spans="1:44" x14ac:dyDescent="0.2">
      <c r="AN474" s="72">
        <f>F471*LeagueRatings!$K$27</f>
        <v>0</v>
      </c>
      <c r="AO474" s="72">
        <f>G471*LeagueRatings!$K$27</f>
        <v>0</v>
      </c>
      <c r="AP474" s="72">
        <f>T474*LeagueRatings!$K$27</f>
        <v>0</v>
      </c>
      <c r="AQ474" s="30"/>
      <c r="AR474" s="14">
        <f t="shared" si="2"/>
        <v>0</v>
      </c>
    </row>
    <row r="475" spans="1:44" x14ac:dyDescent="0.2">
      <c r="L475" s="97">
        <v>13.33</v>
      </c>
      <c r="M475" s="76">
        <v>12</v>
      </c>
      <c r="N475" s="76">
        <v>9</v>
      </c>
      <c r="O475" s="76">
        <v>9</v>
      </c>
      <c r="P475" s="76">
        <v>3</v>
      </c>
      <c r="Q475" s="76">
        <v>4</v>
      </c>
      <c r="R475" s="76">
        <v>0</v>
      </c>
      <c r="S475" s="76">
        <v>8</v>
      </c>
      <c r="T475" s="76">
        <v>57</v>
      </c>
      <c r="U475" s="76"/>
      <c r="V475" s="100"/>
      <c r="W475" s="76"/>
      <c r="Y475" s="151">
        <f>+(Q475-R475)/(T475-R475)*100</f>
        <v>7.0175438596491224</v>
      </c>
      <c r="Z475" s="152">
        <f>IF(Y475&lt;LeagueRatings!$K$10,((LeagueRatings!$K$10-Y475)/LeagueRatings!$K$10)*36,(LeagueRatings!$K$10-Y475)*6.48)</f>
        <v>6.853202480678009</v>
      </c>
      <c r="AA475" s="146">
        <v>-0.4</v>
      </c>
      <c r="AB475" s="153">
        <f>(P475/(T475-R475))*100</f>
        <v>5.2631578947368416</v>
      </c>
      <c r="AC475" s="152">
        <f>IF(AB475&lt;LeagueRatings!$K$8,((LeagueRatings!$K$8-AB475)/LeagueRatings!$K$8)*36,(LeagueRatings!$K$8-AB475)/LeagueRatings!$K$11)</f>
        <v>-16.364797405164325</v>
      </c>
      <c r="AD475" s="146">
        <v>2.61</v>
      </c>
      <c r="AE475" s="103">
        <f>+((LeagueRatings!$I$6-E472)*5)+9.5</f>
        <v>0.10805145527740301</v>
      </c>
      <c r="AF475" s="103">
        <f>IF(AE475&lt;4,4,AE475)</f>
        <v>4</v>
      </c>
      <c r="AG475" s="103">
        <f>IF(M475&lt;L475,((1-(M475/L475))*7)-0.07,(1-(M475/L475))*5)</f>
        <v>0.62842460615153795</v>
      </c>
      <c r="AH475" s="154">
        <f>+AA475+AD475+AF475+AG475</f>
        <v>6.8384246061515377</v>
      </c>
      <c r="AM475" s="262">
        <f>+AR358*LeagueRatings!$K$27</f>
        <v>0</v>
      </c>
      <c r="AN475" s="72">
        <f>F472*LeagueRatings!$K$27</f>
        <v>1.6666666666666667</v>
      </c>
      <c r="AO475" s="72">
        <f>G472*LeagueRatings!$K$27</f>
        <v>1.6666666666666667</v>
      </c>
      <c r="AP475" s="72">
        <f>T475*LeagueRatings!$K$27</f>
        <v>31.666666666666668</v>
      </c>
      <c r="AQ475" s="30"/>
      <c r="AR475" s="14">
        <f t="shared" si="2"/>
        <v>108</v>
      </c>
    </row>
    <row r="476" spans="1:44" x14ac:dyDescent="0.2">
      <c r="A476" t="s">
        <v>634</v>
      </c>
      <c r="B476" s="76" t="s">
        <v>168</v>
      </c>
      <c r="L476" s="97">
        <v>19.329999999999998</v>
      </c>
      <c r="M476" s="76">
        <v>26</v>
      </c>
      <c r="N476" s="76">
        <v>12</v>
      </c>
      <c r="O476" s="76">
        <v>10</v>
      </c>
      <c r="P476" s="76">
        <v>0</v>
      </c>
      <c r="Q476" s="76">
        <v>3</v>
      </c>
      <c r="R476" s="76">
        <v>0</v>
      </c>
      <c r="S476" s="76">
        <v>15</v>
      </c>
      <c r="T476" s="76">
        <v>86</v>
      </c>
      <c r="U476" s="76"/>
      <c r="V476" s="100"/>
      <c r="W476" s="76"/>
      <c r="X476" s="138"/>
      <c r="Y476" s="151">
        <f>+(Q476-R476)/(T476-R476)*100</f>
        <v>3.4883720930232558</v>
      </c>
      <c r="Z476" s="152">
        <f>IF(Y476&lt;LeagueRatings!$K$21,((LeagueRatings!$K$21-Y476)/LeagueRatings!$K$21)*36,(LeagueRatings!$K$21-Y476)*6.48)</f>
        <v>21.973285293497774</v>
      </c>
      <c r="AA476" s="153">
        <v>-1.89</v>
      </c>
      <c r="AB476" s="153">
        <f>(P476/(T476-R476))*100</f>
        <v>0</v>
      </c>
      <c r="AC476" s="152">
        <f>IF(AB476&lt;LeagueRatings!$K$19,((LeagueRatings!$K$19-AB476)/LeagueRatings!$K$19)*36,(LeagueRatings!$K$19-AB476)/LeagueRatings!$K$22)</f>
        <v>36</v>
      </c>
      <c r="AD476" s="153">
        <v>-3.26</v>
      </c>
      <c r="AE476" s="103">
        <f>+((LeagueRatings!$I$17-E473)*5)+9.5</f>
        <v>7.0143872437063619</v>
      </c>
      <c r="AF476" s="103">
        <f>IF(AE476&lt;4,4,AE476)</f>
        <v>7.0143872437063619</v>
      </c>
      <c r="AG476" s="103">
        <f>IF(M476&lt;L476,((1-(M476/L476))*7)-0.07,(1-(M476/L476))*5)</f>
        <v>-1.7252974650801867</v>
      </c>
      <c r="AH476" s="154">
        <f>+AA476+AD476+AF476+AG476</f>
        <v>0.13908977862617578</v>
      </c>
      <c r="AJ476" s="58"/>
      <c r="AK476" s="5"/>
      <c r="AL476" s="5"/>
      <c r="AM476" s="262">
        <f>+AR359*LeagueRatings!$K$27</f>
        <v>0</v>
      </c>
      <c r="AN476" s="72">
        <f>F473*LeagueRatings!$K$27</f>
        <v>3.3333333333333335</v>
      </c>
      <c r="AO476" s="72">
        <f>G473*LeagueRatings!$K$27</f>
        <v>1.6666666666666667</v>
      </c>
      <c r="AP476" s="72">
        <f>T476*LeagueRatings!$K$27</f>
        <v>47.777777777777779</v>
      </c>
      <c r="AQ476" s="30"/>
      <c r="AR476" s="14">
        <f t="shared" si="2"/>
        <v>112</v>
      </c>
    </row>
    <row r="477" spans="1:44" x14ac:dyDescent="0.2">
      <c r="A477" s="41" t="s">
        <v>634</v>
      </c>
      <c r="B477" s="76" t="s">
        <v>165</v>
      </c>
      <c r="L477" s="157">
        <f>(L475/100)/((L475+L476)/100)</f>
        <v>0.40814451928965101</v>
      </c>
      <c r="T477" s="158"/>
      <c r="U477" s="158"/>
      <c r="V477" s="282"/>
      <c r="W477" s="158"/>
      <c r="X477" s="158"/>
      <c r="Y477" s="153"/>
      <c r="Z477" s="152">
        <f>Z475*L477</f>
        <v>2.7970970320709698</v>
      </c>
      <c r="AA477" s="153"/>
      <c r="AB477" s="153"/>
      <c r="AC477" s="152">
        <f>AC475*L477</f>
        <v>-6.6792023702033214</v>
      </c>
      <c r="AD477" s="153"/>
      <c r="AE477" s="103"/>
      <c r="AF477" s="103"/>
      <c r="AG477" s="103"/>
      <c r="AH477" s="154">
        <f>AH475*L477</f>
        <v>2.7910655235762403</v>
      </c>
      <c r="AJ477" s="5"/>
      <c r="AK477" s="5"/>
      <c r="AL477" s="5"/>
      <c r="AN477" s="72">
        <f>F474*LeagueRatings!$K$27</f>
        <v>0</v>
      </c>
      <c r="AO477" s="72">
        <f>G474*LeagueRatings!$K$27</f>
        <v>0</v>
      </c>
      <c r="AP477" s="72">
        <f>T477*LeagueRatings!$K$27</f>
        <v>0</v>
      </c>
      <c r="AQ477" s="30"/>
      <c r="AR477" s="14">
        <f t="shared" si="2"/>
        <v>1</v>
      </c>
    </row>
    <row r="478" spans="1:44" x14ac:dyDescent="0.2">
      <c r="C478" s="76">
        <v>6</v>
      </c>
      <c r="D478" s="76">
        <v>8</v>
      </c>
      <c r="E478" s="97">
        <v>3.87</v>
      </c>
      <c r="F478" s="76">
        <v>23</v>
      </c>
      <c r="G478" s="76">
        <v>20</v>
      </c>
      <c r="H478" s="76">
        <v>0</v>
      </c>
      <c r="I478" s="76">
        <v>0</v>
      </c>
      <c r="J478" s="76">
        <v>0</v>
      </c>
      <c r="K478" s="76">
        <v>1</v>
      </c>
      <c r="L478" s="157">
        <f>(L476/100)/((L475+L476)/100)</f>
        <v>0.5918554807103491</v>
      </c>
      <c r="T478" s="158"/>
      <c r="U478" s="158"/>
      <c r="V478" s="282"/>
      <c r="W478" s="158"/>
      <c r="X478" s="158"/>
      <c r="Y478" s="153"/>
      <c r="Z478" s="152">
        <f>Z476*L478</f>
        <v>13.00500933016877</v>
      </c>
      <c r="AA478" s="153"/>
      <c r="AB478" s="153"/>
      <c r="AC478" s="152">
        <f>AC476*L478</f>
        <v>21.306797305572566</v>
      </c>
      <c r="AD478" s="153"/>
      <c r="AE478" s="103"/>
      <c r="AF478" s="103"/>
      <c r="AG478" s="103"/>
      <c r="AH478" s="154">
        <f>AH476*L478</f>
        <v>8.2321047790691299E-2</v>
      </c>
      <c r="AJ478" s="5"/>
      <c r="AK478" s="5"/>
      <c r="AL478" s="5"/>
      <c r="AN478" s="72">
        <f>F475*LeagueRatings!$K$27</f>
        <v>0</v>
      </c>
      <c r="AO478" s="72">
        <f>G475*LeagueRatings!$K$27</f>
        <v>0</v>
      </c>
      <c r="AP478" s="72">
        <f>T478*LeagueRatings!$K$27</f>
        <v>0</v>
      </c>
      <c r="AQ478" s="30"/>
      <c r="AR478" s="14">
        <f t="shared" si="2"/>
        <v>1</v>
      </c>
    </row>
    <row r="479" spans="1:44" x14ac:dyDescent="0.2">
      <c r="C479" s="76">
        <v>2</v>
      </c>
      <c r="D479" s="76">
        <v>3</v>
      </c>
      <c r="E479" s="97">
        <v>4.74</v>
      </c>
      <c r="F479" s="76">
        <v>9</v>
      </c>
      <c r="G479" s="76">
        <v>9</v>
      </c>
      <c r="H479" s="76">
        <v>0</v>
      </c>
      <c r="I479" s="76">
        <v>0</v>
      </c>
      <c r="J479" s="76">
        <v>0</v>
      </c>
      <c r="K479" s="76">
        <v>0</v>
      </c>
      <c r="T479" s="158"/>
      <c r="U479" s="158"/>
      <c r="V479" s="282"/>
      <c r="W479" s="158"/>
      <c r="X479" s="158"/>
      <c r="Y479" s="153"/>
      <c r="Z479" s="152">
        <f>SUM(Z477:Z478)</f>
        <v>15.802106362239741</v>
      </c>
      <c r="AA479" s="153"/>
      <c r="AB479" s="153"/>
      <c r="AC479" s="152">
        <f>SUM(AC477:AC478)</f>
        <v>14.627594935369245</v>
      </c>
      <c r="AD479" s="153"/>
      <c r="AE479" s="103"/>
      <c r="AF479" s="103"/>
      <c r="AG479" s="103"/>
      <c r="AH479" s="153">
        <f>SUM(AH477:AH478)</f>
        <v>2.8733865713669315</v>
      </c>
      <c r="AI479" s="41" t="s">
        <v>580</v>
      </c>
      <c r="AJ479" s="5" t="s">
        <v>50</v>
      </c>
      <c r="AK479" s="5" t="s">
        <v>36</v>
      </c>
      <c r="AL479" s="5" t="s">
        <v>48</v>
      </c>
      <c r="AM479" s="262">
        <f>SUM(AM475:AM478)</f>
        <v>0</v>
      </c>
      <c r="AN479" s="14">
        <f>SUM(AN475:AN478)</f>
        <v>5</v>
      </c>
      <c r="AO479" s="14">
        <f>SUM(AO475:AO478)</f>
        <v>3.3333333333333335</v>
      </c>
      <c r="AP479" s="14">
        <f>SUM(AP475:AP478)</f>
        <v>79.444444444444443</v>
      </c>
      <c r="AQ479" s="30"/>
      <c r="AR479" s="14">
        <f t="shared" si="2"/>
        <v>0</v>
      </c>
    </row>
    <row r="480" spans="1:44" x14ac:dyDescent="0.2">
      <c r="AN480" s="72">
        <f>F477*LeagueRatings!$K$27</f>
        <v>0</v>
      </c>
      <c r="AO480" s="72">
        <f>G477*LeagueRatings!$K$27</f>
        <v>0</v>
      </c>
      <c r="AP480" s="72">
        <f>T480*LeagueRatings!$K$27</f>
        <v>0</v>
      </c>
      <c r="AQ480" s="30"/>
      <c r="AR480" s="14">
        <f t="shared" si="2"/>
        <v>0</v>
      </c>
    </row>
    <row r="481" spans="1:44" x14ac:dyDescent="0.2">
      <c r="L481" s="97">
        <v>121</v>
      </c>
      <c r="M481" s="76">
        <v>108</v>
      </c>
      <c r="N481" s="76">
        <v>57</v>
      </c>
      <c r="O481" s="76">
        <v>52</v>
      </c>
      <c r="P481" s="76">
        <v>11</v>
      </c>
      <c r="Q481" s="76">
        <v>55</v>
      </c>
      <c r="R481" s="76">
        <v>7</v>
      </c>
      <c r="S481" s="76">
        <v>75</v>
      </c>
      <c r="T481" s="76">
        <v>527</v>
      </c>
      <c r="U481" s="76"/>
      <c r="V481" s="100"/>
      <c r="W481" s="76"/>
      <c r="Y481" s="151">
        <f>+(Q481-R481)/(T481-R481)*100</f>
        <v>9.2307692307692317</v>
      </c>
      <c r="Z481" s="152">
        <f>IF(Y481&lt;LeagueRatings!$K$21,((LeagueRatings!$K$21-Y481)/LeagueRatings!$K$21)*36,(LeagueRatings!$K$21-Y481)*6.48)</f>
        <v>-1.7998436360535885</v>
      </c>
      <c r="AA481" s="153">
        <v>0.65</v>
      </c>
      <c r="AB481" s="153">
        <f>(P481/(T481-R481))*100</f>
        <v>2.1153846153846154</v>
      </c>
      <c r="AC481" s="152">
        <f>IF(AB481&lt;LeagueRatings!$K$19,((LeagueRatings!$K$19-AB481)/LeagueRatings!$K$19)*36,(LeagueRatings!$K$19-AB481)/LeagueRatings!$K$22)</f>
        <v>9.8122973439116947</v>
      </c>
      <c r="AD481" s="153">
        <v>-0.14000000000000001</v>
      </c>
      <c r="AE481" s="103">
        <f>+((LeagueRatings!$I$17-E478)*5)+9.5</f>
        <v>10.964387243706362</v>
      </c>
      <c r="AF481" s="103">
        <f>IF(AE481&lt;4,4,AE481)</f>
        <v>10.964387243706362</v>
      </c>
      <c r="AG481" s="103">
        <f>IF(M481&lt;L481,((1-(M481/L481))*7)-0.07,(1-(M481/L481))*5)</f>
        <v>0.68206611570247921</v>
      </c>
      <c r="AH481" s="154">
        <f>+AA481+AD481+AF481+AG481</f>
        <v>12.156453359408841</v>
      </c>
      <c r="AM481" s="262">
        <f>+AR364*LeagueRatings!$K$27</f>
        <v>0</v>
      </c>
      <c r="AN481" s="72">
        <f>F478*LeagueRatings!$K$27</f>
        <v>12.777777777777779</v>
      </c>
      <c r="AO481" s="72">
        <f>G478*LeagueRatings!$K$27</f>
        <v>11.111111111111111</v>
      </c>
      <c r="AP481" s="72">
        <f>T481*LeagueRatings!$K$27</f>
        <v>292.77777777777777</v>
      </c>
      <c r="AQ481" s="30"/>
      <c r="AR481" s="14">
        <f t="shared" si="2"/>
        <v>106</v>
      </c>
    </row>
    <row r="482" spans="1:44" x14ac:dyDescent="0.2">
      <c r="A482" t="s">
        <v>534</v>
      </c>
      <c r="B482" s="76" t="s">
        <v>171</v>
      </c>
      <c r="L482" s="97">
        <v>43.67</v>
      </c>
      <c r="M482" s="76">
        <v>48</v>
      </c>
      <c r="N482" s="76">
        <v>27</v>
      </c>
      <c r="O482" s="76">
        <v>23</v>
      </c>
      <c r="P482" s="76">
        <v>8</v>
      </c>
      <c r="Q482" s="76">
        <v>18</v>
      </c>
      <c r="R482" s="76">
        <v>0</v>
      </c>
      <c r="S482" s="76">
        <v>30</v>
      </c>
      <c r="T482" s="76">
        <v>195</v>
      </c>
      <c r="U482" s="76"/>
      <c r="V482" s="100"/>
      <c r="W482" s="76"/>
      <c r="X482" s="147"/>
      <c r="Y482" s="151">
        <f>+(Q482-R482)/(T482-R482)*100</f>
        <v>9.2307692307692317</v>
      </c>
      <c r="Z482" s="152">
        <f>IF(Y482&lt;LeagueRatings!$K$10,((LeagueRatings!$K$10-Y482)/LeagueRatings!$K$10)*36,(LeagueRatings!$K$10-Y482)*6.48)</f>
        <v>-3.6496041211909613</v>
      </c>
      <c r="AA482" s="153">
        <v>0.65</v>
      </c>
      <c r="AB482" s="153">
        <f>(P482/(T482-R482))*100</f>
        <v>4.1025641025641022</v>
      </c>
      <c r="AC482" s="152">
        <f>IF(AB482&lt;LeagueRatings!$K$8,((LeagueRatings!$K$8-AB482)/LeagueRatings!$K$8)*36,(LeagueRatings!$K$8-AB482)/LeagueRatings!$K$11)</f>
        <v>-7.1491574386133809</v>
      </c>
      <c r="AD482" s="153">
        <v>1.38</v>
      </c>
      <c r="AE482" s="103">
        <f>+((LeagueRatings!$I$6-E479)*5)+9.5</f>
        <v>6.8080514552774023</v>
      </c>
      <c r="AF482" s="103">
        <f>IF(AE482&lt;4,4,AE482)</f>
        <v>6.8080514552774023</v>
      </c>
      <c r="AG482" s="103">
        <f>IF(M482&lt;L482,((1-(M482/L482))*7)-0.07,(1-(M482/L482))*5)</f>
        <v>-0.49576368216166733</v>
      </c>
      <c r="AH482" s="154">
        <f>+AA482+AD482+AF482+AG482</f>
        <v>8.3422877731157339</v>
      </c>
      <c r="AJ482" s="5"/>
      <c r="AK482" s="5"/>
      <c r="AL482" s="5"/>
      <c r="AM482" s="262">
        <f>+AR365*LeagueRatings!$K$27</f>
        <v>0</v>
      </c>
      <c r="AN482" s="72">
        <f>F479*LeagueRatings!$K$27</f>
        <v>5</v>
      </c>
      <c r="AO482" s="72">
        <f>G479*LeagueRatings!$K$27</f>
        <v>5</v>
      </c>
      <c r="AP482" s="72">
        <f>T482*LeagueRatings!$K$27</f>
        <v>108.33333333333334</v>
      </c>
      <c r="AQ482" s="30"/>
      <c r="AR482" s="14">
        <f t="shared" si="2"/>
        <v>48</v>
      </c>
    </row>
    <row r="483" spans="1:44" x14ac:dyDescent="0.2">
      <c r="A483" s="41" t="s">
        <v>534</v>
      </c>
      <c r="B483" s="76" t="s">
        <v>152</v>
      </c>
      <c r="L483" s="157">
        <f>(L481/100)/((L481+L482)/100)</f>
        <v>0.73480293921175677</v>
      </c>
      <c r="T483" s="158"/>
      <c r="U483" s="158"/>
      <c r="V483" s="282"/>
      <c r="W483" s="158"/>
      <c r="X483" s="158"/>
      <c r="Y483" s="153"/>
      <c r="Z483" s="152">
        <f>Z481*L483</f>
        <v>-1.3225303938937523</v>
      </c>
      <c r="AA483" s="153"/>
      <c r="AB483" s="153"/>
      <c r="AC483" s="152">
        <f>AC481*L483</f>
        <v>7.210104928726027</v>
      </c>
      <c r="AD483" s="153"/>
      <c r="AE483" s="103"/>
      <c r="AF483" s="103"/>
      <c r="AG483" s="103"/>
      <c r="AH483" s="154">
        <f>AH481*L483</f>
        <v>8.9325976588842515</v>
      </c>
      <c r="AJ483" s="5"/>
      <c r="AK483" s="5"/>
      <c r="AL483" s="5"/>
      <c r="AN483" s="72">
        <f>F480*LeagueRatings!$K$27</f>
        <v>0</v>
      </c>
      <c r="AO483" s="72">
        <f>G480*LeagueRatings!$K$27</f>
        <v>0</v>
      </c>
      <c r="AP483" s="72">
        <f>T483*LeagueRatings!$K$27</f>
        <v>0</v>
      </c>
      <c r="AQ483" s="30"/>
      <c r="AR483" s="14">
        <f t="shared" si="2"/>
        <v>1</v>
      </c>
    </row>
    <row r="484" spans="1:44" x14ac:dyDescent="0.2">
      <c r="C484" s="76">
        <v>1</v>
      </c>
      <c r="D484" s="76">
        <v>0</v>
      </c>
      <c r="E484" s="97">
        <v>6.3</v>
      </c>
      <c r="F484" s="76">
        <v>16</v>
      </c>
      <c r="G484" s="76">
        <v>0</v>
      </c>
      <c r="H484" s="76">
        <v>0</v>
      </c>
      <c r="I484" s="76">
        <v>0</v>
      </c>
      <c r="J484" s="76">
        <v>0</v>
      </c>
      <c r="K484" s="76">
        <v>0</v>
      </c>
      <c r="L484" s="157">
        <f>(L482/100)/((L481+L482)/100)</f>
        <v>0.26519706078824318</v>
      </c>
      <c r="T484" s="158"/>
      <c r="U484" s="158"/>
      <c r="V484" s="282"/>
      <c r="W484" s="158"/>
      <c r="X484" s="158"/>
      <c r="Y484" s="153"/>
      <c r="Z484" s="152">
        <f>Z482*L484</f>
        <v>-0.96786428598050223</v>
      </c>
      <c r="AA484" s="153"/>
      <c r="AB484" s="153"/>
      <c r="AC484" s="152">
        <f>AC482*L484</f>
        <v>-1.8959355398326736</v>
      </c>
      <c r="AD484" s="153"/>
      <c r="AE484" s="103"/>
      <c r="AF484" s="103"/>
      <c r="AG484" s="103"/>
      <c r="AH484" s="154">
        <f>AH482*L484</f>
        <v>2.2123501976799913</v>
      </c>
      <c r="AJ484" s="5"/>
      <c r="AK484" s="5"/>
      <c r="AL484" s="5"/>
      <c r="AN484" s="72">
        <f>F481*LeagueRatings!$K$27</f>
        <v>0</v>
      </c>
      <c r="AO484" s="72">
        <f>G481*LeagueRatings!$K$27</f>
        <v>0</v>
      </c>
      <c r="AP484" s="72">
        <f>T484*LeagueRatings!$K$27</f>
        <v>0</v>
      </c>
      <c r="AQ484" s="30"/>
      <c r="AR484" s="14">
        <f t="shared" si="2"/>
        <v>1</v>
      </c>
    </row>
    <row r="485" spans="1:44" x14ac:dyDescent="0.2">
      <c r="C485" s="76">
        <v>3</v>
      </c>
      <c r="D485" s="76">
        <v>1</v>
      </c>
      <c r="E485" s="97">
        <v>1.85</v>
      </c>
      <c r="F485" s="76">
        <v>30</v>
      </c>
      <c r="G485" s="76">
        <v>0</v>
      </c>
      <c r="H485" s="76">
        <v>0</v>
      </c>
      <c r="I485" s="76">
        <v>0</v>
      </c>
      <c r="J485" s="76">
        <v>0</v>
      </c>
      <c r="K485" s="76">
        <v>0</v>
      </c>
      <c r="T485" s="158"/>
      <c r="U485" s="158"/>
      <c r="V485" s="282"/>
      <c r="W485" s="158"/>
      <c r="X485" s="158"/>
      <c r="Y485" s="153"/>
      <c r="Z485" s="152">
        <f>SUM(Z483:Z484)</f>
        <v>-2.2903946798742547</v>
      </c>
      <c r="AA485" s="153"/>
      <c r="AB485" s="153"/>
      <c r="AC485" s="152">
        <f>SUM(AC483:AC484)</f>
        <v>5.3141693888933537</v>
      </c>
      <c r="AD485" s="153"/>
      <c r="AE485" s="103"/>
      <c r="AF485" s="103"/>
      <c r="AG485" s="103"/>
      <c r="AH485" s="153">
        <f>SUM(AH483:AH484)</f>
        <v>11.144947856564244</v>
      </c>
      <c r="AI485" s="41" t="s">
        <v>634</v>
      </c>
      <c r="AJ485" s="5" t="s">
        <v>34</v>
      </c>
      <c r="AK485" s="5" t="s">
        <v>35</v>
      </c>
      <c r="AL485" s="5" t="s">
        <v>29</v>
      </c>
      <c r="AM485" s="262">
        <f>SUM(AM481:AM484)</f>
        <v>0</v>
      </c>
      <c r="AN485" s="14">
        <f>SUM(AN481:AN484)</f>
        <v>17.777777777777779</v>
      </c>
      <c r="AO485" s="14">
        <f>SUM(AO481:AO484)</f>
        <v>16.111111111111111</v>
      </c>
      <c r="AP485" s="14">
        <f>SUM(AP481:AP484)</f>
        <v>401.11111111111109</v>
      </c>
      <c r="AQ485" s="30"/>
      <c r="AR485" s="14">
        <f t="shared" si="2"/>
        <v>0</v>
      </c>
    </row>
    <row r="486" spans="1:44" x14ac:dyDescent="0.2">
      <c r="AN486" s="72">
        <f>F483*LeagueRatings!$K$27</f>
        <v>0</v>
      </c>
      <c r="AO486" s="72">
        <f>G483*LeagueRatings!$K$27</f>
        <v>0</v>
      </c>
      <c r="AP486" s="72">
        <f>T486*LeagueRatings!$K$27</f>
        <v>0</v>
      </c>
      <c r="AQ486" s="30"/>
      <c r="AR486" s="14">
        <f t="shared" si="2"/>
        <v>0</v>
      </c>
    </row>
    <row r="487" spans="1:44" x14ac:dyDescent="0.2">
      <c r="L487" s="97">
        <v>20</v>
      </c>
      <c r="M487" s="76">
        <v>27</v>
      </c>
      <c r="N487" s="76">
        <v>15</v>
      </c>
      <c r="O487" s="76">
        <v>14</v>
      </c>
      <c r="P487" s="76">
        <v>2</v>
      </c>
      <c r="Q487" s="76">
        <v>6</v>
      </c>
      <c r="R487" s="76">
        <v>0</v>
      </c>
      <c r="S487" s="76">
        <v>11</v>
      </c>
      <c r="T487" s="76">
        <v>92</v>
      </c>
      <c r="U487" s="76"/>
      <c r="V487" s="100"/>
      <c r="W487" s="76"/>
      <c r="Y487" s="151">
        <f>+(Q487-R487)/(T487-R487)*100</f>
        <v>6.5217391304347823</v>
      </c>
      <c r="Z487" s="152">
        <f>IF(Y487&lt;LeagueRatings!$K$10,((LeagueRatings!$K$10-Y487)/LeagueRatings!$K$10)*36,(LeagueRatings!$K$10-Y487)*6.48)</f>
        <v>8.9124870880214093</v>
      </c>
      <c r="AA487" s="153">
        <v>-0.56000000000000005</v>
      </c>
      <c r="AB487" s="153">
        <f>(P487/(T487-R487))*100</f>
        <v>2.1739130434782608</v>
      </c>
      <c r="AC487" s="152">
        <f>IF(AB487&lt;LeagueRatings!$K$8,((LeagueRatings!$K$8-AB487)/LeagueRatings!$K$8)*36,(LeagueRatings!$K$8-AB487)/LeagueRatings!$K$11)</f>
        <v>11.560416110962926</v>
      </c>
      <c r="AD487" s="153">
        <v>-0.21</v>
      </c>
      <c r="AE487" s="103">
        <f>+((LeagueRatings!$I$6-E484)*5)+9.5</f>
        <v>-0.99194854472259664</v>
      </c>
      <c r="AF487" s="103">
        <f>IF(AE487&lt;4,4,AE487)</f>
        <v>4</v>
      </c>
      <c r="AG487" s="103">
        <f>IF(M487&lt;L487,((1-(M487/L487))*7)-0.07,(1-(M487/L487))*5)</f>
        <v>-1.7500000000000004</v>
      </c>
      <c r="AH487" s="154">
        <f>+AA487+AD487+AF487+AG487</f>
        <v>1.4799999999999995</v>
      </c>
      <c r="AM487" s="262">
        <f>+AR370*LeagueRatings!$K$27</f>
        <v>0</v>
      </c>
      <c r="AN487" s="72">
        <f>F484*LeagueRatings!$K$27</f>
        <v>8.8888888888888893</v>
      </c>
      <c r="AO487" s="72">
        <f>G484*LeagueRatings!$K$27</f>
        <v>0</v>
      </c>
      <c r="AP487" s="72">
        <f>T487*LeagueRatings!$K$27</f>
        <v>51.111111111111114</v>
      </c>
      <c r="AQ487" s="30"/>
      <c r="AR487" s="14">
        <f t="shared" si="2"/>
        <v>34</v>
      </c>
    </row>
    <row r="488" spans="1:44" x14ac:dyDescent="0.2">
      <c r="A488" t="s">
        <v>615</v>
      </c>
      <c r="B488" s="76" t="s">
        <v>156</v>
      </c>
      <c r="L488" s="97">
        <v>39</v>
      </c>
      <c r="M488" s="76">
        <v>34</v>
      </c>
      <c r="N488" s="76">
        <v>10</v>
      </c>
      <c r="O488" s="76">
        <v>8</v>
      </c>
      <c r="P488" s="76">
        <v>3</v>
      </c>
      <c r="Q488" s="76">
        <v>17</v>
      </c>
      <c r="R488" s="76">
        <v>2</v>
      </c>
      <c r="S488" s="76">
        <v>28</v>
      </c>
      <c r="T488" s="76">
        <v>166</v>
      </c>
      <c r="U488" s="76"/>
      <c r="V488" s="100"/>
      <c r="W488" s="76"/>
      <c r="X488" s="138"/>
      <c r="Y488" s="151">
        <f>+(Q488-R488)/(T488-R488)*100</f>
        <v>9.1463414634146343</v>
      </c>
      <c r="Z488" s="152">
        <f>IF(Y488&lt;LeagueRatings!$K$21,((LeagueRatings!$K$21-Y488)/LeagueRatings!$K$21)*36,(LeagueRatings!$K$21-Y488)*6.48)</f>
        <v>-1.2527517035957969</v>
      </c>
      <c r="AA488" s="153">
        <v>0.65</v>
      </c>
      <c r="AB488" s="153">
        <f>(P488/(T488-R488))*100</f>
        <v>1.8292682926829267</v>
      </c>
      <c r="AC488" s="152">
        <f>IF(AB488&lt;LeagueRatings!$K$19,((LeagueRatings!$K$19-AB488)/LeagueRatings!$K$19)*36,(LeagueRatings!$K$19-AB488)/LeagueRatings!$K$22)</f>
        <v>13.354314776331623</v>
      </c>
      <c r="AD488" s="153">
        <v>-0.42</v>
      </c>
      <c r="AE488" s="103">
        <f>+((LeagueRatings!$I$17-E485)*5)+9.5</f>
        <v>21.064387243706364</v>
      </c>
      <c r="AF488" s="103">
        <f>IF(AE488&lt;4,4,AE488)</f>
        <v>21.064387243706364</v>
      </c>
      <c r="AG488" s="103">
        <f>IF(M488&lt;L488,((1-(M488/L488))*7)-0.07,(1-(M488/L488))*5)</f>
        <v>0.82743589743589729</v>
      </c>
      <c r="AH488" s="154">
        <f>+AA488+AD488+AF488+AG488</f>
        <v>22.121823141142261</v>
      </c>
      <c r="AJ488" s="5"/>
      <c r="AK488" s="5"/>
      <c r="AL488" s="5"/>
      <c r="AM488" s="262">
        <f>+AR371*LeagueRatings!$K$27</f>
        <v>0</v>
      </c>
      <c r="AN488" s="72">
        <f>F485*LeagueRatings!$K$27</f>
        <v>16.666666666666668</v>
      </c>
      <c r="AO488" s="72">
        <f>G485*LeagueRatings!$K$27</f>
        <v>0</v>
      </c>
      <c r="AP488" s="72">
        <f>T488*LeagueRatings!$K$27</f>
        <v>92.222222222222229</v>
      </c>
      <c r="AQ488" s="30"/>
      <c r="AR488" s="14">
        <f t="shared" si="2"/>
        <v>11</v>
      </c>
    </row>
    <row r="489" spans="1:44" x14ac:dyDescent="0.2">
      <c r="A489" s="41" t="s">
        <v>615</v>
      </c>
      <c r="B489" s="76" t="s">
        <v>166</v>
      </c>
      <c r="L489" s="157">
        <f>(L487/100)/((L487+L488)/100)</f>
        <v>0.33898305084745767</v>
      </c>
      <c r="T489" s="158"/>
      <c r="U489" s="158"/>
      <c r="V489" s="282"/>
      <c r="W489" s="158"/>
      <c r="X489" s="158"/>
      <c r="Y489" s="153"/>
      <c r="Z489" s="152">
        <f>Z487*L489</f>
        <v>3.0211820637360711</v>
      </c>
      <c r="AA489" s="153"/>
      <c r="AB489" s="153"/>
      <c r="AC489" s="152">
        <f>AC487*L489</f>
        <v>3.9187851223603145</v>
      </c>
      <c r="AD489" s="153"/>
      <c r="AE489" s="103"/>
      <c r="AF489" s="103"/>
      <c r="AG489" s="103"/>
      <c r="AH489" s="154">
        <f>AH487*L489</f>
        <v>0.50169491525423715</v>
      </c>
      <c r="AJ489" s="5"/>
      <c r="AK489" s="5"/>
      <c r="AL489" s="5"/>
      <c r="AN489" s="72">
        <f>F486*LeagueRatings!$K$27</f>
        <v>0</v>
      </c>
      <c r="AO489" s="72">
        <f>G486*LeagueRatings!$K$27</f>
        <v>0</v>
      </c>
      <c r="AP489" s="72">
        <f>T489*LeagueRatings!$K$27</f>
        <v>0</v>
      </c>
      <c r="AQ489" s="30"/>
      <c r="AR489" s="14">
        <f t="shared" si="2"/>
        <v>1</v>
      </c>
    </row>
    <row r="490" spans="1:44" x14ac:dyDescent="0.2">
      <c r="C490" s="76">
        <v>0</v>
      </c>
      <c r="D490" s="76">
        <v>0</v>
      </c>
      <c r="E490" s="97">
        <v>10.8</v>
      </c>
      <c r="F490" s="76">
        <v>3</v>
      </c>
      <c r="G490" s="76">
        <v>0</v>
      </c>
      <c r="H490" s="76">
        <v>0</v>
      </c>
      <c r="I490" s="76">
        <v>0</v>
      </c>
      <c r="J490" s="76">
        <v>0</v>
      </c>
      <c r="K490" s="76">
        <v>0</v>
      </c>
      <c r="L490" s="157">
        <f>(L488/100)/((L487+L488)/100)</f>
        <v>0.66101694915254239</v>
      </c>
      <c r="T490" s="158"/>
      <c r="U490" s="158"/>
      <c r="V490" s="282"/>
      <c r="W490" s="158"/>
      <c r="X490" s="158"/>
      <c r="Y490" s="153"/>
      <c r="Z490" s="152">
        <f>Z488*L490</f>
        <v>-0.82809010915654369</v>
      </c>
      <c r="AA490" s="153"/>
      <c r="AB490" s="153"/>
      <c r="AC490" s="152">
        <f>AC488*L490</f>
        <v>8.8274284114734467</v>
      </c>
      <c r="AD490" s="153"/>
      <c r="AE490" s="103"/>
      <c r="AF490" s="103"/>
      <c r="AG490" s="103"/>
      <c r="AH490" s="154">
        <f>AH488*L490</f>
        <v>14.62290004244997</v>
      </c>
      <c r="AJ490" s="5"/>
      <c r="AK490" s="5"/>
      <c r="AL490" s="5"/>
      <c r="AN490" s="72">
        <f>F487*LeagueRatings!$K$27</f>
        <v>0</v>
      </c>
      <c r="AO490" s="72">
        <f>G487*LeagueRatings!$K$27</f>
        <v>0</v>
      </c>
      <c r="AP490" s="72">
        <f>T490*LeagueRatings!$K$27</f>
        <v>0</v>
      </c>
      <c r="AQ490" s="30"/>
      <c r="AR490" s="14">
        <f t="shared" si="2"/>
        <v>1</v>
      </c>
    </row>
    <row r="491" spans="1:44" x14ac:dyDescent="0.2">
      <c r="C491" s="76">
        <v>1</v>
      </c>
      <c r="D491" s="76">
        <v>1</v>
      </c>
      <c r="E491" s="97">
        <v>1.88</v>
      </c>
      <c r="F491" s="76">
        <v>29</v>
      </c>
      <c r="G491" s="76">
        <v>0</v>
      </c>
      <c r="H491" s="76">
        <v>0</v>
      </c>
      <c r="I491" s="76">
        <v>0</v>
      </c>
      <c r="J491" s="76">
        <v>0</v>
      </c>
      <c r="K491" s="76">
        <v>1</v>
      </c>
      <c r="T491" s="158"/>
      <c r="U491" s="158"/>
      <c r="V491" s="282"/>
      <c r="W491" s="158"/>
      <c r="X491" s="158"/>
      <c r="Y491" s="153"/>
      <c r="Z491" s="152">
        <f>SUM(Z489:Z490)</f>
        <v>2.1930919545795273</v>
      </c>
      <c r="AA491" s="153"/>
      <c r="AB491" s="153"/>
      <c r="AC491" s="152">
        <f>SUM(AC489:AC490)</f>
        <v>12.74621353383376</v>
      </c>
      <c r="AD491" s="153"/>
      <c r="AE491" s="103"/>
      <c r="AF491" s="103"/>
      <c r="AG491" s="103"/>
      <c r="AH491" s="153">
        <f>SUM(AH489:AH490)</f>
        <v>15.124594957704208</v>
      </c>
      <c r="AI491" s="41" t="s">
        <v>534</v>
      </c>
      <c r="AJ491" s="5" t="s">
        <v>16</v>
      </c>
      <c r="AK491" s="5" t="s">
        <v>29</v>
      </c>
      <c r="AL491" s="5" t="s">
        <v>47</v>
      </c>
      <c r="AM491" s="262">
        <f>SUM(AM487:AM490)</f>
        <v>0</v>
      </c>
      <c r="AN491" s="14">
        <f>SUM(AN487:AN490)</f>
        <v>25.555555555555557</v>
      </c>
      <c r="AO491" s="14">
        <f>SUM(AO487:AO490)</f>
        <v>0</v>
      </c>
      <c r="AP491" s="14">
        <f>SUM(AP487:AP490)</f>
        <v>143.33333333333334</v>
      </c>
      <c r="AQ491" s="30"/>
      <c r="AR491" s="14">
        <f t="shared" si="2"/>
        <v>0</v>
      </c>
    </row>
    <row r="492" spans="1:44" x14ac:dyDescent="0.2">
      <c r="AN492" s="72">
        <f>F489*LeagueRatings!$K$27</f>
        <v>0</v>
      </c>
      <c r="AO492" s="72">
        <f>G489*LeagueRatings!$K$27</f>
        <v>0</v>
      </c>
      <c r="AP492" s="72">
        <f>T492*LeagueRatings!$K$27</f>
        <v>0</v>
      </c>
      <c r="AQ492" s="30"/>
      <c r="AR492" s="14"/>
    </row>
    <row r="493" spans="1:44" x14ac:dyDescent="0.2">
      <c r="L493" s="97">
        <v>3.33</v>
      </c>
      <c r="M493" s="76">
        <v>8</v>
      </c>
      <c r="N493" s="76">
        <v>4</v>
      </c>
      <c r="O493" s="76">
        <v>4</v>
      </c>
      <c r="P493" s="76">
        <v>0</v>
      </c>
      <c r="Q493" s="76">
        <v>3</v>
      </c>
      <c r="R493" s="76">
        <v>0</v>
      </c>
      <c r="S493" s="76">
        <v>4</v>
      </c>
      <c r="T493" s="76">
        <v>21</v>
      </c>
      <c r="U493" s="76"/>
      <c r="V493" s="100"/>
      <c r="W493" s="76"/>
      <c r="Y493" s="151">
        <f>+(Q493-R493)/(T493-R493)*100</f>
        <v>14.285714285714285</v>
      </c>
      <c r="Z493" s="152">
        <f>IF(Y493&lt;LeagueRatings!$K$21,((LeagueRatings!$K$21-Y493)/LeagueRatings!$K$21)*36,(LeagueRatings!$K$21-Y493)*6.48)</f>
        <v>-34.555887592097534</v>
      </c>
      <c r="AA493" s="153">
        <v>5.44</v>
      </c>
      <c r="AB493" s="153">
        <f>(P493/(T493-R493))*100</f>
        <v>0</v>
      </c>
      <c r="AC493" s="152">
        <f>IF(AB493&lt;LeagueRatings!$K$19,((LeagueRatings!$K$19-AB493)/LeagueRatings!$K$19)*36,(LeagueRatings!$K$19-AB493)/LeagueRatings!$K$22)</f>
        <v>36</v>
      </c>
      <c r="AD493" s="153">
        <v>-3.26</v>
      </c>
      <c r="AE493" s="103">
        <f>+((LeagueRatings!$I$17-E490)*5)+9.5</f>
        <v>-23.685612756293644</v>
      </c>
      <c r="AF493" s="103">
        <f>IF(AE493&lt;4,4,AE493)</f>
        <v>4</v>
      </c>
      <c r="AG493" s="103">
        <f>IF(M493&lt;L493,((1-(M493/L493))*7)-0.07,(1-(M493/L493))*5)</f>
        <v>-7.0120120120120122</v>
      </c>
      <c r="AH493" s="154">
        <f>+AA493+AD493+AF493+AG493</f>
        <v>-0.83201201201201158</v>
      </c>
      <c r="AM493" s="262">
        <f>+AR376*LeagueRatings!$K$27</f>
        <v>0</v>
      </c>
      <c r="AN493" s="72">
        <f>F490*LeagueRatings!$K$27</f>
        <v>1.6666666666666667</v>
      </c>
      <c r="AO493" s="72">
        <f>G490*LeagueRatings!$K$27</f>
        <v>0</v>
      </c>
      <c r="AP493" s="72">
        <f>T493*LeagueRatings!$K$27</f>
        <v>11.666666666666668</v>
      </c>
      <c r="AQ493" s="30"/>
      <c r="AR493" s="14">
        <f>ROUNDUP(L610,0)</f>
        <v>33</v>
      </c>
    </row>
    <row r="494" spans="1:44" x14ac:dyDescent="0.2">
      <c r="A494" t="s">
        <v>487</v>
      </c>
      <c r="B494" s="76" t="s">
        <v>153</v>
      </c>
      <c r="L494" s="97">
        <v>28.67</v>
      </c>
      <c r="M494" s="76">
        <v>27</v>
      </c>
      <c r="N494" s="76">
        <v>6</v>
      </c>
      <c r="O494" s="76">
        <v>6</v>
      </c>
      <c r="P494" s="76">
        <v>1</v>
      </c>
      <c r="Q494" s="76">
        <v>7</v>
      </c>
      <c r="R494" s="76">
        <v>2</v>
      </c>
      <c r="S494" s="76">
        <v>25</v>
      </c>
      <c r="T494" s="76">
        <v>114</v>
      </c>
      <c r="U494" s="76"/>
      <c r="V494" s="100"/>
      <c r="W494" s="76"/>
      <c r="X494" s="138"/>
      <c r="Y494" s="151">
        <f>+(Q494-R494)/(T494-R494)*100</f>
        <v>4.4642857142857144</v>
      </c>
      <c r="Z494" s="152">
        <f>IF(Y494&lt;LeagueRatings!$K$10,((LeagueRatings!$K$10-Y494)/LeagueRatings!$K$10)*36,(LeagueRatings!$K$10-Y494)*6.48)</f>
        <v>17.457952470967037</v>
      </c>
      <c r="AA494" s="153">
        <v>-1.39</v>
      </c>
      <c r="AB494" s="153">
        <f>(P494/(T494-R494))*100</f>
        <v>0.89285714285714279</v>
      </c>
      <c r="AC494" s="152">
        <f>IF(AB494&lt;LeagueRatings!$K$8,((LeagueRatings!$K$8-AB494)/LeagueRatings!$K$8)*36,(LeagueRatings!$K$8-AB494)/LeagueRatings!$K$11)</f>
        <v>25.962313759859772</v>
      </c>
      <c r="AD494" s="153">
        <v>-1.78</v>
      </c>
      <c r="AE494" s="103">
        <f>+((LeagueRatings!$I$6-E491)*5)+9.5</f>
        <v>21.108051455277405</v>
      </c>
      <c r="AF494" s="103">
        <f>IF(AE494&lt;4,4,AE494)</f>
        <v>21.108051455277405</v>
      </c>
      <c r="AG494" s="103">
        <f>IF(M494&lt;L494,((1-(M494/L494))*7)-0.07,(1-(M494/L494))*5)</f>
        <v>0.33774328566445838</v>
      </c>
      <c r="AH494" s="154">
        <f>+AA494+AD494+AF494+AG494</f>
        <v>18.275794740941862</v>
      </c>
      <c r="AJ494" s="94"/>
      <c r="AK494" s="94"/>
      <c r="AL494" s="94"/>
      <c r="AM494" s="262">
        <f>+AR377*LeagueRatings!$K$27</f>
        <v>0</v>
      </c>
      <c r="AN494" s="72">
        <f>F491*LeagueRatings!$K$27</f>
        <v>16.111111111111111</v>
      </c>
      <c r="AO494" s="72">
        <f>G491*LeagueRatings!$K$27</f>
        <v>0</v>
      </c>
      <c r="AP494" s="72">
        <f>T494*LeagueRatings!$K$27</f>
        <v>63.333333333333336</v>
      </c>
      <c r="AQ494" s="30"/>
      <c r="AR494" s="14">
        <f>ROUNDUP(L611,0)</f>
        <v>27</v>
      </c>
    </row>
    <row r="495" spans="1:44" x14ac:dyDescent="0.2">
      <c r="A495" s="41" t="s">
        <v>487</v>
      </c>
      <c r="B495" s="76" t="s">
        <v>149</v>
      </c>
      <c r="L495" s="157">
        <f>(L493/100)/((L493+L494)/100)</f>
        <v>0.1040625</v>
      </c>
      <c r="T495" s="158"/>
      <c r="U495" s="158"/>
      <c r="V495" s="282"/>
      <c r="W495" s="158"/>
      <c r="X495" s="158"/>
      <c r="Y495" s="153"/>
      <c r="Z495" s="152">
        <f>Z493*L495</f>
        <v>-3.5959720525526495</v>
      </c>
      <c r="AA495" s="153"/>
      <c r="AB495" s="153"/>
      <c r="AC495" s="152">
        <f>AC493*L495</f>
        <v>3.7462499999999999</v>
      </c>
      <c r="AD495" s="153"/>
      <c r="AE495" s="103"/>
      <c r="AF495" s="103"/>
      <c r="AG495" s="103"/>
      <c r="AH495" s="154">
        <f>AH493*L495</f>
        <v>-8.6581249999999957E-2</v>
      </c>
      <c r="AJ495" s="5"/>
      <c r="AK495" s="5"/>
      <c r="AL495" s="5"/>
      <c r="AN495" s="72">
        <f>F492*LeagueRatings!$K$27</f>
        <v>0</v>
      </c>
      <c r="AO495" s="72">
        <f>G492*LeagueRatings!$K$27</f>
        <v>0</v>
      </c>
      <c r="AP495" s="72">
        <f>T495*LeagueRatings!$K$27</f>
        <v>0</v>
      </c>
      <c r="AQ495" s="30"/>
      <c r="AR495" s="14">
        <f>ROUNDUP(L612,0)</f>
        <v>1</v>
      </c>
    </row>
    <row r="496" spans="1:44" x14ac:dyDescent="0.2">
      <c r="C496" s="76">
        <v>4</v>
      </c>
      <c r="D496" s="76">
        <v>2</v>
      </c>
      <c r="E496" s="97">
        <v>7.14</v>
      </c>
      <c r="F496" s="76">
        <v>38</v>
      </c>
      <c r="G496" s="76">
        <v>0</v>
      </c>
      <c r="H496" s="76">
        <v>0</v>
      </c>
      <c r="I496" s="76">
        <v>0</v>
      </c>
      <c r="J496" s="76">
        <v>2</v>
      </c>
      <c r="K496" s="76">
        <v>3</v>
      </c>
      <c r="L496" s="157">
        <f>(L494/100)/((L493+L494)/100)</f>
        <v>0.89593750000000005</v>
      </c>
      <c r="T496" s="158"/>
      <c r="U496" s="158"/>
      <c r="V496" s="282"/>
      <c r="W496" s="158"/>
      <c r="X496" s="158"/>
      <c r="Y496" s="153"/>
      <c r="Z496" s="152">
        <f>Z494*L496</f>
        <v>15.64123429195703</v>
      </c>
      <c r="AA496" s="153"/>
      <c r="AB496" s="153"/>
      <c r="AC496" s="152">
        <f>AC494*L496</f>
        <v>23.260610484224365</v>
      </c>
      <c r="AD496" s="153"/>
      <c r="AE496" s="103"/>
      <c r="AF496" s="103"/>
      <c r="AG496" s="103"/>
      <c r="AH496" s="154">
        <f>AH494*L496</f>
        <v>16.373969850712601</v>
      </c>
      <c r="AJ496" s="5"/>
      <c r="AK496" s="5"/>
      <c r="AL496" s="5"/>
      <c r="AN496" s="72">
        <f>F493*LeagueRatings!$K$27</f>
        <v>0</v>
      </c>
      <c r="AO496" s="72">
        <f>G493*LeagueRatings!$K$27</f>
        <v>0</v>
      </c>
      <c r="AP496" s="72">
        <f>T496*LeagueRatings!$K$27</f>
        <v>0</v>
      </c>
      <c r="AQ496" s="30"/>
      <c r="AR496" s="14">
        <f>ROUNDUP(L613,0)</f>
        <v>1</v>
      </c>
    </row>
    <row r="497" spans="1:44" x14ac:dyDescent="0.2">
      <c r="C497" s="76">
        <v>1</v>
      </c>
      <c r="D497" s="76">
        <v>0</v>
      </c>
      <c r="E497" s="97">
        <v>6.92</v>
      </c>
      <c r="F497" s="76">
        <v>16</v>
      </c>
      <c r="G497" s="76">
        <v>0</v>
      </c>
      <c r="H497" s="76">
        <v>0</v>
      </c>
      <c r="I497" s="76">
        <v>0</v>
      </c>
      <c r="J497" s="76">
        <v>0</v>
      </c>
      <c r="K497" s="76">
        <v>0</v>
      </c>
      <c r="T497" s="158"/>
      <c r="U497" s="158"/>
      <c r="V497" s="282"/>
      <c r="W497" s="158"/>
      <c r="X497" s="158"/>
      <c r="Y497" s="153"/>
      <c r="Z497" s="152">
        <f>SUM(Z495:Z496)</f>
        <v>12.04526223940438</v>
      </c>
      <c r="AA497" s="153"/>
      <c r="AB497" s="153"/>
      <c r="AC497" s="152">
        <f>SUM(AC495:AC496)</f>
        <v>27.006860484224365</v>
      </c>
      <c r="AD497" s="153"/>
      <c r="AE497" s="103"/>
      <c r="AF497" s="103"/>
      <c r="AG497" s="103"/>
      <c r="AH497" s="153">
        <f>SUM(AH495:AH496)</f>
        <v>16.287388600712603</v>
      </c>
      <c r="AI497" s="41" t="s">
        <v>615</v>
      </c>
      <c r="AJ497" s="5" t="s">
        <v>14</v>
      </c>
      <c r="AK497" s="5" t="s">
        <v>65</v>
      </c>
      <c r="AL497" s="5" t="s">
        <v>73</v>
      </c>
      <c r="AM497" s="262">
        <f>SUM(AM493:AM496)</f>
        <v>0</v>
      </c>
      <c r="AN497" s="14">
        <f>SUM(AN493:AN496)</f>
        <v>17.777777777777779</v>
      </c>
      <c r="AO497" s="14">
        <f>SUM(AO493:AO496)</f>
        <v>0</v>
      </c>
      <c r="AP497" s="14">
        <f>SUM(AP493:AP496)</f>
        <v>75</v>
      </c>
      <c r="AQ497" s="30"/>
      <c r="AR497" s="14">
        <f>ROUNDUP(L614,0)</f>
        <v>0</v>
      </c>
    </row>
    <row r="498" spans="1:44" x14ac:dyDescent="0.2">
      <c r="AN498" s="72">
        <f>F495*LeagueRatings!$K$27</f>
        <v>0</v>
      </c>
      <c r="AO498" s="72">
        <f>G495*LeagueRatings!$K$27</f>
        <v>0</v>
      </c>
      <c r="AP498" s="72">
        <f>T498*LeagueRatings!$K$27</f>
        <v>0</v>
      </c>
      <c r="AQ498" s="30"/>
      <c r="AR498" s="14"/>
    </row>
    <row r="499" spans="1:44" x14ac:dyDescent="0.2">
      <c r="L499" s="97">
        <v>40.33</v>
      </c>
      <c r="M499" s="76">
        <v>60</v>
      </c>
      <c r="N499" s="76">
        <v>33</v>
      </c>
      <c r="O499" s="76">
        <v>32</v>
      </c>
      <c r="P499" s="76">
        <v>5</v>
      </c>
      <c r="Q499" s="76">
        <v>23</v>
      </c>
      <c r="R499" s="76">
        <v>3</v>
      </c>
      <c r="S499" s="76">
        <v>28</v>
      </c>
      <c r="T499" s="76">
        <v>200</v>
      </c>
      <c r="U499" s="76"/>
      <c r="V499" s="100"/>
      <c r="W499" s="76"/>
      <c r="Y499" s="151">
        <f>+(Q499-R499)/(T499-R499)*100</f>
        <v>10.152284263959391</v>
      </c>
      <c r="Z499" s="152">
        <f>IF(Y499&lt;LeagueRatings!$K$21,((LeagueRatings!$K$21-Y499)/LeagueRatings!$K$21)*36,(LeagueRatings!$K$21-Y499)*6.48)</f>
        <v>-7.7712610511258218</v>
      </c>
      <c r="AA499" s="153">
        <v>1.37</v>
      </c>
      <c r="AB499" s="153">
        <f>(P499/(T499-R499))*100</f>
        <v>2.5380710659898478</v>
      </c>
      <c r="AC499" s="152">
        <f>IF(AB499&lt;LeagueRatings!$K$19,((LeagueRatings!$K$19-AB499)/LeagueRatings!$K$19)*36,(LeagueRatings!$K$19-AB499)/LeagueRatings!$K$22)</f>
        <v>4.579590721813755</v>
      </c>
      <c r="AD499" s="153">
        <v>0.24</v>
      </c>
      <c r="AE499" s="103">
        <f>+((LeagueRatings!$I$17-E496)*5)+9.5</f>
        <v>-5.3856127562936358</v>
      </c>
      <c r="AF499" s="103">
        <f>IF(AE499&lt;4,4,AE499)</f>
        <v>4</v>
      </c>
      <c r="AG499" s="103">
        <f>IF(M499&lt;L499,((1-(M499/L499))*7)-0.07,(1-(M499/L499))*5)</f>
        <v>-2.4386312918423014</v>
      </c>
      <c r="AH499" s="154">
        <f>+AA499+AD499+AF499+AG499</f>
        <v>3.1713687081576989</v>
      </c>
      <c r="AM499" s="262">
        <f>+AR382*LeagueRatings!$K$27</f>
        <v>0</v>
      </c>
      <c r="AN499" s="72">
        <f>F496*LeagueRatings!$K$27</f>
        <v>21.111111111111111</v>
      </c>
      <c r="AO499" s="72">
        <f>G496*LeagueRatings!$K$27</f>
        <v>0</v>
      </c>
      <c r="AP499" s="72">
        <f>T499*LeagueRatings!$K$27</f>
        <v>111.11111111111111</v>
      </c>
      <c r="AQ499" s="30"/>
      <c r="AR499" s="14">
        <f>ROUNDUP(L616,0)</f>
        <v>24</v>
      </c>
    </row>
    <row r="500" spans="1:44" x14ac:dyDescent="0.2">
      <c r="A500" t="s">
        <v>463</v>
      </c>
      <c r="B500" s="76" t="s">
        <v>172</v>
      </c>
      <c r="L500" s="97">
        <v>13</v>
      </c>
      <c r="M500" s="76">
        <v>9</v>
      </c>
      <c r="N500" s="76">
        <v>13</v>
      </c>
      <c r="O500" s="76">
        <v>10</v>
      </c>
      <c r="P500" s="76">
        <v>0</v>
      </c>
      <c r="Q500" s="76">
        <v>12</v>
      </c>
      <c r="R500" s="76">
        <v>3</v>
      </c>
      <c r="S500" s="76">
        <v>14</v>
      </c>
      <c r="T500" s="76">
        <v>63</v>
      </c>
      <c r="U500" s="76"/>
      <c r="V500" s="100"/>
      <c r="W500" s="76"/>
      <c r="Y500" s="151">
        <f>+(Q500-R500)/(T500-R500)*100</f>
        <v>15</v>
      </c>
      <c r="Z500" s="152">
        <f>IF(Y500&lt;LeagueRatings!$K$10,((LeagueRatings!$K$10-Y500)/LeagueRatings!$K$10)*36,(LeagueRatings!$K$10-Y500)*6.48)</f>
        <v>-41.034219505806341</v>
      </c>
      <c r="AA500" s="153">
        <v>5.44</v>
      </c>
      <c r="AB500" s="153">
        <f>(P500/(T500-R500))*100</f>
        <v>0</v>
      </c>
      <c r="AC500" s="152">
        <f>IF(AB500&lt;LeagueRatings!$K$8,((LeagueRatings!$K$8-AB500)/LeagueRatings!$K$8)*36,(LeagueRatings!$K$8-AB500)/LeagueRatings!$K$11)</f>
        <v>36</v>
      </c>
      <c r="AD500" s="153">
        <v>-3.26</v>
      </c>
      <c r="AE500" s="103">
        <f>+((LeagueRatings!$I$6-E497)*5)+9.5</f>
        <v>-4.0919485447225963</v>
      </c>
      <c r="AF500" s="103">
        <f>IF(AE500&lt;4,4,AE500)</f>
        <v>4</v>
      </c>
      <c r="AG500" s="103">
        <f>IF(M500&lt;L500,((1-(M500/L500))*7)-0.07,(1-(M500/L500))*5)</f>
        <v>2.0838461538461543</v>
      </c>
      <c r="AH500" s="154">
        <f>+AA500+AD500+AF500+AG500</f>
        <v>8.2638461538461545</v>
      </c>
      <c r="AM500" s="262">
        <f>+AR383*LeagueRatings!$K$27</f>
        <v>0</v>
      </c>
      <c r="AN500" s="72">
        <f>F497*LeagueRatings!$K$27</f>
        <v>8.8888888888888893</v>
      </c>
      <c r="AO500" s="72">
        <f>G497*LeagueRatings!$K$27</f>
        <v>0</v>
      </c>
      <c r="AP500" s="72">
        <f>T500*LeagueRatings!$K$27</f>
        <v>35</v>
      </c>
      <c r="AQ500" s="30"/>
      <c r="AR500" s="14">
        <f>ROUNDUP(L617,0)</f>
        <v>7</v>
      </c>
    </row>
    <row r="501" spans="1:44" x14ac:dyDescent="0.2">
      <c r="A501" s="41" t="s">
        <v>463</v>
      </c>
      <c r="B501" s="76" t="s">
        <v>146</v>
      </c>
      <c r="L501" s="157">
        <f>(L499/100)/((L499+L500)/100)</f>
        <v>0.75623476467279205</v>
      </c>
      <c r="Y501" s="153"/>
      <c r="Z501" s="152">
        <f>Z499*L501</f>
        <v>-5.8768977722089701</v>
      </c>
      <c r="AA501" s="153"/>
      <c r="AB501" s="153"/>
      <c r="AC501" s="152">
        <f>AC499*L501</f>
        <v>3.4632457118085269</v>
      </c>
      <c r="AD501" s="153"/>
      <c r="AE501" s="103"/>
      <c r="AF501" s="103"/>
      <c r="AG501" s="103"/>
      <c r="AH501" s="154">
        <f>AH499*L501</f>
        <v>2.3982992687042941</v>
      </c>
      <c r="AN501" s="72">
        <f>F498*LeagueRatings!$K$27</f>
        <v>0</v>
      </c>
      <c r="AO501" s="72">
        <f>G498*LeagueRatings!$K$27</f>
        <v>0</v>
      </c>
      <c r="AP501" s="72">
        <f>T501*LeagueRatings!$K$27</f>
        <v>0</v>
      </c>
      <c r="AQ501" s="30"/>
      <c r="AR501" s="14">
        <f>ROUNDUP(L618,0)</f>
        <v>1</v>
      </c>
    </row>
    <row r="502" spans="1:44" x14ac:dyDescent="0.2">
      <c r="C502" s="76">
        <v>2</v>
      </c>
      <c r="D502" s="76">
        <v>2</v>
      </c>
      <c r="E502" s="97">
        <v>4.37</v>
      </c>
      <c r="F502" s="76">
        <v>7</v>
      </c>
      <c r="G502" s="76">
        <v>7</v>
      </c>
      <c r="H502" s="76">
        <v>0</v>
      </c>
      <c r="I502" s="76">
        <v>0</v>
      </c>
      <c r="J502" s="76">
        <v>0</v>
      </c>
      <c r="K502" s="76">
        <v>0</v>
      </c>
      <c r="L502" s="157">
        <f>(L500/100)/((L499+L500)/100)</f>
        <v>0.24376523532720795</v>
      </c>
      <c r="Y502" s="153"/>
      <c r="Z502" s="152">
        <f>Z500*L502</f>
        <v>-10.00271617430119</v>
      </c>
      <c r="AA502" s="153"/>
      <c r="AB502" s="153"/>
      <c r="AC502" s="152">
        <f>AC500*L502</f>
        <v>8.7755484717794872</v>
      </c>
      <c r="AD502" s="153"/>
      <c r="AE502" s="103"/>
      <c r="AF502" s="103"/>
      <c r="AG502" s="103"/>
      <c r="AH502" s="154">
        <f>AH500*L502</f>
        <v>2.0144384024001503</v>
      </c>
      <c r="AN502" s="72">
        <f>F499*LeagueRatings!$K$27</f>
        <v>0</v>
      </c>
      <c r="AO502" s="72">
        <f>G499*LeagueRatings!$K$27</f>
        <v>0</v>
      </c>
      <c r="AP502" s="72">
        <f>T502*LeagueRatings!$K$27</f>
        <v>0</v>
      </c>
      <c r="AQ502" s="30"/>
      <c r="AR502" s="14">
        <f>ROUNDUP(L619,0)</f>
        <v>1</v>
      </c>
    </row>
    <row r="503" spans="1:44" x14ac:dyDescent="0.2">
      <c r="C503" s="76">
        <v>4</v>
      </c>
      <c r="D503" s="76">
        <v>2</v>
      </c>
      <c r="E503" s="97">
        <v>4.1100000000000003</v>
      </c>
      <c r="F503" s="76">
        <v>10</v>
      </c>
      <c r="G503" s="76">
        <v>10</v>
      </c>
      <c r="H503" s="76">
        <v>0</v>
      </c>
      <c r="I503" s="76">
        <v>0</v>
      </c>
      <c r="J503" s="76">
        <v>0</v>
      </c>
      <c r="K503" s="76">
        <v>0</v>
      </c>
      <c r="Y503" s="153"/>
      <c r="Z503" s="152">
        <f>SUM(Z501:Z502)</f>
        <v>-15.87961394651016</v>
      </c>
      <c r="AA503" s="153"/>
      <c r="AB503" s="153"/>
      <c r="AC503" s="152">
        <f>SUM(AC501:AC502)</f>
        <v>12.238794183588015</v>
      </c>
      <c r="AD503" s="153"/>
      <c r="AE503" s="103"/>
      <c r="AF503" s="103"/>
      <c r="AG503" s="103"/>
      <c r="AH503" s="153">
        <f>SUM(AH501:AH502)</f>
        <v>4.4127376711044448</v>
      </c>
      <c r="AI503" s="41" t="s">
        <v>487</v>
      </c>
      <c r="AJ503" s="5" t="s">
        <v>19</v>
      </c>
      <c r="AK503" s="5" t="s">
        <v>32</v>
      </c>
      <c r="AL503" s="5" t="s">
        <v>40</v>
      </c>
      <c r="AM503" s="262">
        <f>SUM(AM499:AM502)</f>
        <v>0</v>
      </c>
      <c r="AN503" s="14">
        <f>SUM(AN499:AN502)</f>
        <v>30</v>
      </c>
      <c r="AO503" s="14">
        <f>SUM(AO499:AO502)</f>
        <v>0</v>
      </c>
      <c r="AP503" s="14">
        <f>SUM(AP499:AP502)</f>
        <v>146.11111111111111</v>
      </c>
      <c r="AQ503" s="30"/>
      <c r="AR503" s="14">
        <f>ROUNDUP(L620,0)</f>
        <v>0</v>
      </c>
    </row>
    <row r="504" spans="1:44" x14ac:dyDescent="0.2">
      <c r="AN504" s="72">
        <f>F501*LeagueRatings!$K$27</f>
        <v>0</v>
      </c>
      <c r="AO504" s="72">
        <f>G501*LeagueRatings!$K$27</f>
        <v>0</v>
      </c>
      <c r="AP504" s="72">
        <f>T504*LeagueRatings!$K$27</f>
        <v>0</v>
      </c>
      <c r="AQ504" s="30"/>
      <c r="AR504" s="14"/>
    </row>
    <row r="505" spans="1:44" x14ac:dyDescent="0.2">
      <c r="L505" s="97">
        <v>35</v>
      </c>
      <c r="M505" s="76">
        <v>41</v>
      </c>
      <c r="N505" s="76">
        <v>19</v>
      </c>
      <c r="O505" s="76">
        <v>17</v>
      </c>
      <c r="P505" s="76">
        <v>3</v>
      </c>
      <c r="Q505" s="76">
        <v>10</v>
      </c>
      <c r="R505" s="76">
        <v>0</v>
      </c>
      <c r="S505" s="76">
        <v>25</v>
      </c>
      <c r="T505" s="76">
        <v>156</v>
      </c>
      <c r="U505" s="76"/>
      <c r="V505" s="100"/>
      <c r="W505" s="76"/>
      <c r="Y505" s="151">
        <f>+(Q505-R505)/(T505-R505)*100</f>
        <v>6.4102564102564097</v>
      </c>
      <c r="Z505" s="152">
        <f>IF(Y505&lt;LeagueRatings!$K$10,((LeagueRatings!$K$10-Y505)/LeagueRatings!$K$10)*36,(LeagueRatings!$K$10-Y505)*6.48)</f>
        <v>9.3755214967731817</v>
      </c>
      <c r="AA505" s="153">
        <v>-0.65</v>
      </c>
      <c r="AB505" s="153">
        <f>(P505/(T505-R505))*100</f>
        <v>1.9230769230769231</v>
      </c>
      <c r="AC505" s="152">
        <f>IF(AB505&lt;LeagueRatings!$K$8,((LeagueRatings!$K$8-AB505)/LeagueRatings!$K$8)*36,(LeagueRatings!$K$8-AB505)/LeagueRatings!$K$11)</f>
        <v>14.38036809815951</v>
      </c>
      <c r="AD505" s="153">
        <v>-0.42</v>
      </c>
      <c r="AE505" s="103">
        <f>+((LeagueRatings!$I$6-E502)*5)+9.5</f>
        <v>8.6580514552774019</v>
      </c>
      <c r="AF505" s="103">
        <f>IF(AE505&lt;4,4,AE505)</f>
        <v>8.6580514552774019</v>
      </c>
      <c r="AG505" s="103">
        <f>IF(M505&lt;L505,((1-(M505/L505))*7)-0.07,(1-(M505/L505))*5)</f>
        <v>-0.85714285714285743</v>
      </c>
      <c r="AH505" s="154">
        <f>+AA505+AD505+AF505+AG505</f>
        <v>6.730908598134544</v>
      </c>
      <c r="AM505" s="262">
        <f>+AR388*LeagueRatings!$K$27</f>
        <v>0</v>
      </c>
      <c r="AN505" s="72">
        <f>F502*LeagueRatings!$K$27</f>
        <v>3.8888888888888893</v>
      </c>
      <c r="AO505" s="72">
        <f>G502*LeagueRatings!$K$27</f>
        <v>3.8888888888888893</v>
      </c>
      <c r="AP505" s="72">
        <f>T505*LeagueRatings!$K$27</f>
        <v>86.666666666666671</v>
      </c>
      <c r="AQ505" s="30"/>
      <c r="AR505" s="14">
        <f>ROUNDUP(L622,0)</f>
        <v>25</v>
      </c>
    </row>
    <row r="506" spans="1:44" x14ac:dyDescent="0.2">
      <c r="A506" t="s">
        <v>501</v>
      </c>
      <c r="B506" s="76" t="s">
        <v>146</v>
      </c>
      <c r="L506" s="97">
        <v>61.33</v>
      </c>
      <c r="M506" s="76">
        <v>47</v>
      </c>
      <c r="N506" s="76">
        <v>29</v>
      </c>
      <c r="O506" s="76">
        <v>28</v>
      </c>
      <c r="P506" s="76">
        <v>5</v>
      </c>
      <c r="Q506" s="76">
        <v>32</v>
      </c>
      <c r="R506" s="76">
        <v>0</v>
      </c>
      <c r="S506" s="76">
        <v>41</v>
      </c>
      <c r="T506" s="76">
        <v>259</v>
      </c>
      <c r="U506" s="76"/>
      <c r="V506" s="100"/>
      <c r="W506" s="76"/>
      <c r="X506" s="138"/>
      <c r="Y506" s="162">
        <f>+(Q506-R506)/(T506-R506)*100</f>
        <v>12.355212355212355</v>
      </c>
      <c r="Z506" s="163">
        <f>IF(Y506&lt;LeagueRatings!$K$21,((LeagueRatings!$K$21-Y506)/LeagueRatings!$K$21)*36,(LeagueRatings!$K$21-Y506)*6.48)</f>
        <v>-22.04623508244503</v>
      </c>
      <c r="AA506" s="164">
        <v>3.61</v>
      </c>
      <c r="AB506" s="164">
        <f>(P506/(T506-R506))*100</f>
        <v>1.9305019305019304</v>
      </c>
      <c r="AC506" s="163">
        <f>IF(AB506&lt;LeagueRatings!$K$19,((LeagueRatings!$K$19-AB506)/LeagueRatings!$K$19)*36,(LeagueRatings!$K$19-AB506)/LeagueRatings!$K$22)</f>
        <v>12.10107865713247</v>
      </c>
      <c r="AD506" s="164">
        <v>-0.35</v>
      </c>
      <c r="AE506" s="71">
        <f>+((LeagueRatings!$I$17-E503)*5)+9.5</f>
        <v>9.764387243706361</v>
      </c>
      <c r="AF506" s="71">
        <f>IF(AE506&lt;4,4,AE506)</f>
        <v>9.764387243706361</v>
      </c>
      <c r="AG506" s="103">
        <f>IF(M506&lt;L506,((1-(M506/L506))*7)-0.07,(1-(M506/L506))*5)</f>
        <v>1.5655780205445946</v>
      </c>
      <c r="AH506" s="165">
        <f>+AA506+AD506+AF506+AG506</f>
        <v>14.589965264250955</v>
      </c>
      <c r="AJ506" s="7"/>
      <c r="AK506" s="7"/>
      <c r="AL506" s="7"/>
      <c r="AM506" s="262">
        <f>+AR389*LeagueRatings!$K$27</f>
        <v>0</v>
      </c>
      <c r="AN506" s="72">
        <f>F503*LeagueRatings!$K$27</f>
        <v>5.5555555555555554</v>
      </c>
      <c r="AO506" s="72">
        <f>G503*LeagueRatings!$K$27</f>
        <v>5.5555555555555554</v>
      </c>
      <c r="AP506" s="72">
        <f>T506*LeagueRatings!$K$27</f>
        <v>143.88888888888889</v>
      </c>
      <c r="AQ506" s="30"/>
      <c r="AR506" s="14">
        <f>ROUNDUP(L623,0)</f>
        <v>12</v>
      </c>
    </row>
    <row r="507" spans="1:44" x14ac:dyDescent="0.2">
      <c r="A507" s="41" t="s">
        <v>501</v>
      </c>
      <c r="B507" s="76" t="s">
        <v>172</v>
      </c>
      <c r="L507" s="157">
        <f>(L505/100)/((L505+L506)/100)</f>
        <v>0.36333437143153741</v>
      </c>
      <c r="T507" s="158"/>
      <c r="U507" s="158"/>
      <c r="V507" s="282"/>
      <c r="W507" s="158"/>
      <c r="X507" s="158"/>
      <c r="Y507" s="153"/>
      <c r="Z507" s="152">
        <f>Z505*L507</f>
        <v>3.4064492098729509</v>
      </c>
      <c r="AA507" s="153"/>
      <c r="AB507" s="153"/>
      <c r="AC507" s="152">
        <f>AC505*L507</f>
        <v>5.2248820038989185</v>
      </c>
      <c r="AD507" s="153"/>
      <c r="AE507" s="103"/>
      <c r="AF507" s="103"/>
      <c r="AG507" s="103"/>
      <c r="AH507" s="154">
        <f>AH505*L507</f>
        <v>2.4455704446663451</v>
      </c>
      <c r="AJ507" s="5"/>
      <c r="AK507" s="5"/>
      <c r="AL507" s="5"/>
      <c r="AN507" s="72">
        <f>F504*LeagueRatings!$K$27</f>
        <v>0</v>
      </c>
      <c r="AO507" s="72">
        <f>G504*LeagueRatings!$K$27</f>
        <v>0</v>
      </c>
      <c r="AP507" s="72">
        <f>T507*LeagueRatings!$K$27</f>
        <v>0</v>
      </c>
      <c r="AQ507" s="30"/>
      <c r="AR507" s="14">
        <f>ROUNDUP(L624,0)</f>
        <v>1</v>
      </c>
    </row>
    <row r="508" spans="1:44" x14ac:dyDescent="0.2">
      <c r="C508" s="76">
        <v>11</v>
      </c>
      <c r="D508" s="76">
        <v>7</v>
      </c>
      <c r="E508" s="97">
        <v>3.6</v>
      </c>
      <c r="F508" s="76">
        <v>21</v>
      </c>
      <c r="G508" s="76">
        <v>21</v>
      </c>
      <c r="H508" s="76">
        <v>1</v>
      </c>
      <c r="I508" s="76">
        <v>0</v>
      </c>
      <c r="J508" s="76">
        <v>0</v>
      </c>
      <c r="K508" s="76">
        <v>0</v>
      </c>
      <c r="L508" s="157">
        <f>(L506/100)/((L505+L506)/100)</f>
        <v>0.63666562856846254</v>
      </c>
      <c r="T508" s="158"/>
      <c r="U508" s="158"/>
      <c r="V508" s="282"/>
      <c r="W508" s="158"/>
      <c r="X508" s="158"/>
      <c r="Y508" s="153"/>
      <c r="Z508" s="152">
        <f>Z506*L508</f>
        <v>-14.036080116332956</v>
      </c>
      <c r="AA508" s="153"/>
      <c r="AB508" s="153"/>
      <c r="AC508" s="152">
        <f>AC506*L508</f>
        <v>7.7043408495996513</v>
      </c>
      <c r="AD508" s="153"/>
      <c r="AE508" s="103"/>
      <c r="AF508" s="103"/>
      <c r="AG508" s="103"/>
      <c r="AH508" s="154">
        <f>AH506*L508</f>
        <v>9.2889294057563685</v>
      </c>
      <c r="AJ508" s="5"/>
      <c r="AK508" s="5"/>
      <c r="AL508" s="5"/>
      <c r="AN508" s="72">
        <f>F505*LeagueRatings!$K$27</f>
        <v>0</v>
      </c>
      <c r="AO508" s="72">
        <f>G505*LeagueRatings!$K$27</f>
        <v>0</v>
      </c>
      <c r="AP508" s="72">
        <f>T508*LeagueRatings!$K$27</f>
        <v>0</v>
      </c>
      <c r="AQ508" s="30"/>
      <c r="AR508" s="14">
        <f>ROUNDUP(L625,0)</f>
        <v>1</v>
      </c>
    </row>
    <row r="509" spans="1:44" x14ac:dyDescent="0.2">
      <c r="C509" s="76">
        <v>3</v>
      </c>
      <c r="D509" s="76">
        <v>3</v>
      </c>
      <c r="E509" s="97">
        <v>4.3</v>
      </c>
      <c r="F509" s="76">
        <v>10</v>
      </c>
      <c r="G509" s="76">
        <v>10</v>
      </c>
      <c r="H509" s="76">
        <v>0</v>
      </c>
      <c r="I509" s="76">
        <v>0</v>
      </c>
      <c r="J509" s="76">
        <v>0</v>
      </c>
      <c r="K509" s="76">
        <v>0</v>
      </c>
      <c r="T509" s="158"/>
      <c r="U509" s="158"/>
      <c r="V509" s="282"/>
      <c r="W509" s="158"/>
      <c r="X509" s="158"/>
      <c r="Y509" s="153"/>
      <c r="Z509" s="152">
        <f>SUM(Z507:Z508)</f>
        <v>-10.629630906460005</v>
      </c>
      <c r="AA509" s="153"/>
      <c r="AB509" s="153"/>
      <c r="AC509" s="152">
        <f>SUM(AC507:AC508)</f>
        <v>12.929222853498569</v>
      </c>
      <c r="AD509" s="153"/>
      <c r="AE509" s="103"/>
      <c r="AF509" s="103"/>
      <c r="AG509" s="103"/>
      <c r="AH509" s="153">
        <f>SUM(AH507:AH508)</f>
        <v>11.734499850422713</v>
      </c>
      <c r="AI509" s="41" t="s">
        <v>463</v>
      </c>
      <c r="AJ509" s="5" t="s">
        <v>39</v>
      </c>
      <c r="AK509" s="5" t="s">
        <v>41</v>
      </c>
      <c r="AL509" s="5" t="s">
        <v>47</v>
      </c>
      <c r="AM509" s="262">
        <f>SUM(AM505:AM508)</f>
        <v>0</v>
      </c>
      <c r="AN509" s="14">
        <f>SUM(AN505:AN508)</f>
        <v>9.4444444444444446</v>
      </c>
      <c r="AO509" s="14">
        <f>SUM(AO505:AO508)</f>
        <v>9.4444444444444446</v>
      </c>
      <c r="AP509" s="14">
        <f>SUM(AP505:AP508)</f>
        <v>230.55555555555554</v>
      </c>
      <c r="AQ509" s="30"/>
      <c r="AR509" s="14">
        <f>ROUNDUP(L626,0)</f>
        <v>0</v>
      </c>
    </row>
    <row r="510" spans="1:44" x14ac:dyDescent="0.2">
      <c r="AN510" s="72">
        <f>F507*LeagueRatings!$K$27</f>
        <v>0</v>
      </c>
      <c r="AO510" s="72">
        <f>G507*LeagueRatings!$K$27</f>
        <v>0</v>
      </c>
      <c r="AP510" s="72">
        <f>T510*LeagueRatings!$K$27</f>
        <v>0</v>
      </c>
      <c r="AQ510" s="30"/>
      <c r="AR510" s="14"/>
    </row>
    <row r="511" spans="1:44" x14ac:dyDescent="0.2">
      <c r="L511" s="97">
        <v>137.33000000000001</v>
      </c>
      <c r="M511" s="76">
        <v>137</v>
      </c>
      <c r="N511" s="76">
        <v>60</v>
      </c>
      <c r="O511" s="76">
        <v>55</v>
      </c>
      <c r="P511" s="76">
        <v>15</v>
      </c>
      <c r="Q511" s="76">
        <v>32</v>
      </c>
      <c r="R511" s="76">
        <v>0</v>
      </c>
      <c r="S511" s="76">
        <v>116</v>
      </c>
      <c r="T511" s="76">
        <v>572</v>
      </c>
      <c r="U511" s="76"/>
      <c r="V511" s="100"/>
      <c r="W511" s="76"/>
      <c r="Y511" s="151">
        <f>+(Q511-R511)/(T511-R511)*100</f>
        <v>5.5944055944055942</v>
      </c>
      <c r="Z511" s="152">
        <f>IF(Y511&lt;LeagueRatings!$K$21,((LeagueRatings!$K$21-Y511)/LeagueRatings!$K$21)*36,(LeagueRatings!$K$21-Y511)*6.48)</f>
        <v>13.504942382112983</v>
      </c>
      <c r="AA511" s="153">
        <v>-0.92</v>
      </c>
      <c r="AB511" s="153">
        <f>(P511/(T511-R511))*100</f>
        <v>2.6223776223776225</v>
      </c>
      <c r="AC511" s="152">
        <f>IF(AB511&lt;LeagueRatings!$K$19,((LeagueRatings!$K$19-AB511)/LeagueRatings!$K$19)*36,(LeagueRatings!$K$19-AB511)/LeagueRatings!$K$22)</f>
        <v>3.535905798237637</v>
      </c>
      <c r="AD511" s="153">
        <v>0.24</v>
      </c>
      <c r="AE511" s="103">
        <f>+((LeagueRatings!$I$17-E508)*5)+9.5</f>
        <v>12.314387243706362</v>
      </c>
      <c r="AF511" s="103">
        <f>IF(AE511&lt;4,4,AE511)</f>
        <v>12.314387243706362</v>
      </c>
      <c r="AG511" s="103">
        <f>IF(M511&lt;L511,((1-(M511/L511))*7)-0.07,(1-(M511/L511))*5)</f>
        <v>-5.3179203378722339E-2</v>
      </c>
      <c r="AH511" s="154">
        <f>+AA511+AD511+AF511+AG511</f>
        <v>11.58120804032764</v>
      </c>
      <c r="AM511" s="262">
        <f>+AR394*LeagueRatings!$K$27</f>
        <v>0</v>
      </c>
      <c r="AN511" s="72">
        <f>F508*LeagueRatings!$K$27</f>
        <v>11.666666666666668</v>
      </c>
      <c r="AO511" s="72">
        <f>G508*LeagueRatings!$K$27</f>
        <v>11.666666666666668</v>
      </c>
      <c r="AP511" s="72">
        <f>T511*LeagueRatings!$K$27</f>
        <v>317.77777777777777</v>
      </c>
      <c r="AQ511" s="30"/>
      <c r="AR511" s="14">
        <f t="shared" ref="AR511:AR529" si="3">ROUNDUP(L628,0)</f>
        <v>79</v>
      </c>
    </row>
    <row r="512" spans="1:44" x14ac:dyDescent="0.2">
      <c r="A512" t="s">
        <v>503</v>
      </c>
      <c r="B512" s="76" t="s">
        <v>146</v>
      </c>
      <c r="L512" s="97">
        <v>60.67</v>
      </c>
      <c r="M512" s="76">
        <v>69</v>
      </c>
      <c r="N512" s="76">
        <v>34</v>
      </c>
      <c r="O512" s="76">
        <v>29</v>
      </c>
      <c r="P512" s="76">
        <v>9</v>
      </c>
      <c r="Q512" s="76">
        <v>15</v>
      </c>
      <c r="R512" s="76">
        <v>1</v>
      </c>
      <c r="S512" s="76">
        <v>48</v>
      </c>
      <c r="T512" s="76">
        <v>261</v>
      </c>
      <c r="U512" s="76"/>
      <c r="V512" s="100"/>
      <c r="W512" s="76"/>
      <c r="X512" s="138"/>
      <c r="Y512" s="151">
        <f>+(Q512-R512)/(T512-R512)*100</f>
        <v>5.384615384615385</v>
      </c>
      <c r="Z512" s="152">
        <f>IF(Y512&lt;LeagueRatings!$K$21,((LeagueRatings!$K$21-Y512)/LeagueRatings!$K$21)*36,(LeagueRatings!$K$21-Y512)*6.48)</f>
        <v>14.348507042783744</v>
      </c>
      <c r="AA512" s="153">
        <v>-1.01</v>
      </c>
      <c r="AB512" s="153">
        <f>(P512/(T512-R512))*100</f>
        <v>3.4615384615384617</v>
      </c>
      <c r="AC512" s="152">
        <f>IF(AB512&lt;LeagueRatings!$K$19,((LeagueRatings!$K$19-AB512)/LeagueRatings!$K$19)*36,(LeagueRatings!$K$19-AB512)/LeagueRatings!$K$22)</f>
        <v>-4.4725778611632272</v>
      </c>
      <c r="AD512" s="153">
        <v>0.92</v>
      </c>
      <c r="AE512" s="103">
        <f>+((LeagueRatings!$I$17-E509)*5)+9.5</f>
        <v>8.8143872437063635</v>
      </c>
      <c r="AF512" s="103">
        <f>IF(AE512&lt;4,4,AE512)</f>
        <v>8.8143872437063635</v>
      </c>
      <c r="AG512" s="103">
        <f>IF(M512&lt;L512,((1-(M512/L512))*7)-0.07,(1-(M512/L512))*5)</f>
        <v>-0.68650074171748843</v>
      </c>
      <c r="AH512" s="154">
        <f>+AA512+AD512+AF512+AG512</f>
        <v>8.0378865019888757</v>
      </c>
      <c r="AJ512" s="5"/>
      <c r="AK512" s="5"/>
      <c r="AL512" s="5"/>
      <c r="AM512" s="262">
        <f>+AR395*LeagueRatings!$K$27</f>
        <v>0</v>
      </c>
      <c r="AN512" s="72">
        <f>F509*LeagueRatings!$K$27</f>
        <v>5.5555555555555554</v>
      </c>
      <c r="AO512" s="72">
        <f>G509*LeagueRatings!$K$27</f>
        <v>5.5555555555555554</v>
      </c>
      <c r="AP512" s="72">
        <f>T512*LeagueRatings!$K$27</f>
        <v>145</v>
      </c>
      <c r="AQ512" s="30"/>
      <c r="AR512" s="14">
        <f t="shared" si="3"/>
        <v>35</v>
      </c>
    </row>
    <row r="513" spans="1:44" x14ac:dyDescent="0.2">
      <c r="A513" s="41" t="s">
        <v>503</v>
      </c>
      <c r="B513" s="76" t="s">
        <v>153</v>
      </c>
      <c r="L513" s="157">
        <f>(L511/100)/((L511+L512)/100)</f>
        <v>0.69358585858585864</v>
      </c>
      <c r="T513" s="158"/>
      <c r="U513" s="158"/>
      <c r="V513" s="282"/>
      <c r="W513" s="158"/>
      <c r="X513" s="158"/>
      <c r="Y513" s="153"/>
      <c r="Z513" s="152">
        <f>Z511*L513</f>
        <v>9.3668370572503843</v>
      </c>
      <c r="AA513" s="153"/>
      <c r="AB513" s="153"/>
      <c r="AC513" s="152">
        <f>AC511*L513</f>
        <v>2.4524542589493672</v>
      </c>
      <c r="AD513" s="153"/>
      <c r="AE513" s="103"/>
      <c r="AF513" s="103"/>
      <c r="AG513" s="103"/>
      <c r="AH513" s="154">
        <f>AH511*L513</f>
        <v>8.0325621221120951</v>
      </c>
      <c r="AJ513" s="5"/>
      <c r="AK513" s="5"/>
      <c r="AL513" s="5"/>
      <c r="AN513" s="72">
        <f>F510*LeagueRatings!$K$27</f>
        <v>0</v>
      </c>
      <c r="AO513" s="72">
        <f>G510*LeagueRatings!$K$27</f>
        <v>0</v>
      </c>
      <c r="AP513" s="72">
        <f>T513*LeagueRatings!$K$27</f>
        <v>0</v>
      </c>
      <c r="AQ513" s="30"/>
      <c r="AR513" s="14">
        <f t="shared" si="3"/>
        <v>1</v>
      </c>
    </row>
    <row r="514" spans="1:44" x14ac:dyDescent="0.2">
      <c r="C514" s="76">
        <v>10</v>
      </c>
      <c r="D514" s="76">
        <v>7</v>
      </c>
      <c r="E514" s="97">
        <v>2.52</v>
      </c>
      <c r="F514" s="76">
        <v>21</v>
      </c>
      <c r="G514" s="76">
        <v>21</v>
      </c>
      <c r="H514" s="76">
        <v>0</v>
      </c>
      <c r="I514" s="76">
        <v>0</v>
      </c>
      <c r="J514" s="76">
        <v>0</v>
      </c>
      <c r="K514" s="76">
        <v>0</v>
      </c>
      <c r="L514" s="157">
        <f>(L512/100)/((L511+L512)/100)</f>
        <v>0.30641414141414142</v>
      </c>
      <c r="T514" s="158"/>
      <c r="U514" s="158"/>
      <c r="V514" s="282"/>
      <c r="W514" s="158"/>
      <c r="X514" s="158"/>
      <c r="Y514" s="153"/>
      <c r="Z514" s="152">
        <f>Z512*L514</f>
        <v>4.3965854660893422</v>
      </c>
      <c r="AA514" s="153"/>
      <c r="AB514" s="153"/>
      <c r="AC514" s="152">
        <f>AC512*L514</f>
        <v>-1.3704611052362272</v>
      </c>
      <c r="AD514" s="153"/>
      <c r="AE514" s="103"/>
      <c r="AF514" s="103"/>
      <c r="AG514" s="103"/>
      <c r="AH514" s="154">
        <f>AH512*L514</f>
        <v>2.462922091291238</v>
      </c>
      <c r="AJ514" s="5"/>
      <c r="AK514" s="5"/>
      <c r="AL514" s="5"/>
      <c r="AN514" s="72">
        <f>F511*LeagueRatings!$K$27</f>
        <v>0</v>
      </c>
      <c r="AO514" s="72">
        <f>G511*LeagueRatings!$K$27</f>
        <v>0</v>
      </c>
      <c r="AP514" s="72">
        <f>T514*LeagueRatings!$K$27</f>
        <v>0</v>
      </c>
      <c r="AQ514" s="30"/>
      <c r="AR514" s="14">
        <f t="shared" si="3"/>
        <v>1</v>
      </c>
    </row>
    <row r="515" spans="1:44" x14ac:dyDescent="0.2">
      <c r="C515" s="76">
        <v>6</v>
      </c>
      <c r="D515" s="76">
        <v>4</v>
      </c>
      <c r="E515" s="97">
        <v>2.35</v>
      </c>
      <c r="F515" s="76">
        <v>11</v>
      </c>
      <c r="G515" s="76">
        <v>11</v>
      </c>
      <c r="H515" s="76">
        <v>1</v>
      </c>
      <c r="I515" s="76">
        <v>1</v>
      </c>
      <c r="J515" s="76">
        <v>0</v>
      </c>
      <c r="K515" s="76">
        <v>0</v>
      </c>
      <c r="T515" s="158"/>
      <c r="U515" s="158"/>
      <c r="V515" s="282"/>
      <c r="W515" s="158"/>
      <c r="X515" s="158"/>
      <c r="Y515" s="153"/>
      <c r="Z515" s="152">
        <f>SUM(Z513:Z514)</f>
        <v>13.763422523339727</v>
      </c>
      <c r="AA515" s="153"/>
      <c r="AB515" s="153"/>
      <c r="AC515" s="152">
        <f>SUM(AC513:AC514)</f>
        <v>1.08199315371314</v>
      </c>
      <c r="AD515" s="153"/>
      <c r="AE515" s="103"/>
      <c r="AF515" s="103"/>
      <c r="AG515" s="103"/>
      <c r="AH515" s="153">
        <f>SUM(AH513:AH514)</f>
        <v>10.495484213403333</v>
      </c>
      <c r="AI515" s="41" t="s">
        <v>501</v>
      </c>
      <c r="AJ515" s="5" t="s">
        <v>55</v>
      </c>
      <c r="AK515" s="5" t="s">
        <v>58</v>
      </c>
      <c r="AL515" s="5" t="s">
        <v>25</v>
      </c>
      <c r="AM515" s="262">
        <f>SUM(AM511:AM514)</f>
        <v>0</v>
      </c>
      <c r="AN515" s="14">
        <f>SUM(AN511:AN514)</f>
        <v>17.222222222222221</v>
      </c>
      <c r="AO515" s="14">
        <f>SUM(AO511:AO514)</f>
        <v>17.222222222222221</v>
      </c>
      <c r="AP515" s="14">
        <f>SUM(AP511:AP514)</f>
        <v>462.77777777777777</v>
      </c>
      <c r="AQ515" s="30"/>
      <c r="AR515" s="14">
        <f t="shared" si="3"/>
        <v>0</v>
      </c>
    </row>
    <row r="516" spans="1:44" x14ac:dyDescent="0.2">
      <c r="AN516" s="72">
        <f>F513*LeagueRatings!$K$27</f>
        <v>0</v>
      </c>
      <c r="AO516" s="72">
        <f>G513*LeagueRatings!$K$27</f>
        <v>0</v>
      </c>
      <c r="AP516" s="72">
        <f>T516*LeagueRatings!$K$27</f>
        <v>0</v>
      </c>
      <c r="AQ516" s="30"/>
      <c r="AR516" s="14">
        <f t="shared" si="3"/>
        <v>0</v>
      </c>
    </row>
    <row r="517" spans="1:44" x14ac:dyDescent="0.2">
      <c r="L517" s="97">
        <v>143</v>
      </c>
      <c r="M517" s="76">
        <v>128</v>
      </c>
      <c r="N517" s="76">
        <v>52</v>
      </c>
      <c r="O517" s="76">
        <v>40</v>
      </c>
      <c r="P517" s="76">
        <v>9</v>
      </c>
      <c r="Q517" s="76">
        <v>32</v>
      </c>
      <c r="R517" s="76">
        <v>0</v>
      </c>
      <c r="S517" s="76">
        <v>149</v>
      </c>
      <c r="T517" s="76">
        <v>580</v>
      </c>
      <c r="U517" s="76"/>
      <c r="V517" s="100"/>
      <c r="W517" s="76"/>
      <c r="Y517" s="151">
        <f>+(Q517-R517)/(T517-R517)*100</f>
        <v>5.5172413793103452</v>
      </c>
      <c r="Z517" s="152">
        <f>IF(Y517&lt;LeagueRatings!$K$10,((LeagueRatings!$K$10-Y517)/LeagueRatings!$K$10)*36,(LeagueRatings!$K$10-Y517)*6.48)</f>
        <v>13.084586777912362</v>
      </c>
      <c r="AA517" s="153">
        <v>-1.01</v>
      </c>
      <c r="AB517" s="153">
        <f>(P517/(T517-R517))*100</f>
        <v>1.5517241379310345</v>
      </c>
      <c r="AC517" s="152">
        <f>IF(AB517&lt;LeagueRatings!$K$8,((LeagueRatings!$K$8-AB517)/LeagueRatings!$K$8)*36,(LeagueRatings!$K$8-AB517)/LeagueRatings!$K$11)</f>
        <v>18.555193568859742</v>
      </c>
      <c r="AD517" s="153">
        <v>-0.89</v>
      </c>
      <c r="AE517" s="103">
        <f>+((LeagueRatings!$I$6-E514)*5)+9.5</f>
        <v>17.908051455277402</v>
      </c>
      <c r="AF517" s="103">
        <f>IF(AE517&lt;4,4,AE517)</f>
        <v>17.908051455277402</v>
      </c>
      <c r="AG517" s="103">
        <f>IF(M517&lt;L517,((1-(M517/L517))*7)-0.07,(1-(M517/L517))*5)</f>
        <v>0.66426573426573432</v>
      </c>
      <c r="AH517" s="154">
        <f>+AA517+AD517+AF517+AG517</f>
        <v>16.672317189543136</v>
      </c>
      <c r="AM517" s="262">
        <f>+AR400*LeagueRatings!$K$27</f>
        <v>0</v>
      </c>
      <c r="AN517" s="72">
        <f>F514*LeagueRatings!$K$27</f>
        <v>11.666666666666668</v>
      </c>
      <c r="AO517" s="72">
        <f>G514*LeagueRatings!$K$27</f>
        <v>11.666666666666668</v>
      </c>
      <c r="AP517" s="72">
        <f>T517*LeagueRatings!$K$27</f>
        <v>322.22222222222223</v>
      </c>
      <c r="AQ517" s="30"/>
      <c r="AR517" s="14">
        <f t="shared" si="3"/>
        <v>14</v>
      </c>
    </row>
    <row r="518" spans="1:44" x14ac:dyDescent="0.2">
      <c r="A518" t="s">
        <v>527</v>
      </c>
      <c r="B518" s="76" t="s">
        <v>148</v>
      </c>
      <c r="L518" s="97">
        <v>76.67</v>
      </c>
      <c r="M518" s="76">
        <v>66</v>
      </c>
      <c r="N518" s="76">
        <v>24</v>
      </c>
      <c r="O518" s="76">
        <v>20</v>
      </c>
      <c r="P518" s="76">
        <v>7</v>
      </c>
      <c r="Q518" s="76">
        <v>16</v>
      </c>
      <c r="R518" s="76">
        <v>0</v>
      </c>
      <c r="S518" s="76">
        <v>71</v>
      </c>
      <c r="T518" s="76">
        <v>305</v>
      </c>
      <c r="U518" s="76"/>
      <c r="V518" s="100"/>
      <c r="W518" s="76"/>
      <c r="X518" s="138"/>
      <c r="Y518" s="151">
        <f>+(Q518-R518)/(T518-R518)*100</f>
        <v>5.2459016393442619</v>
      </c>
      <c r="Z518" s="152">
        <f>IF(Y518&lt;LeagueRatings!$K$10,((LeagueRatings!$K$10-Y518)/LeagueRatings!$K$10)*36,(LeagueRatings!$K$10-Y518)*6.48)</f>
        <v>14.211574313424872</v>
      </c>
      <c r="AA518" s="153">
        <v>-1.1000000000000001</v>
      </c>
      <c r="AB518" s="153">
        <f>(P518/(T518-R518))*100</f>
        <v>2.2950819672131146</v>
      </c>
      <c r="AC518" s="152">
        <f>IF(AB518&lt;LeagueRatings!$K$8,((LeagueRatings!$K$8-AB518)/LeagueRatings!$K$8)*36,(LeagueRatings!$K$8-AB518)/LeagueRatings!$K$11)</f>
        <v>10.19820979583627</v>
      </c>
      <c r="AD518" s="153">
        <v>-7.0000000000000007E-2</v>
      </c>
      <c r="AE518" s="103">
        <f>+((LeagueRatings!$I$6-E515)*5)+9.5</f>
        <v>18.758051455277403</v>
      </c>
      <c r="AF518" s="103">
        <f>IF(AE518&lt;4,4,AE518)</f>
        <v>18.758051455277403</v>
      </c>
      <c r="AG518" s="103">
        <f>IF(M518&lt;L518,((1-(M518/L518))*7)-0.07,(1-(M518/L518))*5)</f>
        <v>0.90417503586800563</v>
      </c>
      <c r="AH518" s="154">
        <f>+AA518+AD518+AF518+AG518</f>
        <v>18.492226491145406</v>
      </c>
      <c r="AJ518" s="5"/>
      <c r="AK518" s="5"/>
      <c r="AL518" s="5"/>
      <c r="AM518" s="262">
        <f>+AR401*LeagueRatings!$K$27</f>
        <v>0</v>
      </c>
      <c r="AN518" s="72">
        <f>F515*LeagueRatings!$K$27</f>
        <v>6.1111111111111116</v>
      </c>
      <c r="AO518" s="72">
        <f>G515*LeagueRatings!$K$27</f>
        <v>6.1111111111111116</v>
      </c>
      <c r="AP518" s="72">
        <f>T518*LeagueRatings!$K$27</f>
        <v>169.44444444444446</v>
      </c>
      <c r="AQ518" s="30"/>
      <c r="AR518" s="14">
        <f t="shared" si="3"/>
        <v>33</v>
      </c>
    </row>
    <row r="519" spans="1:44" x14ac:dyDescent="0.2">
      <c r="A519" s="41" t="s">
        <v>527</v>
      </c>
      <c r="B519" s="76" t="s">
        <v>172</v>
      </c>
      <c r="L519" s="157">
        <f>(L517/100)/((L517+L518)/100)</f>
        <v>0.6509764646970454</v>
      </c>
      <c r="T519" s="158"/>
      <c r="U519" s="158"/>
      <c r="V519" s="282"/>
      <c r="W519" s="158"/>
      <c r="X519" s="158"/>
      <c r="Y519" s="153"/>
      <c r="Z519" s="152">
        <f>Z517*L519</f>
        <v>8.5177580427070936</v>
      </c>
      <c r="AA519" s="153"/>
      <c r="AB519" s="153"/>
      <c r="AC519" s="152">
        <f>AC517*L519</f>
        <v>12.078994311225667</v>
      </c>
      <c r="AD519" s="153"/>
      <c r="AE519" s="103"/>
      <c r="AF519" s="103"/>
      <c r="AG519" s="103"/>
      <c r="AH519" s="154">
        <f>AH517*L519</f>
        <v>10.85328610235657</v>
      </c>
      <c r="AJ519" s="5"/>
      <c r="AK519" s="5"/>
      <c r="AL519" s="5"/>
      <c r="AN519" s="72">
        <f>F516*LeagueRatings!$K$27</f>
        <v>0</v>
      </c>
      <c r="AO519" s="72">
        <f>G516*LeagueRatings!$K$27</f>
        <v>0</v>
      </c>
      <c r="AP519" s="72">
        <f>T519*LeagueRatings!$K$27</f>
        <v>0</v>
      </c>
      <c r="AQ519" s="30"/>
      <c r="AR519" s="14">
        <f t="shared" si="3"/>
        <v>1</v>
      </c>
    </row>
    <row r="520" spans="1:44" x14ac:dyDescent="0.2">
      <c r="C520" s="76">
        <v>4</v>
      </c>
      <c r="D520" s="76">
        <v>6</v>
      </c>
      <c r="E520" s="97">
        <v>5.51</v>
      </c>
      <c r="F520" s="76">
        <v>19</v>
      </c>
      <c r="G520" s="76">
        <v>19</v>
      </c>
      <c r="H520" s="76">
        <v>0</v>
      </c>
      <c r="I520" s="76">
        <v>0</v>
      </c>
      <c r="J520" s="76">
        <v>0</v>
      </c>
      <c r="K520" s="76">
        <v>0</v>
      </c>
      <c r="L520" s="157">
        <f>(L518/100)/((L517+L518)/100)</f>
        <v>0.34902353530295438</v>
      </c>
      <c r="T520" s="158"/>
      <c r="U520" s="158"/>
      <c r="V520" s="282"/>
      <c r="W520" s="158"/>
      <c r="X520" s="158"/>
      <c r="Y520" s="153"/>
      <c r="Z520" s="152">
        <f>Z518*L520</f>
        <v>4.9601739090922052</v>
      </c>
      <c r="AA520" s="153"/>
      <c r="AB520" s="153"/>
      <c r="AC520" s="152">
        <f>AC518*L520</f>
        <v>3.5594152367039955</v>
      </c>
      <c r="AD520" s="153"/>
      <c r="AE520" s="103"/>
      <c r="AF520" s="103"/>
      <c r="AG520" s="103"/>
      <c r="AH520" s="154">
        <f>AH518*L520</f>
        <v>6.4542222655625165</v>
      </c>
      <c r="AJ520" s="5"/>
      <c r="AK520" s="5"/>
      <c r="AL520" s="5"/>
      <c r="AN520" s="72">
        <f>F517*LeagueRatings!$K$27</f>
        <v>0</v>
      </c>
      <c r="AO520" s="72">
        <f>G517*LeagueRatings!$K$27</f>
        <v>0</v>
      </c>
      <c r="AP520" s="72">
        <f>T520*LeagueRatings!$K$27</f>
        <v>0</v>
      </c>
      <c r="AQ520" s="30"/>
      <c r="AR520" s="14">
        <f t="shared" si="3"/>
        <v>1</v>
      </c>
    </row>
    <row r="521" spans="1:44" x14ac:dyDescent="0.2">
      <c r="C521" s="76">
        <v>3</v>
      </c>
      <c r="D521" s="76">
        <v>3</v>
      </c>
      <c r="E521" s="97">
        <v>7.04</v>
      </c>
      <c r="F521" s="76">
        <v>9</v>
      </c>
      <c r="G521" s="76">
        <v>6</v>
      </c>
      <c r="H521" s="76">
        <v>0</v>
      </c>
      <c r="I521" s="76">
        <v>0</v>
      </c>
      <c r="J521" s="76">
        <v>0</v>
      </c>
      <c r="K521" s="76">
        <v>0</v>
      </c>
      <c r="T521" s="158"/>
      <c r="U521" s="158"/>
      <c r="V521" s="282"/>
      <c r="W521" s="158"/>
      <c r="X521" s="158"/>
      <c r="Y521" s="153"/>
      <c r="Z521" s="152">
        <f>SUM(Z519:Z520)</f>
        <v>13.477931951799299</v>
      </c>
      <c r="AA521" s="153"/>
      <c r="AB521" s="153"/>
      <c r="AC521" s="152">
        <f>SUM(AC519:AC520)</f>
        <v>15.638409547929662</v>
      </c>
      <c r="AD521" s="153"/>
      <c r="AE521" s="103"/>
      <c r="AF521" s="103"/>
      <c r="AG521" s="103"/>
      <c r="AH521" s="153">
        <f>SUM(AH519:AH520)</f>
        <v>17.307508367919088</v>
      </c>
      <c r="AI521" s="41" t="s">
        <v>503</v>
      </c>
      <c r="AJ521" s="5" t="s">
        <v>14</v>
      </c>
      <c r="AK521" s="5" t="s">
        <v>48</v>
      </c>
      <c r="AL521" s="5" t="s">
        <v>20</v>
      </c>
      <c r="AM521" s="262">
        <f>SUM(AM517:AM520)</f>
        <v>0</v>
      </c>
      <c r="AN521" s="14">
        <f>SUM(AN517:AN520)</f>
        <v>17.777777777777779</v>
      </c>
      <c r="AO521" s="14">
        <f>SUM(AO517:AO520)</f>
        <v>17.777777777777779</v>
      </c>
      <c r="AP521" s="14">
        <f>SUM(AP517:AP520)</f>
        <v>491.66666666666669</v>
      </c>
      <c r="AQ521" s="30"/>
      <c r="AR521" s="14">
        <f t="shared" si="3"/>
        <v>0</v>
      </c>
    </row>
    <row r="522" spans="1:44" x14ac:dyDescent="0.2">
      <c r="AN522" s="72">
        <f>F519*LeagueRatings!$K$27</f>
        <v>0</v>
      </c>
      <c r="AO522" s="72">
        <f>G519*LeagueRatings!$K$27</f>
        <v>0</v>
      </c>
      <c r="AP522" s="72">
        <f>T522*LeagueRatings!$K$27</f>
        <v>0</v>
      </c>
      <c r="AQ522" s="30"/>
      <c r="AR522" s="14">
        <f t="shared" si="3"/>
        <v>0</v>
      </c>
    </row>
    <row r="523" spans="1:44" x14ac:dyDescent="0.2">
      <c r="L523" s="97">
        <v>98</v>
      </c>
      <c r="M523" s="76">
        <v>106</v>
      </c>
      <c r="N523" s="76">
        <v>66</v>
      </c>
      <c r="O523" s="76">
        <v>60</v>
      </c>
      <c r="P523" s="76">
        <v>6</v>
      </c>
      <c r="Q523" s="76">
        <v>56</v>
      </c>
      <c r="R523" s="76">
        <v>2</v>
      </c>
      <c r="S523" s="76">
        <v>93</v>
      </c>
      <c r="T523" s="76">
        <v>452</v>
      </c>
      <c r="U523" s="76"/>
      <c r="V523" s="100"/>
      <c r="W523" s="76"/>
      <c r="Y523" s="151">
        <f>+(Q523-R523)/(T523-R523)*100</f>
        <v>12</v>
      </c>
      <c r="Z523" s="152">
        <f>IF(Y523&lt;LeagueRatings!$K$10,((LeagueRatings!$K$10-Y523)/LeagueRatings!$K$10)*36,(LeagueRatings!$K$10-Y523)*6.48)</f>
        <v>-21.59421950580634</v>
      </c>
      <c r="AA523" s="153">
        <v>3.23</v>
      </c>
      <c r="AB523" s="153">
        <f>(P523/(T523-R523))*100</f>
        <v>1.3333333333333335</v>
      </c>
      <c r="AC523" s="152">
        <f>IF(AB523&lt;LeagueRatings!$K$8,((LeagueRatings!$K$8-AB523)/LeagueRatings!$K$8)*36,(LeagueRatings!$K$8-AB523)/LeagueRatings!$K$11)</f>
        <v>21.010388548057261</v>
      </c>
      <c r="AD523" s="153">
        <v>-1.23</v>
      </c>
      <c r="AE523" s="103">
        <f>+((LeagueRatings!$I$6-E520)*5)+9.5</f>
        <v>2.9580514552774044</v>
      </c>
      <c r="AF523" s="103">
        <f>IF(AE523&lt;4,4,AE523)</f>
        <v>4</v>
      </c>
      <c r="AG523" s="103">
        <f>IF(M523&lt;L523,((1-(M523/L523))*7)-0.07,(1-(M523/L523))*5)</f>
        <v>-0.4081632653061229</v>
      </c>
      <c r="AH523" s="154">
        <f>+AA523+AD523+AF523+AG523</f>
        <v>5.5918367346938771</v>
      </c>
      <c r="AM523" s="262">
        <f>+AR406*LeagueRatings!$K$27</f>
        <v>54.44444444444445</v>
      </c>
      <c r="AN523" s="72">
        <f>F520*LeagueRatings!$K$27</f>
        <v>10.555555555555555</v>
      </c>
      <c r="AO523" s="72">
        <f>G520*LeagueRatings!$K$27</f>
        <v>10.555555555555555</v>
      </c>
      <c r="AP523" s="72">
        <f>T523*LeagueRatings!$K$27</f>
        <v>251.11111111111111</v>
      </c>
      <c r="AQ523" s="30"/>
      <c r="AR523" s="14">
        <f t="shared" si="3"/>
        <v>48</v>
      </c>
    </row>
    <row r="524" spans="1:44" x14ac:dyDescent="0.2">
      <c r="A524" t="s">
        <v>327</v>
      </c>
      <c r="B524" s="76" t="s">
        <v>159</v>
      </c>
      <c r="L524" s="97">
        <v>30.67</v>
      </c>
      <c r="M524" s="76">
        <v>35</v>
      </c>
      <c r="N524" s="76">
        <v>24</v>
      </c>
      <c r="O524" s="76">
        <v>24</v>
      </c>
      <c r="P524" s="76">
        <v>6</v>
      </c>
      <c r="Q524" s="76">
        <v>13</v>
      </c>
      <c r="R524" s="76">
        <v>0</v>
      </c>
      <c r="S524" s="76">
        <v>23</v>
      </c>
      <c r="T524" s="76">
        <v>140</v>
      </c>
      <c r="U524" s="76"/>
      <c r="V524" s="100"/>
      <c r="W524" s="76"/>
      <c r="X524" s="138"/>
      <c r="Y524" s="151">
        <f>+(Q524-R524)/(T524-R524)*100</f>
        <v>9.2857142857142865</v>
      </c>
      <c r="Z524" s="152">
        <f>IF(Y524&lt;LeagueRatings!$K$21,((LeagueRatings!$K$21-Y524)/LeagueRatings!$K$21)*36,(LeagueRatings!$K$21-Y524)*6.48)</f>
        <v>-2.1558875920975433</v>
      </c>
      <c r="AA524" s="153">
        <v>0.76</v>
      </c>
      <c r="AB524" s="153">
        <f>(P524/(T524-R524))*100</f>
        <v>4.2857142857142856</v>
      </c>
      <c r="AC524" s="152">
        <f>IF(AB524&lt;LeagueRatings!$K$19,((LeagueRatings!$K$19-AB524)/LeagueRatings!$K$19)*36,(LeagueRatings!$K$19-AB524)/LeagueRatings!$K$22)</f>
        <v>-11.131902439024389</v>
      </c>
      <c r="AD524" s="153">
        <v>1.76</v>
      </c>
      <c r="AE524" s="103">
        <f>+((LeagueRatings!$I$17-E521)*5)+9.5</f>
        <v>-4.8856127562936376</v>
      </c>
      <c r="AF524" s="103">
        <f>IF(AE524&lt;4,4,AE524)</f>
        <v>4</v>
      </c>
      <c r="AG524" s="103">
        <f>IF(M524&lt;L524,((1-(M524/L524))*7)-0.07,(1-(M524/L524))*5)</f>
        <v>-0.70590153244212583</v>
      </c>
      <c r="AH524" s="154">
        <f>+AA524+AD524+AF524+AG524</f>
        <v>5.8140984675578737</v>
      </c>
      <c r="AJ524" s="58"/>
      <c r="AK524" s="5"/>
      <c r="AL524" s="5"/>
      <c r="AM524" s="262">
        <f>+AR407*LeagueRatings!$K$27</f>
        <v>17.222222222222221</v>
      </c>
      <c r="AN524" s="72">
        <f>F521*LeagueRatings!$K$27</f>
        <v>5</v>
      </c>
      <c r="AO524" s="72">
        <f>G521*LeagueRatings!$K$27</f>
        <v>3.3333333333333335</v>
      </c>
      <c r="AP524" s="72">
        <f>T524*LeagueRatings!$K$27</f>
        <v>77.777777777777786</v>
      </c>
      <c r="AQ524" s="30"/>
      <c r="AR524" s="14">
        <f t="shared" si="3"/>
        <v>10</v>
      </c>
    </row>
    <row r="525" spans="1:44" x14ac:dyDescent="0.2">
      <c r="A525" s="41" t="s">
        <v>327</v>
      </c>
      <c r="B525" s="76" t="s">
        <v>152</v>
      </c>
      <c r="L525" s="157">
        <f>(L523/100)/((L523+L524)/100)</f>
        <v>0.76163829952591888</v>
      </c>
      <c r="T525" s="158"/>
      <c r="U525" s="158"/>
      <c r="V525" s="282"/>
      <c r="W525" s="158"/>
      <c r="X525" s="158"/>
      <c r="Y525" s="153"/>
      <c r="Z525" s="152">
        <f>Z523*L525</f>
        <v>-16.446984623991771</v>
      </c>
      <c r="AA525" s="153"/>
      <c r="AB525" s="153"/>
      <c r="AC525" s="152">
        <f>AC523*L525</f>
        <v>16.002316606121173</v>
      </c>
      <c r="AD525" s="153"/>
      <c r="AE525" s="103"/>
      <c r="AF525" s="103"/>
      <c r="AG525" s="103"/>
      <c r="AH525" s="154">
        <f>AH523*L525</f>
        <v>4.2589570218388113</v>
      </c>
      <c r="AJ525" s="5"/>
      <c r="AK525" s="5"/>
      <c r="AL525" s="5"/>
      <c r="AN525" s="72">
        <f>F522*LeagueRatings!$K$27</f>
        <v>0</v>
      </c>
      <c r="AO525" s="72">
        <f>G522*LeagueRatings!$K$27</f>
        <v>0</v>
      </c>
      <c r="AP525" s="72">
        <f>T525*LeagueRatings!$K$27</f>
        <v>0</v>
      </c>
      <c r="AQ525" s="30"/>
      <c r="AR525" s="14">
        <f t="shared" si="3"/>
        <v>58</v>
      </c>
    </row>
    <row r="526" spans="1:44" s="193" customFormat="1" x14ac:dyDescent="0.2">
      <c r="A526" s="146"/>
      <c r="B526" s="146"/>
      <c r="C526" s="76">
        <v>3</v>
      </c>
      <c r="D526" s="76">
        <v>10</v>
      </c>
      <c r="E526" s="97">
        <v>5.01</v>
      </c>
      <c r="F526" s="76">
        <v>18</v>
      </c>
      <c r="G526" s="76">
        <v>18</v>
      </c>
      <c r="H526" s="76">
        <v>0</v>
      </c>
      <c r="I526" s="76">
        <v>0</v>
      </c>
      <c r="J526" s="76">
        <v>0</v>
      </c>
      <c r="K526" s="76">
        <v>0</v>
      </c>
      <c r="L526" s="157">
        <f>(L524/100)/((L523+L524)/100)</f>
        <v>0.23836170047408098</v>
      </c>
      <c r="M526" s="146"/>
      <c r="N526" s="146"/>
      <c r="O526" s="146"/>
      <c r="P526" s="146"/>
      <c r="Q526" s="146"/>
      <c r="R526" s="146"/>
      <c r="S526" s="146"/>
      <c r="T526" s="158"/>
      <c r="U526" s="158"/>
      <c r="V526" s="282"/>
      <c r="W526" s="158"/>
      <c r="X526" s="158"/>
      <c r="Y526" s="153"/>
      <c r="Z526" s="152">
        <f>Z524*L526</f>
        <v>-0.51388103248334227</v>
      </c>
      <c r="AA526" s="153"/>
      <c r="AB526" s="153"/>
      <c r="AC526" s="152">
        <f>AC524*L526</f>
        <v>-2.6534191948774226</v>
      </c>
      <c r="AD526" s="153"/>
      <c r="AE526" s="103"/>
      <c r="AF526" s="103"/>
      <c r="AG526" s="103"/>
      <c r="AH526" s="154">
        <f>AH524*L526</f>
        <v>1.3858583974508432</v>
      </c>
      <c r="AI526" s="168"/>
      <c r="AJ526" s="5"/>
      <c r="AK526" s="5"/>
      <c r="AL526" s="5"/>
      <c r="AM526" s="262"/>
      <c r="AN526" s="72">
        <f>F523*LeagueRatings!$K$27</f>
        <v>0</v>
      </c>
      <c r="AO526" s="72">
        <f>G523*LeagueRatings!$K$27</f>
        <v>0</v>
      </c>
      <c r="AP526" s="72">
        <f>T526*LeagueRatings!$K$27</f>
        <v>0</v>
      </c>
      <c r="AQ526" s="30"/>
      <c r="AR526" s="14">
        <f t="shared" si="3"/>
        <v>1</v>
      </c>
    </row>
    <row r="527" spans="1:44" s="187" customFormat="1" x14ac:dyDescent="0.2">
      <c r="A527" s="146"/>
      <c r="B527" s="146"/>
      <c r="C527" s="76">
        <v>7</v>
      </c>
      <c r="D527" s="76">
        <v>5</v>
      </c>
      <c r="E527" s="97">
        <v>2.89</v>
      </c>
      <c r="F527" s="76">
        <v>14</v>
      </c>
      <c r="G527" s="76">
        <v>14</v>
      </c>
      <c r="H527" s="76">
        <v>1</v>
      </c>
      <c r="I527" s="76">
        <v>1</v>
      </c>
      <c r="J527" s="76">
        <v>0</v>
      </c>
      <c r="K527" s="76">
        <v>0</v>
      </c>
      <c r="L527" s="157"/>
      <c r="M527" s="146"/>
      <c r="N527" s="146"/>
      <c r="O527" s="146"/>
      <c r="P527" s="146"/>
      <c r="Q527" s="146"/>
      <c r="R527" s="146"/>
      <c r="S527" s="146"/>
      <c r="T527" s="158"/>
      <c r="U527" s="158"/>
      <c r="V527" s="282"/>
      <c r="W527" s="158"/>
      <c r="X527" s="158"/>
      <c r="Y527" s="153"/>
      <c r="Z527" s="152">
        <f>SUM(Z525:Z526)</f>
        <v>-16.960865656475114</v>
      </c>
      <c r="AA527" s="153"/>
      <c r="AB527" s="153"/>
      <c r="AC527" s="152">
        <f>SUM(AC525:AC526)</f>
        <v>13.348897411243751</v>
      </c>
      <c r="AD527" s="153"/>
      <c r="AE527" s="103"/>
      <c r="AF527" s="103"/>
      <c r="AG527" s="103"/>
      <c r="AH527" s="153">
        <f>SUM(AH525:AH526)</f>
        <v>5.6448154192896549</v>
      </c>
      <c r="AI527" s="41" t="s">
        <v>527</v>
      </c>
      <c r="AJ527" s="5" t="s">
        <v>24</v>
      </c>
      <c r="AK527" s="5" t="s">
        <v>32</v>
      </c>
      <c r="AL527" s="5" t="s">
        <v>20</v>
      </c>
      <c r="AM527" s="262">
        <f>SUM(AM523:AM526)</f>
        <v>71.666666666666671</v>
      </c>
      <c r="AN527" s="14">
        <f>SUM(AN523:AN526)</f>
        <v>15.555555555555555</v>
      </c>
      <c r="AO527" s="14">
        <f>SUM(AO523:AO526)</f>
        <v>13.888888888888889</v>
      </c>
      <c r="AP527" s="14">
        <f>SUM(AP523:AP526)</f>
        <v>328.88888888888891</v>
      </c>
      <c r="AQ527" s="30"/>
      <c r="AR527" s="14">
        <f t="shared" si="3"/>
        <v>1</v>
      </c>
    </row>
    <row r="528" spans="1:44" x14ac:dyDescent="0.2">
      <c r="T528" s="158"/>
      <c r="U528" s="158"/>
      <c r="V528" s="282"/>
      <c r="W528" s="158"/>
      <c r="X528" s="158"/>
      <c r="Y528" s="153"/>
      <c r="Z528" s="152"/>
      <c r="AA528" s="153"/>
      <c r="AB528" s="153"/>
      <c r="AC528" s="152"/>
      <c r="AD528" s="153"/>
      <c r="AE528" s="103"/>
      <c r="AF528" s="103"/>
      <c r="AG528" s="103"/>
      <c r="AH528" s="153"/>
      <c r="AI528" s="170"/>
      <c r="AJ528" s="5"/>
      <c r="AK528" s="5"/>
      <c r="AL528" s="5"/>
      <c r="AN528" s="14"/>
      <c r="AO528" s="14"/>
      <c r="AP528" s="14"/>
      <c r="AQ528" s="30"/>
      <c r="AR528" s="14">
        <f t="shared" si="3"/>
        <v>1</v>
      </c>
    </row>
    <row r="529" spans="1:44" x14ac:dyDescent="0.2">
      <c r="L529" s="97">
        <v>109.67</v>
      </c>
      <c r="M529" s="76">
        <v>131</v>
      </c>
      <c r="N529" s="76">
        <v>65</v>
      </c>
      <c r="O529" s="76">
        <v>61</v>
      </c>
      <c r="P529" s="76">
        <v>15</v>
      </c>
      <c r="Q529" s="76">
        <v>20</v>
      </c>
      <c r="R529" s="76">
        <v>4</v>
      </c>
      <c r="S529" s="76">
        <v>93</v>
      </c>
      <c r="T529" s="76">
        <v>466</v>
      </c>
      <c r="U529" s="76"/>
      <c r="V529" s="100"/>
      <c r="W529" s="76"/>
      <c r="Y529" s="151">
        <f>+(Q529-R529)/(T529-R529)*100</f>
        <v>3.4632034632034632</v>
      </c>
      <c r="Z529" s="152">
        <f>IF(Y529&lt;LeagueRatings!$K$21,((LeagueRatings!$K$21-Y529)/LeagueRatings!$K$21)*36,(LeagueRatings!$K$21-Y529)*6.48)</f>
        <v>22.074488141308038</v>
      </c>
      <c r="AA529" s="153">
        <v>-1.89</v>
      </c>
      <c r="AB529" s="153">
        <f>(P529/(T529-R529))*100</f>
        <v>3.2467532467532463</v>
      </c>
      <c r="AC529" s="152">
        <f>IF(AB529&lt;LeagueRatings!$K$19,((LeagueRatings!$K$19-AB529)/LeagueRatings!$K$19)*36,(LeagueRatings!$K$19-AB529)/LeagueRatings!$K$22)</f>
        <v>-2.737117516629707</v>
      </c>
      <c r="AD529" s="153">
        <v>0.71</v>
      </c>
      <c r="AE529" s="103">
        <f>+((LeagueRatings!$I$17-E526)*5)+9.5</f>
        <v>5.2643872437063637</v>
      </c>
      <c r="AF529" s="103">
        <f>IF(AE529&lt;4,4,AE529)</f>
        <v>5.2643872437063637</v>
      </c>
      <c r="AG529" s="103">
        <f>IF(M529&lt;L529,((1-(M529/L529))*7)-0.07,(1-(M529/L529))*5)</f>
        <v>-0.97246284307467845</v>
      </c>
      <c r="AH529" s="154">
        <f>+AA529+AD529+AF529+AG529</f>
        <v>3.1119244006316853</v>
      </c>
      <c r="AM529" s="262">
        <f>+AR412*LeagueRatings!$K$27</f>
        <v>61.111111111111114</v>
      </c>
      <c r="AN529" s="72">
        <f>F526*LeagueRatings!$K$27</f>
        <v>10</v>
      </c>
      <c r="AO529" s="72">
        <f>G526*LeagueRatings!$K$27</f>
        <v>10</v>
      </c>
      <c r="AP529" s="72">
        <f>T529*LeagueRatings!$K$27</f>
        <v>258.88888888888891</v>
      </c>
      <c r="AQ529" s="30"/>
      <c r="AR529" s="14">
        <f t="shared" si="3"/>
        <v>0</v>
      </c>
    </row>
    <row r="530" spans="1:44" x14ac:dyDescent="0.2">
      <c r="A530" t="s">
        <v>602</v>
      </c>
      <c r="B530" s="76" t="s">
        <v>153</v>
      </c>
      <c r="L530" s="97">
        <v>90.33</v>
      </c>
      <c r="M530" s="76">
        <v>91</v>
      </c>
      <c r="N530" s="76">
        <v>35</v>
      </c>
      <c r="O530" s="76">
        <v>29</v>
      </c>
      <c r="P530" s="76">
        <v>10</v>
      </c>
      <c r="Q530" s="76">
        <v>13</v>
      </c>
      <c r="R530" s="76">
        <v>0</v>
      </c>
      <c r="S530" s="76">
        <v>82</v>
      </c>
      <c r="T530" s="76">
        <v>370</v>
      </c>
      <c r="U530" s="76"/>
      <c r="V530" s="100"/>
      <c r="W530" s="76"/>
      <c r="X530" s="138"/>
      <c r="Y530" s="151">
        <f>+(Q530-R530)/(T530-R530)*100</f>
        <v>3.5135135135135136</v>
      </c>
      <c r="Z530" s="152">
        <f>IF(Y530&lt;LeagueRatings!$K$21,((LeagueRatings!$K$21-Y530)/LeagueRatings!$K$21)*36,(LeagueRatings!$K$21-Y530)*6.48)</f>
        <v>21.872191854171632</v>
      </c>
      <c r="AA530" s="153">
        <v>-1.79</v>
      </c>
      <c r="AB530" s="153">
        <f>(P530/(T530-R530))*100</f>
        <v>2.7027027027027026</v>
      </c>
      <c r="AC530" s="152">
        <f>IF(AB530&lt;LeagueRatings!$K$19,((LeagueRatings!$K$19-AB530)/LeagueRatings!$K$19)*36,(LeagueRatings!$K$19-AB530)/LeagueRatings!$K$22)</f>
        <v>2.5415101199854586</v>
      </c>
      <c r="AD530" s="153">
        <v>0.33</v>
      </c>
      <c r="AE530" s="103">
        <f>+((LeagueRatings!$I$17-E527)*5)+9.5</f>
        <v>15.864387243706362</v>
      </c>
      <c r="AF530" s="103">
        <f>IF(AE530&lt;4,4,AE530)</f>
        <v>15.864387243706362</v>
      </c>
      <c r="AG530" s="103">
        <f>IF(M530&lt;L530,((1-(M530/L530))*7)-0.07,(1-(M530/L530))*5)</f>
        <v>-3.7086239344625849E-2</v>
      </c>
      <c r="AH530" s="154">
        <f>+AA530+AD530+AF530+AG530</f>
        <v>14.367301004361737</v>
      </c>
      <c r="AJ530" s="5"/>
      <c r="AK530" s="5"/>
      <c r="AL530" s="5"/>
      <c r="AM530" s="262">
        <f>+AR413*LeagueRatings!$K$27</f>
        <v>50.555555555555557</v>
      </c>
      <c r="AN530" s="72">
        <f>F527*LeagueRatings!$K$27</f>
        <v>7.7777777777777786</v>
      </c>
      <c r="AO530" s="72">
        <f>G527*LeagueRatings!$K$27</f>
        <v>7.7777777777777786</v>
      </c>
      <c r="AP530" s="72">
        <f>T530*LeagueRatings!$K$27</f>
        <v>205.55555555555557</v>
      </c>
      <c r="AQ530" s="30"/>
      <c r="AR530" s="190"/>
    </row>
    <row r="531" spans="1:44" x14ac:dyDescent="0.2">
      <c r="A531" s="41" t="s">
        <v>602</v>
      </c>
      <c r="B531" s="76" t="s">
        <v>151</v>
      </c>
      <c r="L531" s="157">
        <f>(L529/100)/((L529+L530)/100)</f>
        <v>0.54835</v>
      </c>
      <c r="T531" s="158"/>
      <c r="U531" s="158"/>
      <c r="V531" s="282"/>
      <c r="W531" s="158"/>
      <c r="X531" s="158"/>
      <c r="Y531" s="153"/>
      <c r="Z531" s="152">
        <f>Z529*L531</f>
        <v>12.104545572286263</v>
      </c>
      <c r="AA531" s="153"/>
      <c r="AB531" s="153"/>
      <c r="AC531" s="152">
        <f>AC529*L531</f>
        <v>-1.5008983902438999</v>
      </c>
      <c r="AD531" s="153"/>
      <c r="AE531" s="103"/>
      <c r="AF531" s="103"/>
      <c r="AG531" s="103"/>
      <c r="AH531" s="154">
        <f>AH529*L531</f>
        <v>1.7064237450863846</v>
      </c>
      <c r="AJ531" s="5"/>
      <c r="AK531" s="5"/>
      <c r="AL531" s="5"/>
      <c r="AN531" s="72">
        <f>F528*LeagueRatings!$K$27</f>
        <v>0</v>
      </c>
      <c r="AO531" s="72">
        <f>G528*LeagueRatings!$K$27</f>
        <v>0</v>
      </c>
      <c r="AP531" s="72">
        <f>T531*LeagueRatings!$K$27</f>
        <v>0</v>
      </c>
      <c r="AQ531" s="30"/>
      <c r="AR531" s="14">
        <f t="shared" ref="AR531:AR562" si="4">ROUNDUP(L648,0)</f>
        <v>0</v>
      </c>
    </row>
    <row r="532" spans="1:44" x14ac:dyDescent="0.2">
      <c r="C532" s="76">
        <v>6</v>
      </c>
      <c r="D532" s="76">
        <v>3</v>
      </c>
      <c r="E532" s="97">
        <v>3.55</v>
      </c>
      <c r="F532" s="76">
        <v>16</v>
      </c>
      <c r="G532" s="76">
        <v>16</v>
      </c>
      <c r="H532" s="76">
        <v>0</v>
      </c>
      <c r="I532" s="76">
        <v>0</v>
      </c>
      <c r="J532" s="76">
        <v>0</v>
      </c>
      <c r="K532" s="76">
        <v>0</v>
      </c>
      <c r="L532" s="157">
        <f>(L530/100)/((L529+L530)/100)</f>
        <v>0.45165</v>
      </c>
      <c r="T532" s="158"/>
      <c r="U532" s="158"/>
      <c r="V532" s="282"/>
      <c r="W532" s="158"/>
      <c r="X532" s="158"/>
      <c r="Y532" s="153"/>
      <c r="Z532" s="152">
        <f>Z530*L532</f>
        <v>9.8785754509366175</v>
      </c>
      <c r="AA532" s="153"/>
      <c r="AB532" s="153"/>
      <c r="AC532" s="152">
        <f>AC530*L532</f>
        <v>1.1478730456914323</v>
      </c>
      <c r="AD532" s="153"/>
      <c r="AE532" s="103"/>
      <c r="AF532" s="103"/>
      <c r="AG532" s="103"/>
      <c r="AH532" s="154">
        <f>AH530*L532</f>
        <v>6.4889914986199786</v>
      </c>
      <c r="AJ532" s="5"/>
      <c r="AK532" s="5"/>
      <c r="AL532" s="5"/>
      <c r="AN532" s="72">
        <f>F529*LeagueRatings!$K$27</f>
        <v>0</v>
      </c>
      <c r="AO532" s="72">
        <f>G529*LeagueRatings!$K$27</f>
        <v>0</v>
      </c>
      <c r="AP532" s="72">
        <f>T532*LeagueRatings!$K$27</f>
        <v>0</v>
      </c>
      <c r="AQ532" s="30"/>
      <c r="AR532" s="14">
        <f t="shared" si="4"/>
        <v>0</v>
      </c>
    </row>
    <row r="533" spans="1:44" x14ac:dyDescent="0.2">
      <c r="C533" s="76">
        <v>0</v>
      </c>
      <c r="D533" s="76">
        <v>1</v>
      </c>
      <c r="E533" s="97">
        <v>7.06</v>
      </c>
      <c r="F533" s="76">
        <v>6</v>
      </c>
      <c r="G533" s="76">
        <v>5</v>
      </c>
      <c r="H533" s="76">
        <v>0</v>
      </c>
      <c r="I533" s="76">
        <v>0</v>
      </c>
      <c r="J533" s="76">
        <v>0</v>
      </c>
      <c r="K533" s="76">
        <v>0</v>
      </c>
      <c r="T533" s="158"/>
      <c r="U533" s="158"/>
      <c r="V533" s="282"/>
      <c r="W533" s="158"/>
      <c r="X533" s="158"/>
      <c r="Y533" s="153"/>
      <c r="Z533" s="152">
        <f>SUM(Z531:Z532)</f>
        <v>21.983121023222878</v>
      </c>
      <c r="AA533" s="153"/>
      <c r="AB533" s="153"/>
      <c r="AC533" s="152">
        <f>SUM(AC531:AC532)</f>
        <v>-0.35302534455246759</v>
      </c>
      <c r="AD533" s="153"/>
      <c r="AE533" s="103"/>
      <c r="AF533" s="103"/>
      <c r="AG533" s="103"/>
      <c r="AH533" s="153">
        <f>SUM(AH531:AH532)</f>
        <v>8.1954152437063641</v>
      </c>
      <c r="AI533" s="41" t="s">
        <v>327</v>
      </c>
      <c r="AJ533" s="5" t="s">
        <v>66</v>
      </c>
      <c r="AK533" s="5" t="s">
        <v>75</v>
      </c>
      <c r="AL533" s="5" t="s">
        <v>44</v>
      </c>
      <c r="AM533" s="262">
        <f>SUM(AM529:AM532)</f>
        <v>111.66666666666667</v>
      </c>
      <c r="AN533" s="14">
        <f>SUM(AN529:AN532)</f>
        <v>17.777777777777779</v>
      </c>
      <c r="AO533" s="14">
        <f>SUM(AO529:AO532)</f>
        <v>17.777777777777779</v>
      </c>
      <c r="AP533" s="14">
        <f>SUM(AP529:AP532)</f>
        <v>464.44444444444446</v>
      </c>
      <c r="AQ533" s="30"/>
      <c r="AR533" s="14">
        <f t="shared" si="4"/>
        <v>0</v>
      </c>
    </row>
    <row r="534" spans="1:44" x14ac:dyDescent="0.2">
      <c r="AN534" s="72">
        <f>F531*LeagueRatings!$K$27</f>
        <v>0</v>
      </c>
      <c r="AO534" s="72">
        <f>G531*LeagueRatings!$K$27</f>
        <v>0</v>
      </c>
      <c r="AP534" s="72">
        <f>T534*LeagueRatings!$K$27</f>
        <v>0</v>
      </c>
      <c r="AQ534" s="30"/>
      <c r="AR534" s="14">
        <f t="shared" si="4"/>
        <v>0</v>
      </c>
    </row>
    <row r="535" spans="1:44" x14ac:dyDescent="0.2">
      <c r="L535" s="97">
        <v>96.33</v>
      </c>
      <c r="M535" s="76">
        <v>91</v>
      </c>
      <c r="N535" s="76">
        <v>42</v>
      </c>
      <c r="O535" s="76">
        <v>38</v>
      </c>
      <c r="P535" s="76">
        <v>12</v>
      </c>
      <c r="Q535" s="76">
        <v>26</v>
      </c>
      <c r="R535" s="76">
        <v>2</v>
      </c>
      <c r="S535" s="76">
        <v>61</v>
      </c>
      <c r="T535" s="76">
        <v>405</v>
      </c>
      <c r="U535" s="76"/>
      <c r="V535" s="100"/>
      <c r="W535" s="76"/>
      <c r="Y535" s="151">
        <f>+(Q535-R535)/(T535-R535)*100</f>
        <v>5.9553349875930524</v>
      </c>
      <c r="Z535" s="152">
        <f>IF(Y535&lt;LeagueRatings!$K$10,((LeagueRatings!$K$10-Y535)/LeagueRatings!$K$10)*36,(LeagueRatings!$K$10-Y535)*6.48)</f>
        <v>11.265000616357018</v>
      </c>
      <c r="AA535" s="153">
        <v>-0.83</v>
      </c>
      <c r="AB535" s="153">
        <f>(P535/(T535-R535))*100</f>
        <v>2.9776674937965262</v>
      </c>
      <c r="AC535" s="152">
        <f>IF(AB535&lt;LeagueRatings!$K$8,((LeagueRatings!$K$8-AB535)/LeagueRatings!$K$8)*36,(LeagueRatings!$K$8-AB535)/LeagueRatings!$K$11)</f>
        <v>2.5244409261824661</v>
      </c>
      <c r="AD535" s="153">
        <v>0.42</v>
      </c>
      <c r="AE535" s="103">
        <f>+((LeagueRatings!$I$6-E532)*5)+9.5</f>
        <v>12.758051455277403</v>
      </c>
      <c r="AF535" s="103">
        <f>IF(AE535&lt;4,4,AE535)</f>
        <v>12.758051455277403</v>
      </c>
      <c r="AG535" s="103">
        <f>IF(M535&lt;L535,((1-(M535/L535))*7)-0.07,(1-(M535/L535))*5)</f>
        <v>0.31731443994601866</v>
      </c>
      <c r="AH535" s="154">
        <f>+AA535+AD535+AF535+AG535</f>
        <v>12.665365895223422</v>
      </c>
      <c r="AM535" s="262">
        <f>+AR418*LeagueRatings!$K$27</f>
        <v>53.888888888888893</v>
      </c>
      <c r="AN535" s="72">
        <f>F532*LeagueRatings!$K$27</f>
        <v>8.8888888888888893</v>
      </c>
      <c r="AO535" s="72">
        <f>G532*LeagueRatings!$K$27</f>
        <v>8.8888888888888893</v>
      </c>
      <c r="AP535" s="72">
        <f>T535*LeagueRatings!$K$27</f>
        <v>225</v>
      </c>
      <c r="AQ535" s="30"/>
      <c r="AR535" s="14">
        <f t="shared" si="4"/>
        <v>0</v>
      </c>
    </row>
    <row r="536" spans="1:44" x14ac:dyDescent="0.2">
      <c r="A536" t="s">
        <v>499</v>
      </c>
      <c r="B536" s="76" t="s">
        <v>146</v>
      </c>
      <c r="L536" s="97">
        <v>21.67</v>
      </c>
      <c r="M536" s="76">
        <v>37</v>
      </c>
      <c r="N536" s="76">
        <v>21</v>
      </c>
      <c r="O536" s="76">
        <v>17</v>
      </c>
      <c r="P536" s="76">
        <v>4</v>
      </c>
      <c r="Q536" s="76">
        <v>11</v>
      </c>
      <c r="R536" s="76">
        <v>0</v>
      </c>
      <c r="S536" s="76">
        <v>14</v>
      </c>
      <c r="T536" s="76">
        <v>114</v>
      </c>
      <c r="U536" s="76"/>
      <c r="V536" s="100"/>
      <c r="W536" s="76"/>
      <c r="Y536" s="151">
        <f>+(Q536-R536)/(T536-R536)*100</f>
        <v>9.6491228070175428</v>
      </c>
      <c r="Z536" s="152">
        <f>IF(Y536&lt;LeagueRatings!$K$21,((LeagueRatings!$K$21-Y536)/LeagueRatings!$K$21)*36,(LeagueRatings!$K$21-Y536)*6.48)</f>
        <v>-4.5107748101426441</v>
      </c>
      <c r="AA536" s="153">
        <v>0.98</v>
      </c>
      <c r="AB536" s="153">
        <f>(P536/(T536-R536))*100</f>
        <v>3.5087719298245612</v>
      </c>
      <c r="AC536" s="152">
        <f>IF(AB536&lt;LeagueRatings!$K$19,((LeagueRatings!$K$19-AB536)/LeagueRatings!$K$19)*36,(LeagueRatings!$K$19-AB536)/LeagueRatings!$K$22)</f>
        <v>-4.8542233632862617</v>
      </c>
      <c r="AD536" s="153">
        <v>0.92</v>
      </c>
      <c r="AE536" s="103">
        <f>+((LeagueRatings!$I$17-E533)*5)+9.5</f>
        <v>-4.9856127562936354</v>
      </c>
      <c r="AF536" s="103">
        <f>IF(AE536&lt;4,4,AE536)</f>
        <v>4</v>
      </c>
      <c r="AG536" s="103">
        <f>IF(M536&lt;L536,((1-(M536/L536))*7)-0.07,(1-(M536/L536))*5)</f>
        <v>-3.5371481310567598</v>
      </c>
      <c r="AH536" s="154">
        <f>+AA536+AD536+AF536+AG536</f>
        <v>2.3628518689432405</v>
      </c>
      <c r="AM536" s="262">
        <f>+AR419*LeagueRatings!$K$27</f>
        <v>12.222222222222223</v>
      </c>
      <c r="AN536" s="72">
        <f>F533*LeagueRatings!$K$27</f>
        <v>3.3333333333333335</v>
      </c>
      <c r="AO536" s="72">
        <f>G533*LeagueRatings!$K$27</f>
        <v>2.7777777777777777</v>
      </c>
      <c r="AP536" s="72">
        <f>T536*LeagueRatings!$K$27</f>
        <v>63.333333333333336</v>
      </c>
      <c r="AQ536" s="30"/>
      <c r="AR536" s="14">
        <f t="shared" si="4"/>
        <v>11</v>
      </c>
    </row>
    <row r="537" spans="1:44" x14ac:dyDescent="0.2">
      <c r="A537" s="41" t="s">
        <v>499</v>
      </c>
      <c r="B537" s="76" t="s">
        <v>145</v>
      </c>
      <c r="L537" s="157">
        <f>(L535/100)/((L535+L536)/100)</f>
        <v>0.81635593220338987</v>
      </c>
      <c r="Y537" s="153"/>
      <c r="Z537" s="152">
        <f>Z535*L537</f>
        <v>9.1962500794378936</v>
      </c>
      <c r="AA537" s="153"/>
      <c r="AB537" s="153"/>
      <c r="AC537" s="152">
        <f>AC535*L537</f>
        <v>2.0608423255860759</v>
      </c>
      <c r="AD537" s="153"/>
      <c r="AE537" s="103"/>
      <c r="AF537" s="103"/>
      <c r="AG537" s="103"/>
      <c r="AH537" s="154">
        <f>AH535*L537</f>
        <v>10.339446582092139</v>
      </c>
      <c r="AN537" s="72">
        <f>F534*LeagueRatings!$K$27</f>
        <v>0</v>
      </c>
      <c r="AO537" s="72">
        <f>G534*LeagueRatings!$K$27</f>
        <v>0</v>
      </c>
      <c r="AP537" s="72">
        <f>T537*LeagueRatings!$K$27</f>
        <v>0</v>
      </c>
      <c r="AQ537" s="30"/>
      <c r="AR537" s="14">
        <f t="shared" si="4"/>
        <v>21</v>
      </c>
    </row>
    <row r="538" spans="1:44" x14ac:dyDescent="0.2">
      <c r="C538" s="76">
        <v>3</v>
      </c>
      <c r="D538" s="76">
        <v>5</v>
      </c>
      <c r="E538" s="76">
        <v>2.34</v>
      </c>
      <c r="F538" s="76">
        <v>50</v>
      </c>
      <c r="G538" s="76">
        <v>0</v>
      </c>
      <c r="H538" s="76">
        <v>0</v>
      </c>
      <c r="I538" s="76">
        <v>0</v>
      </c>
      <c r="J538" s="76">
        <v>0</v>
      </c>
      <c r="K538" s="76">
        <v>0</v>
      </c>
      <c r="L538" s="157">
        <f>(L536/100)/((L535+L536)/100)</f>
        <v>0.18364406779661019</v>
      </c>
      <c r="Y538" s="153"/>
      <c r="Z538" s="152">
        <f>Z536*L538</f>
        <v>-0.82837703504907723</v>
      </c>
      <c r="AA538" s="153"/>
      <c r="AB538" s="153"/>
      <c r="AC538" s="152">
        <f>AC536*L538</f>
        <v>-0.89144932442723135</v>
      </c>
      <c r="AD538" s="153"/>
      <c r="AE538" s="103"/>
      <c r="AF538" s="103"/>
      <c r="AG538" s="103"/>
      <c r="AH538" s="154">
        <f>AH536*L538</f>
        <v>0.43392372881355956</v>
      </c>
      <c r="AN538" s="72">
        <f>F535*LeagueRatings!$K$27</f>
        <v>0</v>
      </c>
      <c r="AO538" s="72">
        <f>G535*LeagueRatings!$K$27</f>
        <v>0</v>
      </c>
      <c r="AP538" s="72">
        <f>T538*LeagueRatings!$K$27</f>
        <v>0</v>
      </c>
      <c r="AQ538" s="30"/>
      <c r="AR538" s="14">
        <f t="shared" si="4"/>
        <v>1</v>
      </c>
    </row>
    <row r="539" spans="1:44" x14ac:dyDescent="0.2">
      <c r="C539" s="76">
        <v>2</v>
      </c>
      <c r="D539" s="76">
        <v>0</v>
      </c>
      <c r="E539" s="76">
        <v>1.35</v>
      </c>
      <c r="F539" s="76">
        <v>23</v>
      </c>
      <c r="G539" s="76">
        <v>0</v>
      </c>
      <c r="H539" s="76">
        <v>0</v>
      </c>
      <c r="I539" s="76">
        <v>0</v>
      </c>
      <c r="J539" s="76">
        <v>1</v>
      </c>
      <c r="K539" s="76">
        <v>2</v>
      </c>
      <c r="Z539" s="152">
        <f>SUM(Z537:Z538)</f>
        <v>8.3678730443888156</v>
      </c>
      <c r="AA539" s="153"/>
      <c r="AB539" s="153"/>
      <c r="AC539" s="152">
        <f>SUM(AC537:AC538)</f>
        <v>1.1693930011588445</v>
      </c>
      <c r="AD539" s="153"/>
      <c r="AE539" s="103"/>
      <c r="AF539" s="103"/>
      <c r="AG539" s="103"/>
      <c r="AH539" s="153">
        <f>SUM(AH537:AH538)</f>
        <v>10.773370310905698</v>
      </c>
      <c r="AI539" s="41" t="s">
        <v>602</v>
      </c>
      <c r="AJ539" s="58">
        <v>10</v>
      </c>
      <c r="AK539" s="5" t="s">
        <v>38</v>
      </c>
      <c r="AL539" s="5" t="s">
        <v>44</v>
      </c>
      <c r="AM539" s="262">
        <f>SUM(AM535:AM538)</f>
        <v>66.111111111111114</v>
      </c>
      <c r="AN539" s="14">
        <f>SUM(AN535:AN538)</f>
        <v>12.222222222222223</v>
      </c>
      <c r="AO539" s="14">
        <f>SUM(AO535:AO538)</f>
        <v>11.666666666666668</v>
      </c>
      <c r="AP539" s="14">
        <f>SUM(AP535:AP538)</f>
        <v>288.33333333333331</v>
      </c>
      <c r="AQ539" s="30"/>
      <c r="AR539" s="14">
        <f t="shared" si="4"/>
        <v>1</v>
      </c>
    </row>
    <row r="540" spans="1:44" x14ac:dyDescent="0.2">
      <c r="AN540" s="72">
        <f>F537*LeagueRatings!$K$27</f>
        <v>0</v>
      </c>
      <c r="AO540" s="72">
        <f>G537*LeagueRatings!$K$27</f>
        <v>0</v>
      </c>
      <c r="AP540" s="72">
        <f>T540*LeagueRatings!$K$27</f>
        <v>0</v>
      </c>
      <c r="AQ540" s="30"/>
      <c r="AR540" s="14">
        <f t="shared" si="4"/>
        <v>0</v>
      </c>
    </row>
    <row r="541" spans="1:44" x14ac:dyDescent="0.2">
      <c r="L541" s="76">
        <v>42.33</v>
      </c>
      <c r="M541" s="76">
        <v>25</v>
      </c>
      <c r="N541" s="76">
        <v>13</v>
      </c>
      <c r="O541" s="76">
        <v>11</v>
      </c>
      <c r="P541" s="76">
        <v>2</v>
      </c>
      <c r="Q541" s="76">
        <v>13</v>
      </c>
      <c r="R541" s="76">
        <v>2</v>
      </c>
      <c r="S541" s="76">
        <v>69</v>
      </c>
      <c r="T541" s="76">
        <v>170</v>
      </c>
      <c r="U541" s="76"/>
      <c r="V541" s="100"/>
      <c r="W541" s="76"/>
      <c r="Y541" s="151">
        <f>+(Q541-R541)/(T541-R541)*100</f>
        <v>6.5476190476190483</v>
      </c>
      <c r="Z541" s="152">
        <f>IF(Y541&lt;LeagueRatings!$K$10,((LeagueRatings!$K$10-Y541)/LeagueRatings!$K$10)*36,(LeagueRatings!$K$10-Y541)*6.48)</f>
        <v>8.8049969574183162</v>
      </c>
      <c r="AA541" s="153">
        <v>-0.56000000000000005</v>
      </c>
      <c r="AB541" s="153">
        <f>(P541/(T541-R541))*100</f>
        <v>1.1904761904761905</v>
      </c>
      <c r="AC541" s="152">
        <f>IF(AB541&lt;LeagueRatings!$K$8,((LeagueRatings!$K$8-AB541)/LeagueRatings!$K$8)*36,(LeagueRatings!$K$8-AB541)/LeagueRatings!$K$11)</f>
        <v>22.616418346479694</v>
      </c>
      <c r="AD541" s="153">
        <v>-1.41</v>
      </c>
      <c r="AE541" s="103">
        <f>+((LeagueRatings!$I$6-E538)*5)+9.5</f>
        <v>18.808051455277404</v>
      </c>
      <c r="AF541" s="103">
        <f>IF(AE541&lt;4,4,AE541)</f>
        <v>18.808051455277404</v>
      </c>
      <c r="AG541" s="103">
        <f>IF(M541&lt;L541,((1-(M541/L541))*7)-0.07,(1-(M541/L541))*5)</f>
        <v>2.7958162060004721</v>
      </c>
      <c r="AH541" s="154">
        <f>+AA541+AD541+AF541+AG541</f>
        <v>19.633867661277876</v>
      </c>
      <c r="AM541" s="262">
        <f>+AR424*LeagueRatings!$K$27</f>
        <v>23.888888888888889</v>
      </c>
      <c r="AN541" s="72">
        <f>F538*LeagueRatings!$K$27</f>
        <v>27.777777777777779</v>
      </c>
      <c r="AO541" s="72">
        <f>G538*LeagueRatings!$K$27</f>
        <v>0</v>
      </c>
      <c r="AP541" s="72">
        <f>T541*LeagueRatings!$K$27</f>
        <v>94.444444444444443</v>
      </c>
      <c r="AQ541" s="30"/>
      <c r="AR541" s="14">
        <f t="shared" si="4"/>
        <v>0</v>
      </c>
    </row>
    <row r="542" spans="1:44" x14ac:dyDescent="0.2">
      <c r="A542" t="s">
        <v>614</v>
      </c>
      <c r="B542" s="76" t="s">
        <v>154</v>
      </c>
      <c r="L542" s="97">
        <v>20</v>
      </c>
      <c r="M542" s="76">
        <v>8</v>
      </c>
      <c r="N542" s="76">
        <v>3</v>
      </c>
      <c r="O542" s="76">
        <v>3</v>
      </c>
      <c r="P542" s="76">
        <v>1</v>
      </c>
      <c r="Q542" s="76">
        <v>4</v>
      </c>
      <c r="R542" s="76">
        <v>0</v>
      </c>
      <c r="S542" s="76">
        <v>34</v>
      </c>
      <c r="T542" s="76">
        <v>72</v>
      </c>
      <c r="U542" s="76"/>
      <c r="V542" s="100"/>
      <c r="W542" s="76"/>
      <c r="Y542" s="151">
        <f>+(Q542-R542)/(T542-R542)*100</f>
        <v>5.5555555555555554</v>
      </c>
      <c r="Z542" s="152">
        <f>IF(Y542&lt;LeagueRatings!$K$21,((LeagueRatings!$K$21-Y542)/LeagueRatings!$K$21)*36,(LeagueRatings!$K$21-Y542)*6.48)</f>
        <v>13.661158060014976</v>
      </c>
      <c r="AA542" s="153">
        <v>-0.92</v>
      </c>
      <c r="AB542" s="153">
        <f>(P542/(T542-R542))*100</f>
        <v>1.3888888888888888</v>
      </c>
      <c r="AC542" s="152">
        <f>IF(AB542&lt;LeagueRatings!$K$19,((LeagueRatings!$K$19-AB542)/LeagueRatings!$K$19)*36,(LeagueRatings!$K$19-AB542)/LeagueRatings!$K$22)</f>
        <v>18.806053811659194</v>
      </c>
      <c r="AD542" s="153">
        <v>-1.05</v>
      </c>
      <c r="AE542" s="103">
        <f>+((LeagueRatings!$I$17-E539)*5)+9.5</f>
        <v>23.564387243706364</v>
      </c>
      <c r="AF542" s="103">
        <f>IF(AE542&lt;4,4,AE542)</f>
        <v>23.564387243706364</v>
      </c>
      <c r="AG542" s="103">
        <f>IF(M542&lt;L542,((1-(M542/L542))*7)-0.07,(1-(M542/L542))*5)</f>
        <v>4.13</v>
      </c>
      <c r="AH542" s="154">
        <f>+AA542+AD542+AF542+AG542</f>
        <v>25.724387243706364</v>
      </c>
      <c r="AM542" s="262">
        <f>+AR425*LeagueRatings!$K$27</f>
        <v>11.111111111111111</v>
      </c>
      <c r="AN542" s="72">
        <f>F539*LeagueRatings!$K$27</f>
        <v>12.777777777777779</v>
      </c>
      <c r="AO542" s="72">
        <f>G539*LeagueRatings!$K$27</f>
        <v>0</v>
      </c>
      <c r="AP542" s="72">
        <f>T542*LeagueRatings!$K$27</f>
        <v>40</v>
      </c>
      <c r="AQ542" s="30"/>
      <c r="AR542" s="14">
        <f t="shared" si="4"/>
        <v>23</v>
      </c>
    </row>
    <row r="543" spans="1:44" x14ac:dyDescent="0.2">
      <c r="A543" t="s">
        <v>614</v>
      </c>
      <c r="B543" s="76" t="s">
        <v>155</v>
      </c>
      <c r="L543" s="157">
        <f>(L541/100)/((L541+L542)/100)</f>
        <v>0.6791272260548693</v>
      </c>
      <c r="Y543" s="153"/>
      <c r="Z543" s="152">
        <f>Z541*L543</f>
        <v>5.9797131591130652</v>
      </c>
      <c r="AA543" s="153"/>
      <c r="AB543" s="153"/>
      <c r="AC543" s="152">
        <f>AC541*L543</f>
        <v>15.359425454941208</v>
      </c>
      <c r="AD543" s="153"/>
      <c r="AE543" s="103"/>
      <c r="AF543" s="103"/>
      <c r="AG543" s="103"/>
      <c r="AH543" s="154">
        <f>AH541*L543</f>
        <v>13.333894081532048</v>
      </c>
      <c r="AN543" s="72">
        <f>F540*LeagueRatings!$K$27</f>
        <v>0</v>
      </c>
      <c r="AO543" s="72">
        <f>G540*LeagueRatings!$K$27</f>
        <v>0</v>
      </c>
      <c r="AP543" s="72">
        <f>T543*LeagueRatings!$K$27</f>
        <v>0</v>
      </c>
      <c r="AQ543" s="30"/>
      <c r="AR543" s="14">
        <f t="shared" si="4"/>
        <v>35</v>
      </c>
    </row>
    <row r="544" spans="1:44" x14ac:dyDescent="0.2">
      <c r="A544" s="41" t="s">
        <v>614</v>
      </c>
      <c r="B544" s="76" t="s">
        <v>147</v>
      </c>
      <c r="C544" s="76">
        <v>0</v>
      </c>
      <c r="D544" s="76">
        <v>1</v>
      </c>
      <c r="E544" s="97">
        <v>27</v>
      </c>
      <c r="F544" s="76">
        <v>2</v>
      </c>
      <c r="G544" s="76">
        <v>0</v>
      </c>
      <c r="H544" s="76">
        <v>0</v>
      </c>
      <c r="I544" s="76">
        <v>0</v>
      </c>
      <c r="J544" s="76">
        <v>0</v>
      </c>
      <c r="K544" s="76">
        <v>0</v>
      </c>
      <c r="L544" s="157">
        <f>(L542/100)/((L541+L542)/100)</f>
        <v>0.32087277394513081</v>
      </c>
      <c r="Y544" s="153"/>
      <c r="Z544" s="152">
        <f>Z542*L544</f>
        <v>4.3834936820198873</v>
      </c>
      <c r="AA544" s="153"/>
      <c r="AB544" s="153"/>
      <c r="AC544" s="152">
        <f>AC542*L544</f>
        <v>6.0343506535084863</v>
      </c>
      <c r="AD544" s="153"/>
      <c r="AE544" s="103"/>
      <c r="AF544" s="103"/>
      <c r="AG544" s="103"/>
      <c r="AH544" s="154">
        <f>AH542*L544</f>
        <v>8.2542554929267986</v>
      </c>
      <c r="AN544" s="72">
        <f>F541*LeagueRatings!$K$27</f>
        <v>0</v>
      </c>
      <c r="AO544" s="72">
        <f>G541*LeagueRatings!$K$27</f>
        <v>0</v>
      </c>
      <c r="AP544" s="72">
        <f>T544*LeagueRatings!$K$27</f>
        <v>0</v>
      </c>
      <c r="AQ544" s="30"/>
      <c r="AR544" s="14">
        <f t="shared" si="4"/>
        <v>1</v>
      </c>
    </row>
    <row r="545" spans="1:44" x14ac:dyDescent="0.2">
      <c r="C545" s="76">
        <v>0</v>
      </c>
      <c r="D545" s="76">
        <v>0</v>
      </c>
      <c r="E545" s="97">
        <v>11.81</v>
      </c>
      <c r="F545" s="76">
        <v>3</v>
      </c>
      <c r="G545" s="76">
        <v>0</v>
      </c>
      <c r="H545" s="76">
        <v>0</v>
      </c>
      <c r="I545" s="76">
        <v>0</v>
      </c>
      <c r="J545" s="76">
        <v>0</v>
      </c>
      <c r="K545" s="76">
        <v>0</v>
      </c>
      <c r="Z545" s="152">
        <f>SUM(Z543:Z544)</f>
        <v>10.363206841132953</v>
      </c>
      <c r="AA545" s="153"/>
      <c r="AB545" s="153"/>
      <c r="AC545" s="152">
        <f>SUM(AC543:AC544)</f>
        <v>21.393776108449693</v>
      </c>
      <c r="AD545" s="153"/>
      <c r="AE545" s="103"/>
      <c r="AF545" s="103"/>
      <c r="AG545" s="103"/>
      <c r="AH545" s="153">
        <f>SUM(AH543:AH544)</f>
        <v>21.588149574458846</v>
      </c>
      <c r="AI545" s="41" t="s">
        <v>499</v>
      </c>
      <c r="AJ545" s="58">
        <v>19</v>
      </c>
      <c r="AK545" s="5" t="s">
        <v>62</v>
      </c>
      <c r="AL545" s="5" t="s">
        <v>49</v>
      </c>
      <c r="AM545" s="262">
        <f>SUM(AM541:AM544)</f>
        <v>35</v>
      </c>
      <c r="AN545" s="14">
        <f>SUM(AN541:AN544)</f>
        <v>40.555555555555557</v>
      </c>
      <c r="AO545" s="14">
        <f>SUM(AO541:AO544)</f>
        <v>0</v>
      </c>
      <c r="AP545" s="14">
        <f>SUM(AP541:AP544)</f>
        <v>134.44444444444446</v>
      </c>
      <c r="AQ545" s="30"/>
      <c r="AR545" s="14">
        <f t="shared" si="4"/>
        <v>1</v>
      </c>
    </row>
    <row r="546" spans="1:44" x14ac:dyDescent="0.2">
      <c r="C546" s="76">
        <v>8</v>
      </c>
      <c r="D546" s="76">
        <v>11</v>
      </c>
      <c r="E546" s="97">
        <v>4.3899999999999997</v>
      </c>
      <c r="F546" s="76">
        <v>28</v>
      </c>
      <c r="G546" s="76">
        <v>27</v>
      </c>
      <c r="H546" s="76">
        <v>1</v>
      </c>
      <c r="I546" s="76">
        <v>0</v>
      </c>
      <c r="J546" s="76">
        <v>0</v>
      </c>
      <c r="K546" s="76">
        <v>0</v>
      </c>
      <c r="AN546" s="72">
        <f>F543*LeagueRatings!$K$27</f>
        <v>0</v>
      </c>
      <c r="AO546" s="72">
        <f>G543*LeagueRatings!$K$27</f>
        <v>0</v>
      </c>
      <c r="AP546" s="72">
        <f>T546*LeagueRatings!$K$27</f>
        <v>0</v>
      </c>
      <c r="AQ546" s="30"/>
      <c r="AR546" s="14">
        <f t="shared" si="4"/>
        <v>0</v>
      </c>
    </row>
    <row r="547" spans="1:44" x14ac:dyDescent="0.2">
      <c r="L547" s="97">
        <v>1</v>
      </c>
      <c r="M547" s="76">
        <v>2</v>
      </c>
      <c r="N547" s="76">
        <v>3</v>
      </c>
      <c r="O547" s="76">
        <v>3</v>
      </c>
      <c r="P547" s="76">
        <v>1</v>
      </c>
      <c r="Q547" s="76">
        <v>0</v>
      </c>
      <c r="R547" s="76">
        <v>0</v>
      </c>
      <c r="S547" s="76">
        <v>2</v>
      </c>
      <c r="T547" s="76">
        <v>6</v>
      </c>
      <c r="U547" s="76"/>
      <c r="V547" s="100"/>
      <c r="W547" s="76"/>
      <c r="Y547" s="151">
        <f>+(Q547-R547)/(T547-R547)*100</f>
        <v>0</v>
      </c>
      <c r="Z547" s="152">
        <f>IF(Y547&lt;LeagueRatings!$K$21,((LeagueRatings!$K$21-Y547)/LeagueRatings!$K$21)*36,(LeagueRatings!$K$21-Y547)*6.48)</f>
        <v>36</v>
      </c>
      <c r="AA547" s="153">
        <v>-3.62</v>
      </c>
      <c r="AB547" s="153">
        <f>(P547/(T547-R547))*100</f>
        <v>16.666666666666664</v>
      </c>
      <c r="AC547" s="152">
        <f>IF(AB547&lt;LeagueRatings!$K$19,((LeagueRatings!$K$19-AB547)/LeagueRatings!$K$19)*36,(LeagueRatings!$K$19-AB547)/LeagueRatings!$K$22)</f>
        <v>-111.16975609756095</v>
      </c>
      <c r="AD547" s="153">
        <v>4.8600000000000003</v>
      </c>
      <c r="AE547" s="103">
        <f>+((LeagueRatings!$I$17-E544)*5)+9.5</f>
        <v>-104.68561275629364</v>
      </c>
      <c r="AF547" s="103">
        <f>IF(AE547&lt;4,4,AE547)</f>
        <v>4</v>
      </c>
      <c r="AG547" s="103">
        <f>IF(M547&lt;L547,((1-(M547/L547))*7)-0.07,(1-(M547/L547))*5)</f>
        <v>-5</v>
      </c>
      <c r="AH547" s="154">
        <f>+AA547+AD547+AF547+AG547</f>
        <v>0.24000000000000021</v>
      </c>
      <c r="AM547" s="262">
        <f>+AR430*LeagueRatings!$K$27</f>
        <v>0.55555555555555558</v>
      </c>
      <c r="AN547" s="72">
        <f>F544*LeagueRatings!$K$27</f>
        <v>1.1111111111111112</v>
      </c>
      <c r="AO547" s="72">
        <f>G544*LeagueRatings!$K$27</f>
        <v>0</v>
      </c>
      <c r="AP547" s="72">
        <f>T547*LeagueRatings!$K$27</f>
        <v>3.3333333333333335</v>
      </c>
      <c r="AQ547" s="30"/>
      <c r="AR547" s="14">
        <f t="shared" si="4"/>
        <v>0</v>
      </c>
    </row>
    <row r="548" spans="1:44" x14ac:dyDescent="0.2">
      <c r="L548" s="97">
        <v>5.33</v>
      </c>
      <c r="M548" s="76">
        <v>11</v>
      </c>
      <c r="N548" s="76">
        <v>7</v>
      </c>
      <c r="O548" s="76">
        <v>7</v>
      </c>
      <c r="P548" s="76">
        <v>0</v>
      </c>
      <c r="Q548" s="76">
        <v>2</v>
      </c>
      <c r="R548" s="76">
        <v>0</v>
      </c>
      <c r="S548" s="76">
        <v>4</v>
      </c>
      <c r="T548" s="76">
        <v>28</v>
      </c>
      <c r="U548" s="76"/>
      <c r="V548" s="100"/>
      <c r="W548" s="76"/>
      <c r="Y548" s="151">
        <f>+(Q548-R548)/(T548-R548)*100</f>
        <v>7.1428571428571423</v>
      </c>
      <c r="Z548" s="152">
        <f>IF(Y548&lt;LeagueRatings!$K$21,((LeagueRatings!$K$21-Y548)/LeagueRatings!$K$21)*36,(LeagueRatings!$K$21-Y548)*6.48)</f>
        <v>7.2786317914478262</v>
      </c>
      <c r="AA548" s="153">
        <v>-0.32</v>
      </c>
      <c r="AB548" s="153">
        <f>(P548/(T548-R548))*100</f>
        <v>0</v>
      </c>
      <c r="AC548" s="152">
        <f>IF(AB548&lt;LeagueRatings!$K$19,((LeagueRatings!$K$19-AB548)/LeagueRatings!$K$19)*36,(LeagueRatings!$K$19-AB548)/LeagueRatings!$K$22)</f>
        <v>36</v>
      </c>
      <c r="AD548" s="153">
        <v>-3.26</v>
      </c>
      <c r="AE548" s="103">
        <f>+((LeagueRatings!$I$17-E545)*5)+9.5</f>
        <v>-28.735612756293641</v>
      </c>
      <c r="AF548" s="103">
        <f>IF(AE548&lt;4,4,AE548)</f>
        <v>4</v>
      </c>
      <c r="AG548" s="103">
        <f>IF(M548&lt;L548,((1-(M548/L548))*7)-0.07,(1-(M548/L548))*5)</f>
        <v>-5.3189493433395878</v>
      </c>
      <c r="AH548" s="154">
        <f>+AA548+AD548+AF548+AG548</f>
        <v>-4.8989493433395879</v>
      </c>
      <c r="AM548" s="262">
        <f>+AR431*LeagueRatings!$K$27</f>
        <v>3.3333333333333335</v>
      </c>
      <c r="AN548" s="72">
        <f>F545*LeagueRatings!$K$27</f>
        <v>1.6666666666666667</v>
      </c>
      <c r="AO548" s="72">
        <f>G545*LeagueRatings!$K$27</f>
        <v>0</v>
      </c>
      <c r="AP548" s="72">
        <f>T548*LeagueRatings!$K$27</f>
        <v>15.555555555555557</v>
      </c>
      <c r="AQ548" s="30"/>
      <c r="AR548" s="14">
        <f t="shared" si="4"/>
        <v>30</v>
      </c>
    </row>
    <row r="549" spans="1:44" x14ac:dyDescent="0.2">
      <c r="L549" s="97">
        <v>166</v>
      </c>
      <c r="M549" s="76">
        <v>167</v>
      </c>
      <c r="N549" s="76">
        <v>88</v>
      </c>
      <c r="O549" s="76">
        <v>81</v>
      </c>
      <c r="P549" s="76">
        <v>27</v>
      </c>
      <c r="Q549" s="76">
        <v>54</v>
      </c>
      <c r="R549" s="76">
        <v>1</v>
      </c>
      <c r="S549" s="76">
        <v>117</v>
      </c>
      <c r="T549" s="76">
        <v>699</v>
      </c>
      <c r="U549" s="76"/>
      <c r="V549" s="100"/>
      <c r="W549" s="76"/>
      <c r="X549" s="138"/>
      <c r="Y549" s="151">
        <f>+(Q549-R549)/(T549-R549)*100</f>
        <v>7.5931232091690548</v>
      </c>
      <c r="Z549" s="152">
        <f>IF(Y549&lt;LeagueRatings!$K$21,((LeagueRatings!$K$21-Y549)/LeagueRatings!$K$21)*36,(LeagueRatings!$K$21-Y549)*6.48)</f>
        <v>5.4681157439173127</v>
      </c>
      <c r="AA549" s="153">
        <v>-0.16</v>
      </c>
      <c r="AB549" s="153">
        <f>(P549/(T549-R549))*100</f>
        <v>3.8681948424068766</v>
      </c>
      <c r="AC549" s="152">
        <f>IF(AB549&lt;LeagueRatings!$K$19,((LeagueRatings!$K$19-AB549)/LeagueRatings!$K$19)*36,(LeagueRatings!$K$19-AB549)/LeagueRatings!$K$22)</f>
        <v>-7.7583534838213692</v>
      </c>
      <c r="AD549" s="153">
        <v>1.26</v>
      </c>
      <c r="AE549" s="103">
        <f>+((LeagueRatings!$I$17-E546)*5)+9.5</f>
        <v>8.3643872437063642</v>
      </c>
      <c r="AF549" s="103">
        <f>IF(AE549&lt;4,4,AE549)</f>
        <v>8.3643872437063642</v>
      </c>
      <c r="AG549" s="103">
        <f>IF(M549&lt;L549,((1-(M549/L549))*7)-0.07,(1-(M549/L549))*5)</f>
        <v>-3.0120481927711218E-2</v>
      </c>
      <c r="AH549" s="154">
        <f>+AA549+AD549+AF549+AG549</f>
        <v>9.4342667617786518</v>
      </c>
      <c r="AJ549" s="58"/>
      <c r="AK549" s="5"/>
      <c r="AL549" s="5"/>
      <c r="AM549" s="262">
        <f>+AR432*LeagueRatings!$K$27</f>
        <v>92.222222222222229</v>
      </c>
      <c r="AN549" s="72">
        <f>F546*LeagueRatings!$K$27</f>
        <v>15.555555555555557</v>
      </c>
      <c r="AO549" s="72">
        <f>G546*LeagueRatings!$K$27</f>
        <v>15</v>
      </c>
      <c r="AP549" s="72">
        <f>T549*LeagueRatings!$K$27</f>
        <v>388.33333333333337</v>
      </c>
      <c r="AQ549" s="30"/>
      <c r="AR549" s="14">
        <f t="shared" si="4"/>
        <v>10</v>
      </c>
    </row>
    <row r="550" spans="1:44" x14ac:dyDescent="0.2">
      <c r="A550" t="s">
        <v>583</v>
      </c>
      <c r="B550" s="76" t="s">
        <v>152</v>
      </c>
      <c r="L550" s="157">
        <f>(L547/100)/((L547+L548+L549)/100)</f>
        <v>5.8028201706029131E-3</v>
      </c>
      <c r="T550" s="158"/>
      <c r="U550" s="158"/>
      <c r="V550" s="282"/>
      <c r="W550" s="158"/>
      <c r="X550" s="158"/>
      <c r="Y550" s="153"/>
      <c r="Z550" s="152">
        <f>Z547*L550</f>
        <v>0.20890152614170487</v>
      </c>
      <c r="AA550" s="153"/>
      <c r="AB550" s="153"/>
      <c r="AC550" s="152">
        <f>AC547*L550</f>
        <v>-0.64509810304393289</v>
      </c>
      <c r="AD550" s="153"/>
      <c r="AE550" s="103"/>
      <c r="AF550" s="103"/>
      <c r="AG550" s="103"/>
      <c r="AH550" s="152">
        <f>AH547*L550</f>
        <v>1.3926768409447004E-3</v>
      </c>
      <c r="AJ550" s="5"/>
      <c r="AK550" s="5"/>
      <c r="AL550" s="5"/>
      <c r="AN550" s="72">
        <f>F547*LeagueRatings!$K$27</f>
        <v>0</v>
      </c>
      <c r="AO550" s="72">
        <f>G547*LeagueRatings!$K$27</f>
        <v>0</v>
      </c>
      <c r="AP550" s="72">
        <f>T550*LeagueRatings!$K$27</f>
        <v>0</v>
      </c>
      <c r="AQ550" s="30"/>
      <c r="AR550" s="14">
        <f t="shared" si="4"/>
        <v>1</v>
      </c>
    </row>
    <row r="551" spans="1:44" x14ac:dyDescent="0.2">
      <c r="A551" s="41" t="s">
        <v>583</v>
      </c>
      <c r="B551" s="76" t="s">
        <v>159</v>
      </c>
      <c r="L551" s="157">
        <f>(L548/100)/((L547+L548+L549)/100)</f>
        <v>3.0929031509313525E-2</v>
      </c>
      <c r="T551" s="158"/>
      <c r="U551" s="158"/>
      <c r="V551" s="282"/>
      <c r="W551" s="158"/>
      <c r="X551" s="158"/>
      <c r="Y551" s="153"/>
      <c r="Z551" s="152">
        <f>Z548*L551</f>
        <v>0.22512103202238096</v>
      </c>
      <c r="AA551" s="153"/>
      <c r="AB551" s="153"/>
      <c r="AC551" s="152">
        <f>AC548*L551</f>
        <v>1.1134451343352869</v>
      </c>
      <c r="AD551" s="153"/>
      <c r="AE551" s="103"/>
      <c r="AF551" s="103"/>
      <c r="AG551" s="103"/>
      <c r="AH551" s="152">
        <f>AH548*L551</f>
        <v>-0.15151975860268091</v>
      </c>
      <c r="AJ551" s="5"/>
      <c r="AK551" s="5"/>
      <c r="AL551" s="5"/>
      <c r="AN551" s="72">
        <f>F548*LeagueRatings!$K$27</f>
        <v>0</v>
      </c>
      <c r="AO551" s="72">
        <f>G548*LeagueRatings!$K$27</f>
        <v>0</v>
      </c>
      <c r="AP551" s="72">
        <f>T551*LeagueRatings!$K$27</f>
        <v>0</v>
      </c>
      <c r="AQ551" s="30"/>
      <c r="AR551" s="14">
        <f t="shared" si="4"/>
        <v>1</v>
      </c>
    </row>
    <row r="552" spans="1:44" x14ac:dyDescent="0.2">
      <c r="C552" s="76">
        <v>2</v>
      </c>
      <c r="D552" s="76">
        <v>5</v>
      </c>
      <c r="E552" s="97">
        <v>5.42</v>
      </c>
      <c r="F552" s="76">
        <v>17</v>
      </c>
      <c r="G552" s="76">
        <v>14</v>
      </c>
      <c r="H552" s="76">
        <v>0</v>
      </c>
      <c r="I552" s="76">
        <v>0</v>
      </c>
      <c r="J552" s="76">
        <v>0</v>
      </c>
      <c r="K552" s="76">
        <v>0</v>
      </c>
      <c r="L552" s="157">
        <f>(L549/100)/((L547+L548+L549)/100)</f>
        <v>0.96326814832008345</v>
      </c>
      <c r="T552" s="158"/>
      <c r="U552" s="158"/>
      <c r="V552" s="282"/>
      <c r="W552" s="158"/>
      <c r="X552" s="158"/>
      <c r="Y552" s="153"/>
      <c r="Z552" s="152">
        <f>Z549*L552</f>
        <v>5.2672617274431257</v>
      </c>
      <c r="AA552" s="153"/>
      <c r="AB552" s="153"/>
      <c r="AC552" s="152">
        <f>AC549*L552</f>
        <v>-7.4733747943732789</v>
      </c>
      <c r="AD552" s="153"/>
      <c r="AE552" s="103"/>
      <c r="AF552" s="103"/>
      <c r="AG552" s="103"/>
      <c r="AH552" s="152">
        <f>AH549*L552</f>
        <v>9.0877286743762316</v>
      </c>
      <c r="AI552" s="171"/>
      <c r="AQ552" s="30"/>
      <c r="AR552" s="14">
        <f t="shared" si="4"/>
        <v>0</v>
      </c>
    </row>
    <row r="553" spans="1:44" x14ac:dyDescent="0.2">
      <c r="C553" s="76">
        <v>0</v>
      </c>
      <c r="D553" s="76">
        <v>7</v>
      </c>
      <c r="E553" s="97">
        <v>3.76</v>
      </c>
      <c r="F553" s="76">
        <v>14</v>
      </c>
      <c r="G553" s="76">
        <v>14</v>
      </c>
      <c r="H553" s="76">
        <v>0</v>
      </c>
      <c r="I553" s="76">
        <v>0</v>
      </c>
      <c r="J553" s="76">
        <v>0</v>
      </c>
      <c r="K553" s="76">
        <v>0</v>
      </c>
      <c r="Z553" s="186">
        <f>SUM(Z550:Z552)</f>
        <v>5.7012842856072119</v>
      </c>
      <c r="AC553" s="186">
        <f>SUM(AC550:AC552)</f>
        <v>-7.0050277630819249</v>
      </c>
      <c r="AH553" s="153">
        <f>SUM(AH550:AH552)</f>
        <v>8.9376015926144952</v>
      </c>
      <c r="AI553" s="41" t="s">
        <v>614</v>
      </c>
      <c r="AJ553" s="5" t="s">
        <v>66</v>
      </c>
      <c r="AK553" s="5" t="s">
        <v>22</v>
      </c>
      <c r="AL553" s="5" t="s">
        <v>42</v>
      </c>
      <c r="AM553" s="262">
        <f>SUM(AM547:AM552)</f>
        <v>96.111111111111114</v>
      </c>
      <c r="AN553" s="14">
        <f>SUM(AN547:AN552)</f>
        <v>18.333333333333336</v>
      </c>
      <c r="AO553" s="14">
        <f>SUM(AO547:AO552)</f>
        <v>15</v>
      </c>
      <c r="AP553" s="14">
        <f>SUM(AP547:AP552)</f>
        <v>407.22222222222229</v>
      </c>
      <c r="AQ553" s="30"/>
      <c r="AR553" s="14">
        <f t="shared" si="4"/>
        <v>0</v>
      </c>
    </row>
    <row r="554" spans="1:44" x14ac:dyDescent="0.2">
      <c r="Z554" s="186"/>
      <c r="AC554" s="186"/>
      <c r="AH554" s="153"/>
      <c r="AN554" s="72"/>
      <c r="AO554" s="72"/>
      <c r="AP554" s="72"/>
      <c r="AQ554" s="30"/>
      <c r="AR554" s="14">
        <f t="shared" si="4"/>
        <v>28</v>
      </c>
    </row>
    <row r="555" spans="1:44" x14ac:dyDescent="0.2">
      <c r="L555" s="97">
        <v>78</v>
      </c>
      <c r="M555" s="76">
        <v>86</v>
      </c>
      <c r="N555" s="76">
        <v>52</v>
      </c>
      <c r="O555" s="76">
        <v>47</v>
      </c>
      <c r="P555" s="76">
        <v>15</v>
      </c>
      <c r="Q555" s="76">
        <v>26</v>
      </c>
      <c r="R555" s="76">
        <v>1</v>
      </c>
      <c r="S555" s="76">
        <v>60</v>
      </c>
      <c r="T555" s="76">
        <v>339</v>
      </c>
      <c r="U555" s="76"/>
      <c r="V555" s="100"/>
      <c r="W555" s="76"/>
      <c r="Y555" s="151">
        <f>+(Q555-R555)/(T555-R555)*100</f>
        <v>7.3964497041420119</v>
      </c>
      <c r="Z555" s="152">
        <f>IF(Y555&lt;LeagueRatings!$K$10,((LeagueRatings!$K$10-Y555)/LeagueRatings!$K$10)*36,(LeagueRatings!$K$10-Y555)*6.48)</f>
        <v>5.2794478808921301</v>
      </c>
      <c r="AA555" s="153">
        <v>-0.24</v>
      </c>
      <c r="AB555" s="153">
        <f>(P555/(T555-R555))*100</f>
        <v>4.4378698224852071</v>
      </c>
      <c r="AC555" s="152">
        <f>IF(AB555&lt;LeagueRatings!$K$8,((LeagueRatings!$K$8-AB555)/LeagueRatings!$K$8)*36,(LeagueRatings!$K$8-AB555)/LeagueRatings!$K$11)</f>
        <v>-9.8116366060516267</v>
      </c>
      <c r="AD555" s="153">
        <v>1.76</v>
      </c>
      <c r="AE555" s="103">
        <f>+((LeagueRatings!$I$6-E552)*5)+9.5</f>
        <v>3.4080514552774037</v>
      </c>
      <c r="AF555" s="103">
        <f>IF(AE555&lt;4,4,AE555)</f>
        <v>4</v>
      </c>
      <c r="AG555" s="103">
        <f>IF(M555&lt;L555,((1-(M555/L555))*7)-0.07,(1-(M555/L555))*5)</f>
        <v>-0.51282051282051322</v>
      </c>
      <c r="AH555" s="154">
        <f>+AA555+AD555+AF555+AG555</f>
        <v>5.0071794871794868</v>
      </c>
      <c r="AM555" s="262">
        <f>+AR438*LeagueRatings!$K$27</f>
        <v>43.333333333333336</v>
      </c>
      <c r="AN555" s="72">
        <f>F552*LeagueRatings!$K$27</f>
        <v>9.4444444444444446</v>
      </c>
      <c r="AO555" s="72">
        <f>G552*LeagueRatings!$K$27</f>
        <v>7.7777777777777786</v>
      </c>
      <c r="AP555" s="72">
        <f>T555*LeagueRatings!$K$27</f>
        <v>188.33333333333334</v>
      </c>
      <c r="AQ555" s="30"/>
      <c r="AR555" s="14">
        <f t="shared" si="4"/>
        <v>16</v>
      </c>
    </row>
    <row r="556" spans="1:44" x14ac:dyDescent="0.2">
      <c r="L556" s="97">
        <v>83.67</v>
      </c>
      <c r="M556" s="76">
        <v>71</v>
      </c>
      <c r="N556" s="76">
        <v>37</v>
      </c>
      <c r="O556" s="76">
        <v>35</v>
      </c>
      <c r="P556" s="76">
        <v>10</v>
      </c>
      <c r="Q556" s="76">
        <v>20</v>
      </c>
      <c r="R556" s="76">
        <v>0</v>
      </c>
      <c r="S556" s="76">
        <v>69</v>
      </c>
      <c r="T556" s="76">
        <v>340</v>
      </c>
      <c r="U556" s="76"/>
      <c r="V556" s="100"/>
      <c r="W556" s="76"/>
      <c r="Y556" s="151">
        <f>+(Q556-R556)/(T556-R556)*100</f>
        <v>5.8823529411764701</v>
      </c>
      <c r="Z556" s="152">
        <f>IF(Y556&lt;LeagueRatings!$K$21,((LeagueRatings!$K$21-Y556)/LeagueRatings!$K$21)*36,(LeagueRatings!$K$21-Y556)*6.48)</f>
        <v>12.347108534133504</v>
      </c>
      <c r="AA556" s="153">
        <v>-0.83</v>
      </c>
      <c r="AB556" s="153">
        <f>(P556/(T556-R556))*100</f>
        <v>2.9411764705882351</v>
      </c>
      <c r="AC556" s="152">
        <f>IF(AB556&lt;LeagueRatings!$K$19,((LeagueRatings!$K$19-AB556)/LeagueRatings!$K$19)*36,(LeagueRatings!$K$19-AB556)/LeagueRatings!$K$22)</f>
        <v>-0.26806312769009738</v>
      </c>
      <c r="AD556" s="153">
        <v>0.51</v>
      </c>
      <c r="AE556" s="103">
        <f>+((LeagueRatings!$I$17-E553)*5)+9.5</f>
        <v>11.514387243706363</v>
      </c>
      <c r="AF556" s="103">
        <f>IF(AE556&lt;4,4,AE556)</f>
        <v>11.514387243706363</v>
      </c>
      <c r="AG556" s="103">
        <f>IF(M556&lt;L556,((1-(M556/L556))*7)-0.07,(1-(M556/L556))*5)</f>
        <v>0.98999760965698624</v>
      </c>
      <c r="AH556" s="154">
        <f>+AA556+AD556+AF556+AG556</f>
        <v>12.184384853363349</v>
      </c>
      <c r="AM556" s="262">
        <f>+AR439*LeagueRatings!$K$27</f>
        <v>46.666666666666671</v>
      </c>
      <c r="AN556" s="72">
        <f>F553*LeagueRatings!$K$27</f>
        <v>7.7777777777777786</v>
      </c>
      <c r="AO556" s="72">
        <f>G553*LeagueRatings!$K$27</f>
        <v>7.7777777777777786</v>
      </c>
      <c r="AP556" s="72">
        <f>T556*LeagueRatings!$K$27</f>
        <v>188.88888888888889</v>
      </c>
      <c r="AQ556" s="30"/>
      <c r="AR556" s="14">
        <f t="shared" si="4"/>
        <v>1</v>
      </c>
    </row>
    <row r="557" spans="1:44" x14ac:dyDescent="0.2">
      <c r="A557" t="s">
        <v>368</v>
      </c>
      <c r="B557" s="76" t="s">
        <v>148</v>
      </c>
      <c r="L557" s="157">
        <f>(L555/100)/((L555+L556)/100)</f>
        <v>0.4824642790870291</v>
      </c>
      <c r="Y557" s="153"/>
      <c r="Z557" s="152">
        <f>Z555*L557</f>
        <v>2.5471450158321649</v>
      </c>
      <c r="AA557" s="153"/>
      <c r="AB557" s="153"/>
      <c r="AC557" s="152">
        <f>AC555*L557</f>
        <v>-4.7337641818026031</v>
      </c>
      <c r="AD557" s="153"/>
      <c r="AE557" s="103"/>
      <c r="AF557" s="103"/>
      <c r="AG557" s="103"/>
      <c r="AH557" s="154">
        <f>AH555*L557</f>
        <v>2.4157852415414114</v>
      </c>
      <c r="AN557" s="72">
        <f>F554*LeagueRatings!$K$27</f>
        <v>0</v>
      </c>
      <c r="AO557" s="72">
        <f>G554*LeagueRatings!$K$27</f>
        <v>0</v>
      </c>
      <c r="AP557" s="72">
        <f>T557*LeagueRatings!$K$27</f>
        <v>0</v>
      </c>
      <c r="AQ557" s="30"/>
      <c r="AR557" s="14">
        <f t="shared" si="4"/>
        <v>1</v>
      </c>
    </row>
    <row r="558" spans="1:44" x14ac:dyDescent="0.2">
      <c r="A558" s="41" t="s">
        <v>368</v>
      </c>
      <c r="B558" s="76" t="s">
        <v>152</v>
      </c>
      <c r="L558" s="157">
        <f>(L556/100)/((L555+L556)/100)</f>
        <v>0.51753572091297073</v>
      </c>
      <c r="Y558" s="153"/>
      <c r="Z558" s="152">
        <f>Z556*L558</f>
        <v>6.3900697164034765</v>
      </c>
      <c r="AA558" s="153"/>
      <c r="AB558" s="153"/>
      <c r="AC558" s="152">
        <f>AC556*L558</f>
        <v>-0.13873224403928028</v>
      </c>
      <c r="AD558" s="153"/>
      <c r="AE558" s="103"/>
      <c r="AF558" s="103"/>
      <c r="AG558" s="103"/>
      <c r="AH558" s="154">
        <f>AH556*L558</f>
        <v>6.3058543989664821</v>
      </c>
      <c r="AN558" s="72">
        <f>F555*LeagueRatings!$K$27</f>
        <v>0</v>
      </c>
      <c r="AO558" s="72">
        <f>G555*LeagueRatings!$K$27</f>
        <v>0</v>
      </c>
      <c r="AP558" s="72">
        <f>T558*LeagueRatings!$K$27</f>
        <v>0</v>
      </c>
      <c r="AQ558" s="30"/>
      <c r="AR558" s="14">
        <f t="shared" si="4"/>
        <v>0</v>
      </c>
    </row>
    <row r="559" spans="1:44" x14ac:dyDescent="0.2">
      <c r="C559" s="76">
        <v>4</v>
      </c>
      <c r="D559" s="76">
        <v>0</v>
      </c>
      <c r="E559" s="97">
        <v>3.28</v>
      </c>
      <c r="F559" s="76">
        <v>31</v>
      </c>
      <c r="G559" s="76">
        <v>0</v>
      </c>
      <c r="H559" s="76">
        <v>0</v>
      </c>
      <c r="I559" s="76">
        <v>0</v>
      </c>
      <c r="J559" s="76">
        <v>0</v>
      </c>
      <c r="K559" s="76">
        <v>1</v>
      </c>
      <c r="Z559" s="152">
        <f>SUM(Z557:Z558)</f>
        <v>8.9372147322356419</v>
      </c>
      <c r="AA559" s="153"/>
      <c r="AB559" s="153"/>
      <c r="AC559" s="152">
        <f>SUM(AC557:AC558)</f>
        <v>-4.8724964258418835</v>
      </c>
      <c r="AD559" s="153"/>
      <c r="AE559" s="103"/>
      <c r="AF559" s="103"/>
      <c r="AG559" s="103"/>
      <c r="AH559" s="153">
        <f>SUM(AH557:AH558)</f>
        <v>8.7216396405078935</v>
      </c>
      <c r="AI559" s="41" t="s">
        <v>583</v>
      </c>
      <c r="AJ559" s="5" t="s">
        <v>55</v>
      </c>
      <c r="AK559" s="5" t="s">
        <v>40</v>
      </c>
      <c r="AL559" s="5" t="s">
        <v>37</v>
      </c>
      <c r="AM559" s="262">
        <f>SUM(AM555:AM558)</f>
        <v>90</v>
      </c>
      <c r="AN559" s="14">
        <f>SUM(AN555:AN558)</f>
        <v>17.222222222222221</v>
      </c>
      <c r="AO559" s="14">
        <f>SUM(AO555:AO558)</f>
        <v>15.555555555555557</v>
      </c>
      <c r="AP559" s="14">
        <f>SUM(AP555:AP558)</f>
        <v>377.22222222222223</v>
      </c>
      <c r="AQ559" s="30"/>
      <c r="AR559" s="14">
        <f t="shared" si="4"/>
        <v>0</v>
      </c>
    </row>
    <row r="560" spans="1:44" x14ac:dyDescent="0.2">
      <c r="C560" s="76">
        <v>0</v>
      </c>
      <c r="D560" s="76">
        <v>0</v>
      </c>
      <c r="E560" s="97">
        <v>0</v>
      </c>
      <c r="F560" s="76">
        <v>9</v>
      </c>
      <c r="G560" s="76">
        <v>0</v>
      </c>
      <c r="H560" s="76">
        <v>0</v>
      </c>
      <c r="I560" s="76">
        <v>0</v>
      </c>
      <c r="J560" s="76">
        <v>0</v>
      </c>
      <c r="K560" s="76">
        <v>0</v>
      </c>
      <c r="AR560" s="14">
        <f t="shared" si="4"/>
        <v>43</v>
      </c>
    </row>
    <row r="561" spans="1:44" x14ac:dyDescent="0.2">
      <c r="AJ561" s="5"/>
      <c r="AK561" s="5"/>
      <c r="AL561" s="5"/>
      <c r="AN561" s="14"/>
      <c r="AO561" s="14"/>
      <c r="AP561" s="14"/>
      <c r="AQ561" s="30"/>
      <c r="AR561" s="14">
        <f t="shared" si="4"/>
        <v>20</v>
      </c>
    </row>
    <row r="562" spans="1:44" x14ac:dyDescent="0.2">
      <c r="L562" s="97">
        <v>24.67</v>
      </c>
      <c r="M562" s="76">
        <v>22</v>
      </c>
      <c r="N562" s="76">
        <v>10</v>
      </c>
      <c r="O562" s="76">
        <v>9</v>
      </c>
      <c r="P562" s="76">
        <v>4</v>
      </c>
      <c r="Q562" s="76">
        <v>16</v>
      </c>
      <c r="R562" s="76">
        <v>2</v>
      </c>
      <c r="S562" s="76">
        <v>24</v>
      </c>
      <c r="T562" s="76">
        <v>110</v>
      </c>
      <c r="U562" s="76"/>
      <c r="V562" s="100"/>
      <c r="W562" s="76"/>
      <c r="Y562" s="151">
        <f>+(Q562-R562)/(T562-R562)*100</f>
        <v>12.962962962962962</v>
      </c>
      <c r="Z562" s="152">
        <f>IF(Y562&lt;LeagueRatings!$K$10,((LeagueRatings!$K$10-Y562)/LeagueRatings!$K$10)*36,(LeagueRatings!$K$10-Y562)*6.48)</f>
        <v>-27.834219505806335</v>
      </c>
      <c r="AA562" s="153">
        <v>4.3899999999999997</v>
      </c>
      <c r="AB562" s="153">
        <f>(P562/(T562-R562))*100</f>
        <v>3.7037037037037033</v>
      </c>
      <c r="AC562" s="152">
        <f>IF(AB562&lt;LeagueRatings!$K$8,((LeagueRatings!$K$8-AB562)/LeagueRatings!$K$8)*36,(LeagueRatings!$K$8-AB562)/LeagueRatings!$K$11)</f>
        <v>-3.9820253570855355</v>
      </c>
      <c r="AD562" s="153">
        <v>1.03</v>
      </c>
      <c r="AE562" s="103">
        <f>+((LeagueRatings!$I$6-E559)*5)+9.5</f>
        <v>14.108051455277405</v>
      </c>
      <c r="AF562" s="103">
        <f>IF(AE562&lt;4,4,AE562)</f>
        <v>14.108051455277405</v>
      </c>
      <c r="AG562" s="103">
        <f>IF(M562&lt;L562,((1-(M562/L562))*7)-0.07,(1-(M562/L562))*5)</f>
        <v>0.68760032428050288</v>
      </c>
      <c r="AH562" s="154">
        <f>+AA562+AD562+AF562+AG562</f>
        <v>20.215651779557909</v>
      </c>
      <c r="AM562" s="262">
        <f>+AR445*LeagueRatings!$K$27</f>
        <v>13.888888888888889</v>
      </c>
      <c r="AN562" s="72">
        <f>F559*LeagueRatings!$K$27</f>
        <v>17.222222222222221</v>
      </c>
      <c r="AO562" s="72">
        <f>G559*LeagueRatings!$K$27</f>
        <v>0</v>
      </c>
      <c r="AP562" s="72">
        <f>T562*LeagueRatings!$K$27</f>
        <v>61.111111111111114</v>
      </c>
      <c r="AQ562" s="30"/>
      <c r="AR562" s="14">
        <f t="shared" si="4"/>
        <v>1</v>
      </c>
    </row>
    <row r="563" spans="1:44" x14ac:dyDescent="0.2">
      <c r="A563" s="73" t="s">
        <v>504</v>
      </c>
      <c r="B563" s="76" t="s">
        <v>146</v>
      </c>
      <c r="L563" s="97">
        <v>3.67</v>
      </c>
      <c r="M563" s="76">
        <v>2</v>
      </c>
      <c r="N563" s="76">
        <v>0</v>
      </c>
      <c r="O563" s="76">
        <v>0</v>
      </c>
      <c r="P563" s="76">
        <v>0</v>
      </c>
      <c r="Q563" s="76">
        <v>0</v>
      </c>
      <c r="R563" s="76">
        <v>0</v>
      </c>
      <c r="S563" s="76">
        <v>2</v>
      </c>
      <c r="T563" s="76">
        <v>12</v>
      </c>
      <c r="U563" s="76"/>
      <c r="V563" s="100"/>
      <c r="W563" s="76"/>
      <c r="Y563" s="151">
        <f>+(Q563-R563)/(T563-R563)*100</f>
        <v>0</v>
      </c>
      <c r="Z563" s="152">
        <f>IF(Y563&lt;LeagueRatings!$K$21,((LeagueRatings!$K$21-Y563)/LeagueRatings!$K$21)*36,(LeagueRatings!$K$21-Y563)*6.48)</f>
        <v>36</v>
      </c>
      <c r="AA563" s="153">
        <v>-3.62</v>
      </c>
      <c r="AB563" s="153">
        <f>(P563/(T563-R563))*100</f>
        <v>0</v>
      </c>
      <c r="AC563" s="152">
        <f>IF(AB563&lt;LeagueRatings!$K$19,((LeagueRatings!$K$19-AB563)/LeagueRatings!$K$19)*36,(LeagueRatings!$K$19-AB563)/LeagueRatings!$K$22)</f>
        <v>36</v>
      </c>
      <c r="AD563" s="153">
        <v>-3.26</v>
      </c>
      <c r="AE563" s="103">
        <f>+((LeagueRatings!$I$17-E560)*5)+9.5</f>
        <v>30.314387243706364</v>
      </c>
      <c r="AF563" s="103">
        <f>IF(AE563&lt;4,4,AE563)</f>
        <v>30.314387243706364</v>
      </c>
      <c r="AG563" s="103">
        <f>IF(M563&lt;L563,((1-(M563/L563))*7)-0.07,(1-(M563/L563))*5)</f>
        <v>3.1152861035422341</v>
      </c>
      <c r="AH563" s="154">
        <f>+AA563+AD563+AF563+AG563</f>
        <v>26.5496733472486</v>
      </c>
      <c r="AM563" s="262">
        <f>+AR446*LeagueRatings!$K$27</f>
        <v>2.2222222222222223</v>
      </c>
      <c r="AN563" s="72">
        <f>F560*LeagueRatings!$K$27</f>
        <v>5</v>
      </c>
      <c r="AO563" s="72">
        <f>G560*LeagueRatings!$K$27</f>
        <v>0</v>
      </c>
      <c r="AP563" s="72">
        <f>T563*LeagueRatings!$K$27</f>
        <v>6.666666666666667</v>
      </c>
      <c r="AQ563" s="30"/>
      <c r="AR563" s="14">
        <f t="shared" ref="AR563:AR581" si="5">ROUNDUP(L680,0)</f>
        <v>1</v>
      </c>
    </row>
    <row r="564" spans="1:44" x14ac:dyDescent="0.2">
      <c r="A564" s="41" t="s">
        <v>504</v>
      </c>
      <c r="B564" s="76" t="s">
        <v>171</v>
      </c>
      <c r="L564" s="157">
        <f>(L562/100)/((L562+L563)/100)</f>
        <v>0.87050105857445303</v>
      </c>
      <c r="Y564" s="153"/>
      <c r="Z564" s="152">
        <f>Z562*L564</f>
        <v>-24.229717544398103</v>
      </c>
      <c r="AA564" s="153"/>
      <c r="AB564" s="153"/>
      <c r="AC564" s="152">
        <f>AC562*L564</f>
        <v>-3.4663572886132732</v>
      </c>
      <c r="AD564" s="153"/>
      <c r="AE564" s="103"/>
      <c r="AF564" s="103"/>
      <c r="AG564" s="103"/>
      <c r="AH564" s="154">
        <f>AH562*L564</f>
        <v>17.597746273877686</v>
      </c>
      <c r="AN564" s="72">
        <f>F561*LeagueRatings!$K$27</f>
        <v>0</v>
      </c>
      <c r="AO564" s="72">
        <f>G561*LeagueRatings!$K$27</f>
        <v>0</v>
      </c>
      <c r="AP564" s="72">
        <f>T564*LeagueRatings!$K$27</f>
        <v>0</v>
      </c>
      <c r="AQ564" s="30"/>
      <c r="AR564" s="14">
        <f t="shared" si="5"/>
        <v>0</v>
      </c>
    </row>
    <row r="565" spans="1:44" x14ac:dyDescent="0.2">
      <c r="C565" s="76">
        <v>1</v>
      </c>
      <c r="D565" s="76">
        <v>9</v>
      </c>
      <c r="E565" s="97">
        <v>4.72</v>
      </c>
      <c r="F565" s="76">
        <v>20</v>
      </c>
      <c r="G565" s="76">
        <v>20</v>
      </c>
      <c r="H565" s="76">
        <v>0</v>
      </c>
      <c r="I565" s="76">
        <v>0</v>
      </c>
      <c r="J565" s="76">
        <v>0</v>
      </c>
      <c r="K565" s="76">
        <v>0</v>
      </c>
      <c r="L565" s="157">
        <f>(L563/100)/((L562+L563)/100)</f>
        <v>0.12949894142554691</v>
      </c>
      <c r="Y565" s="153"/>
      <c r="Z565" s="152">
        <f>Z563*L565</f>
        <v>4.661961891319689</v>
      </c>
      <c r="AA565" s="153"/>
      <c r="AB565" s="153"/>
      <c r="AC565" s="152">
        <f>AC563*L565</f>
        <v>4.661961891319689</v>
      </c>
      <c r="AD565" s="153"/>
      <c r="AE565" s="103"/>
      <c r="AF565" s="103"/>
      <c r="AG565" s="103"/>
      <c r="AH565" s="154">
        <f>AH563*L565</f>
        <v>3.4381545936627504</v>
      </c>
      <c r="AN565" s="72">
        <f>F562*LeagueRatings!$K$27</f>
        <v>0</v>
      </c>
      <c r="AO565" s="72">
        <f>G562*LeagueRatings!$K$27</f>
        <v>0</v>
      </c>
      <c r="AP565" s="72">
        <f>T565*LeagueRatings!$K$27</f>
        <v>0</v>
      </c>
      <c r="AQ565" s="30"/>
      <c r="AR565" s="14">
        <f t="shared" si="5"/>
        <v>0</v>
      </c>
    </row>
    <row r="566" spans="1:44" x14ac:dyDescent="0.2">
      <c r="C566" s="76">
        <v>6</v>
      </c>
      <c r="D566" s="76">
        <v>4</v>
      </c>
      <c r="E566" s="97">
        <v>2.17</v>
      </c>
      <c r="F566" s="76">
        <v>12</v>
      </c>
      <c r="G566" s="76">
        <v>12</v>
      </c>
      <c r="H566" s="76">
        <v>0</v>
      </c>
      <c r="I566" s="76">
        <v>0</v>
      </c>
      <c r="J566" s="76">
        <v>0</v>
      </c>
      <c r="K566" s="76">
        <v>0</v>
      </c>
      <c r="Z566" s="152">
        <f>SUM(Z564:Z565)</f>
        <v>-19.567755653078414</v>
      </c>
      <c r="AA566" s="153"/>
      <c r="AB566" s="153"/>
      <c r="AC566" s="152">
        <f>SUM(AC564:AC565)</f>
        <v>1.1956046027064158</v>
      </c>
      <c r="AD566" s="153"/>
      <c r="AE566" s="103"/>
      <c r="AF566" s="103"/>
      <c r="AG566" s="103"/>
      <c r="AH566" s="153">
        <f>SUM(AH564:AH565)</f>
        <v>21.035900867540438</v>
      </c>
      <c r="AI566" s="41" t="s">
        <v>368</v>
      </c>
      <c r="AJ566" s="5" t="s">
        <v>67</v>
      </c>
      <c r="AK566" s="5" t="s">
        <v>70</v>
      </c>
      <c r="AL566" s="5" t="s">
        <v>25</v>
      </c>
      <c r="AM566" s="262">
        <f>SUM(AM562:AM565)</f>
        <v>16.111111111111111</v>
      </c>
      <c r="AN566" s="14">
        <f>SUM(AN562:AN565)</f>
        <v>22.222222222222221</v>
      </c>
      <c r="AO566" s="14">
        <f>SUM(AO562:AO565)</f>
        <v>0</v>
      </c>
      <c r="AP566" s="14">
        <f>SUM(AP562:AP565)</f>
        <v>67.777777777777786</v>
      </c>
      <c r="AQ566" s="30"/>
      <c r="AR566" s="14">
        <f t="shared" si="5"/>
        <v>0</v>
      </c>
    </row>
    <row r="567" spans="1:44" x14ac:dyDescent="0.2">
      <c r="AN567" s="72">
        <f>F564*LeagueRatings!$K$27</f>
        <v>0</v>
      </c>
      <c r="AO567" s="72">
        <f>G564*LeagueRatings!$K$27</f>
        <v>0</v>
      </c>
      <c r="AP567" s="72">
        <f>T567*LeagueRatings!$K$27</f>
        <v>0</v>
      </c>
      <c r="AQ567" s="30"/>
      <c r="AR567" s="14">
        <f t="shared" si="5"/>
        <v>0</v>
      </c>
    </row>
    <row r="568" spans="1:44" x14ac:dyDescent="0.2">
      <c r="L568" s="97">
        <v>124</v>
      </c>
      <c r="M568" s="76">
        <v>131</v>
      </c>
      <c r="N568" s="76">
        <v>67</v>
      </c>
      <c r="O568" s="76">
        <v>65</v>
      </c>
      <c r="P568" s="76">
        <v>20</v>
      </c>
      <c r="Q568" s="76">
        <v>46</v>
      </c>
      <c r="R568" s="76">
        <v>1</v>
      </c>
      <c r="S568" s="76">
        <v>100</v>
      </c>
      <c r="T568" s="76">
        <v>538</v>
      </c>
      <c r="U568" s="76"/>
      <c r="V568" s="100"/>
      <c r="W568" s="76"/>
      <c r="Y568" s="151">
        <f>+(Q568-R568)/(T568-R568)*100</f>
        <v>8.3798882681564244</v>
      </c>
      <c r="Z568" s="152">
        <f>IF(Y568&lt;LeagueRatings!$K$10,((LeagueRatings!$K$10-Y568)/LeagueRatings!$K$10)*36,(LeagueRatings!$K$10-Y568)*6.48)</f>
        <v>1.1948158114241572</v>
      </c>
      <c r="AA568" s="153">
        <v>0.09</v>
      </c>
      <c r="AB568" s="153">
        <f>(P568/(T568-R568))*100</f>
        <v>3.7243947858472999</v>
      </c>
      <c r="AC568" s="152">
        <f>IF(AB568&lt;LeagueRatings!$K$8,((LeagueRatings!$K$8-AB568)/LeagueRatings!$K$8)*36,(LeagueRatings!$K$8-AB568)/LeagueRatings!$K$11)</f>
        <v>-4.1463219135893778</v>
      </c>
      <c r="AD568" s="153">
        <v>1.03</v>
      </c>
      <c r="AE568" s="103">
        <f>+((LeagueRatings!$I$6-E565)*5)+9.5</f>
        <v>6.9080514552774046</v>
      </c>
      <c r="AF568" s="103">
        <f>IF(AE568&lt;4,4,AE568)</f>
        <v>6.9080514552774046</v>
      </c>
      <c r="AG568" s="103">
        <f>IF(M568&lt;L568,((1-(M568/L568))*7)-0.07,(1-(M568/L568))*5)</f>
        <v>-0.28225806451612878</v>
      </c>
      <c r="AH568" s="154">
        <f>+AA568+AD568+AF568+AG568</f>
        <v>7.7457933907612757</v>
      </c>
      <c r="AM568" s="262">
        <f>+AR451*LeagueRatings!$K$27</f>
        <v>68.888888888888886</v>
      </c>
      <c r="AN568" s="72">
        <f>F565*LeagueRatings!$K$27</f>
        <v>11.111111111111111</v>
      </c>
      <c r="AO568" s="72">
        <f>G565*LeagueRatings!$K$27</f>
        <v>11.111111111111111</v>
      </c>
      <c r="AP568" s="72">
        <f>T568*LeagueRatings!$K$27</f>
        <v>298.88888888888891</v>
      </c>
      <c r="AQ568" s="30"/>
      <c r="AR568" s="14">
        <f t="shared" si="5"/>
        <v>0</v>
      </c>
    </row>
    <row r="569" spans="1:44" x14ac:dyDescent="0.2">
      <c r="A569" t="s">
        <v>628</v>
      </c>
      <c r="B569" s="76" t="s">
        <v>144</v>
      </c>
      <c r="L569" s="97">
        <v>78.67</v>
      </c>
      <c r="M569" s="76">
        <v>65</v>
      </c>
      <c r="N569" s="76">
        <v>24</v>
      </c>
      <c r="O569" s="76">
        <v>19</v>
      </c>
      <c r="P569" s="76">
        <v>3</v>
      </c>
      <c r="Q569" s="76">
        <v>17</v>
      </c>
      <c r="R569" s="76">
        <v>1</v>
      </c>
      <c r="S569" s="76">
        <v>58</v>
      </c>
      <c r="T569" s="76">
        <v>314</v>
      </c>
      <c r="U569" s="76"/>
      <c r="V569" s="100"/>
      <c r="W569" s="76"/>
      <c r="Y569" s="151">
        <f>+(Q569-R569)/(T569-R569)*100</f>
        <v>5.1118210862619806</v>
      </c>
      <c r="Z569" s="152">
        <f>IF(Y569&lt;LeagueRatings!$K$21,((LeagueRatings!$K$21-Y569)/LeagueRatings!$K$21)*36,(LeagueRatings!$K$21-Y569)*6.48)</f>
        <v>15.44541061113199</v>
      </c>
      <c r="AA569" s="153">
        <v>-1.1000000000000001</v>
      </c>
      <c r="AB569" s="153">
        <f>(P569/(T569-R569))*100</f>
        <v>0.95846645367412142</v>
      </c>
      <c r="AC569" s="152">
        <f>IF(AB569&lt;LeagueRatings!$K$19,((LeagueRatings!$K$19-AB569)/LeagueRatings!$K$19)*36,(LeagueRatings!$K$19-AB569)/LeagueRatings!$K$22)</f>
        <v>24.134529147982065</v>
      </c>
      <c r="AD569" s="153">
        <v>1.68</v>
      </c>
      <c r="AE569" s="103">
        <f>+((LeagueRatings!$I$17-E566)*5)+9.5</f>
        <v>19.464387243706362</v>
      </c>
      <c r="AF569" s="103">
        <f>IF(AE569&lt;4,4,AE569)</f>
        <v>19.464387243706362</v>
      </c>
      <c r="AG569" s="103">
        <f>IF(M569&lt;L569,((1-(M569/L569))*7)-0.07,(1-(M569/L569))*5)</f>
        <v>1.1463467649675858</v>
      </c>
      <c r="AH569" s="154">
        <f>+AA569+AD569+AF569+AG569</f>
        <v>21.190734008673946</v>
      </c>
      <c r="AM569" s="262">
        <f>+AR452*LeagueRatings!$K$27</f>
        <v>43.888888888888893</v>
      </c>
      <c r="AN569" s="72">
        <f>F566*LeagueRatings!$K$27</f>
        <v>6.666666666666667</v>
      </c>
      <c r="AO569" s="72">
        <f>G566*LeagueRatings!$K$27</f>
        <v>6.666666666666667</v>
      </c>
      <c r="AP569" s="72">
        <f>T569*LeagueRatings!$K$27</f>
        <v>174.44444444444446</v>
      </c>
      <c r="AQ569" s="30"/>
      <c r="AR569" s="14">
        <f t="shared" si="5"/>
        <v>0</v>
      </c>
    </row>
    <row r="570" spans="1:44" x14ac:dyDescent="0.2">
      <c r="A570" s="41" t="s">
        <v>628</v>
      </c>
      <c r="B570" s="76" t="s">
        <v>149</v>
      </c>
      <c r="L570" s="157">
        <f>(L568/100)/((L568+L569)/100)</f>
        <v>0.6118320422361474</v>
      </c>
      <c r="Y570" s="153"/>
      <c r="Z570" s="152">
        <f>Z568*L570</f>
        <v>0.73102659799968162</v>
      </c>
      <c r="AA570" s="153"/>
      <c r="AB570" s="153"/>
      <c r="AC570" s="152">
        <f>AC568*L570</f>
        <v>-2.5368526041598796</v>
      </c>
      <c r="AD570" s="153"/>
      <c r="AE570" s="103"/>
      <c r="AF570" s="103"/>
      <c r="AG570" s="103"/>
      <c r="AH570" s="154">
        <f>AH568*L570</f>
        <v>4.7391245890087239</v>
      </c>
      <c r="AN570" s="72">
        <f>F567*LeagueRatings!$K$27</f>
        <v>0</v>
      </c>
      <c r="AO570" s="72">
        <f>G567*LeagueRatings!$K$27</f>
        <v>0</v>
      </c>
      <c r="AP570" s="72">
        <f>T570*LeagueRatings!$K$27</f>
        <v>0</v>
      </c>
      <c r="AQ570" s="30"/>
      <c r="AR570" s="14">
        <f t="shared" si="5"/>
        <v>0</v>
      </c>
    </row>
    <row r="571" spans="1:44" x14ac:dyDescent="0.2">
      <c r="C571" s="76">
        <v>11</v>
      </c>
      <c r="D571" s="76">
        <v>8</v>
      </c>
      <c r="E571" s="97">
        <v>3.11</v>
      </c>
      <c r="F571" s="76">
        <v>23</v>
      </c>
      <c r="G571" s="76">
        <v>23</v>
      </c>
      <c r="H571" s="76">
        <v>2</v>
      </c>
      <c r="I571" s="76">
        <v>0</v>
      </c>
      <c r="J571" s="76">
        <v>0</v>
      </c>
      <c r="K571" s="76">
        <v>0</v>
      </c>
      <c r="L571" s="157">
        <f>(L569/100)/((L568+L569)/100)</f>
        <v>0.3881679577638526</v>
      </c>
      <c r="Y571" s="153"/>
      <c r="Z571" s="152">
        <f>Z569*L571</f>
        <v>5.9954134937472432</v>
      </c>
      <c r="AA571" s="153"/>
      <c r="AB571" s="153"/>
      <c r="AC571" s="152">
        <f>AC569*L571</f>
        <v>9.3682508909643722</v>
      </c>
      <c r="AD571" s="153"/>
      <c r="AE571" s="103"/>
      <c r="AF571" s="103"/>
      <c r="AG571" s="103"/>
      <c r="AH571" s="154">
        <f>AH569*L571</f>
        <v>8.2255639436639836</v>
      </c>
      <c r="AN571" s="72">
        <f>F568*LeagueRatings!$K$27</f>
        <v>0</v>
      </c>
      <c r="AO571" s="72">
        <f>G568*LeagueRatings!$K$27</f>
        <v>0</v>
      </c>
      <c r="AP571" s="72">
        <f>T571*LeagueRatings!$K$27</f>
        <v>0</v>
      </c>
      <c r="AQ571" s="30"/>
      <c r="AR571" s="14">
        <f t="shared" si="5"/>
        <v>0</v>
      </c>
    </row>
    <row r="572" spans="1:44" x14ac:dyDescent="0.2">
      <c r="C572" s="76">
        <v>4</v>
      </c>
      <c r="D572" s="76">
        <v>4</v>
      </c>
      <c r="E572" s="97">
        <v>3.59</v>
      </c>
      <c r="F572" s="76">
        <v>11</v>
      </c>
      <c r="G572" s="76">
        <v>11</v>
      </c>
      <c r="H572" s="76">
        <v>1</v>
      </c>
      <c r="I572" s="76">
        <v>0</v>
      </c>
      <c r="J572" s="76">
        <v>0</v>
      </c>
      <c r="K572" s="76">
        <v>0</v>
      </c>
      <c r="Z572" s="152">
        <f>SUM(Z570:Z571)</f>
        <v>6.7264400917469249</v>
      </c>
      <c r="AA572" s="153"/>
      <c r="AB572" s="153"/>
      <c r="AC572" s="152">
        <f>SUM(AC570:AC571)</f>
        <v>6.8313982868044931</v>
      </c>
      <c r="AD572" s="153"/>
      <c r="AE572" s="103"/>
      <c r="AF572" s="103"/>
      <c r="AG572" s="103"/>
      <c r="AH572" s="153">
        <f>SUM(AH570:AH571)</f>
        <v>12.964688532672707</v>
      </c>
      <c r="AI572" s="41" t="s">
        <v>504</v>
      </c>
      <c r="AJ572" s="5" t="s">
        <v>68</v>
      </c>
      <c r="AK572" s="5" t="s">
        <v>30</v>
      </c>
      <c r="AL572" s="5" t="s">
        <v>57</v>
      </c>
      <c r="AM572" s="262">
        <f>SUM(AM568:AM571)</f>
        <v>112.77777777777777</v>
      </c>
      <c r="AN572" s="14">
        <f>SUM(AN568:AN571)</f>
        <v>17.777777777777779</v>
      </c>
      <c r="AO572" s="14">
        <f>SUM(AO568:AO571)</f>
        <v>17.777777777777779</v>
      </c>
      <c r="AP572" s="14">
        <f>SUM(AP568:AP571)</f>
        <v>473.33333333333337</v>
      </c>
      <c r="AQ572" s="30"/>
      <c r="AR572" s="14">
        <f t="shared" si="5"/>
        <v>143</v>
      </c>
    </row>
    <row r="573" spans="1:44" x14ac:dyDescent="0.2">
      <c r="AN573" s="72">
        <f>F570*LeagueRatings!$K$27</f>
        <v>0</v>
      </c>
      <c r="AO573" s="72">
        <f>G570*LeagueRatings!$K$27</f>
        <v>0</v>
      </c>
      <c r="AP573" s="72">
        <f>T573*LeagueRatings!$K$27</f>
        <v>0</v>
      </c>
      <c r="AQ573" s="30"/>
      <c r="AR573" s="14">
        <f t="shared" si="5"/>
        <v>28</v>
      </c>
    </row>
    <row r="574" spans="1:44" x14ac:dyDescent="0.2">
      <c r="L574" s="97">
        <v>170.67</v>
      </c>
      <c r="M574" s="76">
        <v>156</v>
      </c>
      <c r="N574" s="76">
        <v>68</v>
      </c>
      <c r="O574" s="76">
        <v>59</v>
      </c>
      <c r="P574" s="76">
        <v>20</v>
      </c>
      <c r="Q574" s="76">
        <v>23</v>
      </c>
      <c r="R574" s="76">
        <v>1</v>
      </c>
      <c r="S574" s="76">
        <v>189</v>
      </c>
      <c r="T574" s="76">
        <v>689</v>
      </c>
      <c r="U574" s="76"/>
      <c r="V574" s="100"/>
      <c r="W574" s="76"/>
      <c r="Y574" s="151">
        <f>+(Q574-R574)/(T574-R574)*100</f>
        <v>3.1976744186046515</v>
      </c>
      <c r="Z574" s="152">
        <f>IF(Y574&lt;LeagueRatings!$K$10,((LeagueRatings!$K$10-Y574)/LeagueRatings!$K$10)*36,(LeagueRatings!$K$10-Y574)*6.48)</f>
        <v>22.71871944432057</v>
      </c>
      <c r="AA574" s="153">
        <v>-2</v>
      </c>
      <c r="AB574" s="153">
        <f>(P574/(T574-R574))*100</f>
        <v>2.9069767441860463</v>
      </c>
      <c r="AC574" s="152">
        <f>IF(AB574&lt;LeagueRatings!$K$8,((LeagueRatings!$K$8-AB574)/LeagueRatings!$K$8)*36,(LeagueRatings!$K$8-AB574)/LeagueRatings!$K$11)</f>
        <v>3.3191610786132153</v>
      </c>
      <c r="AD574" s="153">
        <v>0.33</v>
      </c>
      <c r="AE574" s="103">
        <f>+((LeagueRatings!$I$6-E571)*5)+9.5</f>
        <v>14.958051455277404</v>
      </c>
      <c r="AF574" s="103">
        <f>IF(AE574&lt;4,4,AE574)</f>
        <v>14.958051455277404</v>
      </c>
      <c r="AG574" s="103">
        <f>IF(M574&lt;L574,((1-(M574/L574))*7)-0.07,(1-(M574/L574))*5)</f>
        <v>0.5316874670416587</v>
      </c>
      <c r="AH574" s="154">
        <f>+AA574+AD574+AF574+AG574</f>
        <v>13.819738922319063</v>
      </c>
      <c r="AM574" s="262">
        <f>+AR457*LeagueRatings!$K$27</f>
        <v>95</v>
      </c>
      <c r="AN574" s="72">
        <f>F571*LeagueRatings!$K$27</f>
        <v>12.777777777777779</v>
      </c>
      <c r="AO574" s="72">
        <f>G571*LeagueRatings!$K$27</f>
        <v>12.777777777777779</v>
      </c>
      <c r="AP574" s="72">
        <f>T574*LeagueRatings!$K$27</f>
        <v>382.77777777777777</v>
      </c>
      <c r="AQ574" s="30"/>
      <c r="AR574" s="14">
        <f t="shared" si="5"/>
        <v>1</v>
      </c>
    </row>
    <row r="575" spans="1:44" x14ac:dyDescent="0.2">
      <c r="A575" t="s">
        <v>622</v>
      </c>
      <c r="B575" s="76" t="s">
        <v>156</v>
      </c>
      <c r="L575" s="97">
        <v>77.67</v>
      </c>
      <c r="M575" s="76">
        <v>74</v>
      </c>
      <c r="N575" s="76">
        <v>32</v>
      </c>
      <c r="O575" s="76">
        <v>31</v>
      </c>
      <c r="P575" s="76">
        <v>5</v>
      </c>
      <c r="Q575" s="76">
        <v>15</v>
      </c>
      <c r="R575" s="76">
        <v>0</v>
      </c>
      <c r="S575" s="76">
        <v>82</v>
      </c>
      <c r="T575" s="76">
        <v>320</v>
      </c>
      <c r="U575" s="76"/>
      <c r="V575" s="100"/>
      <c r="W575" s="76"/>
      <c r="Y575" s="151">
        <f>+(Q575-R575)/(T575-R575)*100</f>
        <v>4.6875</v>
      </c>
      <c r="Z575" s="152">
        <f>IF(Y575&lt;LeagueRatings!$K$21,((LeagueRatings!$K$21-Y575)/LeagueRatings!$K$21)*36,(LeagueRatings!$K$21-Y575)*6.48)</f>
        <v>17.151602113137635</v>
      </c>
      <c r="AA575" s="153">
        <v>-1.29</v>
      </c>
      <c r="AB575" s="153">
        <f>(P575/(T575-R575))*100</f>
        <v>1.5625</v>
      </c>
      <c r="AC575" s="152">
        <f>IF(AB575&lt;LeagueRatings!$K$19,((LeagueRatings!$K$19-AB575)/LeagueRatings!$K$19)*36,(LeagueRatings!$K$19-AB575)/LeagueRatings!$K$22)</f>
        <v>16.656810538116591</v>
      </c>
      <c r="AD575" s="153">
        <v>-0.81</v>
      </c>
      <c r="AE575" s="103">
        <f>+((LeagueRatings!$I$17-E572)*5)+9.5</f>
        <v>12.364387243706364</v>
      </c>
      <c r="AF575" s="103">
        <f>IF(AE575&lt;4,4,AE575)</f>
        <v>12.364387243706364</v>
      </c>
      <c r="AG575" s="103">
        <f>IF(M575&lt;L575,((1-(M575/L575))*7)-0.07,(1-(M575/L575))*5)</f>
        <v>0.26075833655207964</v>
      </c>
      <c r="AH575" s="154">
        <f>+AA575+AD575+AF575+AG575</f>
        <v>10.525145580258444</v>
      </c>
      <c r="AM575" s="262">
        <f>+AR458*LeagueRatings!$K$27</f>
        <v>43.333333333333336</v>
      </c>
      <c r="AN575" s="72">
        <f>F572*LeagueRatings!$K$27</f>
        <v>6.1111111111111116</v>
      </c>
      <c r="AO575" s="72">
        <f>G572*LeagueRatings!$K$27</f>
        <v>6.1111111111111116</v>
      </c>
      <c r="AP575" s="72">
        <f>T575*LeagueRatings!$K$27</f>
        <v>177.77777777777777</v>
      </c>
      <c r="AQ575" s="30"/>
      <c r="AR575" s="14">
        <f t="shared" si="5"/>
        <v>1</v>
      </c>
    </row>
    <row r="576" spans="1:44" x14ac:dyDescent="0.2">
      <c r="A576" s="41" t="s">
        <v>622</v>
      </c>
      <c r="B576" s="76" t="s">
        <v>152</v>
      </c>
      <c r="L576" s="157">
        <f>(L574/100)/((L574+L575)/100)</f>
        <v>0.68724329548200058</v>
      </c>
      <c r="Y576" s="153"/>
      <c r="Z576" s="152">
        <f>Z574*L576</f>
        <v>15.613287620045874</v>
      </c>
      <c r="AA576" s="153"/>
      <c r="AB576" s="153"/>
      <c r="AC576" s="152">
        <f>AC574*L576</f>
        <v>2.2810711979017375</v>
      </c>
      <c r="AD576" s="153"/>
      <c r="AE576" s="103"/>
      <c r="AF576" s="103"/>
      <c r="AG576" s="103"/>
      <c r="AH576" s="154">
        <f>AH574*L576</f>
        <v>9.4975229196754238</v>
      </c>
      <c r="AN576" s="72">
        <f>F573*LeagueRatings!$K$27</f>
        <v>0</v>
      </c>
      <c r="AO576" s="72">
        <f>G573*LeagueRatings!$K$27</f>
        <v>0</v>
      </c>
      <c r="AP576" s="72">
        <f>T576*LeagueRatings!$K$27</f>
        <v>0</v>
      </c>
      <c r="AQ576" s="30"/>
      <c r="AR576" s="14">
        <f t="shared" si="5"/>
        <v>0</v>
      </c>
    </row>
    <row r="577" spans="1:44" x14ac:dyDescent="0.2">
      <c r="C577" s="76">
        <v>0</v>
      </c>
      <c r="D577" s="76">
        <v>0</v>
      </c>
      <c r="E577" s="97">
        <v>6.97</v>
      </c>
      <c r="F577" s="76">
        <v>16</v>
      </c>
      <c r="G577" s="76">
        <v>0</v>
      </c>
      <c r="H577" s="76">
        <v>0</v>
      </c>
      <c r="I577" s="76">
        <v>0</v>
      </c>
      <c r="J577" s="76">
        <v>0</v>
      </c>
      <c r="K577" s="76">
        <v>0</v>
      </c>
      <c r="L577" s="157">
        <f>(L575/100)/((L574+L575)/100)</f>
        <v>0.31275670451799958</v>
      </c>
      <c r="Y577" s="153"/>
      <c r="Z577" s="152">
        <f>Z575*L577</f>
        <v>5.3642785541088847</v>
      </c>
      <c r="AA577" s="153"/>
      <c r="AB577" s="153"/>
      <c r="AC577" s="152">
        <f>AC575*L577</f>
        <v>5.209529171682032</v>
      </c>
      <c r="AD577" s="153"/>
      <c r="AE577" s="103"/>
      <c r="AF577" s="103"/>
      <c r="AG577" s="103"/>
      <c r="AH577" s="154">
        <f>AH575*L577</f>
        <v>3.2918098462538197</v>
      </c>
      <c r="AN577" s="72">
        <f>F574*LeagueRatings!$K$27</f>
        <v>0</v>
      </c>
      <c r="AO577" s="72">
        <f>G574*LeagueRatings!$K$27</f>
        <v>0</v>
      </c>
      <c r="AP577" s="72">
        <f>T577*LeagueRatings!$K$27</f>
        <v>0</v>
      </c>
      <c r="AQ577" s="30"/>
      <c r="AR577" s="14">
        <f t="shared" si="5"/>
        <v>0</v>
      </c>
    </row>
    <row r="578" spans="1:44" x14ac:dyDescent="0.2">
      <c r="C578" s="76">
        <v>2</v>
      </c>
      <c r="D578" s="76">
        <v>0</v>
      </c>
      <c r="E578" s="97">
        <v>4.68</v>
      </c>
      <c r="F578" s="76">
        <v>18</v>
      </c>
      <c r="G578" s="76">
        <v>1</v>
      </c>
      <c r="H578" s="76">
        <v>0</v>
      </c>
      <c r="I578" s="76">
        <v>0</v>
      </c>
      <c r="J578" s="76">
        <v>0</v>
      </c>
      <c r="K578" s="76">
        <v>1</v>
      </c>
      <c r="Z578" s="152">
        <f>SUM(Z576:Z577)</f>
        <v>20.977566174154759</v>
      </c>
      <c r="AA578" s="153"/>
      <c r="AB578" s="153"/>
      <c r="AC578" s="152">
        <f>SUM(AC576:AC577)</f>
        <v>7.4906003695837695</v>
      </c>
      <c r="AD578" s="153"/>
      <c r="AE578" s="103"/>
      <c r="AF578" s="103"/>
      <c r="AG578" s="103"/>
      <c r="AH578" s="153">
        <f>SUM(AH576:AH577)</f>
        <v>12.789332765929244</v>
      </c>
      <c r="AI578" s="41" t="s">
        <v>628</v>
      </c>
      <c r="AJ578" s="5" t="s">
        <v>68</v>
      </c>
      <c r="AK578" s="5" t="s">
        <v>76</v>
      </c>
      <c r="AL578" s="5" t="s">
        <v>45</v>
      </c>
      <c r="AM578" s="262">
        <f>SUM(AM574:AM577)</f>
        <v>138.33333333333334</v>
      </c>
      <c r="AN578" s="14">
        <f>SUM(AN574:AN577)</f>
        <v>18.888888888888889</v>
      </c>
      <c r="AO578" s="14">
        <f>SUM(AO574:AO577)</f>
        <v>18.888888888888889</v>
      </c>
      <c r="AP578" s="14">
        <f>SUM(AP574:AP577)</f>
        <v>560.55555555555554</v>
      </c>
      <c r="AQ578" s="30"/>
      <c r="AR578" s="14">
        <f t="shared" si="5"/>
        <v>0</v>
      </c>
    </row>
    <row r="579" spans="1:44" x14ac:dyDescent="0.2">
      <c r="AN579" s="72">
        <f>F576*LeagueRatings!$K$27</f>
        <v>0</v>
      </c>
      <c r="AO579" s="72">
        <f>G576*LeagueRatings!$K$27</f>
        <v>0</v>
      </c>
      <c r="AP579" s="72">
        <f>T579*LeagueRatings!$K$27</f>
        <v>0</v>
      </c>
      <c r="AQ579" s="30"/>
      <c r="AR579" s="14">
        <f t="shared" si="5"/>
        <v>0</v>
      </c>
    </row>
    <row r="580" spans="1:44" x14ac:dyDescent="0.2">
      <c r="L580" s="97">
        <v>20.67</v>
      </c>
      <c r="M580" s="76">
        <v>28</v>
      </c>
      <c r="N580" s="76">
        <v>17</v>
      </c>
      <c r="O580" s="76">
        <v>16</v>
      </c>
      <c r="P580" s="76">
        <v>5</v>
      </c>
      <c r="Q580" s="76">
        <v>7</v>
      </c>
      <c r="R580" s="76">
        <v>0</v>
      </c>
      <c r="S580" s="76">
        <v>21</v>
      </c>
      <c r="T580" s="76">
        <v>96</v>
      </c>
      <c r="U580" s="76"/>
      <c r="V580" s="100"/>
      <c r="W580" s="76"/>
      <c r="Y580" s="151">
        <f>+(Q580-R580)/(T580-R580)*100</f>
        <v>7.291666666666667</v>
      </c>
      <c r="Z580" s="152">
        <f>IF(Y580&lt;LeagueRatings!$K$21,((LeagueRatings!$K$21-Y580)/LeagueRatings!$K$21)*36,(LeagueRatings!$K$21-Y580)*6.48)</f>
        <v>6.6802699537696535</v>
      </c>
      <c r="AA580" s="153">
        <v>-0.32</v>
      </c>
      <c r="AB580" s="153">
        <f>(P580/(T580-R580))*100</f>
        <v>5.2083333333333339</v>
      </c>
      <c r="AC580" s="152">
        <f>IF(AB580&lt;LeagueRatings!$K$19,((LeagueRatings!$K$19-AB580)/LeagueRatings!$K$19)*36,(LeagueRatings!$K$19-AB580)/LeagueRatings!$K$22)</f>
        <v>-18.586646341463418</v>
      </c>
      <c r="AD580" s="153">
        <v>2.76</v>
      </c>
      <c r="AE580" s="103">
        <f>+((LeagueRatings!$I$17-E577)*5)+9.5</f>
        <v>-4.5356127562936361</v>
      </c>
      <c r="AF580" s="103">
        <f>IF(AE580&lt;4,4,AE580)</f>
        <v>4</v>
      </c>
      <c r="AG580" s="103">
        <f>IF(M580&lt;L580,((1-(M580/L580))*7)-0.07,(1-(M580/L580))*5)</f>
        <v>-1.7731011127237539</v>
      </c>
      <c r="AH580" s="154">
        <f>+AA580+AD580+AF580+AG580</f>
        <v>4.6668988872762451</v>
      </c>
      <c r="AM580" s="262">
        <f>+AR463*LeagueRatings!$K$27</f>
        <v>11.666666666666668</v>
      </c>
      <c r="AN580" s="72">
        <f>F577*LeagueRatings!$K$27</f>
        <v>8.8888888888888893</v>
      </c>
      <c r="AO580" s="72">
        <f>G577*LeagueRatings!$K$27</f>
        <v>0</v>
      </c>
      <c r="AP580" s="72">
        <f>T580*LeagueRatings!$K$27</f>
        <v>53.333333333333336</v>
      </c>
      <c r="AQ580" s="30"/>
      <c r="AR580" s="14">
        <f t="shared" si="5"/>
        <v>0</v>
      </c>
    </row>
    <row r="581" spans="1:44" x14ac:dyDescent="0.2">
      <c r="A581" t="s">
        <v>346</v>
      </c>
      <c r="B581" s="76" t="s">
        <v>161</v>
      </c>
      <c r="L581" s="97">
        <v>25</v>
      </c>
      <c r="M581" s="76">
        <v>22</v>
      </c>
      <c r="N581" s="76">
        <v>13</v>
      </c>
      <c r="O581" s="76">
        <v>13</v>
      </c>
      <c r="P581" s="76">
        <v>3</v>
      </c>
      <c r="Q581" s="76">
        <v>10</v>
      </c>
      <c r="R581" s="76">
        <v>0</v>
      </c>
      <c r="S581" s="76">
        <v>23</v>
      </c>
      <c r="T581" s="76">
        <v>106</v>
      </c>
      <c r="U581" s="76"/>
      <c r="V581" s="100"/>
      <c r="W581" s="76"/>
      <c r="X581" s="138"/>
      <c r="Y581" s="151">
        <f>+(Q581-R581)/(T581-R581)*100</f>
        <v>9.433962264150944</v>
      </c>
      <c r="Z581" s="152">
        <f>IF(Y581&lt;LeagueRatings!$K$21,((LeagueRatings!$K$21-Y581)/LeagueRatings!$K$21)*36,(LeagueRatings!$K$21-Y581)*6.48)</f>
        <v>-3.1165344923670837</v>
      </c>
      <c r="AA581" s="153">
        <v>0.87</v>
      </c>
      <c r="AB581" s="153">
        <f>(P581/(T581-R581))*100</f>
        <v>2.8301886792452833</v>
      </c>
      <c r="AC581" s="152">
        <f>IF(AB581&lt;LeagueRatings!$K$19,((LeagueRatings!$K$19-AB581)/LeagueRatings!$K$19)*36,(LeagueRatings!$K$19-AB581)/LeagueRatings!$K$22)</f>
        <v>0.96327946526778763</v>
      </c>
      <c r="AD581" s="153">
        <v>0.42</v>
      </c>
      <c r="AE581" s="103">
        <f>+((LeagueRatings!$I$17-E578)*5)+9.5</f>
        <v>6.914387243706364</v>
      </c>
      <c r="AF581" s="103">
        <f>IF(AE581&lt;4,4,AE581)</f>
        <v>6.914387243706364</v>
      </c>
      <c r="AG581" s="103">
        <f>IF(M581&lt;L581,((1-(M581/L581))*7)-0.07,(1-(M581/L581))*5)</f>
        <v>0.77</v>
      </c>
      <c r="AH581" s="154">
        <f>+AA581+AD581+AF581+AG581</f>
        <v>8.9743872437063636</v>
      </c>
      <c r="AJ581" s="5"/>
      <c r="AK581" s="5"/>
      <c r="AL581" s="5"/>
      <c r="AM581" s="262">
        <f>+AR464*LeagueRatings!$K$27</f>
        <v>13.888888888888889</v>
      </c>
      <c r="AN581" s="72">
        <f>F578*LeagueRatings!$K$27</f>
        <v>10</v>
      </c>
      <c r="AO581" s="72">
        <f>G578*LeagueRatings!$K$27</f>
        <v>0.55555555555555558</v>
      </c>
      <c r="AP581" s="72">
        <f>T581*LeagueRatings!$K$27</f>
        <v>58.888888888888893</v>
      </c>
      <c r="AQ581" s="30"/>
      <c r="AR581" s="14">
        <f t="shared" si="5"/>
        <v>0</v>
      </c>
    </row>
    <row r="582" spans="1:44" x14ac:dyDescent="0.2">
      <c r="A582" s="41" t="s">
        <v>346</v>
      </c>
      <c r="B582" s="76" t="s">
        <v>160</v>
      </c>
      <c r="L582" s="157">
        <f>(L580/100)/((L580+L581)/100)</f>
        <v>0.45259470111670685</v>
      </c>
      <c r="T582" s="158"/>
      <c r="U582" s="158"/>
      <c r="V582" s="282"/>
      <c r="W582" s="158"/>
      <c r="X582" s="158"/>
      <c r="Y582" s="153"/>
      <c r="Z582" s="152">
        <f>Z580*L582</f>
        <v>3.0234547831052936</v>
      </c>
      <c r="AA582" s="153"/>
      <c r="AB582" s="153"/>
      <c r="AC582" s="152">
        <f>AC580*L582</f>
        <v>-8.4122176456765683</v>
      </c>
      <c r="AD582" s="153"/>
      <c r="AE582" s="103"/>
      <c r="AF582" s="103"/>
      <c r="AG582" s="103"/>
      <c r="AH582" s="154">
        <f>AH580*L582</f>
        <v>2.1122137070286842</v>
      </c>
      <c r="AJ582" s="5"/>
      <c r="AK582" s="5"/>
      <c r="AL582" s="5"/>
      <c r="AN582" s="72">
        <f>F579*LeagueRatings!$K$27</f>
        <v>0</v>
      </c>
      <c r="AO582" s="72">
        <f>G579*LeagueRatings!$K$27</f>
        <v>0</v>
      </c>
      <c r="AP582" s="72">
        <f>T582*LeagueRatings!$K$27</f>
        <v>0</v>
      </c>
      <c r="AQ582" s="30"/>
    </row>
    <row r="583" spans="1:44" x14ac:dyDescent="0.2">
      <c r="C583" s="76">
        <v>0</v>
      </c>
      <c r="D583" s="76">
        <v>2</v>
      </c>
      <c r="E583" s="97">
        <v>3.51</v>
      </c>
      <c r="F583" s="76">
        <v>44</v>
      </c>
      <c r="G583" s="76">
        <v>0</v>
      </c>
      <c r="H583" s="76">
        <v>0</v>
      </c>
      <c r="I583" s="76">
        <v>0</v>
      </c>
      <c r="J583" s="76">
        <v>1</v>
      </c>
      <c r="K583" s="76">
        <v>3</v>
      </c>
      <c r="L583" s="157">
        <f>(L581/100)/((L580+L581)/100)</f>
        <v>0.54740529888329315</v>
      </c>
      <c r="T583" s="158"/>
      <c r="U583" s="158"/>
      <c r="V583" s="282"/>
      <c r="W583" s="158"/>
      <c r="X583" s="158"/>
      <c r="Y583" s="153"/>
      <c r="Z583" s="152">
        <f>Z581*L583</f>
        <v>-1.7060074952742956</v>
      </c>
      <c r="AA583" s="153"/>
      <c r="AB583" s="153"/>
      <c r="AC583" s="152">
        <f>AC581*L583</f>
        <v>0.52730428359305204</v>
      </c>
      <c r="AD583" s="153"/>
      <c r="AE583" s="103"/>
      <c r="AF583" s="103"/>
      <c r="AG583" s="103"/>
      <c r="AH583" s="154">
        <f>AH581*L583</f>
        <v>4.912627131435495</v>
      </c>
      <c r="AJ583" s="5"/>
      <c r="AK583" s="5"/>
      <c r="AL583" s="5"/>
      <c r="AN583" s="72">
        <f>F580*LeagueRatings!$K$27</f>
        <v>0</v>
      </c>
      <c r="AO583" s="72">
        <f>G580*LeagueRatings!$K$27</f>
        <v>0</v>
      </c>
      <c r="AP583" s="72">
        <f>T583*LeagueRatings!$K$27</f>
        <v>0</v>
      </c>
      <c r="AQ583" s="30"/>
    </row>
    <row r="584" spans="1:44" x14ac:dyDescent="0.2">
      <c r="C584" s="76">
        <v>0</v>
      </c>
      <c r="D584" s="76">
        <v>0</v>
      </c>
      <c r="E584" s="97">
        <v>2.2200000000000002</v>
      </c>
      <c r="F584" s="76">
        <v>22</v>
      </c>
      <c r="G584" s="76">
        <v>1</v>
      </c>
      <c r="H584" s="76">
        <v>0</v>
      </c>
      <c r="I584" s="76">
        <v>0</v>
      </c>
      <c r="J584" s="76">
        <v>0</v>
      </c>
      <c r="K584" s="76">
        <v>0</v>
      </c>
      <c r="T584" s="158"/>
      <c r="U584" s="158"/>
      <c r="V584" s="282"/>
      <c r="W584" s="158"/>
      <c r="X584" s="158"/>
      <c r="Y584" s="153"/>
      <c r="Z584" s="152">
        <f>SUM(Z582:Z583)</f>
        <v>1.317447287830998</v>
      </c>
      <c r="AA584" s="153"/>
      <c r="AB584" s="153"/>
      <c r="AC584" s="152">
        <f>SUM(AC582:AC583)</f>
        <v>-7.8849133620835161</v>
      </c>
      <c r="AD584" s="153"/>
      <c r="AE584" s="103"/>
      <c r="AF584" s="103"/>
      <c r="AG584" s="103"/>
      <c r="AH584" s="153">
        <f>SUM(AH582:AH583)</f>
        <v>7.0248408384641792</v>
      </c>
      <c r="AI584" s="41" t="s">
        <v>622</v>
      </c>
      <c r="AJ584" s="5" t="s">
        <v>24</v>
      </c>
      <c r="AK584" s="5" t="s">
        <v>69</v>
      </c>
      <c r="AL584" s="5" t="s">
        <v>43</v>
      </c>
      <c r="AM584" s="262">
        <f>SUM(AM580:AM583)</f>
        <v>25.555555555555557</v>
      </c>
      <c r="AN584" s="14">
        <f>SUM(AN580:AN583)</f>
        <v>18.888888888888889</v>
      </c>
      <c r="AO584" s="14">
        <f>SUM(AO580:AO583)</f>
        <v>0.55555555555555558</v>
      </c>
      <c r="AP584" s="14">
        <f>SUM(AP580:AP583)</f>
        <v>112.22222222222223</v>
      </c>
      <c r="AQ584" s="30"/>
    </row>
    <row r="585" spans="1:44" x14ac:dyDescent="0.2">
      <c r="AN585" s="72">
        <f>F582*LeagueRatings!$K$27</f>
        <v>0</v>
      </c>
      <c r="AO585" s="72">
        <f>G582*LeagueRatings!$K$27</f>
        <v>0</v>
      </c>
      <c r="AP585" s="72">
        <f>T585*LeagueRatings!$K$27</f>
        <v>0</v>
      </c>
      <c r="AQ585" s="30"/>
    </row>
    <row r="586" spans="1:44" x14ac:dyDescent="0.2">
      <c r="L586" s="97">
        <v>33.33</v>
      </c>
      <c r="M586" s="76">
        <v>24</v>
      </c>
      <c r="N586" s="76">
        <v>14</v>
      </c>
      <c r="O586" s="76">
        <v>13</v>
      </c>
      <c r="P586" s="76">
        <v>3</v>
      </c>
      <c r="Q586" s="76">
        <v>16</v>
      </c>
      <c r="R586" s="76">
        <v>2</v>
      </c>
      <c r="S586" s="76">
        <v>26</v>
      </c>
      <c r="T586" s="76">
        <v>142</v>
      </c>
      <c r="U586" s="76"/>
      <c r="V586" s="100"/>
      <c r="W586" s="76"/>
      <c r="Y586" s="151">
        <f>+(Q586-R586)/(T586-R586)*100</f>
        <v>10</v>
      </c>
      <c r="Z586" s="152">
        <f>IF(Y586&lt;LeagueRatings!$K$21,((LeagueRatings!$K$21-Y586)/LeagueRatings!$K$21)*36,(LeagueRatings!$K$21-Y586)*6.48)</f>
        <v>-6.784459020668967</v>
      </c>
      <c r="AA586" s="153">
        <v>1.24</v>
      </c>
      <c r="AB586" s="153">
        <f>(P586/(T586-R586))*100</f>
        <v>2.1428571428571428</v>
      </c>
      <c r="AC586" s="152">
        <f>IF(AB586&lt;LeagueRatings!$K$19,((LeagueRatings!$K$19-AB586)/LeagueRatings!$K$19)*36,(LeagueRatings!$K$19-AB586)/LeagueRatings!$K$22)</f>
        <v>9.4721973094170409</v>
      </c>
      <c r="AD586" s="153">
        <v>-7.0000000000000007E-2</v>
      </c>
      <c r="AE586" s="103">
        <f>+((LeagueRatings!$I$17-E583)*5)+9.5</f>
        <v>12.764387243706363</v>
      </c>
      <c r="AF586" s="103">
        <f>IF(AE586&lt;4,4,AE586)</f>
        <v>12.764387243706363</v>
      </c>
      <c r="AG586" s="103">
        <f>IF(M586&lt;L586,((1-(M586/L586))*7)-0.07,(1-(M586/L586))*5)</f>
        <v>1.8894959495949595</v>
      </c>
      <c r="AH586" s="154">
        <f>+AA586+AD586+AF586+AG586</f>
        <v>15.823883193301322</v>
      </c>
      <c r="AM586" s="262">
        <f>+AR469*LeagueRatings!$K$27</f>
        <v>18.888888888888889</v>
      </c>
      <c r="AN586" s="72">
        <f>F583*LeagueRatings!$K$27</f>
        <v>24.444444444444446</v>
      </c>
      <c r="AO586" s="72">
        <f>G583*LeagueRatings!$K$27</f>
        <v>0</v>
      </c>
      <c r="AP586" s="72">
        <f>T586*LeagueRatings!$K$27</f>
        <v>78.888888888888886</v>
      </c>
      <c r="AQ586" s="30"/>
    </row>
    <row r="587" spans="1:44" x14ac:dyDescent="0.2">
      <c r="A587" t="s">
        <v>350</v>
      </c>
      <c r="B587" s="76" t="s">
        <v>161</v>
      </c>
      <c r="L587" s="97">
        <v>24.33</v>
      </c>
      <c r="M587" s="76">
        <v>21</v>
      </c>
      <c r="N587" s="76">
        <v>6</v>
      </c>
      <c r="O587" s="76">
        <v>6</v>
      </c>
      <c r="P587" s="76">
        <v>0</v>
      </c>
      <c r="Q587" s="76">
        <v>4</v>
      </c>
      <c r="R587" s="76">
        <v>1</v>
      </c>
      <c r="S587" s="76">
        <v>16</v>
      </c>
      <c r="T587" s="76">
        <v>96</v>
      </c>
      <c r="U587" s="76"/>
      <c r="V587" s="100"/>
      <c r="W587" s="76"/>
      <c r="Y587" s="151">
        <f>+(Q587-R587)/(T587-R587)*100</f>
        <v>3.1578947368421053</v>
      </c>
      <c r="Z587" s="152">
        <f>IF(Y587&lt;LeagueRatings!$K$21,((LeagueRatings!$K$21-Y587)/LeagueRatings!$K$21)*36,(LeagueRatings!$K$21-Y587)*6.48)</f>
        <v>23.302131949903249</v>
      </c>
      <c r="AA587" s="153">
        <v>-2</v>
      </c>
      <c r="AB587" s="153">
        <f>(P587/(T587-R587))*100</f>
        <v>0</v>
      </c>
      <c r="AC587" s="152">
        <f>IF(AB587&lt;LeagueRatings!$K$19,((LeagueRatings!$K$19-AB587)/LeagueRatings!$K$19)*36,(LeagueRatings!$K$19-AB587)/LeagueRatings!$K$22)</f>
        <v>36</v>
      </c>
      <c r="AD587" s="153">
        <v>-3.26</v>
      </c>
      <c r="AE587" s="103">
        <f>+((LeagueRatings!$I$17-E584)*5)+9.5</f>
        <v>19.214387243706362</v>
      </c>
      <c r="AF587" s="103">
        <f>IF(AE587&lt;4,4,AE587)</f>
        <v>19.214387243706362</v>
      </c>
      <c r="AG587" s="103">
        <f>IF(M587&lt;L587,((1-(M587/L587))*7)-0.07,(1-(M587/L587))*5)</f>
        <v>0.88807644882860592</v>
      </c>
      <c r="AH587" s="154">
        <f>+AA587+AD587+AF587+AG587</f>
        <v>14.842463692534968</v>
      </c>
      <c r="AM587" s="262">
        <f>+AR470*LeagueRatings!$K$27</f>
        <v>13.888888888888889</v>
      </c>
      <c r="AN587" s="72">
        <f>F584*LeagueRatings!$K$27</f>
        <v>12.222222222222223</v>
      </c>
      <c r="AO587" s="72">
        <f>G584*LeagueRatings!$K$27</f>
        <v>0.55555555555555558</v>
      </c>
      <c r="AP587" s="72">
        <f>T587*LeagueRatings!$K$27</f>
        <v>53.333333333333336</v>
      </c>
      <c r="AQ587" s="30"/>
    </row>
    <row r="588" spans="1:44" x14ac:dyDescent="0.2">
      <c r="A588" s="41" t="s">
        <v>350</v>
      </c>
      <c r="B588" s="76" t="s">
        <v>153</v>
      </c>
      <c r="L588" s="157">
        <f>(L586/100)/((L586+L587)/100)</f>
        <v>0.5780437044745057</v>
      </c>
      <c r="Y588" s="153"/>
      <c r="Z588" s="152">
        <f>Z586*L588</f>
        <v>-3.9217138251629668</v>
      </c>
      <c r="AA588" s="153"/>
      <c r="AB588" s="153"/>
      <c r="AC588" s="152">
        <f>AC586*L588</f>
        <v>5.4753440222488718</v>
      </c>
      <c r="AD588" s="153"/>
      <c r="AE588" s="103"/>
      <c r="AF588" s="103"/>
      <c r="AG588" s="103"/>
      <c r="AH588" s="154">
        <f>AH586*L588</f>
        <v>9.1468960602277676</v>
      </c>
      <c r="AN588" s="72">
        <f>F585*LeagueRatings!$K$27</f>
        <v>0</v>
      </c>
      <c r="AO588" s="72">
        <f>G585*LeagueRatings!$K$27</f>
        <v>0</v>
      </c>
      <c r="AP588" s="72">
        <f>T588*LeagueRatings!$K$27</f>
        <v>0</v>
      </c>
      <c r="AQ588" s="30"/>
    </row>
    <row r="589" spans="1:44" x14ac:dyDescent="0.2">
      <c r="C589" s="76">
        <v>2</v>
      </c>
      <c r="D589" s="76">
        <v>7</v>
      </c>
      <c r="E589" s="97">
        <v>2.83</v>
      </c>
      <c r="F589" s="76">
        <v>17</v>
      </c>
      <c r="G589" s="76">
        <v>17</v>
      </c>
      <c r="H589" s="76">
        <v>0</v>
      </c>
      <c r="I589" s="76">
        <v>0</v>
      </c>
      <c r="J589" s="76">
        <v>0</v>
      </c>
      <c r="K589" s="76">
        <v>0</v>
      </c>
      <c r="L589" s="157">
        <f>(L587/100)/((L586+L587)/100)</f>
        <v>0.42195629552549424</v>
      </c>
      <c r="Y589" s="153"/>
      <c r="Z589" s="152">
        <f>Z587*L589</f>
        <v>9.8324812754274369</v>
      </c>
      <c r="AA589" s="153"/>
      <c r="AB589" s="153"/>
      <c r="AC589" s="152">
        <f>AC587*L589</f>
        <v>15.190426638917792</v>
      </c>
      <c r="AD589" s="153"/>
      <c r="AE589" s="103"/>
      <c r="AF589" s="103"/>
      <c r="AG589" s="103"/>
      <c r="AH589" s="154">
        <f>AH587*L589</f>
        <v>6.2628709961737039</v>
      </c>
      <c r="AN589" s="72">
        <f>F586*LeagueRatings!$K$27</f>
        <v>0</v>
      </c>
      <c r="AO589" s="72">
        <f>G586*LeagueRatings!$K$27</f>
        <v>0</v>
      </c>
      <c r="AP589" s="72">
        <f>T589*LeagueRatings!$K$27</f>
        <v>0</v>
      </c>
      <c r="AQ589" s="30"/>
    </row>
    <row r="590" spans="1:44" x14ac:dyDescent="0.2">
      <c r="C590" s="76">
        <v>5</v>
      </c>
      <c r="D590" s="76">
        <v>6</v>
      </c>
      <c r="E590" s="97">
        <v>3.14</v>
      </c>
      <c r="F590" s="76">
        <v>16</v>
      </c>
      <c r="G590" s="76">
        <v>16</v>
      </c>
      <c r="H590" s="76">
        <v>2</v>
      </c>
      <c r="I590" s="76">
        <v>0</v>
      </c>
      <c r="J590" s="76">
        <v>0</v>
      </c>
      <c r="K590" s="76">
        <v>0</v>
      </c>
      <c r="Y590" s="153"/>
      <c r="Z590" s="152">
        <f>SUM(Z588:Z589)</f>
        <v>5.91076745026447</v>
      </c>
      <c r="AA590" s="153"/>
      <c r="AB590" s="153"/>
      <c r="AC590" s="152">
        <f>SUM(AC588:AC589)</f>
        <v>20.665770661166665</v>
      </c>
      <c r="AD590" s="153"/>
      <c r="AE590" s="103"/>
      <c r="AF590" s="103"/>
      <c r="AG590" s="103"/>
      <c r="AH590" s="153">
        <f>SUM(AH588:AH589)</f>
        <v>15.409767056401471</v>
      </c>
      <c r="AI590" s="41" t="s">
        <v>346</v>
      </c>
      <c r="AJ590" s="58">
        <v>13</v>
      </c>
      <c r="AK590" s="5" t="s">
        <v>56</v>
      </c>
      <c r="AL590" s="5" t="s">
        <v>49</v>
      </c>
      <c r="AM590" s="262">
        <f>SUM(AM586:AM589)</f>
        <v>32.777777777777779</v>
      </c>
      <c r="AN590" s="14">
        <f>SUM(AN586:AN589)</f>
        <v>36.666666666666671</v>
      </c>
      <c r="AO590" s="14">
        <f>SUM(AO586:AO589)</f>
        <v>0.55555555555555558</v>
      </c>
      <c r="AP590" s="14">
        <f>SUM(AP586:AP589)</f>
        <v>132.22222222222223</v>
      </c>
      <c r="AQ590" s="30"/>
    </row>
    <row r="591" spans="1:44" x14ac:dyDescent="0.2">
      <c r="AN591" s="72">
        <f>F588*LeagueRatings!$K$27</f>
        <v>0</v>
      </c>
      <c r="AO591" s="72">
        <f>G588*LeagueRatings!$K$27</f>
        <v>0</v>
      </c>
      <c r="AP591" s="72">
        <f>T591*LeagueRatings!$K$27</f>
        <v>0</v>
      </c>
      <c r="AQ591" s="30"/>
    </row>
    <row r="592" spans="1:44" x14ac:dyDescent="0.2">
      <c r="L592" s="97">
        <v>108</v>
      </c>
      <c r="M592" s="76">
        <v>99</v>
      </c>
      <c r="N592" s="76">
        <v>44</v>
      </c>
      <c r="O592" s="76">
        <v>34</v>
      </c>
      <c r="P592" s="76">
        <v>7</v>
      </c>
      <c r="Q592" s="76">
        <v>31</v>
      </c>
      <c r="R592" s="76">
        <v>3</v>
      </c>
      <c r="S592" s="76">
        <v>103</v>
      </c>
      <c r="T592" s="76">
        <v>449</v>
      </c>
      <c r="U592" s="76"/>
      <c r="V592" s="100"/>
      <c r="W592" s="76"/>
      <c r="Y592" s="151">
        <f>+(Q592-R592)/(T592-R592)*100</f>
        <v>6.2780269058295968</v>
      </c>
      <c r="Z592" s="152">
        <f>IF(Y592&lt;LeagueRatings!$K$21,((LeagueRatings!$K$21-Y592)/LeagueRatings!$K$21)*36,(LeagueRatings!$K$21-Y592)*6.48)</f>
        <v>10.75610686602589</v>
      </c>
      <c r="AA592" s="153">
        <v>-0.65</v>
      </c>
      <c r="AB592" s="153">
        <f>(P592/(T592-R592))*100</f>
        <v>1.5695067264573992</v>
      </c>
      <c r="AC592" s="152">
        <f>IF(AB592&lt;LeagueRatings!$K$19,((LeagueRatings!$K$19-AB592)/LeagueRatings!$K$19)*36,(LeagueRatings!$K$19-AB592)/LeagueRatings!$K$22)</f>
        <v>16.570069778197833</v>
      </c>
      <c r="AD592" s="153">
        <v>-0.81</v>
      </c>
      <c r="AE592" s="103">
        <f>+((LeagueRatings!$I$17-E589)*5)+9.5</f>
        <v>16.164387243706361</v>
      </c>
      <c r="AF592" s="103">
        <f>IF(AE592&lt;4,4,AE592)</f>
        <v>16.164387243706361</v>
      </c>
      <c r="AG592" s="103">
        <f>IF(M592&lt;L592,((1-(M592/L592))*7)-0.07,(1-(M592/L592))*5)</f>
        <v>0.51333333333333364</v>
      </c>
      <c r="AH592" s="154">
        <f>+AA592+AD592+AF592+AG592</f>
        <v>15.217720577039694</v>
      </c>
      <c r="AM592" s="262">
        <f>+AR475*LeagueRatings!$K$27</f>
        <v>60</v>
      </c>
      <c r="AN592" s="72">
        <f>F589*LeagueRatings!$K$27</f>
        <v>9.4444444444444446</v>
      </c>
      <c r="AO592" s="72">
        <f>G589*LeagueRatings!$K$27</f>
        <v>9.4444444444444446</v>
      </c>
      <c r="AP592" s="72">
        <f>T592*LeagueRatings!$K$27</f>
        <v>249.44444444444446</v>
      </c>
      <c r="AQ592" s="30"/>
    </row>
    <row r="593" spans="1:43" x14ac:dyDescent="0.2">
      <c r="A593" t="s">
        <v>536</v>
      </c>
      <c r="B593" s="76" t="s">
        <v>149</v>
      </c>
      <c r="L593" s="97">
        <v>111.67</v>
      </c>
      <c r="M593" s="76">
        <v>92</v>
      </c>
      <c r="N593" s="76">
        <v>42</v>
      </c>
      <c r="O593" s="76">
        <v>39</v>
      </c>
      <c r="P593" s="76">
        <v>13</v>
      </c>
      <c r="Q593" s="76">
        <v>12</v>
      </c>
      <c r="R593" s="76">
        <v>0</v>
      </c>
      <c r="S593" s="76">
        <v>99</v>
      </c>
      <c r="T593" s="76">
        <v>430</v>
      </c>
      <c r="U593" s="76"/>
      <c r="V593" s="100"/>
      <c r="W593" s="76"/>
      <c r="X593" s="138"/>
      <c r="Y593" s="151">
        <f>+(Q593-R593)/(T593-R593)*100</f>
        <v>2.7906976744186047</v>
      </c>
      <c r="Z593" s="152">
        <f>IF(Y593&lt;LeagueRatings!$K$21,((LeagueRatings!$K$21-Y593)/LeagueRatings!$K$21)*36,(LeagueRatings!$K$21-Y593)*6.48)</f>
        <v>24.778628234798223</v>
      </c>
      <c r="AA593" s="153">
        <v>-2.2200000000000002</v>
      </c>
      <c r="AB593" s="153">
        <f>(P593/(T593-R593))*100</f>
        <v>3.0232558139534884</v>
      </c>
      <c r="AC593" s="152">
        <f>IF(AB593&lt;LeagueRatings!$K$19,((LeagueRatings!$K$19-AB593)/LeagueRatings!$K$19)*36,(LeagueRatings!$K$19-AB593)/LeagueRatings!$K$22)</f>
        <v>-0.93126262053318132</v>
      </c>
      <c r="AD593" s="153">
        <v>0.61</v>
      </c>
      <c r="AE593" s="103">
        <f>+((LeagueRatings!$I$17-E590)*5)+9.5</f>
        <v>14.614387243706362</v>
      </c>
      <c r="AF593" s="103">
        <f>IF(AE593&lt;4,4,AE593)</f>
        <v>14.614387243706362</v>
      </c>
      <c r="AG593" s="103">
        <f>IF(M593&lt;L593,((1-(M593/L593))*7)-0.07,(1-(M593/L593))*5)</f>
        <v>1.163007969911346</v>
      </c>
      <c r="AH593" s="154">
        <f>+AA593+AD593+AF593+AG593</f>
        <v>14.167395213617707</v>
      </c>
      <c r="AJ593" s="5"/>
      <c r="AK593" s="5"/>
      <c r="AL593" s="5"/>
      <c r="AM593" s="262">
        <f>+AR476*LeagueRatings!$K$27</f>
        <v>62.222222222222229</v>
      </c>
      <c r="AN593" s="72">
        <f>F590*LeagueRatings!$K$27</f>
        <v>8.8888888888888893</v>
      </c>
      <c r="AO593" s="72">
        <f>G590*LeagueRatings!$K$27</f>
        <v>8.8888888888888893</v>
      </c>
      <c r="AP593" s="72">
        <f>T593*LeagueRatings!$K$27</f>
        <v>238.88888888888889</v>
      </c>
      <c r="AQ593" s="30"/>
    </row>
    <row r="594" spans="1:43" x14ac:dyDescent="0.2">
      <c r="A594" s="41" t="s">
        <v>536</v>
      </c>
      <c r="B594" s="76" t="s">
        <v>144</v>
      </c>
      <c r="L594" s="157">
        <f>(L592/100)/((L592+L593)/100)</f>
        <v>0.49164656075021618</v>
      </c>
      <c r="T594" s="158"/>
      <c r="U594" s="158"/>
      <c r="V594" s="282"/>
      <c r="W594" s="158"/>
      <c r="X594" s="158"/>
      <c r="Y594" s="153"/>
      <c r="Z594" s="152">
        <f>Z592*L594</f>
        <v>5.2882029477434154</v>
      </c>
      <c r="AA594" s="153"/>
      <c r="AB594" s="153"/>
      <c r="AC594" s="152">
        <f>AC592*L594</f>
        <v>8.1466178178420616</v>
      </c>
      <c r="AD594" s="153"/>
      <c r="AE594" s="103"/>
      <c r="AF594" s="103"/>
      <c r="AG594" s="103"/>
      <c r="AH594" s="154">
        <f>AH592*L594</f>
        <v>7.4817399841593604</v>
      </c>
      <c r="AJ594" s="5"/>
      <c r="AK594" s="5"/>
      <c r="AL594" s="5"/>
      <c r="AN594" s="72">
        <f>F591*LeagueRatings!$K$27</f>
        <v>0</v>
      </c>
      <c r="AO594" s="72">
        <f>G591*LeagueRatings!$K$27</f>
        <v>0</v>
      </c>
      <c r="AP594" s="72">
        <f>T594*LeagueRatings!$K$27</f>
        <v>0</v>
      </c>
      <c r="AQ594" s="30"/>
    </row>
    <row r="595" spans="1:43" x14ac:dyDescent="0.2">
      <c r="C595" s="76">
        <v>6</v>
      </c>
      <c r="D595" s="76">
        <v>9</v>
      </c>
      <c r="E595" s="97">
        <v>3.93</v>
      </c>
      <c r="F595" s="76">
        <v>21</v>
      </c>
      <c r="G595" s="76">
        <v>18</v>
      </c>
      <c r="H595" s="76">
        <v>0</v>
      </c>
      <c r="I595" s="76">
        <v>0</v>
      </c>
      <c r="J595" s="76">
        <v>0</v>
      </c>
      <c r="K595" s="76">
        <v>0</v>
      </c>
      <c r="L595" s="157">
        <f>(L593/100)/((L592+L593)/100)</f>
        <v>0.50835343924978371</v>
      </c>
      <c r="T595" s="158"/>
      <c r="U595" s="158"/>
      <c r="V595" s="282"/>
      <c r="W595" s="158"/>
      <c r="X595" s="158"/>
      <c r="Y595" s="153"/>
      <c r="Z595" s="152">
        <f>Z593*L595</f>
        <v>12.596300883051473</v>
      </c>
      <c r="AA595" s="153"/>
      <c r="AB595" s="153"/>
      <c r="AC595" s="152">
        <f>AC593*L595</f>
        <v>-0.47341055599280896</v>
      </c>
      <c r="AD595" s="153"/>
      <c r="AE595" s="103"/>
      <c r="AF595" s="103"/>
      <c r="AG595" s="103"/>
      <c r="AH595" s="154">
        <f>AH593*L595</f>
        <v>7.2020440820534857</v>
      </c>
      <c r="AJ595" s="5"/>
      <c r="AK595" s="5"/>
      <c r="AL595" s="5"/>
      <c r="AN595" s="72">
        <f>F592*LeagueRatings!$K$27</f>
        <v>0</v>
      </c>
      <c r="AO595" s="72">
        <f>G592*LeagueRatings!$K$27</f>
        <v>0</v>
      </c>
      <c r="AP595" s="72">
        <f>T595*LeagueRatings!$K$27</f>
        <v>0</v>
      </c>
      <c r="AQ595" s="30"/>
    </row>
    <row r="596" spans="1:43" x14ac:dyDescent="0.2">
      <c r="C596" s="76">
        <v>3</v>
      </c>
      <c r="D596" s="76">
        <v>1</v>
      </c>
      <c r="E596" s="97">
        <v>1.7</v>
      </c>
      <c r="F596" s="76">
        <v>7</v>
      </c>
      <c r="G596" s="76">
        <v>7</v>
      </c>
      <c r="H596" s="76">
        <v>1</v>
      </c>
      <c r="I596" s="76">
        <v>1</v>
      </c>
      <c r="J596" s="76">
        <v>0</v>
      </c>
      <c r="K596" s="76">
        <v>0</v>
      </c>
      <c r="T596" s="158"/>
      <c r="U596" s="158"/>
      <c r="V596" s="282"/>
      <c r="W596" s="158"/>
      <c r="X596" s="158"/>
      <c r="Y596" s="153"/>
      <c r="Z596" s="152">
        <f>SUM(Z594:Z595)</f>
        <v>17.884503830794888</v>
      </c>
      <c r="AA596" s="153"/>
      <c r="AB596" s="153"/>
      <c r="AC596" s="152">
        <f>SUM(AC594:AC595)</f>
        <v>7.6732072618492531</v>
      </c>
      <c r="AD596" s="153"/>
      <c r="AE596" s="103"/>
      <c r="AF596" s="103"/>
      <c r="AG596" s="103"/>
      <c r="AH596" s="153">
        <f>SUM(AH594:AH595)</f>
        <v>14.683784066212846</v>
      </c>
      <c r="AI596" s="41" t="s">
        <v>350</v>
      </c>
      <c r="AJ596" s="5" t="s">
        <v>59</v>
      </c>
      <c r="AK596" s="5" t="s">
        <v>49</v>
      </c>
      <c r="AL596" s="5" t="s">
        <v>56</v>
      </c>
      <c r="AM596" s="262">
        <f>SUM(AM592:AM595)</f>
        <v>122.22222222222223</v>
      </c>
      <c r="AN596" s="14">
        <f>SUM(AN592:AN595)</f>
        <v>18.333333333333336</v>
      </c>
      <c r="AO596" s="14">
        <f>SUM(AO592:AO595)</f>
        <v>18.333333333333336</v>
      </c>
      <c r="AP596" s="14">
        <f>SUM(AP592:AP595)</f>
        <v>488.33333333333337</v>
      </c>
      <c r="AQ596" s="30"/>
    </row>
    <row r="597" spans="1:43" x14ac:dyDescent="0.2">
      <c r="AN597" s="72">
        <f>F594*LeagueRatings!$K$27</f>
        <v>0</v>
      </c>
      <c r="AO597" s="72">
        <f>G594*LeagueRatings!$K$27</f>
        <v>0</v>
      </c>
      <c r="AP597" s="72">
        <f>T597*LeagueRatings!$K$27</f>
        <v>0</v>
      </c>
      <c r="AQ597" s="30"/>
    </row>
    <row r="598" spans="1:43" x14ac:dyDescent="0.2">
      <c r="L598" s="97">
        <v>105.33</v>
      </c>
      <c r="M598" s="76">
        <v>111</v>
      </c>
      <c r="N598" s="76">
        <v>48</v>
      </c>
      <c r="O598" s="76">
        <v>46</v>
      </c>
      <c r="P598" s="76">
        <v>14</v>
      </c>
      <c r="Q598" s="76">
        <v>31</v>
      </c>
      <c r="R598" s="76">
        <v>1</v>
      </c>
      <c r="S598" s="76">
        <v>89</v>
      </c>
      <c r="T598" s="76">
        <v>445</v>
      </c>
      <c r="U598" s="76"/>
      <c r="V598" s="100"/>
      <c r="W598" s="76"/>
      <c r="Y598" s="151">
        <f>+(Q598-R598)/(T598-R598)*100</f>
        <v>6.756756756756757</v>
      </c>
      <c r="Z598" s="152">
        <f>IF(Y598&lt;LeagueRatings!$K$10,((LeagueRatings!$K$10-Y598)/LeagueRatings!$K$10)*36,(LeagueRatings!$K$10-Y598)*6.48)</f>
        <v>7.9363604965987555</v>
      </c>
      <c r="AA598" s="153">
        <v>-0.48</v>
      </c>
      <c r="AB598" s="153">
        <f>(P598/(T598-R598))*100</f>
        <v>3.1531531531531529</v>
      </c>
      <c r="AC598" s="152">
        <f>IF(AB598&lt;LeagueRatings!$K$8,((LeagueRatings!$K$8-AB598)/LeagueRatings!$K$8)*36,(LeagueRatings!$K$8-AB598)/LeagueRatings!$K$11)</f>
        <v>0.551594539324605</v>
      </c>
      <c r="AD598" s="153">
        <v>0.51</v>
      </c>
      <c r="AE598" s="103">
        <f>+((LeagueRatings!$I$6-E595)*5)+9.5</f>
        <v>10.858051455277403</v>
      </c>
      <c r="AF598" s="103">
        <f>IF(AE598&lt;4,4,AE598)</f>
        <v>10.858051455277403</v>
      </c>
      <c r="AG598" s="103">
        <f>IF(M598&lt;L598,((1-(M598/L598))*7)-0.07,(1-(M598/L598))*5)</f>
        <v>-0.26915408715465716</v>
      </c>
      <c r="AH598" s="154">
        <f>+AA598+AD598+AF598+AG598</f>
        <v>10.618897368122745</v>
      </c>
      <c r="AM598" s="262">
        <f>+AR481*LeagueRatings!$K$27</f>
        <v>58.888888888888893</v>
      </c>
      <c r="AN598" s="72">
        <f>F595*LeagueRatings!$K$27</f>
        <v>11.666666666666668</v>
      </c>
      <c r="AO598" s="72">
        <f>G595*LeagueRatings!$K$27</f>
        <v>10</v>
      </c>
      <c r="AP598" s="72">
        <f>T598*LeagueRatings!$K$27</f>
        <v>247.22222222222223</v>
      </c>
      <c r="AQ598" s="30"/>
    </row>
    <row r="599" spans="1:43" x14ac:dyDescent="0.2">
      <c r="A599" t="s">
        <v>644</v>
      </c>
      <c r="B599" s="76" t="s">
        <v>155</v>
      </c>
      <c r="L599" s="97">
        <v>47.67</v>
      </c>
      <c r="M599" s="76">
        <v>25</v>
      </c>
      <c r="N599" s="76">
        <v>9</v>
      </c>
      <c r="O599" s="76">
        <v>9</v>
      </c>
      <c r="P599" s="76">
        <v>4</v>
      </c>
      <c r="Q599" s="76">
        <v>11</v>
      </c>
      <c r="R599" s="76">
        <v>1</v>
      </c>
      <c r="S599" s="76">
        <v>44</v>
      </c>
      <c r="T599" s="76">
        <v>173</v>
      </c>
      <c r="U599" s="76"/>
      <c r="V599" s="100"/>
      <c r="W599" s="76"/>
      <c r="X599" s="147"/>
      <c r="Y599" s="151">
        <f>+(Q599-R599)/(T599-R599)*100</f>
        <v>5.8139534883720927</v>
      </c>
      <c r="Z599" s="152">
        <f>IF(Y599&lt;LeagueRatings!$K$10,((LeagueRatings!$K$10-Y599)/LeagueRatings!$K$10)*36,(LeagueRatings!$K$10-Y599)*6.48)</f>
        <v>11.852217171491954</v>
      </c>
      <c r="AA599" s="153">
        <v>-0.83</v>
      </c>
      <c r="AB599" s="153">
        <f>(P599/(T599-R599))*100</f>
        <v>2.3255813953488373</v>
      </c>
      <c r="AC599" s="152">
        <f>IF(AB599&lt;LeagueRatings!$K$8,((LeagueRatings!$K$8-AB599)/LeagueRatings!$K$8)*36,(LeagueRatings!$K$8-AB599)/LeagueRatings!$K$11)</f>
        <v>9.8553288628905698</v>
      </c>
      <c r="AD599" s="153">
        <v>0</v>
      </c>
      <c r="AE599" s="103">
        <f>+((LeagueRatings!$I$6-E596)*5)+9.5</f>
        <v>22.008051455277403</v>
      </c>
      <c r="AF599" s="103">
        <f>IF(AE599&lt;4,4,AE599)</f>
        <v>22.008051455277403</v>
      </c>
      <c r="AG599" s="103">
        <f>IF(M599&lt;L599,((1-(M599/L599))*7)-0.07,(1-(M599/L599))*5)</f>
        <v>3.2589280469897215</v>
      </c>
      <c r="AH599" s="154">
        <f>+AA599+AD599+AF599+AG599</f>
        <v>24.436979502267128</v>
      </c>
      <c r="AJ599" s="7"/>
      <c r="AK599" s="7"/>
      <c r="AL599" s="7"/>
      <c r="AM599" s="262">
        <f>+AR482*LeagueRatings!$K$27</f>
        <v>26.666666666666668</v>
      </c>
      <c r="AN599" s="72">
        <f>F596*LeagueRatings!$K$27</f>
        <v>3.8888888888888893</v>
      </c>
      <c r="AO599" s="72">
        <f>G596*LeagueRatings!$K$27</f>
        <v>3.8888888888888893</v>
      </c>
      <c r="AP599" s="72">
        <f>T599*LeagueRatings!$K$27</f>
        <v>96.111111111111114</v>
      </c>
      <c r="AQ599" s="30"/>
    </row>
    <row r="600" spans="1:43" x14ac:dyDescent="0.2">
      <c r="A600" s="41" t="s">
        <v>644</v>
      </c>
      <c r="B600" s="76" t="s">
        <v>149</v>
      </c>
      <c r="L600" s="157">
        <f>(L598/100)/((L598+L599)/100)</f>
        <v>0.68843137254901954</v>
      </c>
      <c r="T600" s="158"/>
      <c r="U600" s="158"/>
      <c r="V600" s="282"/>
      <c r="W600" s="158"/>
      <c r="X600" s="158"/>
      <c r="Y600" s="153"/>
      <c r="Z600" s="152">
        <f>Z598*L600</f>
        <v>5.4636395497172998</v>
      </c>
      <c r="AA600" s="153"/>
      <c r="AB600" s="153"/>
      <c r="AC600" s="152">
        <f>AC598*L600</f>
        <v>0.37973498579778198</v>
      </c>
      <c r="AD600" s="153"/>
      <c r="AE600" s="103"/>
      <c r="AF600" s="103"/>
      <c r="AG600" s="103"/>
      <c r="AH600" s="154">
        <f>AH598*L600</f>
        <v>7.3103820900939125</v>
      </c>
      <c r="AJ600" s="5"/>
      <c r="AK600" s="5"/>
      <c r="AL600" s="5"/>
      <c r="AN600" s="72">
        <f>F597*LeagueRatings!$K$27</f>
        <v>0</v>
      </c>
      <c r="AO600" s="72">
        <f>G597*LeagueRatings!$K$27</f>
        <v>0</v>
      </c>
      <c r="AP600" s="72">
        <f>T600*LeagueRatings!$K$27</f>
        <v>0</v>
      </c>
      <c r="AQ600" s="30"/>
    </row>
    <row r="601" spans="1:43" x14ac:dyDescent="0.2">
      <c r="C601" s="76">
        <v>1</v>
      </c>
      <c r="D601" s="76">
        <v>3</v>
      </c>
      <c r="E601" s="97">
        <v>2.7</v>
      </c>
      <c r="F601" s="76">
        <v>35</v>
      </c>
      <c r="G601" s="76">
        <v>0</v>
      </c>
      <c r="H601" s="76">
        <v>0</v>
      </c>
      <c r="I601" s="76">
        <v>0</v>
      </c>
      <c r="J601" s="76">
        <v>17</v>
      </c>
      <c r="K601" s="76">
        <v>19</v>
      </c>
      <c r="L601" s="157">
        <f>(L599/100)/((L598+L599)/100)</f>
        <v>0.31156862745098041</v>
      </c>
      <c r="T601" s="158"/>
      <c r="U601" s="158"/>
      <c r="V601" s="282"/>
      <c r="W601" s="158"/>
      <c r="X601" s="158"/>
      <c r="Y601" s="153"/>
      <c r="Z601" s="152">
        <f>Z599*L601</f>
        <v>3.6927790363726896</v>
      </c>
      <c r="AA601" s="153"/>
      <c r="AB601" s="153"/>
      <c r="AC601" s="152">
        <f>AC599*L601</f>
        <v>3.0706112868888464</v>
      </c>
      <c r="AD601" s="153"/>
      <c r="AE601" s="103"/>
      <c r="AF601" s="103"/>
      <c r="AG601" s="103"/>
      <c r="AH601" s="154">
        <f>AH599*L601</f>
        <v>7.6137961625691117</v>
      </c>
      <c r="AJ601" s="5"/>
      <c r="AK601" s="5"/>
      <c r="AL601" s="5"/>
      <c r="AN601" s="72">
        <f>F598*LeagueRatings!$K$27</f>
        <v>0</v>
      </c>
      <c r="AO601" s="72">
        <f>G598*LeagueRatings!$K$27</f>
        <v>0</v>
      </c>
      <c r="AP601" s="72">
        <f>T601*LeagueRatings!$K$27</f>
        <v>0</v>
      </c>
      <c r="AQ601" s="30"/>
    </row>
    <row r="602" spans="1:43" x14ac:dyDescent="0.2">
      <c r="C602" s="76">
        <v>1</v>
      </c>
      <c r="D602" s="76">
        <v>1</v>
      </c>
      <c r="E602" s="97">
        <v>4.91</v>
      </c>
      <c r="F602" s="76">
        <v>13</v>
      </c>
      <c r="G602" s="76">
        <v>0</v>
      </c>
      <c r="H602" s="76">
        <v>0</v>
      </c>
      <c r="I602" s="76">
        <v>0</v>
      </c>
      <c r="J602" s="76">
        <v>1</v>
      </c>
      <c r="K602" s="76">
        <v>1</v>
      </c>
      <c r="T602" s="158"/>
      <c r="U602" s="158"/>
      <c r="V602" s="282"/>
      <c r="W602" s="158"/>
      <c r="X602" s="158"/>
      <c r="Y602" s="153"/>
      <c r="Z602" s="152">
        <f>SUM(Z600:Z601)</f>
        <v>9.1564185860899894</v>
      </c>
      <c r="AA602" s="153"/>
      <c r="AB602" s="153"/>
      <c r="AC602" s="152">
        <f>SUM(AC600:AC601)</f>
        <v>3.4503462726866285</v>
      </c>
      <c r="AD602" s="153"/>
      <c r="AE602" s="103"/>
      <c r="AF602" s="103"/>
      <c r="AG602" s="103"/>
      <c r="AH602" s="153">
        <f>SUM(AH600:AH601)</f>
        <v>14.924178252663024</v>
      </c>
      <c r="AI602" s="41" t="s">
        <v>536</v>
      </c>
      <c r="AJ602" s="5" t="s">
        <v>16</v>
      </c>
      <c r="AK602" s="5" t="s">
        <v>20</v>
      </c>
      <c r="AL602" s="5" t="s">
        <v>71</v>
      </c>
      <c r="AM602" s="262">
        <f>SUM(AM598:AM601)</f>
        <v>85.555555555555557</v>
      </c>
      <c r="AN602" s="14">
        <f>SUM(AN598:AN601)</f>
        <v>15.555555555555557</v>
      </c>
      <c r="AO602" s="14">
        <f>SUM(AO598:AO601)</f>
        <v>13.888888888888889</v>
      </c>
      <c r="AP602" s="14">
        <f>SUM(AP598:AP601)</f>
        <v>343.33333333333337</v>
      </c>
      <c r="AQ602" s="30"/>
    </row>
    <row r="603" spans="1:43" x14ac:dyDescent="0.2">
      <c r="AN603" s="72">
        <f>F600*LeagueRatings!$K$27</f>
        <v>0</v>
      </c>
      <c r="AO603" s="72">
        <f>G600*LeagueRatings!$K$27</f>
        <v>0</v>
      </c>
      <c r="AP603" s="72">
        <f>T603*LeagueRatings!$K$27</f>
        <v>0</v>
      </c>
      <c r="AQ603" s="30"/>
    </row>
    <row r="604" spans="1:43" x14ac:dyDescent="0.2">
      <c r="L604" s="97">
        <v>33.33</v>
      </c>
      <c r="M604" s="76">
        <v>25</v>
      </c>
      <c r="N604" s="76">
        <v>12</v>
      </c>
      <c r="O604" s="76">
        <v>10</v>
      </c>
      <c r="P604" s="76">
        <v>0</v>
      </c>
      <c r="Q604" s="76">
        <v>4</v>
      </c>
      <c r="R604" s="76">
        <v>1</v>
      </c>
      <c r="S604" s="76">
        <v>42</v>
      </c>
      <c r="T604" s="76">
        <v>133</v>
      </c>
      <c r="U604" s="76"/>
      <c r="V604" s="100"/>
      <c r="W604" s="76"/>
      <c r="Y604" s="151">
        <f>+(Q604-R604)/(T604-R604)*100</f>
        <v>2.2727272727272729</v>
      </c>
      <c r="Z604" s="152">
        <f>IF(Y604&lt;LeagueRatings!$K$10,((LeagueRatings!$K$10-Y604)/LeagueRatings!$K$10)*36,(LeagueRatings!$K$10-Y604)*6.48)</f>
        <v>26.560412167037761</v>
      </c>
      <c r="AA604" s="153">
        <v>-2.44</v>
      </c>
      <c r="AB604" s="153">
        <f>(P604/(T604-R604))*100</f>
        <v>0</v>
      </c>
      <c r="AC604" s="152">
        <f>IF(AB604&lt;LeagueRatings!$K$8,((LeagueRatings!$K$8-AB604)/LeagueRatings!$K$8)*36,(LeagueRatings!$K$8-AB604)/LeagueRatings!$K$11)</f>
        <v>36</v>
      </c>
      <c r="AD604" s="153">
        <v>-3.26</v>
      </c>
      <c r="AE604" s="103">
        <f>+((LeagueRatings!$I$6-E601)*5)+9.5</f>
        <v>17.008051455277403</v>
      </c>
      <c r="AF604" s="103">
        <f>IF(AE604&lt;4,4,AE604)</f>
        <v>17.008051455277403</v>
      </c>
      <c r="AG604" s="103">
        <f>IF(M604&lt;L604,((1-(M604/L604))*7)-0.07,(1-(M604/L604))*5)</f>
        <v>1.6794749474947495</v>
      </c>
      <c r="AH604" s="154">
        <f>+AA604+AD604+AF604+AG604</f>
        <v>12.987526402772154</v>
      </c>
      <c r="AM604" s="262">
        <f>+AR487*LeagueRatings!$K$27</f>
        <v>18.888888888888889</v>
      </c>
      <c r="AN604" s="72">
        <f>F601*LeagueRatings!$K$27</f>
        <v>19.444444444444446</v>
      </c>
      <c r="AO604" s="72">
        <f>G601*LeagueRatings!$K$27</f>
        <v>0</v>
      </c>
      <c r="AP604" s="72">
        <f>T604*LeagueRatings!$K$27</f>
        <v>73.888888888888886</v>
      </c>
      <c r="AQ604" s="30"/>
    </row>
    <row r="605" spans="1:43" x14ac:dyDescent="0.2">
      <c r="A605" t="s">
        <v>439</v>
      </c>
      <c r="B605" s="76" t="s">
        <v>170</v>
      </c>
      <c r="L605" s="97">
        <v>11</v>
      </c>
      <c r="M605" s="76">
        <v>13</v>
      </c>
      <c r="N605" s="76">
        <v>7</v>
      </c>
      <c r="O605" s="76">
        <v>6</v>
      </c>
      <c r="P605" s="76">
        <v>2</v>
      </c>
      <c r="Q605" s="76">
        <v>2</v>
      </c>
      <c r="R605" s="76">
        <v>1</v>
      </c>
      <c r="S605" s="76">
        <v>6</v>
      </c>
      <c r="T605" s="76">
        <v>49</v>
      </c>
      <c r="U605" s="76"/>
      <c r="V605" s="100"/>
      <c r="W605" s="76"/>
      <c r="X605" s="147"/>
      <c r="Y605" s="151">
        <f>+(Q605-R605)/(T605-R605)*100</f>
        <v>2.083333333333333</v>
      </c>
      <c r="Z605" s="152">
        <f>IF(Y605&lt;LeagueRatings!$K$10,((LeagueRatings!$K$10-Y605)/LeagueRatings!$K$10)*36,(LeagueRatings!$K$10-Y605)*6.48)</f>
        <v>27.347044486451285</v>
      </c>
      <c r="AA605" s="153">
        <v>-2.5499999999999998</v>
      </c>
      <c r="AB605" s="153">
        <f>(P605/(T605-R605))*100</f>
        <v>4.1666666666666661</v>
      </c>
      <c r="AC605" s="152">
        <f>IF(AB605&lt;LeagueRatings!$K$8,((LeagueRatings!$K$8-AB605)/LeagueRatings!$K$8)*36,(LeagueRatings!$K$8-AB605)/LeagueRatings!$K$11)</f>
        <v>-7.6581608088589253</v>
      </c>
      <c r="AD605" s="153">
        <v>1.5</v>
      </c>
      <c r="AE605" s="103">
        <f>+((LeagueRatings!$I$6-E602)*5)+9.5</f>
        <v>5.9580514552774027</v>
      </c>
      <c r="AF605" s="103">
        <f>IF(AE605&lt;4,4,AE605)</f>
        <v>5.9580514552774027</v>
      </c>
      <c r="AG605" s="103">
        <f>IF(M605&lt;L605,((1-(M605/L605))*7)-0.07,(1-(M605/L605))*5)</f>
        <v>-0.90909090909090939</v>
      </c>
      <c r="AH605" s="154">
        <f>+AA605+AD605+AF605+AG605</f>
        <v>3.9989605461864937</v>
      </c>
      <c r="AJ605" s="9"/>
      <c r="AK605" s="9"/>
      <c r="AL605" s="9"/>
      <c r="AM605" s="262">
        <f>+AR488*LeagueRatings!$K$27</f>
        <v>6.1111111111111116</v>
      </c>
      <c r="AN605" s="72">
        <f>F602*LeagueRatings!$K$27</f>
        <v>7.2222222222222223</v>
      </c>
      <c r="AO605" s="72">
        <f>G602*LeagueRatings!$K$27</f>
        <v>0</v>
      </c>
      <c r="AP605" s="72">
        <f>T605*LeagueRatings!$K$27</f>
        <v>27.222222222222225</v>
      </c>
      <c r="AQ605" s="30"/>
    </row>
    <row r="606" spans="1:43" x14ac:dyDescent="0.2">
      <c r="A606" s="41" t="s">
        <v>439</v>
      </c>
      <c r="B606" s="76" t="s">
        <v>143</v>
      </c>
      <c r="L606" s="157">
        <f>(L604/100)/((L604+L605)/100)</f>
        <v>0.75186104218362282</v>
      </c>
      <c r="T606" s="158"/>
      <c r="U606" s="158"/>
      <c r="V606" s="282"/>
      <c r="W606" s="158"/>
      <c r="X606" s="158"/>
      <c r="Y606" s="153"/>
      <c r="Z606" s="152">
        <f>Z604*L606</f>
        <v>19.969739172735586</v>
      </c>
      <c r="AA606" s="153"/>
      <c r="AB606" s="153"/>
      <c r="AC606" s="152">
        <f>AC604*L606</f>
        <v>27.066997518610421</v>
      </c>
      <c r="AD606" s="153"/>
      <c r="AE606" s="103"/>
      <c r="AF606" s="103"/>
      <c r="AG606" s="103"/>
      <c r="AH606" s="154">
        <f>AH604*L606</f>
        <v>9.7648151365755904</v>
      </c>
      <c r="AJ606" s="5"/>
      <c r="AK606" s="5"/>
      <c r="AL606" s="5"/>
      <c r="AN606" s="72">
        <f>F603*LeagueRatings!$K$27</f>
        <v>0</v>
      </c>
      <c r="AO606" s="72">
        <f>G603*LeagueRatings!$K$27</f>
        <v>0</v>
      </c>
      <c r="AP606" s="72">
        <f>T606*LeagueRatings!$K$27</f>
        <v>0</v>
      </c>
      <c r="AQ606" s="30"/>
    </row>
    <row r="607" spans="1:43" x14ac:dyDescent="0.2">
      <c r="C607" s="76">
        <v>1</v>
      </c>
      <c r="D607" s="76">
        <v>0</v>
      </c>
      <c r="E607" s="76">
        <v>1.0900000000000001</v>
      </c>
      <c r="F607" s="76">
        <v>33</v>
      </c>
      <c r="G607" s="76">
        <v>0</v>
      </c>
      <c r="H607" s="76">
        <v>0</v>
      </c>
      <c r="I607" s="76">
        <v>0</v>
      </c>
      <c r="J607" s="76">
        <v>24</v>
      </c>
      <c r="K607" s="76">
        <v>25</v>
      </c>
      <c r="L607" s="157">
        <f>(L605/100)/((L604+L605)/100)</f>
        <v>0.24813895781637718</v>
      </c>
      <c r="T607" s="158"/>
      <c r="U607" s="158"/>
      <c r="V607" s="282"/>
      <c r="W607" s="158"/>
      <c r="X607" s="158"/>
      <c r="Y607" s="153"/>
      <c r="Z607" s="152">
        <f>Z605*L607</f>
        <v>6.7858671182261254</v>
      </c>
      <c r="AA607" s="153"/>
      <c r="AB607" s="153"/>
      <c r="AC607" s="152">
        <f>AC605*L607</f>
        <v>-1.9002880419004777</v>
      </c>
      <c r="AD607" s="153"/>
      <c r="AE607" s="103"/>
      <c r="AF607" s="103"/>
      <c r="AG607" s="103"/>
      <c r="AH607" s="154">
        <f>AH605*L607</f>
        <v>0.99229790227952697</v>
      </c>
      <c r="AJ607" s="5"/>
      <c r="AK607" s="5"/>
      <c r="AL607" s="5"/>
      <c r="AN607" s="72">
        <f>F604*LeagueRatings!$K$27</f>
        <v>0</v>
      </c>
      <c r="AO607" s="72">
        <f>G604*LeagueRatings!$K$27</f>
        <v>0</v>
      </c>
      <c r="AP607" s="72">
        <f>T607*LeagueRatings!$K$27</f>
        <v>0</v>
      </c>
      <c r="AQ607" s="30"/>
    </row>
    <row r="608" spans="1:43" x14ac:dyDescent="0.2">
      <c r="C608" s="76">
        <v>1</v>
      </c>
      <c r="D608" s="76">
        <v>2</v>
      </c>
      <c r="E608" s="76">
        <v>1.71</v>
      </c>
      <c r="F608" s="76">
        <v>28</v>
      </c>
      <c r="G608" s="76">
        <v>0</v>
      </c>
      <c r="H608" s="76">
        <v>0</v>
      </c>
      <c r="I608" s="76">
        <v>0</v>
      </c>
      <c r="J608" s="76">
        <v>17</v>
      </c>
      <c r="K608" s="76">
        <v>19</v>
      </c>
      <c r="T608" s="158"/>
      <c r="U608" s="158"/>
      <c r="V608" s="282"/>
      <c r="W608" s="158"/>
      <c r="X608" s="158"/>
      <c r="Y608" s="153"/>
      <c r="Z608" s="152">
        <f>SUM(Z606:Z607)</f>
        <v>26.755606290961712</v>
      </c>
      <c r="AA608" s="153"/>
      <c r="AB608" s="153"/>
      <c r="AC608" s="152">
        <f>SUM(AC606:AC607)</f>
        <v>25.166709476709944</v>
      </c>
      <c r="AD608" s="153"/>
      <c r="AE608" s="103"/>
      <c r="AF608" s="103"/>
      <c r="AG608" s="103"/>
      <c r="AH608" s="153">
        <f>SUM(AH606:AH607)</f>
        <v>10.757113038855117</v>
      </c>
      <c r="AI608" s="41" t="s">
        <v>644</v>
      </c>
      <c r="AJ608" s="5" t="s">
        <v>34</v>
      </c>
      <c r="AK608" s="5" t="s">
        <v>17</v>
      </c>
      <c r="AL608" s="5" t="s">
        <v>33</v>
      </c>
      <c r="AM608" s="262">
        <f>SUM(AM604:AM607)</f>
        <v>25</v>
      </c>
      <c r="AN608" s="14">
        <f>SUM(AN604:AN607)</f>
        <v>26.666666666666668</v>
      </c>
      <c r="AO608" s="14">
        <f>SUM(AO604:AO607)</f>
        <v>0</v>
      </c>
      <c r="AP608" s="14">
        <f>SUM(AP604:AP607)</f>
        <v>101.11111111111111</v>
      </c>
      <c r="AQ608" s="30"/>
    </row>
    <row r="609" spans="1:43" x14ac:dyDescent="0.2">
      <c r="T609" s="158"/>
      <c r="U609" s="158"/>
      <c r="V609" s="282"/>
      <c r="W609" s="158"/>
      <c r="X609" s="158"/>
      <c r="Y609" s="153"/>
      <c r="Z609" s="152"/>
      <c r="AA609" s="153"/>
      <c r="AB609" s="153"/>
      <c r="AC609" s="152"/>
      <c r="AD609" s="153"/>
      <c r="AE609" s="103"/>
      <c r="AF609" s="103"/>
      <c r="AG609" s="103"/>
      <c r="AH609" s="153"/>
      <c r="AI609" s="41"/>
      <c r="AJ609" s="5"/>
      <c r="AK609" s="5"/>
      <c r="AL609" s="5"/>
      <c r="AN609" s="14"/>
      <c r="AO609" s="14"/>
      <c r="AP609" s="14"/>
      <c r="AQ609" s="30"/>
    </row>
    <row r="610" spans="1:43" x14ac:dyDescent="0.2">
      <c r="L610" s="97">
        <v>33</v>
      </c>
      <c r="M610" s="76">
        <v>18</v>
      </c>
      <c r="N610" s="76">
        <v>4</v>
      </c>
      <c r="O610" s="76">
        <v>4</v>
      </c>
      <c r="P610" s="76">
        <v>3</v>
      </c>
      <c r="Q610" s="76">
        <v>7</v>
      </c>
      <c r="R610" s="76">
        <v>0</v>
      </c>
      <c r="S610" s="76">
        <v>34</v>
      </c>
      <c r="T610" s="76">
        <v>121</v>
      </c>
      <c r="U610" s="76"/>
      <c r="V610" s="100"/>
      <c r="W610" s="76"/>
      <c r="Y610" s="151">
        <f>+(Q610-R610)/(T610-R610)*100</f>
        <v>5.785123966942149</v>
      </c>
      <c r="Z610" s="152">
        <f>IF(Y610&lt;LeagueRatings!$K$10,((LeagueRatings!$K$10-Y610)/LeagueRatings!$K$10)*36,(LeagueRatings!$K$10-Y610)*6.48)</f>
        <v>11.971958243368851</v>
      </c>
      <c r="AA610" s="153">
        <v>-0.92</v>
      </c>
      <c r="AB610" s="153">
        <f>(P610/(T610-R610))*100</f>
        <v>2.4793388429752068</v>
      </c>
      <c r="AC610" s="152">
        <f>IF(AB610&lt;LeagueRatings!$K$8,((LeagueRatings!$K$8-AB610)/LeagueRatings!$K$8)*36,(LeagueRatings!$K$8-AB610)/LeagueRatings!$K$11)</f>
        <v>8.1267555645692831</v>
      </c>
      <c r="AD610" s="153">
        <v>0.08</v>
      </c>
      <c r="AE610" s="103">
        <f>+((LeagueRatings!$I$6-E607)*5)+9.5</f>
        <v>25.058051455277404</v>
      </c>
      <c r="AF610" s="103">
        <f>IF(AE610&lt;4,4,AE610)</f>
        <v>25.058051455277404</v>
      </c>
      <c r="AG610" s="103">
        <f>IF(M610&lt;L610,((1-(M610/L610))*7)-0.07,(1-(M610/L610))*5)</f>
        <v>3.1118181818181823</v>
      </c>
      <c r="AH610" s="154">
        <f>+AA610+AD610+AF610+AG610</f>
        <v>27.329869637095587</v>
      </c>
      <c r="AM610" s="262">
        <f>+AR493*LeagueRatings!$K$27</f>
        <v>18.333333333333336</v>
      </c>
      <c r="AN610" s="72">
        <f>F607*LeagueRatings!$K$27</f>
        <v>18.333333333333336</v>
      </c>
      <c r="AO610" s="72">
        <f>G607*LeagueRatings!$K$27</f>
        <v>0</v>
      </c>
      <c r="AP610" s="72">
        <f>T610*LeagueRatings!$K$27</f>
        <v>67.222222222222229</v>
      </c>
      <c r="AQ610" s="30"/>
    </row>
    <row r="611" spans="1:43" x14ac:dyDescent="0.2">
      <c r="A611" t="s">
        <v>330</v>
      </c>
      <c r="B611" s="76" t="s">
        <v>159</v>
      </c>
      <c r="L611" s="97">
        <v>26.33</v>
      </c>
      <c r="M611" s="76">
        <v>24</v>
      </c>
      <c r="N611" s="76">
        <v>5</v>
      </c>
      <c r="O611" s="76">
        <v>5</v>
      </c>
      <c r="P611" s="76">
        <v>1</v>
      </c>
      <c r="Q611" s="76">
        <v>7</v>
      </c>
      <c r="R611" s="76">
        <v>3</v>
      </c>
      <c r="S611" s="76">
        <v>23</v>
      </c>
      <c r="T611" s="76">
        <v>108</v>
      </c>
      <c r="U611" s="76"/>
      <c r="V611" s="100"/>
      <c r="W611" s="76"/>
      <c r="X611" s="147"/>
      <c r="Y611" s="151">
        <f>+(Q611-R611)/(T611-R611)*100</f>
        <v>3.8095238095238098</v>
      </c>
      <c r="Z611" s="152">
        <f>IF(Y611&lt;LeagueRatings!$K$10,((LeagueRatings!$K$10-Y611)/LeagueRatings!$K$10)*36,(LeagueRatings!$K$10-Y611)*6.48)</f>
        <v>20.177452775225202</v>
      </c>
      <c r="AA611" s="153">
        <v>-1.69</v>
      </c>
      <c r="AB611" s="153">
        <f>(P611/(T611-R611))*100</f>
        <v>0.95238095238095244</v>
      </c>
      <c r="AC611" s="152">
        <f>IF(AB611&lt;LeagueRatings!$K$8,((LeagueRatings!$K$8-AB611)/LeagueRatings!$K$8)*36,(LeagueRatings!$K$8-AB611)/LeagueRatings!$K$11)</f>
        <v>25.293134677183758</v>
      </c>
      <c r="AD611" s="153">
        <v>-1.68</v>
      </c>
      <c r="AE611" s="103">
        <f>+((LeagueRatings!$I$6-E608)*5)+9.5</f>
        <v>21.958051455277403</v>
      </c>
      <c r="AF611" s="103">
        <f>IF(AE611&lt;4,4,AE611)</f>
        <v>21.958051455277403</v>
      </c>
      <c r="AG611" s="103">
        <f>IF(M611&lt;L611,((1-(M611/L611))*7)-0.07,(1-(M611/L611))*5)</f>
        <v>0.54944549943030729</v>
      </c>
      <c r="AH611" s="154">
        <f>+AA611+AD611+AF611+AG611</f>
        <v>19.137496954707707</v>
      </c>
      <c r="AJ611" s="9"/>
      <c r="AK611" s="9"/>
      <c r="AL611" s="9"/>
      <c r="AM611" s="262">
        <f>+AR494*LeagueRatings!$K$27</f>
        <v>15</v>
      </c>
      <c r="AN611" s="72">
        <f>F608*LeagueRatings!$K$27</f>
        <v>15.555555555555557</v>
      </c>
      <c r="AO611" s="72">
        <f>G608*LeagueRatings!$K$27</f>
        <v>0</v>
      </c>
      <c r="AP611" s="72">
        <f>T611*LeagueRatings!$K$27</f>
        <v>60</v>
      </c>
      <c r="AQ611" s="30"/>
    </row>
    <row r="612" spans="1:43" x14ac:dyDescent="0.2">
      <c r="A612" s="41" t="s">
        <v>330</v>
      </c>
      <c r="B612" s="76" t="s">
        <v>143</v>
      </c>
      <c r="L612" s="157">
        <f>(L610/100)/((L610+L611)/100)</f>
        <v>0.55621102309118498</v>
      </c>
      <c r="T612" s="158"/>
      <c r="U612" s="158"/>
      <c r="V612" s="282"/>
      <c r="W612" s="158"/>
      <c r="X612" s="158"/>
      <c r="Y612" s="153"/>
      <c r="Z612" s="152">
        <f>Z610*L612</f>
        <v>6.6589351429491348</v>
      </c>
      <c r="AA612" s="153"/>
      <c r="AB612" s="153"/>
      <c r="AC612" s="152">
        <f>AC610*L612</f>
        <v>4.5201910269810615</v>
      </c>
      <c r="AD612" s="153"/>
      <c r="AE612" s="103"/>
      <c r="AF612" s="103"/>
      <c r="AG612" s="103"/>
      <c r="AH612" s="154">
        <f>AH610*L612</f>
        <v>15.201174751797648</v>
      </c>
      <c r="AJ612" s="5"/>
      <c r="AK612" s="5"/>
      <c r="AL612" s="5"/>
      <c r="AN612" s="72">
        <f>F609*LeagueRatings!$K$27</f>
        <v>0</v>
      </c>
      <c r="AO612" s="72">
        <f>G609*LeagueRatings!$K$27</f>
        <v>0</v>
      </c>
      <c r="AP612" s="72">
        <f>T612*LeagueRatings!$K$27</f>
        <v>0</v>
      </c>
      <c r="AQ612" s="30"/>
    </row>
    <row r="613" spans="1:43" x14ac:dyDescent="0.2">
      <c r="C613" s="76">
        <v>1</v>
      </c>
      <c r="D613" s="76">
        <v>0</v>
      </c>
      <c r="E613" s="97">
        <v>2.63</v>
      </c>
      <c r="F613" s="76">
        <v>37</v>
      </c>
      <c r="G613" s="76">
        <v>0</v>
      </c>
      <c r="H613" s="76">
        <v>0</v>
      </c>
      <c r="I613" s="76">
        <v>0</v>
      </c>
      <c r="J613" s="76">
        <v>0</v>
      </c>
      <c r="K613" s="76">
        <v>1</v>
      </c>
      <c r="L613" s="157">
        <f>(L611/100)/((L610+L611)/100)</f>
        <v>0.44378897690881514</v>
      </c>
      <c r="T613" s="158"/>
      <c r="U613" s="158"/>
      <c r="V613" s="282"/>
      <c r="W613" s="158"/>
      <c r="X613" s="158"/>
      <c r="Y613" s="153"/>
      <c r="Z613" s="152">
        <f>Z611*L613</f>
        <v>8.9545311237431253</v>
      </c>
      <c r="AA613" s="153"/>
      <c r="AB613" s="153"/>
      <c r="AC613" s="152">
        <f>AC611*L613</f>
        <v>11.224814361204254</v>
      </c>
      <c r="AD613" s="153"/>
      <c r="AE613" s="103"/>
      <c r="AF613" s="103"/>
      <c r="AG613" s="103"/>
      <c r="AH613" s="154">
        <f>AH611*L613</f>
        <v>8.4930101941252989</v>
      </c>
      <c r="AJ613" s="5"/>
      <c r="AK613" s="5"/>
      <c r="AL613" s="5"/>
      <c r="AN613" s="72">
        <f>F610*LeagueRatings!$K$27</f>
        <v>0</v>
      </c>
      <c r="AO613" s="72">
        <f>G610*LeagueRatings!$K$27</f>
        <v>0</v>
      </c>
      <c r="AP613" s="72">
        <f>T613*LeagueRatings!$K$27</f>
        <v>0</v>
      </c>
      <c r="AQ613" s="30"/>
    </row>
    <row r="614" spans="1:43" x14ac:dyDescent="0.2">
      <c r="C614" s="76">
        <v>1</v>
      </c>
      <c r="D614" s="76">
        <v>1</v>
      </c>
      <c r="E614" s="97">
        <v>8.5299999999999994</v>
      </c>
      <c r="F614" s="76">
        <v>16</v>
      </c>
      <c r="G614" s="76">
        <v>0</v>
      </c>
      <c r="H614" s="76">
        <v>0</v>
      </c>
      <c r="I614" s="76">
        <v>0</v>
      </c>
      <c r="J614" s="76">
        <v>0</v>
      </c>
      <c r="K614" s="76">
        <v>0</v>
      </c>
      <c r="T614" s="158"/>
      <c r="U614" s="158"/>
      <c r="V614" s="282"/>
      <c r="W614" s="158"/>
      <c r="X614" s="158"/>
      <c r="Y614" s="153"/>
      <c r="Z614" s="152">
        <f>SUM(Z612:Z613)</f>
        <v>15.61346626669226</v>
      </c>
      <c r="AA614" s="153"/>
      <c r="AB614" s="153"/>
      <c r="AC614" s="152">
        <f>SUM(AC612:AC613)</f>
        <v>15.745005388185316</v>
      </c>
      <c r="AD614" s="153"/>
      <c r="AE614" s="103"/>
      <c r="AF614" s="103"/>
      <c r="AG614" s="103"/>
      <c r="AH614" s="153">
        <f>SUM(AH612:AH613)</f>
        <v>23.694184945922949</v>
      </c>
      <c r="AI614" s="41" t="s">
        <v>439</v>
      </c>
      <c r="AJ614" s="5" t="s">
        <v>74</v>
      </c>
      <c r="AK614" s="5" t="s">
        <v>36</v>
      </c>
      <c r="AL614" s="5" t="s">
        <v>62</v>
      </c>
      <c r="AM614" s="262">
        <f>SUM(AM610:AM613)</f>
        <v>33.333333333333336</v>
      </c>
      <c r="AN614" s="14">
        <f>SUM(AN610:AN613)</f>
        <v>33.888888888888893</v>
      </c>
      <c r="AO614" s="14">
        <f>SUM(AO610:AO613)</f>
        <v>0</v>
      </c>
      <c r="AP614" s="14">
        <f>SUM(AP610:AP613)</f>
        <v>127.22222222222223</v>
      </c>
      <c r="AQ614" s="30"/>
    </row>
    <row r="615" spans="1:43" x14ac:dyDescent="0.2">
      <c r="T615" s="158"/>
      <c r="U615" s="158"/>
      <c r="V615" s="282"/>
      <c r="W615" s="158"/>
      <c r="X615" s="158"/>
      <c r="Y615" s="153"/>
      <c r="Z615" s="152"/>
      <c r="AA615" s="153"/>
      <c r="AB615" s="153"/>
      <c r="AC615" s="152"/>
      <c r="AD615" s="153"/>
      <c r="AE615" s="103"/>
      <c r="AF615" s="103"/>
      <c r="AG615" s="103"/>
      <c r="AH615" s="153"/>
      <c r="AI615" s="41"/>
      <c r="AJ615" s="5"/>
      <c r="AK615" s="5"/>
      <c r="AL615" s="5"/>
      <c r="AN615" s="14"/>
      <c r="AO615" s="14"/>
      <c r="AP615" s="14"/>
      <c r="AQ615" s="30"/>
    </row>
    <row r="616" spans="1:43" x14ac:dyDescent="0.2">
      <c r="L616" s="97">
        <v>24</v>
      </c>
      <c r="M616" s="76">
        <v>23</v>
      </c>
      <c r="N616" s="76">
        <v>10</v>
      </c>
      <c r="O616" s="76">
        <v>7</v>
      </c>
      <c r="P616" s="76">
        <v>3</v>
      </c>
      <c r="Q616" s="76">
        <v>3</v>
      </c>
      <c r="R616" s="76">
        <v>1</v>
      </c>
      <c r="S616" s="76">
        <v>25</v>
      </c>
      <c r="T616" s="76">
        <v>100</v>
      </c>
      <c r="U616" s="76"/>
      <c r="V616" s="100"/>
      <c r="W616" s="76"/>
      <c r="Y616" s="151">
        <f>+(Q616-R616)/(T616-R616)*100</f>
        <v>2.0202020202020203</v>
      </c>
      <c r="Z616" s="152">
        <f>IF(Y616&lt;LeagueRatings!$K$10,((LeagueRatings!$K$10-Y616)/LeagueRatings!$K$10)*36,(LeagueRatings!$K$10-Y616)*6.48)</f>
        <v>27.609255259589123</v>
      </c>
      <c r="AA616" s="153">
        <v>-2.5499999999999998</v>
      </c>
      <c r="AB616" s="153">
        <f>(P616/(T616-R616))*100</f>
        <v>3.0303030303030303</v>
      </c>
      <c r="AC616" s="152">
        <f>IF(AB616&lt;LeagueRatings!$K$8,((LeagueRatings!$K$8-AB616)/LeagueRatings!$K$8)*36,(LeagueRatings!$K$8-AB616)/LeagueRatings!$K$11)</f>
        <v>1.932701245584683</v>
      </c>
      <c r="AD616" s="153">
        <v>0.42</v>
      </c>
      <c r="AE616" s="103">
        <f>+((LeagueRatings!$I$6-E613)*5)+9.5</f>
        <v>17.358051455277405</v>
      </c>
      <c r="AF616" s="103">
        <f>IF(AE616&lt;4,4,AE616)</f>
        <v>17.358051455277405</v>
      </c>
      <c r="AG616" s="103">
        <f>IF(M616&lt;L616,((1-(M616/L616))*7)-0.07,(1-(M616/L616))*5)</f>
        <v>0.2216666666666664</v>
      </c>
      <c r="AH616" s="154">
        <f>+AA616+AD616+AF616+AG616</f>
        <v>15.449718121944072</v>
      </c>
      <c r="AM616" s="262">
        <f>+AR499*LeagueRatings!$K$27</f>
        <v>13.333333333333334</v>
      </c>
      <c r="AN616" s="72">
        <f>F613*LeagueRatings!$K$27</f>
        <v>20.555555555555557</v>
      </c>
      <c r="AO616" s="72">
        <f>G613*LeagueRatings!$K$27</f>
        <v>0</v>
      </c>
      <c r="AP616" s="72">
        <f>T616*LeagueRatings!$K$27</f>
        <v>55.555555555555557</v>
      </c>
      <c r="AQ616" s="30"/>
    </row>
    <row r="617" spans="1:43" x14ac:dyDescent="0.2">
      <c r="A617" t="s">
        <v>502</v>
      </c>
      <c r="B617" s="76" t="s">
        <v>152</v>
      </c>
      <c r="L617" s="97">
        <v>6.33</v>
      </c>
      <c r="M617" s="76">
        <v>13</v>
      </c>
      <c r="N617" s="76">
        <v>6</v>
      </c>
      <c r="O617" s="76">
        <v>6</v>
      </c>
      <c r="P617" s="76">
        <v>0</v>
      </c>
      <c r="Q617" s="76">
        <v>1</v>
      </c>
      <c r="R617" s="76">
        <v>0</v>
      </c>
      <c r="S617" s="76">
        <v>2</v>
      </c>
      <c r="T617" s="76">
        <v>35</v>
      </c>
      <c r="U617" s="76"/>
      <c r="V617" s="100"/>
      <c r="W617" s="76"/>
      <c r="X617" s="147"/>
      <c r="Y617" s="151">
        <f>+(Q617-R617)/(T617-R617)*100</f>
        <v>2.8571428571428572</v>
      </c>
      <c r="Z617" s="152">
        <f>IF(Y617&lt;LeagueRatings!$K$10,((LeagueRatings!$K$10-Y617)/LeagueRatings!$K$10)*36,(LeagueRatings!$K$10-Y617)*6.48)</f>
        <v>24.133089581418901</v>
      </c>
      <c r="AA617" s="153">
        <v>-2.11</v>
      </c>
      <c r="AB617" s="153">
        <f>(P617/(T617-R617))*100</f>
        <v>0</v>
      </c>
      <c r="AC617" s="152">
        <f>IF(AB617&lt;LeagueRatings!$K$8,((LeagueRatings!$K$8-AB617)/LeagueRatings!$K$8)*36,(LeagueRatings!$K$8-AB617)/LeagueRatings!$K$11)</f>
        <v>36</v>
      </c>
      <c r="AD617" s="153">
        <v>-3.26</v>
      </c>
      <c r="AE617" s="103">
        <f>+((LeagueRatings!$I$6-E614)*5)+9.5</f>
        <v>-12.141948544722595</v>
      </c>
      <c r="AF617" s="103">
        <f>IF(AE617&lt;4,4,AE617)</f>
        <v>4</v>
      </c>
      <c r="AG617" s="103">
        <f>IF(M617&lt;L617,((1-(M617/L617))*7)-0.07,(1-(M617/L617))*5)</f>
        <v>-5.2685624012638232</v>
      </c>
      <c r="AH617" s="154">
        <f>+AA617+AD617+AF617+AG617</f>
        <v>-6.6385624012638225</v>
      </c>
      <c r="AJ617" s="7"/>
      <c r="AK617" s="7"/>
      <c r="AL617" s="7"/>
      <c r="AM617" s="262">
        <f>+AR500*LeagueRatings!$K$27</f>
        <v>3.8888888888888893</v>
      </c>
      <c r="AN617" s="72">
        <f>F614*LeagueRatings!$K$27</f>
        <v>8.8888888888888893</v>
      </c>
      <c r="AO617" s="72">
        <f>G614*LeagueRatings!$K$27</f>
        <v>0</v>
      </c>
      <c r="AP617" s="72">
        <f>T617*LeagueRatings!$K$27</f>
        <v>19.444444444444446</v>
      </c>
      <c r="AQ617" s="30"/>
    </row>
    <row r="618" spans="1:43" x14ac:dyDescent="0.2">
      <c r="A618" s="41" t="s">
        <v>502</v>
      </c>
      <c r="B618" s="76" t="s">
        <v>173</v>
      </c>
      <c r="L618" s="157">
        <f>(L616/100)/((L616+L617)/100)</f>
        <v>0.79129574678536108</v>
      </c>
      <c r="T618" s="158"/>
      <c r="U618" s="158"/>
      <c r="V618" s="282"/>
      <c r="W618" s="158"/>
      <c r="X618" s="158"/>
      <c r="Y618" s="153"/>
      <c r="Z618" s="152">
        <f>Z616*L618</f>
        <v>21.847086258824234</v>
      </c>
      <c r="AA618" s="153"/>
      <c r="AB618" s="153"/>
      <c r="AC618" s="152">
        <f>AC616*L618</f>
        <v>1.5293382754379292</v>
      </c>
      <c r="AD618" s="153"/>
      <c r="AE618" s="103"/>
      <c r="AF618" s="103"/>
      <c r="AG618" s="103"/>
      <c r="AH618" s="154">
        <f>AH616*L618</f>
        <v>12.22529623892706</v>
      </c>
      <c r="AJ618" s="5"/>
      <c r="AK618" s="5"/>
      <c r="AL618" s="5"/>
      <c r="AN618" s="72">
        <f>F615*LeagueRatings!$K$27</f>
        <v>0</v>
      </c>
      <c r="AO618" s="72">
        <f>G615*LeagueRatings!$K$27</f>
        <v>0</v>
      </c>
      <c r="AP618" s="72">
        <f>T618*LeagueRatings!$K$27</f>
        <v>0</v>
      </c>
      <c r="AQ618" s="30"/>
    </row>
    <row r="619" spans="1:43" x14ac:dyDescent="0.2">
      <c r="C619" s="76">
        <v>0</v>
      </c>
      <c r="D619" s="76">
        <v>3</v>
      </c>
      <c r="E619" s="76">
        <v>2.5499999999999998</v>
      </c>
      <c r="F619" s="76">
        <v>46</v>
      </c>
      <c r="G619" s="76">
        <v>0</v>
      </c>
      <c r="H619" s="76">
        <v>0</v>
      </c>
      <c r="I619" s="76">
        <v>0</v>
      </c>
      <c r="J619" s="76">
        <v>0</v>
      </c>
      <c r="K619" s="76">
        <v>4</v>
      </c>
      <c r="L619" s="157">
        <f>(L617/100)/((L616+L617)/100)</f>
        <v>0.20870425321463898</v>
      </c>
      <c r="T619" s="158"/>
      <c r="U619" s="158"/>
      <c r="V619" s="282"/>
      <c r="W619" s="158"/>
      <c r="X619" s="158"/>
      <c r="Y619" s="153"/>
      <c r="Z619" s="152">
        <f>Z617*L619</f>
        <v>5.0366784388520163</v>
      </c>
      <c r="AA619" s="153"/>
      <c r="AB619" s="153"/>
      <c r="AC619" s="152">
        <f>AC617*L619</f>
        <v>7.5133531157270035</v>
      </c>
      <c r="AD619" s="153"/>
      <c r="AE619" s="103"/>
      <c r="AF619" s="103"/>
      <c r="AG619" s="103"/>
      <c r="AH619" s="154">
        <f>AH617*L619</f>
        <v>-1.3854962083745466</v>
      </c>
      <c r="AJ619" s="5"/>
      <c r="AK619" s="5"/>
      <c r="AL619" s="5"/>
      <c r="AN619" s="72">
        <f>F616*LeagueRatings!$K$27</f>
        <v>0</v>
      </c>
      <c r="AO619" s="72">
        <f>G616*LeagueRatings!$K$27</f>
        <v>0</v>
      </c>
      <c r="AP619" s="72">
        <f>T619*LeagueRatings!$K$27</f>
        <v>0</v>
      </c>
      <c r="AQ619" s="30"/>
    </row>
    <row r="620" spans="1:43" x14ac:dyDescent="0.2">
      <c r="C620" s="76">
        <v>1</v>
      </c>
      <c r="D620" s="76">
        <v>0</v>
      </c>
      <c r="E620" s="97">
        <v>0</v>
      </c>
      <c r="F620" s="76">
        <v>18</v>
      </c>
      <c r="G620" s="76">
        <v>0</v>
      </c>
      <c r="H620" s="76">
        <v>0</v>
      </c>
      <c r="I620" s="76">
        <v>0</v>
      </c>
      <c r="J620" s="76">
        <v>0</v>
      </c>
      <c r="K620" s="76">
        <v>0</v>
      </c>
      <c r="T620" s="158"/>
      <c r="U620" s="158"/>
      <c r="V620" s="282"/>
      <c r="W620" s="158"/>
      <c r="X620" s="158"/>
      <c r="Y620" s="153"/>
      <c r="Z620" s="152">
        <f>SUM(Z618:Z619)</f>
        <v>26.883764697676249</v>
      </c>
      <c r="AA620" s="153"/>
      <c r="AB620" s="153"/>
      <c r="AC620" s="152">
        <f>SUM(AC618:AC619)</f>
        <v>9.0426913911649329</v>
      </c>
      <c r="AD620" s="153"/>
      <c r="AE620" s="103"/>
      <c r="AF620" s="103"/>
      <c r="AG620" s="103"/>
      <c r="AH620" s="153">
        <f>SUM(AH618:AH619)</f>
        <v>10.839800030552514</v>
      </c>
      <c r="AI620" s="41" t="s">
        <v>330</v>
      </c>
      <c r="AJ620" s="5" t="s">
        <v>39</v>
      </c>
      <c r="AK620" s="5" t="s">
        <v>17</v>
      </c>
      <c r="AL620" s="5" t="s">
        <v>22</v>
      </c>
      <c r="AM620" s="262">
        <f>SUM(AM616:AM619)</f>
        <v>17.222222222222221</v>
      </c>
      <c r="AN620" s="14">
        <f>SUM(AN616:AN619)</f>
        <v>29.444444444444446</v>
      </c>
      <c r="AO620" s="14">
        <f>SUM(AO616:AO619)</f>
        <v>0</v>
      </c>
      <c r="AP620" s="14">
        <f>SUM(AP616:AP619)</f>
        <v>75</v>
      </c>
      <c r="AQ620" s="30"/>
    </row>
    <row r="621" spans="1:43" x14ac:dyDescent="0.2">
      <c r="T621" s="158"/>
      <c r="U621" s="158"/>
      <c r="V621" s="282"/>
      <c r="W621" s="158"/>
      <c r="X621" s="158"/>
      <c r="Y621" s="153"/>
      <c r="Z621" s="152"/>
      <c r="AA621" s="153"/>
      <c r="AB621" s="153"/>
      <c r="AC621" s="152"/>
      <c r="AD621" s="153"/>
      <c r="AE621" s="103"/>
      <c r="AF621" s="103"/>
      <c r="AG621" s="103"/>
      <c r="AH621" s="153"/>
      <c r="AI621" s="41"/>
      <c r="AJ621" s="5"/>
      <c r="AK621" s="5"/>
      <c r="AL621" s="5"/>
      <c r="AN621" s="14"/>
      <c r="AO621" s="14"/>
      <c r="AP621" s="14"/>
      <c r="AQ621" s="30"/>
    </row>
    <row r="622" spans="1:43" x14ac:dyDescent="0.2">
      <c r="L622" s="76">
        <v>24.67</v>
      </c>
      <c r="M622" s="76">
        <v>23</v>
      </c>
      <c r="N622" s="76">
        <v>9</v>
      </c>
      <c r="O622" s="76">
        <v>7</v>
      </c>
      <c r="P622" s="76">
        <v>0</v>
      </c>
      <c r="Q622" s="76">
        <v>6</v>
      </c>
      <c r="R622" s="76">
        <v>2</v>
      </c>
      <c r="S622" s="76">
        <v>20</v>
      </c>
      <c r="T622" s="76">
        <v>107</v>
      </c>
      <c r="U622" s="76"/>
      <c r="V622" s="100"/>
      <c r="W622" s="76"/>
      <c r="Y622" s="151">
        <f>+(Q622-R622)/(T622-R622)*100</f>
        <v>3.8095238095238098</v>
      </c>
      <c r="Z622" s="152">
        <f>IF(Y622&lt;LeagueRatings!$K$10,((LeagueRatings!$K$10-Y622)/LeagueRatings!$K$10)*36,(LeagueRatings!$K$10-Y622)*6.48)</f>
        <v>20.177452775225202</v>
      </c>
      <c r="AA622" s="153">
        <v>-1.69</v>
      </c>
      <c r="AB622" s="153">
        <f>(P622/(T622-R622))*100</f>
        <v>0</v>
      </c>
      <c r="AC622" s="152">
        <f>IF(AB622&lt;LeagueRatings!$K$8,((LeagueRatings!$K$8-AB622)/LeagueRatings!$K$8)*36,(LeagueRatings!$K$8-AB622)/LeagueRatings!$K$11)</f>
        <v>36</v>
      </c>
      <c r="AD622" s="153">
        <v>-3.26</v>
      </c>
      <c r="AE622" s="103">
        <f>+((LeagueRatings!$I$6-E619)*5)+9.5</f>
        <v>17.758051455277403</v>
      </c>
      <c r="AF622" s="103">
        <f>IF(AE622&lt;4,4,AE622)</f>
        <v>17.758051455277403</v>
      </c>
      <c r="AG622" s="103">
        <f>IF(M622&lt;L622,((1-(M622/L622))*7)-0.07,(1-(M622/L622))*5)</f>
        <v>0.40385488447507117</v>
      </c>
      <c r="AH622" s="154">
        <f>+AA622+AD622+AF622+AG622</f>
        <v>13.211906339752476</v>
      </c>
      <c r="AM622" s="262">
        <f>+AR505*LeagueRatings!$K$27</f>
        <v>13.888888888888889</v>
      </c>
      <c r="AN622" s="72">
        <f>F619*LeagueRatings!$K$27</f>
        <v>25.555555555555557</v>
      </c>
      <c r="AO622" s="72">
        <f>G619*LeagueRatings!$K$27</f>
        <v>0</v>
      </c>
      <c r="AP622" s="72">
        <f>T622*LeagueRatings!$K$27</f>
        <v>59.44444444444445</v>
      </c>
      <c r="AQ622" s="30"/>
    </row>
    <row r="623" spans="1:43" x14ac:dyDescent="0.2">
      <c r="A623" t="s">
        <v>394</v>
      </c>
      <c r="B623" s="76" t="s">
        <v>244</v>
      </c>
      <c r="L623" s="97">
        <v>11.33</v>
      </c>
      <c r="M623" s="76">
        <v>10</v>
      </c>
      <c r="N623" s="76">
        <v>0</v>
      </c>
      <c r="O623" s="76">
        <v>0</v>
      </c>
      <c r="P623" s="76">
        <v>0</v>
      </c>
      <c r="Q623" s="76">
        <v>2</v>
      </c>
      <c r="R623" s="76">
        <v>0</v>
      </c>
      <c r="S623" s="76">
        <v>8</v>
      </c>
      <c r="T623" s="76">
        <v>45</v>
      </c>
      <c r="U623" s="76"/>
      <c r="V623" s="100"/>
      <c r="W623" s="76"/>
      <c r="X623" s="147"/>
      <c r="Y623" s="151">
        <f>+(Q623-R623)/(T623-R623)*100</f>
        <v>4.4444444444444446</v>
      </c>
      <c r="Z623" s="152">
        <f>IF(Y623&lt;LeagueRatings!$K$10,((LeagueRatings!$K$10-Y623)/LeagueRatings!$K$10)*36,(LeagueRatings!$K$10-Y623)*6.48)</f>
        <v>17.540361571096071</v>
      </c>
      <c r="AA623" s="153">
        <v>-1.39</v>
      </c>
      <c r="AB623" s="153">
        <f>(P623/(T623-R623))*100</f>
        <v>0</v>
      </c>
      <c r="AC623" s="152">
        <f>IF(AB623&lt;LeagueRatings!$K$8,((LeagueRatings!$K$8-AB623)/LeagueRatings!$K$8)*36,(LeagueRatings!$K$8-AB623)/LeagueRatings!$K$11)</f>
        <v>36</v>
      </c>
      <c r="AD623" s="153">
        <v>-3.26</v>
      </c>
      <c r="AE623" s="103">
        <f>+((LeagueRatings!$I$6-E620)*5)+9.5</f>
        <v>30.508051455277403</v>
      </c>
      <c r="AF623" s="103">
        <f>IF(AE623&lt;4,4,AE623)</f>
        <v>30.508051455277403</v>
      </c>
      <c r="AG623" s="103">
        <f>IF(M623&lt;L623,((1-(M623/L623))*7)-0.07,(1-(M623/L623))*5)</f>
        <v>0.75171226831421034</v>
      </c>
      <c r="AH623" s="154">
        <f>+AA623+AD623+AF623+AG623</f>
        <v>26.609763723591616</v>
      </c>
      <c r="AJ623" s="7"/>
      <c r="AK623" s="7"/>
      <c r="AL623" s="7"/>
      <c r="AM623" s="262">
        <f>+AR506*LeagueRatings!$K$27</f>
        <v>6.666666666666667</v>
      </c>
      <c r="AN623" s="72">
        <f>F620*LeagueRatings!$K$27</f>
        <v>10</v>
      </c>
      <c r="AO623" s="72">
        <f>G620*LeagueRatings!$K$27</f>
        <v>0</v>
      </c>
      <c r="AP623" s="72">
        <f>T623*LeagueRatings!$K$27</f>
        <v>25</v>
      </c>
      <c r="AQ623" s="30"/>
    </row>
    <row r="624" spans="1:43" x14ac:dyDescent="0.2">
      <c r="A624" s="41" t="s">
        <v>394</v>
      </c>
      <c r="B624" s="76" t="s">
        <v>161</v>
      </c>
      <c r="L624" s="157">
        <f>(L622/100)/((L622+L623)/100)</f>
        <v>0.68527777777777787</v>
      </c>
      <c r="T624" s="158"/>
      <c r="U624" s="158"/>
      <c r="V624" s="282"/>
      <c r="W624" s="158"/>
      <c r="X624" s="158"/>
      <c r="Y624" s="153"/>
      <c r="Z624" s="152">
        <f>Z622*L624</f>
        <v>13.827159999022383</v>
      </c>
      <c r="AA624" s="153"/>
      <c r="AB624" s="153"/>
      <c r="AC624" s="152">
        <f>AC622*L624</f>
        <v>24.67</v>
      </c>
      <c r="AD624" s="153"/>
      <c r="AE624" s="103"/>
      <c r="AF624" s="103"/>
      <c r="AG624" s="103"/>
      <c r="AH624" s="154">
        <f>AH622*L624</f>
        <v>9.0538258167137116</v>
      </c>
      <c r="AJ624" s="5"/>
      <c r="AK624" s="5"/>
      <c r="AL624" s="5"/>
      <c r="AN624" s="72">
        <f>F621*LeagueRatings!$K$27</f>
        <v>0</v>
      </c>
      <c r="AO624" s="72">
        <f>G621*LeagueRatings!$K$27</f>
        <v>0</v>
      </c>
      <c r="AP624" s="72">
        <f>T624*LeagueRatings!$K$27</f>
        <v>0</v>
      </c>
      <c r="AQ624" s="30"/>
    </row>
    <row r="625" spans="1:43" x14ac:dyDescent="0.2">
      <c r="C625" s="76">
        <v>4</v>
      </c>
      <c r="D625" s="76">
        <v>7</v>
      </c>
      <c r="E625" s="97">
        <v>5.97</v>
      </c>
      <c r="F625" s="76">
        <v>20</v>
      </c>
      <c r="G625" s="76">
        <v>12</v>
      </c>
      <c r="H625" s="76">
        <v>0</v>
      </c>
      <c r="I625" s="76">
        <v>0</v>
      </c>
      <c r="J625" s="76">
        <v>0</v>
      </c>
      <c r="K625" s="76">
        <v>0</v>
      </c>
      <c r="L625" s="157">
        <f>(L623/100)/((L622+L623)/100)</f>
        <v>0.31472222222222224</v>
      </c>
      <c r="T625" s="158"/>
      <c r="U625" s="158"/>
      <c r="V625" s="282"/>
      <c r="W625" s="158"/>
      <c r="X625" s="158"/>
      <c r="Y625" s="153"/>
      <c r="Z625" s="152">
        <f>Z623*L625</f>
        <v>5.5203415722366245</v>
      </c>
      <c r="AA625" s="153"/>
      <c r="AB625" s="153"/>
      <c r="AC625" s="152">
        <f>AC623*L625</f>
        <v>11.33</v>
      </c>
      <c r="AD625" s="153"/>
      <c r="AE625" s="103"/>
      <c r="AF625" s="103"/>
      <c r="AG625" s="103"/>
      <c r="AH625" s="154">
        <f>AH623*L625</f>
        <v>8.3746839718970278</v>
      </c>
      <c r="AJ625" s="5"/>
      <c r="AK625" s="5"/>
      <c r="AL625" s="5"/>
      <c r="AN625" s="72">
        <f>F622*LeagueRatings!$K$27</f>
        <v>0</v>
      </c>
      <c r="AO625" s="72">
        <f>G622*LeagueRatings!$K$27</f>
        <v>0</v>
      </c>
      <c r="AP625" s="72">
        <f>T625*LeagueRatings!$K$27</f>
        <v>0</v>
      </c>
      <c r="AQ625" s="30"/>
    </row>
    <row r="626" spans="1:43" x14ac:dyDescent="0.2">
      <c r="C626" s="76">
        <v>2</v>
      </c>
      <c r="D626" s="76">
        <v>4</v>
      </c>
      <c r="E626" s="97">
        <v>6.49</v>
      </c>
      <c r="F626" s="76">
        <v>8</v>
      </c>
      <c r="G626" s="76">
        <v>6</v>
      </c>
      <c r="H626" s="76">
        <v>0</v>
      </c>
      <c r="I626" s="76">
        <v>0</v>
      </c>
      <c r="J626" s="76">
        <v>0</v>
      </c>
      <c r="K626" s="76">
        <v>0</v>
      </c>
      <c r="T626" s="158"/>
      <c r="U626" s="158"/>
      <c r="V626" s="282"/>
      <c r="W626" s="158"/>
      <c r="X626" s="158"/>
      <c r="Y626" s="153"/>
      <c r="Z626" s="152">
        <f>SUM(Z624:Z625)</f>
        <v>19.347501571259009</v>
      </c>
      <c r="AA626" s="153"/>
      <c r="AB626" s="153"/>
      <c r="AC626" s="152">
        <f>SUM(AC624:AC625)</f>
        <v>36</v>
      </c>
      <c r="AD626" s="153"/>
      <c r="AE626" s="103"/>
      <c r="AF626" s="103"/>
      <c r="AG626" s="103"/>
      <c r="AH626" s="153">
        <f>SUM(AH624:AH625)</f>
        <v>17.428509788610739</v>
      </c>
      <c r="AI626" s="41" t="s">
        <v>502</v>
      </c>
      <c r="AJ626" s="5" t="s">
        <v>14</v>
      </c>
      <c r="AK626" s="5" t="s">
        <v>54</v>
      </c>
      <c r="AL626" s="5" t="s">
        <v>27</v>
      </c>
      <c r="AM626" s="262">
        <f>SUM(AM622:AM625)</f>
        <v>20.555555555555557</v>
      </c>
      <c r="AN626" s="14">
        <f>SUM(AN622:AN625)</f>
        <v>35.555555555555557</v>
      </c>
      <c r="AO626" s="14">
        <f>SUM(AO622:AO625)</f>
        <v>0</v>
      </c>
      <c r="AP626" s="14">
        <f>SUM(AP622:AP625)</f>
        <v>84.444444444444457</v>
      </c>
      <c r="AQ626" s="30"/>
    </row>
    <row r="627" spans="1:43" x14ac:dyDescent="0.2">
      <c r="T627" s="158"/>
      <c r="U627" s="158"/>
      <c r="V627" s="282"/>
      <c r="W627" s="158"/>
      <c r="X627" s="158"/>
      <c r="Y627" s="153"/>
      <c r="Z627" s="152"/>
      <c r="AA627" s="153"/>
      <c r="AB627" s="153"/>
      <c r="AC627" s="152"/>
      <c r="AD627" s="153"/>
      <c r="AE627" s="103"/>
      <c r="AF627" s="103"/>
      <c r="AG627" s="103"/>
      <c r="AH627" s="153"/>
      <c r="AI627" s="41"/>
      <c r="AJ627" s="5"/>
      <c r="AK627" s="5"/>
      <c r="AL627" s="5"/>
      <c r="AN627" s="14"/>
      <c r="AO627" s="14"/>
      <c r="AP627" s="14"/>
      <c r="AQ627" s="30"/>
    </row>
    <row r="628" spans="1:43" x14ac:dyDescent="0.2">
      <c r="L628" s="97">
        <v>78.33</v>
      </c>
      <c r="M628" s="76">
        <v>106</v>
      </c>
      <c r="N628" s="76">
        <v>54</v>
      </c>
      <c r="O628" s="76">
        <v>52</v>
      </c>
      <c r="P628" s="76">
        <v>8</v>
      </c>
      <c r="Q628" s="76">
        <v>23</v>
      </c>
      <c r="R628" s="76">
        <v>1</v>
      </c>
      <c r="S628" s="76">
        <v>54</v>
      </c>
      <c r="T628" s="76">
        <v>352</v>
      </c>
      <c r="U628" s="76"/>
      <c r="V628" s="100"/>
      <c r="W628" s="76"/>
      <c r="Y628" s="151">
        <f>+(Q628-R628)/(T628-R628)*100</f>
        <v>6.267806267806268</v>
      </c>
      <c r="Z628" s="152">
        <f>IF(Y628&lt;LeagueRatings!$K$21,((LeagueRatings!$K$21-Y628)/LeagueRatings!$K$21)*36,(LeagueRatings!$K$21-Y628)*6.48)</f>
        <v>10.7972039651451</v>
      </c>
      <c r="AA628" s="153">
        <v>-0.65</v>
      </c>
      <c r="AB628" s="153">
        <f>(P628/(T628-R628))*100</f>
        <v>2.2792022792022792</v>
      </c>
      <c r="AC628" s="152">
        <f>IF(AB628&lt;LeagueRatings!$K$19,((LeagueRatings!$K$19-AB628)/LeagueRatings!$K$19)*36,(LeagueRatings!$K$19-AB628)/LeagueRatings!$K$22)</f>
        <v>7.7842934345176502</v>
      </c>
      <c r="AD628" s="153">
        <v>0</v>
      </c>
      <c r="AE628" s="103">
        <f>+((LeagueRatings!$I$17-E625)*5)+9.5</f>
        <v>0.46438724370636386</v>
      </c>
      <c r="AF628" s="103">
        <f>IF(AE628&lt;4,4,AE628)</f>
        <v>4</v>
      </c>
      <c r="AG628" s="103">
        <f>IF(M628&lt;L628,((1-(M628/L628))*7)-0.07,(1-(M628/L628))*5)</f>
        <v>-1.7662453721434956</v>
      </c>
      <c r="AH628" s="154">
        <f>+AA628+AD628+AF628+AG628</f>
        <v>1.5837546278565044</v>
      </c>
      <c r="AM628" s="262">
        <f>+AR511*LeagueRatings!$K$27</f>
        <v>43.888888888888893</v>
      </c>
      <c r="AN628" s="72">
        <f>F625*LeagueRatings!$K$27</f>
        <v>11.111111111111111</v>
      </c>
      <c r="AO628" s="72">
        <f>G625*LeagueRatings!$K$27</f>
        <v>6.666666666666667</v>
      </c>
      <c r="AP628" s="72">
        <f>T628*LeagueRatings!$K$27</f>
        <v>195.55555555555557</v>
      </c>
      <c r="AQ628" s="30"/>
    </row>
    <row r="629" spans="1:43" x14ac:dyDescent="0.2">
      <c r="A629" t="s">
        <v>539</v>
      </c>
      <c r="B629" s="76" t="s">
        <v>161</v>
      </c>
      <c r="L629" s="97">
        <v>34.67</v>
      </c>
      <c r="M629" s="76">
        <v>42</v>
      </c>
      <c r="N629" s="76">
        <v>27</v>
      </c>
      <c r="O629" s="76">
        <v>25</v>
      </c>
      <c r="P629" s="76">
        <v>4</v>
      </c>
      <c r="Q629" s="76">
        <v>10</v>
      </c>
      <c r="R629" s="76">
        <v>1</v>
      </c>
      <c r="S629" s="76">
        <v>17</v>
      </c>
      <c r="T629" s="76">
        <v>149</v>
      </c>
      <c r="U629" s="76"/>
      <c r="V629" s="100"/>
      <c r="W629" s="76"/>
      <c r="X629" s="138"/>
      <c r="Y629" s="151">
        <f>+(Q629-R629)/(T629-R629)*100</f>
        <v>6.0810810810810816</v>
      </c>
      <c r="Z629" s="152">
        <f>IF(Y629&lt;LeagueRatings!$K$10,((LeagueRatings!$K$10-Y629)/LeagueRatings!$K$10)*36,(LeagueRatings!$K$10-Y629)*6.48)</f>
        <v>10.74272444693888</v>
      </c>
      <c r="AA629" s="153">
        <v>-0.74</v>
      </c>
      <c r="AB629" s="153">
        <f>(P629/(T629-R629))*100</f>
        <v>2.7027027027027026</v>
      </c>
      <c r="AC629" s="152">
        <f>IF(AB629&lt;LeagueRatings!$K$8,((LeagueRatings!$K$8-AB629)/LeagueRatings!$K$8)*36,(LeagueRatings!$K$8-AB629)/LeagueRatings!$K$11)</f>
        <v>5.6156524622782307</v>
      </c>
      <c r="AD629" s="153">
        <v>0.24</v>
      </c>
      <c r="AE629" s="103">
        <f>+((LeagueRatings!$I$6-E626)*5)+9.5</f>
        <v>-1.9419485447225977</v>
      </c>
      <c r="AF629" s="103">
        <f>IF(AE629&lt;4,4,AE629)</f>
        <v>4</v>
      </c>
      <c r="AG629" s="103">
        <f>IF(M629&lt;L629,((1-(M629/L629))*7)-0.07,(1-(M629/L629))*5)</f>
        <v>-1.057109893279492</v>
      </c>
      <c r="AH629" s="154">
        <f>+AA629+AD629+AF629+AG629</f>
        <v>2.4428901067205082</v>
      </c>
      <c r="AJ629" s="5"/>
      <c r="AK629" s="5"/>
      <c r="AL629" s="5"/>
      <c r="AM629" s="262">
        <f>+AR512*LeagueRatings!$K$27</f>
        <v>19.444444444444446</v>
      </c>
      <c r="AN629" s="72">
        <f>F626*LeagueRatings!$K$27</f>
        <v>4.4444444444444446</v>
      </c>
      <c r="AO629" s="72">
        <f>G626*LeagueRatings!$K$27</f>
        <v>3.3333333333333335</v>
      </c>
      <c r="AP629" s="72">
        <f>T629*LeagueRatings!$K$27</f>
        <v>82.777777777777786</v>
      </c>
      <c r="AQ629" s="30"/>
    </row>
    <row r="630" spans="1:43" x14ac:dyDescent="0.2">
      <c r="A630" s="41" t="s">
        <v>539</v>
      </c>
      <c r="B630" s="76" t="s">
        <v>164</v>
      </c>
      <c r="L630" s="157">
        <f>(L628/100)/((L628+L629)/100)</f>
        <v>0.69318584070796463</v>
      </c>
      <c r="T630" s="158"/>
      <c r="U630" s="158"/>
      <c r="V630" s="282"/>
      <c r="W630" s="158"/>
      <c r="X630" s="158"/>
      <c r="Y630" s="153"/>
      <c r="Z630" s="152">
        <f>Z628*L630</f>
        <v>7.4844689078744748</v>
      </c>
      <c r="AA630" s="153"/>
      <c r="AB630" s="153"/>
      <c r="AC630" s="152">
        <f>AC628*L630</f>
        <v>5.3959619887236068</v>
      </c>
      <c r="AD630" s="153"/>
      <c r="AE630" s="103"/>
      <c r="AF630" s="103"/>
      <c r="AG630" s="103"/>
      <c r="AH630" s="154">
        <f>AH628*L630</f>
        <v>1.0978362831858406</v>
      </c>
      <c r="AJ630" s="5"/>
      <c r="AK630" s="5"/>
      <c r="AL630" s="5"/>
      <c r="AN630" s="72">
        <f>F627*LeagueRatings!$K$27</f>
        <v>0</v>
      </c>
      <c r="AO630" s="72">
        <f>G627*LeagueRatings!$K$27</f>
        <v>0</v>
      </c>
      <c r="AP630" s="72">
        <f>T630*LeagueRatings!$K$27</f>
        <v>0</v>
      </c>
      <c r="AQ630" s="30"/>
    </row>
    <row r="631" spans="1:43" x14ac:dyDescent="0.2">
      <c r="C631" s="76">
        <v>0</v>
      </c>
      <c r="D631" s="76">
        <v>1</v>
      </c>
      <c r="E631" s="97">
        <v>8.1</v>
      </c>
      <c r="F631" s="76">
        <v>12</v>
      </c>
      <c r="G631" s="76">
        <v>0</v>
      </c>
      <c r="H631" s="76">
        <v>0</v>
      </c>
      <c r="I631" s="76">
        <v>0</v>
      </c>
      <c r="J631" s="76">
        <v>0</v>
      </c>
      <c r="K631" s="76">
        <v>2</v>
      </c>
      <c r="L631" s="157">
        <f>(L629/100)/((L628+L629)/100)</f>
        <v>0.30681415929203543</v>
      </c>
      <c r="T631" s="158"/>
      <c r="U631" s="158"/>
      <c r="V631" s="282"/>
      <c r="W631" s="158"/>
      <c r="X631" s="158"/>
      <c r="Y631" s="153"/>
      <c r="Z631" s="152">
        <f>Z629*L631</f>
        <v>3.2960199696935484</v>
      </c>
      <c r="AA631" s="153"/>
      <c r="AB631" s="153"/>
      <c r="AC631" s="152">
        <f>AC629*L631</f>
        <v>1.722961689090144</v>
      </c>
      <c r="AD631" s="153"/>
      <c r="AE631" s="103"/>
      <c r="AF631" s="103"/>
      <c r="AG631" s="103"/>
      <c r="AH631" s="154">
        <f>AH629*L631</f>
        <v>0.74951327433628345</v>
      </c>
      <c r="AJ631" s="5"/>
      <c r="AK631" s="5"/>
      <c r="AL631" s="5"/>
      <c r="AN631" s="72">
        <f>F628*LeagueRatings!$K$27</f>
        <v>0</v>
      </c>
      <c r="AO631" s="72">
        <f>G628*LeagueRatings!$K$27</f>
        <v>0</v>
      </c>
      <c r="AP631" s="72">
        <f>T631*LeagueRatings!$K$27</f>
        <v>0</v>
      </c>
      <c r="AQ631" s="30"/>
    </row>
    <row r="632" spans="1:43" x14ac:dyDescent="0.2">
      <c r="C632" s="76">
        <v>4</v>
      </c>
      <c r="D632" s="76">
        <v>0</v>
      </c>
      <c r="E632" s="97">
        <v>3.03</v>
      </c>
      <c r="F632" s="76">
        <v>34</v>
      </c>
      <c r="G632" s="76">
        <v>0</v>
      </c>
      <c r="H632" s="76">
        <v>0</v>
      </c>
      <c r="I632" s="76">
        <v>0</v>
      </c>
      <c r="J632" s="76">
        <v>1</v>
      </c>
      <c r="K632" s="76">
        <v>4</v>
      </c>
      <c r="T632" s="158"/>
      <c r="U632" s="158"/>
      <c r="V632" s="282"/>
      <c r="W632" s="158"/>
      <c r="X632" s="158"/>
      <c r="Y632" s="153"/>
      <c r="Z632" s="152">
        <f>SUM(Z630:Z631)</f>
        <v>10.780488877568024</v>
      </c>
      <c r="AA632" s="153"/>
      <c r="AB632" s="153"/>
      <c r="AC632" s="152">
        <f>SUM(AC630:AC631)</f>
        <v>7.1189236778137506</v>
      </c>
      <c r="AD632" s="153"/>
      <c r="AE632" s="103"/>
      <c r="AF632" s="103"/>
      <c r="AG632" s="103"/>
      <c r="AH632" s="153">
        <f>SUM(AH630:AH631)</f>
        <v>1.8473495575221239</v>
      </c>
      <c r="AI632" s="41" t="s">
        <v>394</v>
      </c>
      <c r="AJ632" s="5" t="s">
        <v>50</v>
      </c>
      <c r="AK632" s="5" t="s">
        <v>62</v>
      </c>
      <c r="AL632" s="5" t="s">
        <v>15</v>
      </c>
      <c r="AM632" s="262">
        <f>SUM(AM628:AM631)</f>
        <v>63.333333333333343</v>
      </c>
      <c r="AN632" s="14">
        <f>SUM(AN628:AN631)</f>
        <v>15.555555555555555</v>
      </c>
      <c r="AO632" s="14">
        <f>SUM(AO628:AO631)</f>
        <v>10</v>
      </c>
      <c r="AP632" s="14">
        <f>SUM(AP628:AP631)</f>
        <v>278.33333333333337</v>
      </c>
      <c r="AQ632" s="30"/>
    </row>
    <row r="633" spans="1:43" x14ac:dyDescent="0.2">
      <c r="AN633" s="72">
        <f>F630*LeagueRatings!$K$27</f>
        <v>0</v>
      </c>
      <c r="AO633" s="72">
        <f>G630*LeagueRatings!$K$27</f>
        <v>0</v>
      </c>
      <c r="AP633" s="72">
        <f>T633*LeagueRatings!$K$27</f>
        <v>0</v>
      </c>
      <c r="AQ633" s="30"/>
    </row>
    <row r="634" spans="1:43" x14ac:dyDescent="0.2">
      <c r="L634" s="97">
        <v>13.33</v>
      </c>
      <c r="M634" s="76">
        <v>12</v>
      </c>
      <c r="N634" s="76">
        <v>12</v>
      </c>
      <c r="O634" s="76">
        <v>12</v>
      </c>
      <c r="P634" s="76">
        <v>2</v>
      </c>
      <c r="Q634" s="76">
        <v>11</v>
      </c>
      <c r="R634" s="76">
        <v>0</v>
      </c>
      <c r="S634" s="76">
        <v>13</v>
      </c>
      <c r="T634" s="76">
        <v>64</v>
      </c>
      <c r="U634" s="76"/>
      <c r="V634" s="100"/>
      <c r="W634" s="76"/>
      <c r="Y634" s="151">
        <f>+(Q634-R634)/(T634-R634)*100</f>
        <v>17.1875</v>
      </c>
      <c r="Z634" s="152">
        <f>IF(Y634&lt;LeagueRatings!$K$21,((LeagueRatings!$K$21-Y634)/LeagueRatings!$K$21)*36,(LeagueRatings!$K$21-Y634)*6.48)</f>
        <v>-53.359459020668972</v>
      </c>
      <c r="AA634" s="153">
        <v>5.44</v>
      </c>
      <c r="AB634" s="153">
        <f>(P634/(T634-R634))*100</f>
        <v>3.125</v>
      </c>
      <c r="AC634" s="152">
        <f>IF(AB634&lt;LeagueRatings!$K$19,((LeagueRatings!$K$19-AB634)/LeagueRatings!$K$19)*36,(LeagueRatings!$K$19-AB634)/LeagueRatings!$K$22)</f>
        <v>-1.7533536585365843</v>
      </c>
      <c r="AD634" s="153">
        <v>0.61</v>
      </c>
      <c r="AE634" s="103">
        <f>+((LeagueRatings!$I$17-E631)*5)+9.5</f>
        <v>-10.185612756293636</v>
      </c>
      <c r="AF634" s="103">
        <f>IF(AE634&lt;4,4,AE634)</f>
        <v>4</v>
      </c>
      <c r="AG634" s="103">
        <f>IF(M634&lt;L634,((1-(M634/L634))*7)-0.07,(1-(M634/L634))*5)</f>
        <v>0.62842460615153795</v>
      </c>
      <c r="AH634" s="154">
        <f>+AA634+AD634+AF634+AG634</f>
        <v>10.678424606151539</v>
      </c>
      <c r="AM634" s="262">
        <f>+AR517*LeagueRatings!$K$27</f>
        <v>7.7777777777777786</v>
      </c>
      <c r="AN634" s="72">
        <f>F631*LeagueRatings!$K$27</f>
        <v>6.666666666666667</v>
      </c>
      <c r="AO634" s="72">
        <f>G631*LeagueRatings!$K$27</f>
        <v>0</v>
      </c>
      <c r="AP634" s="72">
        <f>T634*LeagueRatings!$K$27</f>
        <v>35.555555555555557</v>
      </c>
      <c r="AQ634" s="30"/>
    </row>
    <row r="635" spans="1:43" x14ac:dyDescent="0.2">
      <c r="A635" t="s">
        <v>568</v>
      </c>
      <c r="B635" s="76" t="s">
        <v>164</v>
      </c>
      <c r="L635" s="97">
        <v>32.67</v>
      </c>
      <c r="M635" s="76">
        <v>25</v>
      </c>
      <c r="N635" s="76">
        <v>13</v>
      </c>
      <c r="O635" s="76">
        <v>11</v>
      </c>
      <c r="P635" s="76">
        <v>4</v>
      </c>
      <c r="Q635" s="76">
        <v>16</v>
      </c>
      <c r="R635" s="76">
        <v>1</v>
      </c>
      <c r="S635" s="76">
        <v>37</v>
      </c>
      <c r="T635" s="76">
        <v>139</v>
      </c>
      <c r="U635" s="76"/>
      <c r="V635" s="100"/>
      <c r="W635" s="76"/>
      <c r="X635" s="147"/>
      <c r="Y635" s="151">
        <f>+(Q635-R635)/(T635-R635)*100</f>
        <v>10.869565217391305</v>
      </c>
      <c r="Z635" s="152">
        <f>IF(Y635&lt;LeagueRatings!$K$10,((LeagueRatings!$K$10-Y635)/LeagueRatings!$K$10)*36,(LeagueRatings!$K$10-Y635)*6.48)</f>
        <v>-14.269002114501994</v>
      </c>
      <c r="AA635" s="153">
        <v>1.93</v>
      </c>
      <c r="AB635" s="153">
        <f>(P635/(T635-R635))*100</f>
        <v>2.8985507246376812</v>
      </c>
      <c r="AC635" s="152">
        <f>IF(AB635&lt;LeagueRatings!$K$8,((LeagueRatings!$K$8-AB635)/LeagueRatings!$K$8)*36,(LeagueRatings!$K$8-AB635)/LeagueRatings!$K$11)</f>
        <v>3.4138881479505661</v>
      </c>
      <c r="AD635" s="153">
        <v>0.33</v>
      </c>
      <c r="AE635" s="103">
        <f>+((LeagueRatings!$I$6-E632)*5)+9.5</f>
        <v>15.358051455277405</v>
      </c>
      <c r="AF635" s="103">
        <f>IF(AE635&lt;4,4,AE635)</f>
        <v>15.358051455277405</v>
      </c>
      <c r="AG635" s="103">
        <f>IF(M635&lt;L635,((1-(M635/L635))*7)-0.07,(1-(M635/L635))*5)</f>
        <v>1.5734037343128251</v>
      </c>
      <c r="AH635" s="154">
        <f>+AA635+AD635+AF635+AG635</f>
        <v>19.191455189590229</v>
      </c>
      <c r="AI635" s="170"/>
      <c r="AJ635" s="5"/>
      <c r="AK635" s="5"/>
      <c r="AL635" s="5"/>
      <c r="AM635" s="262">
        <f>+AR518*LeagueRatings!$K$27</f>
        <v>18.333333333333336</v>
      </c>
      <c r="AN635" s="72">
        <f>F632*LeagueRatings!$K$27</f>
        <v>18.888888888888889</v>
      </c>
      <c r="AO635" s="72">
        <f>G632*LeagueRatings!$K$27</f>
        <v>0</v>
      </c>
      <c r="AP635" s="72">
        <f>T635*LeagueRatings!$K$27</f>
        <v>77.222222222222229</v>
      </c>
      <c r="AQ635" s="30"/>
    </row>
    <row r="636" spans="1:43" x14ac:dyDescent="0.2">
      <c r="A636" t="s">
        <v>568</v>
      </c>
      <c r="B636" s="76" t="s">
        <v>155</v>
      </c>
      <c r="L636" s="157">
        <f>(L634/100)/((L634+L635)/100)</f>
        <v>0.28978260869565214</v>
      </c>
      <c r="T636" s="158"/>
      <c r="U636" s="158"/>
      <c r="V636" s="282"/>
      <c r="W636" s="158"/>
      <c r="X636" s="158"/>
      <c r="Y636" s="153"/>
      <c r="Z636" s="152">
        <f>Z634*L636</f>
        <v>-15.462643233598202</v>
      </c>
      <c r="AA636" s="153"/>
      <c r="AB636" s="153"/>
      <c r="AC636" s="152">
        <f>AC634*L636</f>
        <v>-0.50809139713679707</v>
      </c>
      <c r="AD636" s="153"/>
      <c r="AE636" s="103"/>
      <c r="AF636" s="103"/>
      <c r="AG636" s="103"/>
      <c r="AH636" s="154">
        <f>AH634*L636</f>
        <v>3.0944217391304347</v>
      </c>
      <c r="AJ636" s="5"/>
      <c r="AK636" s="5"/>
      <c r="AL636" s="5"/>
      <c r="AN636" s="72">
        <f>F633*LeagueRatings!$K$27</f>
        <v>0</v>
      </c>
      <c r="AO636" s="72">
        <f>G633*LeagueRatings!$K$27</f>
        <v>0</v>
      </c>
      <c r="AP636" s="72">
        <f>T636*LeagueRatings!$K$27</f>
        <v>0</v>
      </c>
      <c r="AQ636" s="30"/>
    </row>
    <row r="637" spans="1:43" x14ac:dyDescent="0.2">
      <c r="A637" s="41" t="s">
        <v>568</v>
      </c>
      <c r="B637" s="76" t="s">
        <v>168</v>
      </c>
      <c r="C637" s="76">
        <v>1</v>
      </c>
      <c r="D637" s="76">
        <v>4</v>
      </c>
      <c r="E637" s="97">
        <v>6.04</v>
      </c>
      <c r="F637" s="76">
        <v>26</v>
      </c>
      <c r="G637" s="76">
        <v>0</v>
      </c>
      <c r="H637" s="76">
        <v>0</v>
      </c>
      <c r="I637" s="76">
        <v>0</v>
      </c>
      <c r="J637" s="76">
        <v>0</v>
      </c>
      <c r="K637" s="76">
        <v>3</v>
      </c>
      <c r="L637" s="157">
        <f>(L635/100)/((L634+L635)/100)</f>
        <v>0.7102173913043478</v>
      </c>
      <c r="T637" s="158"/>
      <c r="U637" s="158"/>
      <c r="V637" s="282"/>
      <c r="W637" s="158"/>
      <c r="X637" s="158"/>
      <c r="Y637" s="153"/>
      <c r="Z637" s="152">
        <f>Z635*L637</f>
        <v>-10.134093458277828</v>
      </c>
      <c r="AA637" s="153"/>
      <c r="AB637" s="153"/>
      <c r="AC637" s="152">
        <f>AC635*L637</f>
        <v>2.4246027346422823</v>
      </c>
      <c r="AD637" s="153"/>
      <c r="AE637" s="103"/>
      <c r="AF637" s="103"/>
      <c r="AG637" s="103"/>
      <c r="AH637" s="154">
        <f>AH635*L637</f>
        <v>13.63010524008506</v>
      </c>
      <c r="AJ637" s="5"/>
      <c r="AK637" s="5"/>
      <c r="AL637" s="5"/>
      <c r="AN637" s="72">
        <f>F634*LeagueRatings!$K$27</f>
        <v>0</v>
      </c>
      <c r="AO637" s="72">
        <f>G634*LeagueRatings!$K$27</f>
        <v>0</v>
      </c>
      <c r="AP637" s="72">
        <f>T637*LeagueRatings!$K$27</f>
        <v>0</v>
      </c>
      <c r="AQ637" s="30"/>
    </row>
    <row r="638" spans="1:43" x14ac:dyDescent="0.2">
      <c r="C638" s="76">
        <v>1</v>
      </c>
      <c r="D638" s="76">
        <v>1</v>
      </c>
      <c r="E638" s="97">
        <v>9.9</v>
      </c>
      <c r="F638" s="76">
        <v>2</v>
      </c>
      <c r="G638" s="76">
        <v>2</v>
      </c>
      <c r="H638" s="76">
        <v>0</v>
      </c>
      <c r="I638" s="76">
        <v>0</v>
      </c>
      <c r="J638" s="76">
        <v>0</v>
      </c>
      <c r="K638" s="76">
        <v>0</v>
      </c>
      <c r="T638" s="158"/>
      <c r="U638" s="158"/>
      <c r="V638" s="282"/>
      <c r="W638" s="158"/>
      <c r="X638" s="158"/>
      <c r="Y638" s="153"/>
      <c r="Z638" s="152">
        <f>SUM(Z636:Z637)</f>
        <v>-25.596736691876032</v>
      </c>
      <c r="AA638" s="153"/>
      <c r="AB638" s="153"/>
      <c r="AC638" s="152">
        <f>SUM(AC636:AC637)</f>
        <v>1.9165113375054852</v>
      </c>
      <c r="AD638" s="153"/>
      <c r="AE638" s="103"/>
      <c r="AF638" s="103"/>
      <c r="AG638" s="103"/>
      <c r="AH638" s="153">
        <f>SUM(AH636:AH637)</f>
        <v>16.724526979215494</v>
      </c>
      <c r="AI638" s="41" t="s">
        <v>539</v>
      </c>
      <c r="AJ638" s="5" t="s">
        <v>14</v>
      </c>
      <c r="AK638" s="5" t="s">
        <v>64</v>
      </c>
      <c r="AL638" s="5" t="s">
        <v>25</v>
      </c>
      <c r="AM638" s="262">
        <f>SUM(AM634:AM637)</f>
        <v>26.111111111111114</v>
      </c>
      <c r="AN638" s="14">
        <f>SUM(AN634:AN637)</f>
        <v>25.555555555555557</v>
      </c>
      <c r="AO638" s="14">
        <f>SUM(AO634:AO637)</f>
        <v>0</v>
      </c>
      <c r="AP638" s="14">
        <f>SUM(AP634:AP637)</f>
        <v>112.77777777777779</v>
      </c>
      <c r="AQ638" s="30"/>
    </row>
    <row r="639" spans="1:43" x14ac:dyDescent="0.2">
      <c r="C639" s="76">
        <v>4</v>
      </c>
      <c r="D639" s="76">
        <v>2</v>
      </c>
      <c r="E639" s="97">
        <v>2.83</v>
      </c>
      <c r="F639" s="76">
        <v>9</v>
      </c>
      <c r="G639" s="76">
        <v>9</v>
      </c>
      <c r="H639" s="76">
        <v>0</v>
      </c>
      <c r="I639" s="76">
        <v>0</v>
      </c>
      <c r="J639" s="76">
        <v>0</v>
      </c>
      <c r="K639" s="76">
        <v>0</v>
      </c>
      <c r="AN639" s="72">
        <f>F636*LeagueRatings!$K$27</f>
        <v>0</v>
      </c>
      <c r="AO639" s="72">
        <f>G636*LeagueRatings!$K$27</f>
        <v>0</v>
      </c>
      <c r="AP639" s="72">
        <f>T639*LeagueRatings!$K$27</f>
        <v>0</v>
      </c>
      <c r="AQ639" s="30"/>
    </row>
    <row r="640" spans="1:43" x14ac:dyDescent="0.2">
      <c r="L640" s="97">
        <v>47.67</v>
      </c>
      <c r="M640" s="76">
        <v>59</v>
      </c>
      <c r="N640" s="76">
        <v>33</v>
      </c>
      <c r="O640" s="76">
        <v>32</v>
      </c>
      <c r="P640" s="76">
        <v>7</v>
      </c>
      <c r="Q640" s="76">
        <v>16</v>
      </c>
      <c r="R640" s="76">
        <v>1</v>
      </c>
      <c r="S640" s="76">
        <v>38</v>
      </c>
      <c r="T640" s="76">
        <v>219</v>
      </c>
      <c r="U640" s="76"/>
      <c r="V640" s="100"/>
      <c r="W640" s="76"/>
      <c r="Y640" s="151">
        <f>+(Q640-R640)/(T640-R640)*100</f>
        <v>6.8807339449541285</v>
      </c>
      <c r="Z640" s="152">
        <f>IF(Y640&lt;LeagueRatings!$K$21,((LeagueRatings!$K$21-Y640)/LeagueRatings!$K$21)*36,(LeagueRatings!$K$21-Y640)*6.48)</f>
        <v>8.3326269550644181</v>
      </c>
      <c r="AA640" s="153">
        <v>-0.4</v>
      </c>
      <c r="AB640" s="153">
        <f>(P640/(T640-R640))*100</f>
        <v>3.2110091743119269</v>
      </c>
      <c r="AC640" s="152">
        <f>IF(AB640&lt;LeagueRatings!$K$19,((LeagueRatings!$K$19-AB640)/LeagueRatings!$K$19)*36,(LeagueRatings!$K$19-AB640)/LeagueRatings!$K$22)</f>
        <v>-2.4483061087491622</v>
      </c>
      <c r="AD640" s="153">
        <v>0.71</v>
      </c>
      <c r="AE640" s="103">
        <f>+((LeagueRatings!$I$17-E637)*5)+9.5</f>
        <v>0.11438724370636244</v>
      </c>
      <c r="AF640" s="103">
        <f>IF(AE640&lt;4,4,AE640)</f>
        <v>4</v>
      </c>
      <c r="AG640" s="103">
        <f>IF(M640&lt;L640,((1-(M640/L640))*7)-0.07,(1-(M640/L640))*5)</f>
        <v>-1.1883784350744697</v>
      </c>
      <c r="AH640" s="154">
        <f>+AA640+AD640+AF640+AG640</f>
        <v>3.1216215649255297</v>
      </c>
      <c r="AM640" s="262">
        <f>+AR523*LeagueRatings!$K$27</f>
        <v>26.666666666666668</v>
      </c>
      <c r="AN640" s="72">
        <f>F637*LeagueRatings!$K$27</f>
        <v>14.444444444444445</v>
      </c>
      <c r="AO640" s="72">
        <f>G637*LeagueRatings!$K$27</f>
        <v>0</v>
      </c>
      <c r="AP640" s="72">
        <f>T640*LeagueRatings!$K$27</f>
        <v>121.66666666666667</v>
      </c>
      <c r="AQ640" s="30"/>
    </row>
    <row r="641" spans="1:43" x14ac:dyDescent="0.2">
      <c r="A641" s="193"/>
      <c r="B641" s="193"/>
      <c r="L641" s="97">
        <v>10</v>
      </c>
      <c r="M641" s="76">
        <v>18</v>
      </c>
      <c r="N641" s="76">
        <v>11</v>
      </c>
      <c r="O641" s="76">
        <v>11</v>
      </c>
      <c r="P641" s="76">
        <v>0</v>
      </c>
      <c r="Q641" s="76">
        <v>3</v>
      </c>
      <c r="R641" s="76">
        <v>0</v>
      </c>
      <c r="S641" s="76">
        <v>6</v>
      </c>
      <c r="T641" s="76">
        <v>48</v>
      </c>
      <c r="U641" s="76"/>
      <c r="V641" s="100"/>
      <c r="W641" s="76"/>
      <c r="Y641" s="151">
        <f>+(Q641-R641)/(T641-R641)*100</f>
        <v>6.25</v>
      </c>
      <c r="Z641" s="152">
        <f>IF(Y641&lt;LeagueRatings!$K$21,((LeagueRatings!$K$21-Y641)/LeagueRatings!$K$21)*36,(LeagueRatings!$K$21-Y641)*6.48)</f>
        <v>10.868802817516846</v>
      </c>
      <c r="AA641" s="153">
        <v>-0.65</v>
      </c>
      <c r="AB641" s="153">
        <f>(P641/(T641-R641))*100</f>
        <v>0</v>
      </c>
      <c r="AC641" s="152">
        <f>IF(AB641&lt;LeagueRatings!$K$19,((LeagueRatings!$K$19-AB641)/LeagueRatings!$K$19)*36,(LeagueRatings!$K$19-AB641)/LeagueRatings!$K$22)</f>
        <v>36</v>
      </c>
      <c r="AD641" s="153">
        <v>-3.26</v>
      </c>
      <c r="AE641" s="103">
        <f>+((LeagueRatings!$I$17-E638)*5)+9.5</f>
        <v>-19.18561275629364</v>
      </c>
      <c r="AF641" s="103">
        <f>IF(AE641&lt;4,4,AE641)</f>
        <v>4</v>
      </c>
      <c r="AG641" s="103">
        <f>IF(M641&lt;L641,((1-(M641/L641))*7)-0.07,(1-(M641/L641))*5)</f>
        <v>-4</v>
      </c>
      <c r="AH641" s="154">
        <f>+AA641+AD641+AF641+AG641</f>
        <v>-3.9099999999999997</v>
      </c>
      <c r="AM641" s="262">
        <f>+AR524*LeagueRatings!$K$27</f>
        <v>5.5555555555555554</v>
      </c>
      <c r="AN641" s="72">
        <f>F638*LeagueRatings!$K$27</f>
        <v>1.1111111111111112</v>
      </c>
      <c r="AO641" s="72">
        <f>G638*LeagueRatings!$K$27</f>
        <v>1.1111111111111112</v>
      </c>
      <c r="AP641" s="72">
        <f>T641*LeagueRatings!$K$27</f>
        <v>26.666666666666668</v>
      </c>
      <c r="AQ641" s="30"/>
    </row>
    <row r="642" spans="1:43" x14ac:dyDescent="0.2">
      <c r="A642" s="187"/>
      <c r="B642" s="187"/>
      <c r="L642" s="97">
        <v>57.33</v>
      </c>
      <c r="M642" s="76">
        <v>48</v>
      </c>
      <c r="N642" s="76">
        <v>20</v>
      </c>
      <c r="O642" s="76">
        <v>18</v>
      </c>
      <c r="P642" s="76">
        <v>5</v>
      </c>
      <c r="Q642" s="76">
        <v>17</v>
      </c>
      <c r="R642" s="76">
        <v>1</v>
      </c>
      <c r="S642" s="76">
        <v>38</v>
      </c>
      <c r="T642" s="76">
        <v>230</v>
      </c>
      <c r="U642" s="76"/>
      <c r="V642" s="100"/>
      <c r="W642" s="76"/>
      <c r="X642" s="138"/>
      <c r="Y642" s="151">
        <f>+(Q642-R642)/(T642-R642)*100</f>
        <v>6.9868995633187767</v>
      </c>
      <c r="Z642" s="152">
        <f>IF(Y642&lt;LeagueRatings!$K$21,((LeagueRatings!$K$21-Y642)/LeagueRatings!$K$21)*36,(LeagueRatings!$K$21-Y642)*6.48)</f>
        <v>7.9057359008048609</v>
      </c>
      <c r="AA642" s="153">
        <v>-0.4</v>
      </c>
      <c r="AB642" s="153">
        <f>(P642/(T642-R642))*100</f>
        <v>2.1834061135371177</v>
      </c>
      <c r="AC642" s="152">
        <f>IF(AB642&lt;LeagueRatings!$K$19,((LeagueRatings!$K$19-AB642)/LeagueRatings!$K$19)*36,(LeagueRatings!$K$19-AB642)/LeagueRatings!$K$22)</f>
        <v>8.9702155991148924</v>
      </c>
      <c r="AD642" s="153">
        <v>-7.0000000000000007E-2</v>
      </c>
      <c r="AE642" s="103">
        <f>+((LeagueRatings!$I$17-E639)*5)+9.5</f>
        <v>16.164387243706361</v>
      </c>
      <c r="AF642" s="103">
        <f>IF(AE642&lt;4,4,AE642)</f>
        <v>16.164387243706361</v>
      </c>
      <c r="AG642" s="103">
        <f>IF(M642&lt;L642,((1-(M642/L642))*7)-0.07,(1-(M642/L642))*5)</f>
        <v>1.0691941391941391</v>
      </c>
      <c r="AH642" s="154">
        <f>+AA642+AD642+AF642+AG642</f>
        <v>16.763581382900501</v>
      </c>
      <c r="AM642" s="262">
        <f>+AR525*LeagueRatings!$K$27</f>
        <v>32.222222222222221</v>
      </c>
      <c r="AN642" s="72">
        <f>F639*LeagueRatings!$K$27</f>
        <v>5</v>
      </c>
      <c r="AO642" s="72">
        <f>G639*LeagueRatings!$K$27</f>
        <v>5</v>
      </c>
      <c r="AP642" s="72">
        <f>T642*LeagueRatings!$K$27</f>
        <v>127.77777777777779</v>
      </c>
      <c r="AQ642" s="30"/>
    </row>
    <row r="643" spans="1:43" x14ac:dyDescent="0.2">
      <c r="A643" s="155" t="s">
        <v>666</v>
      </c>
      <c r="B643" s="156" t="s">
        <v>161</v>
      </c>
      <c r="C643" s="193"/>
      <c r="D643" s="193"/>
      <c r="E643" s="194"/>
      <c r="F643" s="193"/>
      <c r="G643" s="193"/>
      <c r="H643" s="193"/>
      <c r="I643" s="193"/>
      <c r="J643" s="193"/>
      <c r="K643" s="193"/>
      <c r="L643" s="157">
        <f>(L640/100)/((L640+L641+L642)/100)</f>
        <v>0.41452173913043483</v>
      </c>
      <c r="T643" s="158"/>
      <c r="U643" s="158"/>
      <c r="V643" s="282"/>
      <c r="W643" s="158"/>
      <c r="X643" s="158"/>
      <c r="Y643" s="153"/>
      <c r="Z643" s="152">
        <f>Z640*L643</f>
        <v>3.4540550169384421</v>
      </c>
      <c r="AA643" s="153"/>
      <c r="AB643" s="153"/>
      <c r="AC643" s="152">
        <f>AC640*L643</f>
        <v>-1.0148761061223703</v>
      </c>
      <c r="AD643" s="153"/>
      <c r="AE643" s="103"/>
      <c r="AF643" s="103"/>
      <c r="AG643" s="103"/>
      <c r="AH643" s="152">
        <f>AH640*L643</f>
        <v>1.2939800000000001</v>
      </c>
      <c r="AN643" s="72">
        <f>F640*LeagueRatings!$K$27</f>
        <v>0</v>
      </c>
      <c r="AO643" s="72">
        <f>G640*LeagueRatings!$K$27</f>
        <v>0</v>
      </c>
      <c r="AP643" s="72">
        <f>T643*LeagueRatings!$K$27</f>
        <v>0</v>
      </c>
      <c r="AQ643" s="30"/>
    </row>
    <row r="644" spans="1:43" x14ac:dyDescent="0.2">
      <c r="A644" s="196" t="s">
        <v>666</v>
      </c>
      <c r="B644" s="197" t="s">
        <v>665</v>
      </c>
      <c r="C644" s="187"/>
      <c r="D644" s="187"/>
      <c r="E644" s="192"/>
      <c r="F644" s="187"/>
      <c r="G644" s="187"/>
      <c r="H644" s="187"/>
      <c r="I644" s="187"/>
      <c r="J644" s="187"/>
      <c r="K644" s="187"/>
      <c r="L644" s="157">
        <f>(L641/100)/((L640+L641+L642)/100)</f>
        <v>8.6956521739130446E-2</v>
      </c>
      <c r="T644" s="158"/>
      <c r="U644" s="158"/>
      <c r="V644" s="282"/>
      <c r="W644" s="158"/>
      <c r="X644" s="158"/>
      <c r="Y644" s="153"/>
      <c r="Z644" s="152">
        <f>Z641*L644</f>
        <v>0.94511328847972587</v>
      </c>
      <c r="AA644" s="153"/>
      <c r="AB644" s="153"/>
      <c r="AC644" s="152">
        <f>AC641*L644</f>
        <v>3.1304347826086962</v>
      </c>
      <c r="AD644" s="153"/>
      <c r="AE644" s="103"/>
      <c r="AF644" s="103"/>
      <c r="AG644" s="103"/>
      <c r="AH644" s="152">
        <f>AH641*L644</f>
        <v>-0.34</v>
      </c>
      <c r="AN644" s="72">
        <f>F641*LeagueRatings!$K$27</f>
        <v>0</v>
      </c>
      <c r="AO644" s="72">
        <f>G641*LeagueRatings!$K$27</f>
        <v>0</v>
      </c>
      <c r="AP644" s="72">
        <f>T644*LeagueRatings!$K$27</f>
        <v>0</v>
      </c>
      <c r="AQ644" s="30"/>
    </row>
    <row r="645" spans="1:43" x14ac:dyDescent="0.2">
      <c r="L645" s="157">
        <f>(L642/100)/((L640+L641+L642)/100)</f>
        <v>0.49852173913043485</v>
      </c>
      <c r="T645" s="158"/>
      <c r="U645" s="158"/>
      <c r="V645" s="282"/>
      <c r="W645" s="158"/>
      <c r="X645" s="158"/>
      <c r="Y645" s="153"/>
      <c r="Z645" s="152">
        <f>Z642*L645</f>
        <v>3.941181210375154</v>
      </c>
      <c r="AA645" s="153"/>
      <c r="AB645" s="153"/>
      <c r="AC645" s="152">
        <f>AC642*L645</f>
        <v>4.471847480845712</v>
      </c>
      <c r="AD645" s="153"/>
      <c r="AE645" s="103"/>
      <c r="AF645" s="103"/>
      <c r="AG645" s="103"/>
      <c r="AH645" s="152">
        <f>AH642*L645</f>
        <v>8.3570097450581375</v>
      </c>
      <c r="AN645" s="72">
        <f>F642*LeagueRatings!$K$27</f>
        <v>0</v>
      </c>
      <c r="AO645" s="72">
        <f>G642*LeagueRatings!$K$27</f>
        <v>0</v>
      </c>
      <c r="AP645" s="72">
        <f>T645*LeagueRatings!$K$27</f>
        <v>0</v>
      </c>
      <c r="AQ645" s="30"/>
    </row>
    <row r="646" spans="1:43" x14ac:dyDescent="0.2">
      <c r="L646" s="194"/>
      <c r="M646" s="193"/>
      <c r="N646" s="193"/>
      <c r="O646" s="193"/>
      <c r="P646" s="193"/>
      <c r="Q646" s="193"/>
      <c r="R646" s="193"/>
      <c r="S646" s="193"/>
      <c r="T646" s="193"/>
      <c r="U646" s="193"/>
      <c r="V646" s="284"/>
      <c r="W646" s="193"/>
      <c r="X646" s="193"/>
      <c r="Y646" s="193"/>
      <c r="Z646" s="195">
        <f>SUM(Z643:Z645)</f>
        <v>8.3403495157933207</v>
      </c>
      <c r="AA646" s="193"/>
      <c r="AB646" s="193"/>
      <c r="AC646" s="195">
        <f>SUM(AC643:AC645)</f>
        <v>6.5874061573320377</v>
      </c>
      <c r="AD646" s="193"/>
      <c r="AE646" s="193"/>
      <c r="AF646" s="193"/>
      <c r="AG646" s="193"/>
      <c r="AH646" s="164">
        <f>SUM(AH643:AH645)</f>
        <v>9.3109897450581371</v>
      </c>
      <c r="AI646" s="41" t="s">
        <v>568</v>
      </c>
      <c r="AJ646" s="9" t="s">
        <v>55</v>
      </c>
      <c r="AK646" s="9" t="s">
        <v>47</v>
      </c>
      <c r="AL646" s="9" t="s">
        <v>45</v>
      </c>
      <c r="AM646" s="206">
        <f>SUM(AM640:AM645)</f>
        <v>64.444444444444443</v>
      </c>
      <c r="AN646" s="72">
        <f>SUM(AN640:AN645)</f>
        <v>20.555555555555557</v>
      </c>
      <c r="AO646" s="72">
        <f>SUM(AO640:AO645)</f>
        <v>6.1111111111111107</v>
      </c>
      <c r="AP646" s="72">
        <f>SUM(AP640:AP645)</f>
        <v>276.11111111111114</v>
      </c>
      <c r="AQ646" s="122"/>
    </row>
    <row r="647" spans="1:43" x14ac:dyDescent="0.2">
      <c r="L647" s="192"/>
      <c r="M647" s="187"/>
      <c r="N647" s="187"/>
      <c r="O647" s="187"/>
      <c r="P647" s="187"/>
      <c r="Q647" s="187"/>
      <c r="R647" s="187"/>
      <c r="S647" s="187"/>
      <c r="T647" s="187"/>
      <c r="U647" s="187"/>
      <c r="V647" s="285"/>
      <c r="W647" s="187"/>
      <c r="X647" s="187"/>
      <c r="Y647" s="187"/>
      <c r="Z647" s="187"/>
      <c r="AA647" s="187"/>
      <c r="AB647" s="187"/>
      <c r="AC647" s="187"/>
      <c r="AD647" s="187"/>
      <c r="AE647" s="187"/>
      <c r="AF647" s="187"/>
      <c r="AG647" s="187"/>
      <c r="AH647" s="187"/>
      <c r="AI647" s="188"/>
      <c r="AJ647" s="187"/>
      <c r="AK647" s="187"/>
      <c r="AL647" s="187"/>
      <c r="AM647" s="263"/>
      <c r="AN647" s="190"/>
      <c r="AO647" s="190"/>
      <c r="AP647" s="190"/>
      <c r="AQ647" s="191"/>
    </row>
    <row r="648" spans="1:43" x14ac:dyDescent="0.2">
      <c r="A648" s="166" t="s">
        <v>471</v>
      </c>
      <c r="B648" s="138" t="s">
        <v>172</v>
      </c>
      <c r="AJ648" s="5"/>
      <c r="AK648" s="5"/>
      <c r="AL648" s="5"/>
      <c r="AN648" s="72">
        <f>F652*LeagueRatings!$K$27</f>
        <v>0</v>
      </c>
      <c r="AO648" s="72">
        <f>G652*LeagueRatings!$K$27</f>
        <v>0</v>
      </c>
      <c r="AP648" s="72">
        <f>T655*LeagueRatings!$K$27</f>
        <v>0</v>
      </c>
      <c r="AQ648" s="30"/>
    </row>
    <row r="649" spans="1:43" x14ac:dyDescent="0.2">
      <c r="A649" s="58" t="s">
        <v>471</v>
      </c>
      <c r="B649" s="138" t="s">
        <v>148</v>
      </c>
      <c r="AJ649" s="5"/>
      <c r="AK649" s="5"/>
      <c r="AL649" s="5"/>
      <c r="AN649" s="72">
        <f>F653*LeagueRatings!$K$27</f>
        <v>0</v>
      </c>
      <c r="AO649" s="72">
        <f>G653*LeagueRatings!$K$27</f>
        <v>0</v>
      </c>
      <c r="AP649" s="72">
        <f>T656*LeagueRatings!$K$27</f>
        <v>0</v>
      </c>
      <c r="AQ649" s="30"/>
    </row>
    <row r="650" spans="1:43" x14ac:dyDescent="0.2">
      <c r="C650" s="138">
        <v>0</v>
      </c>
      <c r="D650" s="138">
        <v>0</v>
      </c>
      <c r="E650" s="159">
        <v>7.84</v>
      </c>
      <c r="F650" s="138">
        <v>11</v>
      </c>
      <c r="G650" s="138">
        <v>0</v>
      </c>
      <c r="H650" s="138">
        <v>0</v>
      </c>
      <c r="I650" s="138">
        <v>0</v>
      </c>
      <c r="J650" s="138">
        <v>0</v>
      </c>
      <c r="K650" s="160">
        <v>0</v>
      </c>
      <c r="AI650" s="170" t="s">
        <v>471</v>
      </c>
      <c r="AJ650" s="5" t="s">
        <v>53</v>
      </c>
      <c r="AK650" s="5" t="s">
        <v>23</v>
      </c>
      <c r="AL650" s="5" t="s">
        <v>36</v>
      </c>
      <c r="AM650" s="262">
        <f>ROUNDUP((AM646+AM647),0)</f>
        <v>65</v>
      </c>
      <c r="AN650" s="14">
        <f>SUM(AN646:AN649)</f>
        <v>20.555555555555557</v>
      </c>
      <c r="AO650" s="14">
        <f>SUM(AO646:AO649)</f>
        <v>6.1111111111111107</v>
      </c>
      <c r="AP650" s="14">
        <f>SUM(AP646:AP649)</f>
        <v>276.11111111111114</v>
      </c>
      <c r="AQ650" s="30"/>
    </row>
    <row r="651" spans="1:43" x14ac:dyDescent="0.2">
      <c r="C651" s="138">
        <v>0</v>
      </c>
      <c r="D651" s="138">
        <v>0</v>
      </c>
      <c r="E651" s="159">
        <v>0.89</v>
      </c>
      <c r="F651" s="138">
        <v>27</v>
      </c>
      <c r="G651" s="138">
        <v>0</v>
      </c>
      <c r="H651" s="146">
        <v>0</v>
      </c>
      <c r="I651" s="138">
        <v>0</v>
      </c>
      <c r="J651" s="138">
        <v>0</v>
      </c>
      <c r="K651" s="160">
        <v>0</v>
      </c>
      <c r="AN651" s="72">
        <f>F655*LeagueRatings!$K$27</f>
        <v>0</v>
      </c>
      <c r="AO651" s="72">
        <f>G655*LeagueRatings!$K$27</f>
        <v>0</v>
      </c>
      <c r="AP651" s="72">
        <f>T658*LeagueRatings!$K$27</f>
        <v>0</v>
      </c>
      <c r="AQ651" s="30"/>
    </row>
    <row r="652" spans="1:43" x14ac:dyDescent="0.2">
      <c r="AM652" s="262">
        <f>+AR529*LeagueRatings!$K$27</f>
        <v>0</v>
      </c>
      <c r="AN652" s="72">
        <f>F656*LeagueRatings!$K$27</f>
        <v>16.111111111111111</v>
      </c>
      <c r="AO652" s="72">
        <f>G656*LeagueRatings!$K$27</f>
        <v>0</v>
      </c>
      <c r="AP652" s="72">
        <f>T659*LeagueRatings!$K$27</f>
        <v>61.666666666666671</v>
      </c>
      <c r="AQ652" s="30"/>
    </row>
    <row r="653" spans="1:43" x14ac:dyDescent="0.2">
      <c r="L653" s="159">
        <v>10.33</v>
      </c>
      <c r="M653" s="138">
        <v>16</v>
      </c>
      <c r="N653" s="138">
        <v>9</v>
      </c>
      <c r="O653" s="138">
        <v>9</v>
      </c>
      <c r="P653" s="138">
        <v>1</v>
      </c>
      <c r="Q653" s="138">
        <v>4</v>
      </c>
      <c r="R653" s="138">
        <v>1</v>
      </c>
      <c r="S653" s="138">
        <v>9</v>
      </c>
      <c r="T653" s="161">
        <v>50</v>
      </c>
      <c r="U653" s="161"/>
      <c r="V653" s="286"/>
      <c r="W653" s="161"/>
      <c r="Y653" s="151">
        <f>+(Q653-R653)/(T653-R653)*100</f>
        <v>6.1224489795918364</v>
      </c>
      <c r="Z653" s="152">
        <f>IF(Y653&lt;LeagueRatings!$K$21,((LeagueRatings!$K$21-Y653)/LeagueRatings!$K$21)*36,(LeagueRatings!$K$21-Y653)*6.48)</f>
        <v>11.381684392669566</v>
      </c>
      <c r="AA653" s="153">
        <v>-0.74</v>
      </c>
      <c r="AB653" s="153">
        <f>(P653/(T653-R653))*100</f>
        <v>2.0408163265306123</v>
      </c>
      <c r="AC653" s="152">
        <f>IF(AB653&lt;LeagueRatings!$K$19,((LeagueRatings!$K$19-AB653)/LeagueRatings!$K$19)*36,(LeagueRatings!$K$19-AB653)/LeagueRatings!$K$22)</f>
        <v>10.735426008968611</v>
      </c>
      <c r="AD653" s="153">
        <v>-0.35</v>
      </c>
      <c r="AE653" s="103">
        <f>+((LeagueRatings!$I$17-E650)*5)+9.5</f>
        <v>-8.8856127562936358</v>
      </c>
      <c r="AF653" s="103">
        <f>IF(AE653&lt;4,4,AE653)</f>
        <v>4</v>
      </c>
      <c r="AG653" s="103">
        <f>IF(M653&lt;L653,((1-(M653/L653))*7)-0.07,(1-(M653/L653))*5)</f>
        <v>-2.7444336882865441</v>
      </c>
      <c r="AH653" s="154">
        <f>+AA653+AD653+AF653+AG653</f>
        <v>0.16556631171345604</v>
      </c>
      <c r="AI653" s="170"/>
      <c r="AJ653" s="7" t="s">
        <v>21</v>
      </c>
      <c r="AK653" s="7" t="s">
        <v>30</v>
      </c>
      <c r="AL653" s="7" t="s">
        <v>29</v>
      </c>
      <c r="AM653" s="262">
        <f>+AR530*LeagueRatings!$K$27</f>
        <v>0</v>
      </c>
      <c r="AN653" s="72">
        <f>F657*LeagueRatings!$K$27</f>
        <v>20.555555555555557</v>
      </c>
      <c r="AO653" s="72">
        <f>G657*LeagueRatings!$K$27</f>
        <v>0</v>
      </c>
      <c r="AP653" s="72">
        <f>T660*LeagueRatings!$K$27</f>
        <v>79.444444444444443</v>
      </c>
      <c r="AQ653" s="30"/>
    </row>
    <row r="654" spans="1:43" x14ac:dyDescent="0.2">
      <c r="A654" s="146" t="s">
        <v>342</v>
      </c>
      <c r="B654" s="147" t="s">
        <v>145</v>
      </c>
      <c r="L654" s="159">
        <v>20.329999999999998</v>
      </c>
      <c r="M654" s="138">
        <v>11</v>
      </c>
      <c r="N654" s="138">
        <v>4</v>
      </c>
      <c r="O654" s="138">
        <v>2</v>
      </c>
      <c r="P654" s="138">
        <v>1</v>
      </c>
      <c r="Q654" s="138">
        <v>6</v>
      </c>
      <c r="R654" s="138">
        <v>2</v>
      </c>
      <c r="S654" s="138">
        <v>20</v>
      </c>
      <c r="T654" s="138">
        <v>79</v>
      </c>
      <c r="U654" s="138"/>
      <c r="V654" s="287"/>
      <c r="W654" s="138"/>
      <c r="X654" s="138"/>
      <c r="Y654" s="151">
        <f>+(Q654-R654)/(T654-R654)*100</f>
        <v>5.1948051948051948</v>
      </c>
      <c r="Z654" s="152">
        <f>IF(Y654&lt;LeagueRatings!$K$10,((LeagueRatings!$K$10-Y654)/LeagueRatings!$K$10)*36,(LeagueRatings!$K$10-Y654)*6.48)</f>
        <v>14.423799238943459</v>
      </c>
      <c r="AA654" s="153">
        <v>-1.19</v>
      </c>
      <c r="AB654" s="153">
        <f>(P654/(T654-R654))*100</f>
        <v>1.2987012987012987</v>
      </c>
      <c r="AC654" s="152">
        <f>IF(AB654&lt;LeagueRatings!$K$8,((LeagueRatings!$K$8-AB654)/LeagueRatings!$K$8)*36,(LeagueRatings!$K$8-AB654)/LeagueRatings!$K$11)</f>
        <v>21.399729105250579</v>
      </c>
      <c r="AD654" s="153">
        <v>-1.5</v>
      </c>
      <c r="AE654" s="103">
        <f>+((LeagueRatings!$I$6-E651)*5)+9.5</f>
        <v>26.058051455277404</v>
      </c>
      <c r="AF654" s="103">
        <f>IF(AE654&lt;4,4,AE654)</f>
        <v>26.058051455277404</v>
      </c>
      <c r="AG654" s="103">
        <f>IF(M654&lt;L654,((1-(M654/L654))*7)-0.07,(1-(M654/L654))*5)</f>
        <v>3.1424938514510572</v>
      </c>
      <c r="AH654" s="154">
        <f>+AA654+AD654+AF654+AG654</f>
        <v>26.51054530672846</v>
      </c>
      <c r="AJ654" s="5"/>
      <c r="AK654" s="5"/>
      <c r="AL654" s="5"/>
      <c r="AN654" s="72">
        <f>F658*LeagueRatings!$K$27</f>
        <v>0</v>
      </c>
      <c r="AO654" s="72">
        <f>G658*LeagueRatings!$K$27</f>
        <v>0</v>
      </c>
      <c r="AP654" s="72">
        <f>T661*LeagueRatings!$K$27</f>
        <v>0</v>
      </c>
      <c r="AQ654" s="30"/>
    </row>
    <row r="655" spans="1:43" x14ac:dyDescent="0.2">
      <c r="A655" s="58" t="s">
        <v>342</v>
      </c>
      <c r="B655" s="147" t="s">
        <v>161</v>
      </c>
      <c r="L655" s="157">
        <f>(L653/100)/((L653+L654)/100)</f>
        <v>0.33692106979778214</v>
      </c>
      <c r="T655" s="158"/>
      <c r="U655" s="158"/>
      <c r="V655" s="282"/>
      <c r="W655" s="158"/>
      <c r="X655" s="158"/>
      <c r="Y655" s="153"/>
      <c r="Z655" s="152">
        <f>Z653*L655</f>
        <v>3.8347292816789507</v>
      </c>
      <c r="AA655" s="153"/>
      <c r="AB655" s="153"/>
      <c r="AC655" s="152">
        <f>AC653*L655</f>
        <v>3.6169912156766393</v>
      </c>
      <c r="AD655" s="153"/>
      <c r="AE655" s="103"/>
      <c r="AF655" s="103"/>
      <c r="AG655" s="103"/>
      <c r="AH655" s="154">
        <f>AH653*L655</f>
        <v>5.5782778864970677E-2</v>
      </c>
      <c r="AJ655" s="5"/>
      <c r="AK655" s="5"/>
      <c r="AL655" s="5"/>
      <c r="AN655" s="72">
        <f>F659*LeagueRatings!$K$27</f>
        <v>0</v>
      </c>
      <c r="AO655" s="72">
        <f>G659*LeagueRatings!$K$27</f>
        <v>0</v>
      </c>
      <c r="AP655" s="72">
        <f>T662*LeagueRatings!$K$27</f>
        <v>0</v>
      </c>
      <c r="AQ655" s="30"/>
    </row>
    <row r="656" spans="1:43" x14ac:dyDescent="0.2">
      <c r="C656" s="147">
        <v>0</v>
      </c>
      <c r="D656" s="147">
        <v>3</v>
      </c>
      <c r="E656" s="148">
        <v>7.25</v>
      </c>
      <c r="F656" s="147">
        <v>29</v>
      </c>
      <c r="G656" s="147">
        <v>0</v>
      </c>
      <c r="H656" s="147">
        <v>0</v>
      </c>
      <c r="I656" s="147">
        <v>0</v>
      </c>
      <c r="J656" s="147">
        <v>0</v>
      </c>
      <c r="K656" s="149">
        <v>3</v>
      </c>
      <c r="L656" s="157">
        <f>(L654/100)/((L653+L654)/100)</f>
        <v>0.66307893020221786</v>
      </c>
      <c r="T656" s="158"/>
      <c r="U656" s="158"/>
      <c r="V656" s="282"/>
      <c r="W656" s="158"/>
      <c r="X656" s="158"/>
      <c r="Y656" s="153"/>
      <c r="Z656" s="152">
        <f>Z654*L656</f>
        <v>9.5641173688101926</v>
      </c>
      <c r="AA656" s="153"/>
      <c r="AB656" s="153"/>
      <c r="AC656" s="152">
        <f>AC654*L656</f>
        <v>14.189709481726819</v>
      </c>
      <c r="AD656" s="153"/>
      <c r="AE656" s="103"/>
      <c r="AF656" s="103"/>
      <c r="AG656" s="103"/>
      <c r="AH656" s="154">
        <f>AH654*L656</f>
        <v>17.578584021062934</v>
      </c>
      <c r="AI656" s="170" t="s">
        <v>342</v>
      </c>
      <c r="AJ656" s="5" t="s">
        <v>59</v>
      </c>
      <c r="AK656" s="5" t="s">
        <v>35</v>
      </c>
      <c r="AL656" s="5" t="s">
        <v>48</v>
      </c>
      <c r="AM656" s="262">
        <f>SUM(AM652:AM655)</f>
        <v>0</v>
      </c>
      <c r="AN656" s="14">
        <f>SUM(AN652:AN655)</f>
        <v>36.666666666666671</v>
      </c>
      <c r="AO656" s="14">
        <f>SUM(AO652:AO655)</f>
        <v>0</v>
      </c>
      <c r="AP656" s="14">
        <f>SUM(AP652:AP655)</f>
        <v>141.11111111111111</v>
      </c>
      <c r="AQ656" s="30"/>
    </row>
    <row r="657" spans="1:43" x14ac:dyDescent="0.2">
      <c r="C657" s="147">
        <v>2</v>
      </c>
      <c r="D657" s="147">
        <v>2</v>
      </c>
      <c r="E657" s="148">
        <v>2.83</v>
      </c>
      <c r="F657" s="147">
        <v>37</v>
      </c>
      <c r="G657" s="147">
        <v>0</v>
      </c>
      <c r="H657" s="147">
        <v>0</v>
      </c>
      <c r="I657" s="147">
        <v>0</v>
      </c>
      <c r="J657" s="147">
        <v>1</v>
      </c>
      <c r="K657" s="147">
        <v>1</v>
      </c>
      <c r="T657" s="158"/>
      <c r="U657" s="158"/>
      <c r="V657" s="282"/>
      <c r="W657" s="158"/>
      <c r="X657" s="158"/>
      <c r="Y657" s="153"/>
      <c r="Z657" s="152">
        <f>SUM(Z655:Z656)</f>
        <v>13.398846650489144</v>
      </c>
      <c r="AA657" s="153"/>
      <c r="AB657" s="153"/>
      <c r="AC657" s="152">
        <f>SUM(AC655:AC656)</f>
        <v>17.806700697403457</v>
      </c>
      <c r="AD657" s="153"/>
      <c r="AE657" s="103"/>
      <c r="AF657" s="103"/>
      <c r="AG657" s="103"/>
      <c r="AH657" s="153">
        <f>SUM(AH655:AH656)</f>
        <v>17.634366799927903</v>
      </c>
      <c r="AN657" s="72">
        <f>F661*LeagueRatings!$K$27</f>
        <v>0</v>
      </c>
      <c r="AO657" s="72">
        <f>G661*LeagueRatings!$K$27</f>
        <v>0</v>
      </c>
      <c r="AP657" s="72">
        <f>T664*LeagueRatings!$K$27</f>
        <v>0</v>
      </c>
      <c r="AQ657" s="30"/>
    </row>
    <row r="658" spans="1:43" x14ac:dyDescent="0.2">
      <c r="AM658" s="262">
        <f>+AR535*LeagueRatings!$K$27</f>
        <v>0</v>
      </c>
      <c r="AN658" s="72">
        <f>F662*LeagueRatings!$K$27</f>
        <v>27.777777777777779</v>
      </c>
      <c r="AO658" s="72">
        <f>G662*LeagueRatings!$K$27</f>
        <v>0</v>
      </c>
      <c r="AP658" s="72">
        <f>T665*LeagueRatings!$K$27</f>
        <v>67.222222222222229</v>
      </c>
      <c r="AQ658" s="30"/>
    </row>
    <row r="659" spans="1:43" x14ac:dyDescent="0.2">
      <c r="L659" s="148">
        <v>22.33</v>
      </c>
      <c r="M659" s="147">
        <v>23</v>
      </c>
      <c r="N659" s="147">
        <v>19</v>
      </c>
      <c r="O659" s="147">
        <v>18</v>
      </c>
      <c r="P659" s="147">
        <v>4</v>
      </c>
      <c r="Q659" s="147">
        <v>15</v>
      </c>
      <c r="R659" s="147">
        <v>2</v>
      </c>
      <c r="S659" s="147">
        <v>24</v>
      </c>
      <c r="T659" s="147">
        <v>111</v>
      </c>
      <c r="U659" s="147"/>
      <c r="V659" s="288"/>
      <c r="W659" s="147"/>
      <c r="Y659" s="151">
        <f>+(Q659-R659)/(T659-R659)*100</f>
        <v>11.926605504587156</v>
      </c>
      <c r="Z659" s="152">
        <f>IF(Y659&lt;LeagueRatings!$K$10,((LeagueRatings!$K$10-Y659)/LeagueRatings!$K$10)*36,(LeagueRatings!$K$10-Y659)*6.48)</f>
        <v>-21.118623175531113</v>
      </c>
      <c r="AA659" s="153">
        <v>2.5499999999999998</v>
      </c>
      <c r="AB659" s="153">
        <f>(P659/(T659-R659))*100</f>
        <v>3.669724770642202</v>
      </c>
      <c r="AC659" s="152">
        <f>IF(AB659&lt;LeagueRatings!$K$8,((LeagueRatings!$K$8-AB659)/LeagueRatings!$K$8)*36,(LeagueRatings!$K$8-AB659)/LeagueRatings!$K$11)</f>
        <v>-3.712217250533365</v>
      </c>
      <c r="AD659" s="153">
        <v>0.71</v>
      </c>
      <c r="AE659" s="103">
        <f>+((LeagueRatings!$I$6-E656)*5)+9.5</f>
        <v>-5.7419485447225966</v>
      </c>
      <c r="AF659" s="103">
        <f>IF(AE659&lt;4,4,AE659)</f>
        <v>4</v>
      </c>
      <c r="AG659" s="103">
        <f>IF(M659&lt;L659,((1-(M659/L659))*7)-0.07,(1-(M659/L659))*5)</f>
        <v>-0.15002239140170182</v>
      </c>
      <c r="AH659" s="154">
        <f>+AA659+AD659+AF659+AG659</f>
        <v>7.1099776085982977</v>
      </c>
      <c r="AI659" s="170"/>
      <c r="AJ659" s="5" t="s">
        <v>55</v>
      </c>
      <c r="AK659" s="5" t="s">
        <v>61</v>
      </c>
      <c r="AL659" s="5" t="s">
        <v>45</v>
      </c>
      <c r="AM659" s="262">
        <f>+AR536*LeagueRatings!$K$27</f>
        <v>6.1111111111111116</v>
      </c>
      <c r="AN659" s="72">
        <f>F663*LeagueRatings!$K$27</f>
        <v>12.222222222222223</v>
      </c>
      <c r="AO659" s="72">
        <f>G663*LeagueRatings!$K$27</f>
        <v>0</v>
      </c>
      <c r="AP659" s="72">
        <f>T666*LeagueRatings!$K$27</f>
        <v>23.888888888888889</v>
      </c>
      <c r="AQ659" s="30"/>
    </row>
    <row r="660" spans="1:43" x14ac:dyDescent="0.2">
      <c r="A660" s="166" t="s">
        <v>330</v>
      </c>
      <c r="B660" s="138" t="s">
        <v>170</v>
      </c>
      <c r="L660" s="148">
        <v>35</v>
      </c>
      <c r="M660" s="147">
        <v>22</v>
      </c>
      <c r="N660" s="147">
        <v>11</v>
      </c>
      <c r="O660" s="147">
        <v>11</v>
      </c>
      <c r="P660" s="147">
        <v>1</v>
      </c>
      <c r="Q660" s="147">
        <v>11</v>
      </c>
      <c r="R660" s="147">
        <v>0</v>
      </c>
      <c r="S660" s="147">
        <v>42</v>
      </c>
      <c r="T660" s="150">
        <v>143</v>
      </c>
      <c r="U660" s="150"/>
      <c r="V660" s="289"/>
      <c r="W660" s="150"/>
      <c r="X660" s="138"/>
      <c r="Y660" s="162">
        <f>+(Q660-R660)/(T660-R660)*100</f>
        <v>7.6923076923076925</v>
      </c>
      <c r="Z660" s="163">
        <f>IF(Y660&lt;LeagueRatings!$K$21,((LeagueRatings!$K$21-Y660)/LeagueRatings!$K$21)*36,(LeagueRatings!$K$21-Y660)*6.48)</f>
        <v>5.0692957754053483</v>
      </c>
      <c r="AA660" s="164">
        <v>-0.24</v>
      </c>
      <c r="AB660" s="164">
        <f>(P660/(T660-R660))*100</f>
        <v>0.69930069930069927</v>
      </c>
      <c r="AC660" s="163">
        <f>IF(AB660&lt;LeagueRatings!$K$19,((LeagueRatings!$K$19-AB660)/LeagueRatings!$K$19)*36,(LeagueRatings!$K$19-AB660)/LeagueRatings!$K$22)</f>
        <v>27.342908212863374</v>
      </c>
      <c r="AD660" s="164">
        <v>-2.08</v>
      </c>
      <c r="AE660" s="71">
        <f>+((LeagueRatings!$I$17-E657)*5)+9.5</f>
        <v>16.164387243706361</v>
      </c>
      <c r="AF660" s="71">
        <f>IF(AE660&lt;4,4,AE660)</f>
        <v>16.164387243706361</v>
      </c>
      <c r="AG660" s="103">
        <f>IF(M660&lt;L660,((1-(M660/L660))*7)-0.07,(1-(M660/L660))*5)</f>
        <v>2.5300000000000002</v>
      </c>
      <c r="AH660" s="165">
        <f>+AA660+AD660+AF660+AG660</f>
        <v>16.374387243706362</v>
      </c>
      <c r="AJ660" s="5"/>
      <c r="AK660" s="5"/>
      <c r="AL660" s="5"/>
      <c r="AN660" s="72">
        <f>F664*LeagueRatings!$K$27</f>
        <v>0</v>
      </c>
      <c r="AO660" s="72">
        <f>G664*LeagueRatings!$K$27</f>
        <v>0</v>
      </c>
      <c r="AP660" s="72">
        <f>T667*LeagueRatings!$K$27</f>
        <v>0</v>
      </c>
      <c r="AQ660" s="30"/>
    </row>
    <row r="661" spans="1:43" x14ac:dyDescent="0.2">
      <c r="A661" s="58" t="s">
        <v>330</v>
      </c>
      <c r="B661" s="147" t="s">
        <v>159</v>
      </c>
      <c r="L661" s="157">
        <f>(L659/100)/((L659+L660)/100)</f>
        <v>0.38949938949938945</v>
      </c>
      <c r="T661" s="158"/>
      <c r="U661" s="158"/>
      <c r="V661" s="282"/>
      <c r="W661" s="158"/>
      <c r="X661" s="158"/>
      <c r="Y661" s="153"/>
      <c r="Z661" s="152">
        <f>Z659*L661</f>
        <v>-8.2256908339370263</v>
      </c>
      <c r="AA661" s="153"/>
      <c r="AB661" s="153"/>
      <c r="AC661" s="152">
        <f>AC659*L661</f>
        <v>-1.4459063527718476</v>
      </c>
      <c r="AD661" s="153"/>
      <c r="AE661" s="103"/>
      <c r="AF661" s="103"/>
      <c r="AG661" s="103"/>
      <c r="AH661" s="154">
        <f>AH659*L661</f>
        <v>2.7693319379033658</v>
      </c>
      <c r="AJ661" s="5"/>
      <c r="AK661" s="5"/>
      <c r="AL661" s="5"/>
      <c r="AN661" s="72">
        <f>F665*LeagueRatings!$K$27</f>
        <v>0</v>
      </c>
      <c r="AO661" s="72">
        <f>G665*LeagueRatings!$K$27</f>
        <v>0</v>
      </c>
      <c r="AP661" s="72">
        <f>T668*LeagueRatings!$K$27</f>
        <v>0</v>
      </c>
      <c r="AQ661" s="30"/>
    </row>
    <row r="662" spans="1:43" x14ac:dyDescent="0.2">
      <c r="C662" s="138">
        <v>3</v>
      </c>
      <c r="D662" s="138">
        <v>1</v>
      </c>
      <c r="E662" s="159">
        <v>2.1</v>
      </c>
      <c r="F662" s="138">
        <v>50</v>
      </c>
      <c r="G662" s="138">
        <v>0</v>
      </c>
      <c r="H662" s="138">
        <v>0</v>
      </c>
      <c r="I662" s="138">
        <v>0</v>
      </c>
      <c r="J662" s="138">
        <v>0</v>
      </c>
      <c r="K662" s="160">
        <v>2</v>
      </c>
      <c r="L662" s="157">
        <f>(L660/100)/((L659+L660)/100)</f>
        <v>0.61050061050061044</v>
      </c>
      <c r="T662" s="158"/>
      <c r="U662" s="158"/>
      <c r="V662" s="282"/>
      <c r="W662" s="158"/>
      <c r="X662" s="158"/>
      <c r="Y662" s="153"/>
      <c r="Z662" s="152">
        <f>Z660*L662</f>
        <v>3.0948081656931303</v>
      </c>
      <c r="AA662" s="153"/>
      <c r="AB662" s="153"/>
      <c r="AC662" s="152">
        <f>AC660*L662</f>
        <v>16.692862156815245</v>
      </c>
      <c r="AD662" s="153"/>
      <c r="AE662" s="103"/>
      <c r="AF662" s="103"/>
      <c r="AG662" s="103"/>
      <c r="AH662" s="154">
        <f>AH660*L662</f>
        <v>9.9965734088561415</v>
      </c>
      <c r="AI662" s="170" t="s">
        <v>330</v>
      </c>
      <c r="AJ662" s="5" t="s">
        <v>21</v>
      </c>
      <c r="AK662" s="5" t="s">
        <v>20</v>
      </c>
      <c r="AL662" s="5" t="s">
        <v>15</v>
      </c>
      <c r="AM662" s="262">
        <f>SUM(AM658:AM661)</f>
        <v>6.1111111111111116</v>
      </c>
      <c r="AN662" s="14">
        <f>SUM(AN658:AN661)</f>
        <v>40</v>
      </c>
      <c r="AO662" s="14">
        <f>SUM(AO658:AO661)</f>
        <v>0</v>
      </c>
      <c r="AP662" s="14">
        <f>SUM(AP658:AP661)</f>
        <v>91.111111111111114</v>
      </c>
      <c r="AQ662" s="30"/>
    </row>
    <row r="663" spans="1:43" x14ac:dyDescent="0.2">
      <c r="C663" s="147">
        <v>0</v>
      </c>
      <c r="D663" s="147">
        <v>1</v>
      </c>
      <c r="E663" s="148">
        <v>6.75</v>
      </c>
      <c r="F663" s="147">
        <v>22</v>
      </c>
      <c r="G663" s="147">
        <v>0</v>
      </c>
      <c r="H663" s="147">
        <v>0</v>
      </c>
      <c r="I663" s="147">
        <v>0</v>
      </c>
      <c r="J663" s="147">
        <v>0</v>
      </c>
      <c r="K663" s="147">
        <v>2</v>
      </c>
      <c r="T663" s="158"/>
      <c r="U663" s="158"/>
      <c r="V663" s="282"/>
      <c r="W663" s="158"/>
      <c r="X663" s="158"/>
      <c r="Y663" s="153"/>
      <c r="Z663" s="152">
        <f>SUM(Z661:Z662)</f>
        <v>-5.1308826682438955</v>
      </c>
      <c r="AA663" s="153"/>
      <c r="AB663" s="153"/>
      <c r="AC663" s="152">
        <f>SUM(AC661:AC662)</f>
        <v>15.246955804043397</v>
      </c>
      <c r="AD663" s="153"/>
      <c r="AE663" s="103"/>
      <c r="AF663" s="103"/>
      <c r="AG663" s="103"/>
      <c r="AH663" s="153">
        <f>SUM(AH661:AH662)</f>
        <v>12.765905346759507</v>
      </c>
      <c r="AN663" s="72">
        <f>F667*LeagueRatings!$K$27</f>
        <v>0</v>
      </c>
      <c r="AO663" s="72">
        <f>G667*LeagueRatings!$K$27</f>
        <v>0</v>
      </c>
      <c r="AP663" s="72">
        <f>T670*LeagueRatings!$K$27</f>
        <v>0</v>
      </c>
      <c r="AQ663" s="30"/>
    </row>
    <row r="664" spans="1:43" x14ac:dyDescent="0.2">
      <c r="AM664" s="262">
        <f>+AR541*LeagueRatings!$K$27</f>
        <v>0</v>
      </c>
      <c r="AN664" s="72">
        <f>F668*LeagueRatings!$K$27</f>
        <v>22.222222222222221</v>
      </c>
      <c r="AO664" s="72">
        <f>G668*LeagueRatings!$K$27</f>
        <v>0</v>
      </c>
      <c r="AP664" s="72">
        <f>T671*LeagueRatings!$K$27</f>
        <v>64.444444444444443</v>
      </c>
      <c r="AQ664" s="30"/>
    </row>
    <row r="665" spans="1:43" x14ac:dyDescent="0.2">
      <c r="L665" s="159">
        <v>30</v>
      </c>
      <c r="M665" s="138">
        <v>28</v>
      </c>
      <c r="N665" s="138">
        <v>7</v>
      </c>
      <c r="O665" s="138">
        <v>7</v>
      </c>
      <c r="P665" s="138">
        <v>3</v>
      </c>
      <c r="Q665" s="138">
        <v>4</v>
      </c>
      <c r="R665" s="138">
        <v>0</v>
      </c>
      <c r="S665" s="138">
        <v>29</v>
      </c>
      <c r="T665" s="161">
        <v>121</v>
      </c>
      <c r="U665" s="161"/>
      <c r="V665" s="286"/>
      <c r="W665" s="161"/>
      <c r="Y665" s="151">
        <f>+(Q665-R665)/(T665-R665)*100</f>
        <v>3.3057851239669422</v>
      </c>
      <c r="Z665" s="152">
        <f>IF(Y665&lt;LeagueRatings!$K$21,((LeagueRatings!$K$21-Y665)/LeagueRatings!$K$21)*36,(LeagueRatings!$K$21-Y665)*6.48)</f>
        <v>22.707465953066762</v>
      </c>
      <c r="AA665" s="153">
        <v>-2</v>
      </c>
      <c r="AB665" s="153">
        <f>(P665/(T665-R665))*100</f>
        <v>2.4793388429752068</v>
      </c>
      <c r="AC665" s="152">
        <f>IF(AB665&lt;LeagueRatings!$K$19,((LeagueRatings!$K$19-AB665)/LeagueRatings!$K$19)*36,(LeagueRatings!$K$19-AB665)/LeagueRatings!$K$22)</f>
        <v>5.3066745728792188</v>
      </c>
      <c r="AD665" s="153">
        <v>0.08</v>
      </c>
      <c r="AE665" s="103">
        <f>+((LeagueRatings!$I$17-E662)*5)+9.5</f>
        <v>19.814387243706364</v>
      </c>
      <c r="AF665" s="103">
        <f>IF(AE665&lt;4,4,AE665)</f>
        <v>19.814387243706364</v>
      </c>
      <c r="AG665" s="103">
        <f>IF(M665&lt;L665,((1-(M665/L665))*7)-0.07,(1-(M665/L665))*5)</f>
        <v>0.39666666666666656</v>
      </c>
      <c r="AH665" s="154">
        <f>+AA665+AD665+AF665+AG665</f>
        <v>18.29105391037303</v>
      </c>
      <c r="AI665" s="170"/>
      <c r="AJ665" s="5" t="s">
        <v>24</v>
      </c>
      <c r="AK665" s="5" t="s">
        <v>40</v>
      </c>
      <c r="AL665" s="5" t="s">
        <v>27</v>
      </c>
      <c r="AM665" s="262">
        <f>+AR542*LeagueRatings!$K$27</f>
        <v>12.777777777777779</v>
      </c>
      <c r="AN665" s="72">
        <f>F669*LeagueRatings!$K$27</f>
        <v>11.111111111111111</v>
      </c>
      <c r="AO665" s="72">
        <f>G669*LeagueRatings!$K$27</f>
        <v>0</v>
      </c>
      <c r="AP665" s="72">
        <f>T672*LeagueRatings!$K$27</f>
        <v>39.444444444444443</v>
      </c>
      <c r="AQ665" s="30"/>
    </row>
    <row r="666" spans="1:43" x14ac:dyDescent="0.2">
      <c r="A666" s="146" t="s">
        <v>502</v>
      </c>
      <c r="B666" s="138" t="s">
        <v>147</v>
      </c>
      <c r="L666" s="148">
        <v>9.33</v>
      </c>
      <c r="M666" s="147">
        <v>12</v>
      </c>
      <c r="N666" s="147">
        <v>7</v>
      </c>
      <c r="O666" s="147">
        <v>7</v>
      </c>
      <c r="P666" s="147">
        <v>1</v>
      </c>
      <c r="Q666" s="147">
        <v>6</v>
      </c>
      <c r="R666" s="147">
        <v>0</v>
      </c>
      <c r="S666" s="147">
        <v>7</v>
      </c>
      <c r="T666" s="150">
        <v>43</v>
      </c>
      <c r="U666" s="150"/>
      <c r="V666" s="289"/>
      <c r="W666" s="150"/>
      <c r="X666" s="138"/>
      <c r="Y666" s="151">
        <f>+(Q666-R666)/(T666-R666)*100</f>
        <v>13.953488372093023</v>
      </c>
      <c r="Z666" s="152">
        <f>IF(Y666&lt;LeagueRatings!$K$21,((LeagueRatings!$K$21-Y666)/LeagueRatings!$K$21)*36,(LeagueRatings!$K$21-Y666)*6.48)</f>
        <v>-32.40306367183176</v>
      </c>
      <c r="AA666" s="153">
        <v>5.44</v>
      </c>
      <c r="AB666" s="153">
        <f>(P666/(T666-R666))*100</f>
        <v>2.3255813953488373</v>
      </c>
      <c r="AC666" s="152">
        <f>IF(AB666&lt;LeagueRatings!$K$19,((LeagueRatings!$K$19-AB666)/LeagueRatings!$K$19)*36,(LeagueRatings!$K$19-AB666)/LeagueRatings!$K$22)</f>
        <v>7.2101366148712067</v>
      </c>
      <c r="AD666" s="153">
        <v>0</v>
      </c>
      <c r="AE666" s="103">
        <f>+((LeagueRatings!$I$17-E663)*5)+9.5</f>
        <v>-3.4356127562936365</v>
      </c>
      <c r="AF666" s="103">
        <f>IF(AE666&lt;4,4,AE666)</f>
        <v>4</v>
      </c>
      <c r="AG666" s="103">
        <f>IF(M666&lt;L666,((1-(M666/L666))*7)-0.07,(1-(M666/L666))*5)</f>
        <v>-1.4308681672025725</v>
      </c>
      <c r="AH666" s="154">
        <f>+AA666+AD666+AF666+AG666</f>
        <v>8.0091318327974292</v>
      </c>
      <c r="AJ666" s="5"/>
      <c r="AK666" s="5"/>
      <c r="AL666" s="5"/>
      <c r="AN666" s="72">
        <f>F670*LeagueRatings!$K$27</f>
        <v>0</v>
      </c>
      <c r="AO666" s="72">
        <f>G670*LeagueRatings!$K$27</f>
        <v>0</v>
      </c>
      <c r="AP666" s="72">
        <f>T673*LeagueRatings!$K$27</f>
        <v>0</v>
      </c>
      <c r="AQ666" s="30"/>
    </row>
    <row r="667" spans="1:43" x14ac:dyDescent="0.2">
      <c r="A667" s="58" t="s">
        <v>502</v>
      </c>
      <c r="B667" s="147" t="s">
        <v>146</v>
      </c>
      <c r="L667" s="157">
        <f>(L665/100)/((L665+L666)/100)</f>
        <v>0.76277650648360029</v>
      </c>
      <c r="T667" s="158"/>
      <c r="U667" s="158"/>
      <c r="V667" s="282"/>
      <c r="W667" s="158"/>
      <c r="X667" s="158"/>
      <c r="Y667" s="153"/>
      <c r="Z667" s="152">
        <f>Z665*L667</f>
        <v>17.320721550775563</v>
      </c>
      <c r="AA667" s="153"/>
      <c r="AB667" s="153"/>
      <c r="AC667" s="152">
        <f>AC665*L667</f>
        <v>4.0478066917461621</v>
      </c>
      <c r="AD667" s="153"/>
      <c r="AE667" s="103"/>
      <c r="AF667" s="103"/>
      <c r="AG667" s="103"/>
      <c r="AH667" s="154">
        <f>AH665*L667</f>
        <v>13.951986201657537</v>
      </c>
      <c r="AJ667" s="5"/>
      <c r="AK667" s="5"/>
      <c r="AL667" s="5"/>
      <c r="AN667" s="72">
        <f>F671*LeagueRatings!$K$27</f>
        <v>0</v>
      </c>
      <c r="AO667" s="72">
        <f>G671*LeagueRatings!$K$27</f>
        <v>0</v>
      </c>
      <c r="AP667" s="72">
        <f>T674*LeagueRatings!$K$27</f>
        <v>0</v>
      </c>
      <c r="AQ667" s="30"/>
    </row>
    <row r="668" spans="1:43" x14ac:dyDescent="0.2">
      <c r="C668" s="138">
        <v>0</v>
      </c>
      <c r="D668" s="138">
        <v>3</v>
      </c>
      <c r="E668" s="159">
        <v>3.86</v>
      </c>
      <c r="F668" s="138">
        <v>40</v>
      </c>
      <c r="G668" s="138">
        <v>0</v>
      </c>
      <c r="H668" s="138">
        <v>0</v>
      </c>
      <c r="I668" s="138">
        <v>0</v>
      </c>
      <c r="J668" s="138">
        <v>0</v>
      </c>
      <c r="K668" s="160">
        <v>1</v>
      </c>
      <c r="L668" s="157">
        <f>(L666/100)/((L665+L666)/100)</f>
        <v>0.23722349351639968</v>
      </c>
      <c r="T668" s="158"/>
      <c r="U668" s="158"/>
      <c r="V668" s="282"/>
      <c r="W668" s="158"/>
      <c r="X668" s="158"/>
      <c r="Y668" s="153"/>
      <c r="Z668" s="152">
        <f>Z666*L668</f>
        <v>-7.6867679648662675</v>
      </c>
      <c r="AA668" s="153"/>
      <c r="AB668" s="153"/>
      <c r="AC668" s="152">
        <f>AC666*L668</f>
        <v>1.7104137965102557</v>
      </c>
      <c r="AD668" s="153"/>
      <c r="AE668" s="103"/>
      <c r="AF668" s="103"/>
      <c r="AG668" s="103"/>
      <c r="AH668" s="154">
        <f>AH666*L668</f>
        <v>1.8999542334096113</v>
      </c>
      <c r="AI668" s="170" t="s">
        <v>502</v>
      </c>
      <c r="AJ668" s="5" t="s">
        <v>39</v>
      </c>
      <c r="AK668" s="5" t="s">
        <v>47</v>
      </c>
      <c r="AL668" s="5" t="s">
        <v>62</v>
      </c>
      <c r="AM668" s="262">
        <f>SUM(AM664:AM667)</f>
        <v>12.777777777777779</v>
      </c>
      <c r="AN668" s="14">
        <f>SUM(AN664:AN667)</f>
        <v>33.333333333333329</v>
      </c>
      <c r="AO668" s="14">
        <f>SUM(AO664:AO667)</f>
        <v>0</v>
      </c>
      <c r="AP668" s="14">
        <f>SUM(AP664:AP667)</f>
        <v>103.88888888888889</v>
      </c>
      <c r="AQ668" s="30"/>
    </row>
    <row r="669" spans="1:43" x14ac:dyDescent="0.2">
      <c r="C669" s="147">
        <v>0</v>
      </c>
      <c r="D669" s="147">
        <v>1</v>
      </c>
      <c r="E669" s="148">
        <v>3.52</v>
      </c>
      <c r="F669" s="147">
        <v>20</v>
      </c>
      <c r="G669" s="147">
        <v>0</v>
      </c>
      <c r="H669" s="146">
        <v>0</v>
      </c>
      <c r="I669" s="147">
        <v>0</v>
      </c>
      <c r="J669" s="147">
        <v>0</v>
      </c>
      <c r="K669" s="147">
        <v>0</v>
      </c>
      <c r="T669" s="158"/>
      <c r="U669" s="158"/>
      <c r="V669" s="282"/>
      <c r="W669" s="158"/>
      <c r="X669" s="158"/>
      <c r="Y669" s="153"/>
      <c r="Z669" s="152">
        <f>SUM(Z667:Z668)</f>
        <v>9.6339535859092962</v>
      </c>
      <c r="AA669" s="153"/>
      <c r="AB669" s="153"/>
      <c r="AC669" s="152">
        <f>SUM(AC667:AC668)</f>
        <v>5.7582204882564181</v>
      </c>
      <c r="AD669" s="153"/>
      <c r="AE669" s="103"/>
      <c r="AF669" s="103"/>
      <c r="AG669" s="103"/>
      <c r="AH669" s="153">
        <f>SUM(AH667:AH668)</f>
        <v>15.851940435067148</v>
      </c>
      <c r="AN669" s="72">
        <f>F673*LeagueRatings!$K$27</f>
        <v>0</v>
      </c>
      <c r="AO669" s="72">
        <f>G673*LeagueRatings!$K$27</f>
        <v>0</v>
      </c>
      <c r="AP669" s="72">
        <f>T676*LeagueRatings!$K$27</f>
        <v>0</v>
      </c>
      <c r="AQ669" s="30"/>
    </row>
    <row r="670" spans="1:43" x14ac:dyDescent="0.2">
      <c r="AM670" s="262">
        <f>+AR547*LeagueRatings!$K$27</f>
        <v>0</v>
      </c>
      <c r="AN670" s="72">
        <f>F674*LeagueRatings!$K$27</f>
        <v>23.333333333333336</v>
      </c>
      <c r="AO670" s="72">
        <f>G674*LeagueRatings!$K$27</f>
        <v>0</v>
      </c>
      <c r="AP670" s="72">
        <f>T677*LeagueRatings!$K$27</f>
        <v>93.8888888888889</v>
      </c>
      <c r="AQ670" s="30"/>
    </row>
    <row r="671" spans="1:43" x14ac:dyDescent="0.2">
      <c r="L671" s="159">
        <v>28</v>
      </c>
      <c r="M671" s="138">
        <v>25</v>
      </c>
      <c r="N671" s="138">
        <v>14</v>
      </c>
      <c r="O671" s="138">
        <v>12</v>
      </c>
      <c r="P671" s="138">
        <v>4</v>
      </c>
      <c r="Q671" s="138">
        <v>10</v>
      </c>
      <c r="R671" s="138">
        <v>1</v>
      </c>
      <c r="S671" s="138">
        <v>21</v>
      </c>
      <c r="T671" s="138">
        <v>116</v>
      </c>
      <c r="U671" s="138"/>
      <c r="V671" s="287"/>
      <c r="W671" s="138"/>
      <c r="Y671" s="151">
        <f>+(Q671-R671)/(T671-R671)*100</f>
        <v>7.8260869565217401</v>
      </c>
      <c r="Z671" s="152">
        <f>IF(Y671&lt;LeagueRatings!$K$10,((LeagueRatings!$K$10-Y671)/LeagueRatings!$K$10)*36,(LeagueRatings!$K$10-Y671)*6.48)</f>
        <v>3.4949845056256863</v>
      </c>
      <c r="AA671" s="153">
        <v>-0.24</v>
      </c>
      <c r="AB671" s="153">
        <f>(P671/(T671-R671))*100</f>
        <v>3.4782608695652173</v>
      </c>
      <c r="AC671" s="152">
        <f>IF(AB671&lt;LeagueRatings!$K$8,((LeagueRatings!$K$8-AB671)/LeagueRatings!$K$8)*36,(LeagueRatings!$K$8-AB671)/LeagueRatings!$K$11)</f>
        <v>-2.1919072240480606</v>
      </c>
      <c r="AD671" s="153">
        <v>0.51</v>
      </c>
      <c r="AE671" s="103">
        <f>+((LeagueRatings!$I$6-E668)*5)+9.5</f>
        <v>11.208051455277404</v>
      </c>
      <c r="AF671" s="103">
        <f>IF(AE671&lt;4,4,AE671)</f>
        <v>11.208051455277404</v>
      </c>
      <c r="AG671" s="103">
        <f>IF(M671&lt;L671,((1-(M671/L671))*7)-0.07,(1-(M671/L671))*5)</f>
        <v>0.67999999999999972</v>
      </c>
      <c r="AH671" s="154">
        <f>+AA671+AD671+AF671+AG671</f>
        <v>12.158051455277404</v>
      </c>
      <c r="AI671" s="170"/>
      <c r="AJ671" s="5" t="s">
        <v>21</v>
      </c>
      <c r="AK671" s="5" t="s">
        <v>57</v>
      </c>
      <c r="AL671" s="5" t="s">
        <v>30</v>
      </c>
      <c r="AM671" s="262">
        <f>+AR548*LeagueRatings!$K$27</f>
        <v>16.666666666666668</v>
      </c>
      <c r="AN671" s="72">
        <f>F675*LeagueRatings!$K$27</f>
        <v>13.888888888888889</v>
      </c>
      <c r="AO671" s="72">
        <f>G675*LeagueRatings!$K$27</f>
        <v>0</v>
      </c>
      <c r="AP671" s="72">
        <f>T678*LeagueRatings!$K$27</f>
        <v>47.222222222222221</v>
      </c>
      <c r="AQ671" s="30"/>
    </row>
    <row r="672" spans="1:43" x14ac:dyDescent="0.2">
      <c r="A672" s="146" t="s">
        <v>539</v>
      </c>
      <c r="B672" s="138" t="s">
        <v>164</v>
      </c>
      <c r="L672" s="148">
        <v>15.33</v>
      </c>
      <c r="M672" s="147">
        <v>22</v>
      </c>
      <c r="N672" s="147">
        <v>6</v>
      </c>
      <c r="O672" s="147">
        <v>6</v>
      </c>
      <c r="P672" s="147">
        <v>0</v>
      </c>
      <c r="Q672" s="147">
        <v>5</v>
      </c>
      <c r="R672" s="147">
        <v>0</v>
      </c>
      <c r="S672" s="147">
        <v>9</v>
      </c>
      <c r="T672" s="147">
        <v>71</v>
      </c>
      <c r="U672" s="147"/>
      <c r="V672" s="288"/>
      <c r="W672" s="147"/>
      <c r="X672" s="147"/>
      <c r="Y672" s="151">
        <f>+(Q672-R672)/(T672-R672)*100</f>
        <v>7.042253521126761</v>
      </c>
      <c r="Z672" s="152">
        <f>IF(Y672&lt;LeagueRatings!$K$10,((LeagueRatings!$K$10-Y672)/LeagueRatings!$K$10)*36,(LeagueRatings!$K$10-Y672)*6.48)</f>
        <v>6.750572911947998</v>
      </c>
      <c r="AA672" s="153">
        <v>-0.56000000000000005</v>
      </c>
      <c r="AB672" s="153">
        <f>(P672/(T672-R672))*100</f>
        <v>0</v>
      </c>
      <c r="AC672" s="152">
        <f>IF(AB672&lt;LeagueRatings!$K$8,((LeagueRatings!$K$8-AB672)/LeagueRatings!$K$8)*36,(LeagueRatings!$K$8-AB672)/LeagueRatings!$K$11)</f>
        <v>36</v>
      </c>
      <c r="AD672" s="153">
        <v>-3.26</v>
      </c>
      <c r="AE672" s="103">
        <f>+((LeagueRatings!$I$6-E669)*5)+9.5</f>
        <v>12.908051455277404</v>
      </c>
      <c r="AF672" s="103">
        <f>IF(AE672&lt;4,4,AE672)</f>
        <v>12.908051455277404</v>
      </c>
      <c r="AG672" s="103">
        <f>IF(M672&lt;L672,((1-(M672/L672))*7)-0.07,(1-(M672/L672))*5)</f>
        <v>-2.175472928897586</v>
      </c>
      <c r="AH672" s="154">
        <f>+AA672+AD672+AF672+AG672</f>
        <v>6.9125785263798178</v>
      </c>
      <c r="AJ672" s="5"/>
      <c r="AK672" s="5"/>
      <c r="AL672" s="5"/>
      <c r="AN672" s="72">
        <f>F676*LeagueRatings!$K$27</f>
        <v>0</v>
      </c>
      <c r="AO672" s="72">
        <f>G676*LeagueRatings!$K$27</f>
        <v>0</v>
      </c>
      <c r="AP672" s="72">
        <f>T679*LeagueRatings!$K$27</f>
        <v>0</v>
      </c>
      <c r="AQ672" s="30"/>
    </row>
    <row r="673" spans="1:43" x14ac:dyDescent="0.2">
      <c r="A673" s="58" t="s">
        <v>539</v>
      </c>
      <c r="B673" s="138" t="s">
        <v>149</v>
      </c>
      <c r="L673" s="157">
        <f>(L671/100)/((L671+L672)/100)</f>
        <v>0.64620355411954777</v>
      </c>
      <c r="T673" s="158"/>
      <c r="U673" s="158"/>
      <c r="V673" s="282"/>
      <c r="W673" s="158"/>
      <c r="X673" s="158"/>
      <c r="Y673" s="153"/>
      <c r="Z673" s="152">
        <f>Z671*L673</f>
        <v>2.2584714091280693</v>
      </c>
      <c r="AA673" s="153"/>
      <c r="AB673" s="153"/>
      <c r="AC673" s="152">
        <f>AC671*L673</f>
        <v>-1.4164182384801687</v>
      </c>
      <c r="AD673" s="153"/>
      <c r="AE673" s="103"/>
      <c r="AF673" s="103"/>
      <c r="AG673" s="103"/>
      <c r="AH673" s="154">
        <f>AH671*L673</f>
        <v>7.8565760615685987</v>
      </c>
      <c r="AJ673" s="5"/>
      <c r="AK673" s="5"/>
      <c r="AL673" s="5"/>
      <c r="AN673" s="72">
        <f>F677*LeagueRatings!$K$27</f>
        <v>0</v>
      </c>
      <c r="AO673" s="72">
        <f>G677*LeagueRatings!$K$27</f>
        <v>0</v>
      </c>
      <c r="AP673" s="72">
        <f>T680*LeagueRatings!$K$27</f>
        <v>0</v>
      </c>
      <c r="AQ673" s="30"/>
    </row>
    <row r="674" spans="1:43" x14ac:dyDescent="0.2">
      <c r="C674" s="138">
        <v>0</v>
      </c>
      <c r="D674" s="138">
        <v>4</v>
      </c>
      <c r="E674" s="159">
        <v>2.93</v>
      </c>
      <c r="F674" s="138">
        <v>42</v>
      </c>
      <c r="G674" s="138">
        <v>0</v>
      </c>
      <c r="H674" s="138">
        <v>0</v>
      </c>
      <c r="I674" s="138">
        <v>0</v>
      </c>
      <c r="J674" s="138">
        <v>19</v>
      </c>
      <c r="K674" s="160">
        <v>22</v>
      </c>
      <c r="L674" s="157">
        <f>(L672/100)/((L671+L672)/100)</f>
        <v>0.35379644588045234</v>
      </c>
      <c r="T674" s="158"/>
      <c r="U674" s="158"/>
      <c r="V674" s="282"/>
      <c r="W674" s="158"/>
      <c r="X674" s="158"/>
      <c r="Y674" s="153"/>
      <c r="Z674" s="152">
        <f>Z672*L674</f>
        <v>2.3883287039040573</v>
      </c>
      <c r="AA674" s="153"/>
      <c r="AB674" s="153"/>
      <c r="AC674" s="152">
        <f>AC672*L674</f>
        <v>12.736672051696285</v>
      </c>
      <c r="AD674" s="153"/>
      <c r="AE674" s="103"/>
      <c r="AF674" s="103"/>
      <c r="AG674" s="103"/>
      <c r="AH674" s="154">
        <f>AH672*L674</f>
        <v>2.4456457145027142</v>
      </c>
      <c r="AI674" s="170" t="s">
        <v>539</v>
      </c>
      <c r="AJ674" s="5" t="s">
        <v>31</v>
      </c>
      <c r="AK674" s="5" t="s">
        <v>57</v>
      </c>
      <c r="AL674" s="5" t="s">
        <v>47</v>
      </c>
      <c r="AM674" s="262">
        <f>SUM(AM670:AM673)</f>
        <v>16.666666666666668</v>
      </c>
      <c r="AN674" s="14">
        <f>SUM(AN670:AN673)</f>
        <v>37.222222222222229</v>
      </c>
      <c r="AO674" s="14">
        <f>SUM(AO670:AO673)</f>
        <v>0</v>
      </c>
      <c r="AP674" s="14">
        <f>SUM(AP670:AP673)</f>
        <v>141.11111111111111</v>
      </c>
      <c r="AQ674" s="30"/>
    </row>
    <row r="675" spans="1:43" x14ac:dyDescent="0.2">
      <c r="C675" s="138">
        <v>0</v>
      </c>
      <c r="D675" s="138">
        <v>1</v>
      </c>
      <c r="E675" s="159">
        <v>3.2</v>
      </c>
      <c r="F675" s="138">
        <v>25</v>
      </c>
      <c r="G675" s="138">
        <v>0</v>
      </c>
      <c r="H675" s="146">
        <v>0</v>
      </c>
      <c r="I675" s="138">
        <v>0</v>
      </c>
      <c r="J675" s="138">
        <v>2</v>
      </c>
      <c r="K675" s="160">
        <v>3</v>
      </c>
      <c r="T675" s="158"/>
      <c r="U675" s="158"/>
      <c r="V675" s="282"/>
      <c r="W675" s="158"/>
      <c r="X675" s="158"/>
      <c r="Y675" s="153"/>
      <c r="Z675" s="152">
        <f>SUM(Z673:Z674)</f>
        <v>4.6468001130321266</v>
      </c>
      <c r="AA675" s="153"/>
      <c r="AB675" s="153"/>
      <c r="AC675" s="152">
        <f>SUM(AC673:AC674)</f>
        <v>11.320253813216116</v>
      </c>
      <c r="AD675" s="153"/>
      <c r="AE675" s="103"/>
      <c r="AF675" s="103"/>
      <c r="AG675" s="103"/>
      <c r="AH675" s="153">
        <f>SUM(AH673:AH674)</f>
        <v>10.302221776071313</v>
      </c>
      <c r="AN675" s="72">
        <f>F679*LeagueRatings!$K$27</f>
        <v>0</v>
      </c>
      <c r="AO675" s="72">
        <f>G679*LeagueRatings!$K$27</f>
        <v>0</v>
      </c>
      <c r="AP675" s="72">
        <f>T682*LeagueRatings!$K$27</f>
        <v>0</v>
      </c>
      <c r="AQ675" s="30"/>
    </row>
    <row r="676" spans="1:43" x14ac:dyDescent="0.2">
      <c r="AN676" s="72">
        <f>F680*LeagueRatings!$K$27</f>
        <v>0</v>
      </c>
      <c r="AO676" s="72">
        <f>G680*LeagueRatings!$K$27</f>
        <v>0</v>
      </c>
      <c r="AP676" s="72">
        <f>T683*LeagueRatings!$K$27</f>
        <v>0</v>
      </c>
      <c r="AQ676" s="30"/>
    </row>
    <row r="677" spans="1:43" x14ac:dyDescent="0.2">
      <c r="L677" s="159">
        <v>43</v>
      </c>
      <c r="M677" s="138">
        <v>29</v>
      </c>
      <c r="N677" s="138">
        <v>15</v>
      </c>
      <c r="O677" s="138">
        <v>14</v>
      </c>
      <c r="P677" s="138">
        <v>4</v>
      </c>
      <c r="Q677" s="138">
        <v>14</v>
      </c>
      <c r="R677" s="138">
        <v>0</v>
      </c>
      <c r="S677" s="138">
        <v>44</v>
      </c>
      <c r="T677" s="138">
        <v>169</v>
      </c>
      <c r="U677" s="138"/>
      <c r="V677" s="287"/>
      <c r="W677" s="138"/>
      <c r="Y677" s="151">
        <f>+(Q677-R677)/(T677-R677)*100</f>
        <v>8.2840236686390547</v>
      </c>
      <c r="Z677" s="152">
        <f>IF(Y677&lt;LeagueRatings!$K$10,((LeagueRatings!$K$10-Y677)/LeagueRatings!$K$10)*36,(LeagueRatings!$K$10-Y677)*6.48)</f>
        <v>1.5929816265991796</v>
      </c>
      <c r="AA677" s="153">
        <v>-0.08</v>
      </c>
      <c r="AB677" s="153">
        <f>(P677/(T677-R677))*100</f>
        <v>2.3668639053254439</v>
      </c>
      <c r="AC677" s="152">
        <f>IF(AB677&lt;LeagueRatings!$K$8,((LeagueRatings!$K$8-AB677)/LeagueRatings!$K$8)*36,(LeagueRatings!$K$8-AB677)/LeagueRatings!$K$11)</f>
        <v>9.3912222746578564</v>
      </c>
      <c r="AD677" s="153">
        <v>-0.35</v>
      </c>
      <c r="AE677" s="103">
        <f>+((LeagueRatings!$I$6-E674)*5)+9.5</f>
        <v>15.858051455277403</v>
      </c>
      <c r="AF677" s="103">
        <f>IF(AE677&lt;4,4,AE677)</f>
        <v>15.858051455277403</v>
      </c>
      <c r="AG677" s="103">
        <f>IF(M677&lt;L677,((1-(M677/L677))*7)-0.07,(1-(M677/L677))*5)</f>
        <v>2.2090697674418607</v>
      </c>
      <c r="AH677" s="154">
        <f>+AA677+AD677+AF677+AG677</f>
        <v>17.637121222719266</v>
      </c>
      <c r="AN677" s="72">
        <f>F681*LeagueRatings!$K$27</f>
        <v>0</v>
      </c>
      <c r="AO677" s="72">
        <f>G681*LeagueRatings!$K$27</f>
        <v>0</v>
      </c>
      <c r="AP677" s="72">
        <f>T684*LeagueRatings!$K$27</f>
        <v>0</v>
      </c>
      <c r="AQ677" s="30"/>
    </row>
    <row r="678" spans="1:43" x14ac:dyDescent="0.2">
      <c r="A678" s="155" t="s">
        <v>110</v>
      </c>
      <c r="B678" s="156" t="s">
        <v>146</v>
      </c>
      <c r="L678" s="159">
        <v>19.670000000000002</v>
      </c>
      <c r="M678" s="138">
        <v>16</v>
      </c>
      <c r="N678" s="138">
        <v>8</v>
      </c>
      <c r="O678" s="138">
        <v>7</v>
      </c>
      <c r="P678" s="138">
        <v>2</v>
      </c>
      <c r="Q678" s="138">
        <v>8</v>
      </c>
      <c r="R678" s="138">
        <v>1</v>
      </c>
      <c r="S678" s="138">
        <v>16</v>
      </c>
      <c r="T678" s="138">
        <v>85</v>
      </c>
      <c r="U678" s="138"/>
      <c r="V678" s="287"/>
      <c r="W678" s="138"/>
      <c r="X678" s="138"/>
      <c r="Y678" s="151">
        <f>+(Q678-R678)/(T678-R678)*100</f>
        <v>8.3333333333333321</v>
      </c>
      <c r="Z678" s="152">
        <f>IF(Y678&lt;LeagueRatings!$K$10,((LeagueRatings!$K$10-Y678)/LeagueRatings!$K$10)*36,(LeagueRatings!$K$10-Y678)*6.48)</f>
        <v>1.3881779458051384</v>
      </c>
      <c r="AA678" s="153">
        <v>-0.08</v>
      </c>
      <c r="AB678" s="153">
        <f>(P678/(T678-R678))*100</f>
        <v>2.3809523809523809</v>
      </c>
      <c r="AC678" s="152">
        <f>IF(AB678&lt;LeagueRatings!$K$8,((LeagueRatings!$K$8-AB678)/LeagueRatings!$K$8)*36,(LeagueRatings!$K$8-AB678)/LeagueRatings!$K$11)</f>
        <v>9.2328366929593937</v>
      </c>
      <c r="AD678" s="153">
        <v>-0.28000000000000003</v>
      </c>
      <c r="AE678" s="103">
        <f>+((LeagueRatings!$I$6-E675)*5)+9.5</f>
        <v>14.508051455277403</v>
      </c>
      <c r="AF678" s="103">
        <f>IF(AE678&lt;4,4,AE678)</f>
        <v>14.508051455277403</v>
      </c>
      <c r="AG678" s="103">
        <f>IF(M678&lt;L678,((1-(M678/L678))*7)-0.07,(1-(M678/L678))*5)</f>
        <v>1.236049822064057</v>
      </c>
      <c r="AH678" s="154">
        <f>+AA678+AD678+AF678+AG678</f>
        <v>15.384101277341461</v>
      </c>
      <c r="AN678" s="72">
        <f>F682*LeagueRatings!$K$27</f>
        <v>0</v>
      </c>
      <c r="AO678" s="72">
        <f>G682*LeagueRatings!$K$27</f>
        <v>0</v>
      </c>
      <c r="AP678" s="72">
        <f>T685*LeagueRatings!$K$27</f>
        <v>0</v>
      </c>
      <c r="AQ678" s="30"/>
    </row>
    <row r="679" spans="1:43" x14ac:dyDescent="0.2">
      <c r="A679" s="155" t="s">
        <v>110</v>
      </c>
      <c r="B679" s="156" t="s">
        <v>149</v>
      </c>
      <c r="L679" s="157">
        <f>(L677/100)/((L677+L678)/100)</f>
        <v>0.68613371629168651</v>
      </c>
      <c r="T679" s="158"/>
      <c r="U679" s="158"/>
      <c r="V679" s="282"/>
      <c r="W679" s="158"/>
      <c r="X679" s="158"/>
      <c r="Y679" s="153"/>
      <c r="Z679" s="152">
        <f>Z677*L679</f>
        <v>1.0929984034428708</v>
      </c>
      <c r="AA679" s="153"/>
      <c r="AB679" s="153"/>
      <c r="AC679" s="152">
        <f>AC677*L679</f>
        <v>6.4436342398322601</v>
      </c>
      <c r="AD679" s="153"/>
      <c r="AE679" s="103"/>
      <c r="AF679" s="103"/>
      <c r="AG679" s="103"/>
      <c r="AH679" s="154">
        <f>AH677*L679</f>
        <v>12.101423529231344</v>
      </c>
      <c r="AN679" s="72">
        <f>F683*LeagueRatings!$K$27</f>
        <v>0</v>
      </c>
      <c r="AO679" s="72">
        <f>G683*LeagueRatings!$K$27</f>
        <v>0</v>
      </c>
      <c r="AP679" s="72">
        <f>T686*LeagueRatings!$K$27</f>
        <v>0</v>
      </c>
      <c r="AQ679" s="30"/>
    </row>
    <row r="680" spans="1:43" x14ac:dyDescent="0.2">
      <c r="L680" s="157">
        <f>(L678/100)/((L677+L678)/100)</f>
        <v>0.31386628370831338</v>
      </c>
      <c r="T680" s="158"/>
      <c r="U680" s="158"/>
      <c r="V680" s="282"/>
      <c r="W680" s="158"/>
      <c r="X680" s="158"/>
      <c r="Y680" s="153"/>
      <c r="Z680" s="152">
        <f>Z678*L680</f>
        <v>0.43570225297569926</v>
      </c>
      <c r="AA680" s="153"/>
      <c r="AB680" s="153"/>
      <c r="AC680" s="152">
        <f>AC678*L680</f>
        <v>2.897876140904919</v>
      </c>
      <c r="AD680" s="153"/>
      <c r="AE680" s="103"/>
      <c r="AF680" s="103"/>
      <c r="AG680" s="103"/>
      <c r="AH680" s="154">
        <f>AH678*L680</f>
        <v>4.8285506961114812</v>
      </c>
      <c r="AN680" s="72">
        <f>F684*LeagueRatings!$K$27</f>
        <v>0</v>
      </c>
      <c r="AO680" s="72">
        <f>G684*LeagueRatings!$K$27</f>
        <v>0</v>
      </c>
      <c r="AP680" s="72">
        <f>T687*LeagueRatings!$K$27</f>
        <v>0</v>
      </c>
      <c r="AQ680" s="30"/>
    </row>
    <row r="681" spans="1:43" x14ac:dyDescent="0.2">
      <c r="T681" s="158"/>
      <c r="U681" s="158"/>
      <c r="V681" s="282"/>
      <c r="W681" s="158"/>
      <c r="X681" s="158"/>
      <c r="Y681" s="153"/>
      <c r="Z681" s="152">
        <f>SUM(Z679:Z680)</f>
        <v>1.5287006564185701</v>
      </c>
      <c r="AA681" s="153"/>
      <c r="AB681" s="153"/>
      <c r="AC681" s="152">
        <f>SUM(AC679:AC680)</f>
        <v>9.34151038073718</v>
      </c>
      <c r="AD681" s="153"/>
      <c r="AE681" s="103"/>
      <c r="AF681" s="103"/>
      <c r="AG681" s="103"/>
      <c r="AH681" s="153">
        <f>SUM(AH679:AH680)</f>
        <v>16.929974225342825</v>
      </c>
      <c r="AN681" s="72">
        <f>F685*LeagueRatings!$K$27</f>
        <v>0</v>
      </c>
      <c r="AO681" s="72">
        <f>G685*LeagueRatings!$K$27</f>
        <v>0</v>
      </c>
      <c r="AP681" s="72">
        <f>T688*LeagueRatings!$K$27</f>
        <v>0</v>
      </c>
      <c r="AQ681" s="30"/>
    </row>
    <row r="682" spans="1:43" x14ac:dyDescent="0.2">
      <c r="AM682" s="262">
        <f>+AR559*LeagueRatings!$K$27</f>
        <v>0</v>
      </c>
      <c r="AN682" s="72">
        <f>F686*LeagueRatings!$K$27</f>
        <v>15</v>
      </c>
      <c r="AO682" s="72">
        <f>G686*LeagueRatings!$K$27</f>
        <v>15</v>
      </c>
      <c r="AP682" s="72">
        <f>T689*LeagueRatings!$K$27</f>
        <v>366.11111111111114</v>
      </c>
      <c r="AQ682" s="30"/>
    </row>
    <row r="683" spans="1:43" x14ac:dyDescent="0.2">
      <c r="AJ683" s="5" t="s">
        <v>34</v>
      </c>
      <c r="AK683" s="5" t="s">
        <v>40</v>
      </c>
      <c r="AL683" s="5" t="s">
        <v>41</v>
      </c>
      <c r="AM683" s="262">
        <f>+AR560*LeagueRatings!$K$27</f>
        <v>23.888888888888889</v>
      </c>
      <c r="AN683" s="72">
        <f>F687*LeagueRatings!$K$27</f>
        <v>3.3333333333333335</v>
      </c>
      <c r="AO683" s="72">
        <f>G687*LeagueRatings!$K$27</f>
        <v>2.7777777777777777</v>
      </c>
      <c r="AP683" s="72">
        <f>T690*LeagueRatings!$K$27</f>
        <v>65.555555555555557</v>
      </c>
      <c r="AQ683" s="30"/>
    </row>
    <row r="684" spans="1:43" x14ac:dyDescent="0.2">
      <c r="A684" s="166" t="s">
        <v>381</v>
      </c>
      <c r="B684" s="138" t="s">
        <v>170</v>
      </c>
      <c r="AJ684" s="5"/>
      <c r="AK684" s="5"/>
      <c r="AL684" s="5"/>
      <c r="AN684" s="72">
        <f>F688*LeagueRatings!$K$27</f>
        <v>0</v>
      </c>
      <c r="AO684" s="72">
        <f>G688*LeagueRatings!$K$27</f>
        <v>0</v>
      </c>
      <c r="AP684" s="72">
        <f>T691*LeagueRatings!$K$27</f>
        <v>0</v>
      </c>
      <c r="AQ684" s="30"/>
    </row>
    <row r="685" spans="1:43" x14ac:dyDescent="0.2">
      <c r="A685" s="58" t="s">
        <v>381</v>
      </c>
      <c r="B685" s="147" t="s">
        <v>165</v>
      </c>
      <c r="AJ685" s="5"/>
      <c r="AK685" s="5"/>
      <c r="AL685" s="5"/>
      <c r="AN685" s="72">
        <f>F689*LeagueRatings!$K$27</f>
        <v>0</v>
      </c>
      <c r="AO685" s="72">
        <f>G689*LeagueRatings!$K$27</f>
        <v>0</v>
      </c>
      <c r="AP685" s="72">
        <f>T692*LeagueRatings!$K$27</f>
        <v>0</v>
      </c>
      <c r="AQ685" s="30"/>
    </row>
    <row r="686" spans="1:43" x14ac:dyDescent="0.2">
      <c r="C686" s="138">
        <v>9</v>
      </c>
      <c r="D686" s="138">
        <v>10</v>
      </c>
      <c r="E686" s="159">
        <v>6.01</v>
      </c>
      <c r="F686" s="138">
        <v>27</v>
      </c>
      <c r="G686" s="138">
        <v>27</v>
      </c>
      <c r="H686" s="138">
        <v>0</v>
      </c>
      <c r="I686" s="138">
        <v>0</v>
      </c>
      <c r="J686" s="138">
        <v>0</v>
      </c>
      <c r="K686" s="160">
        <v>0</v>
      </c>
      <c r="AI686" s="170" t="s">
        <v>381</v>
      </c>
      <c r="AJ686" s="5" t="s">
        <v>19</v>
      </c>
      <c r="AK686" s="5" t="s">
        <v>51</v>
      </c>
      <c r="AL686" s="5" t="s">
        <v>45</v>
      </c>
      <c r="AM686" s="262">
        <f>SUM(AM682:AM685)</f>
        <v>23.888888888888889</v>
      </c>
      <c r="AN686" s="14">
        <f>SUM(AN682:AN685)</f>
        <v>18.333333333333332</v>
      </c>
      <c r="AO686" s="14">
        <f>SUM(AO682:AO685)</f>
        <v>17.777777777777779</v>
      </c>
      <c r="AP686" s="14">
        <f>SUM(AP682:AP685)</f>
        <v>431.66666666666669</v>
      </c>
      <c r="AQ686" s="30"/>
    </row>
    <row r="687" spans="1:43" x14ac:dyDescent="0.2">
      <c r="C687" s="147">
        <v>0</v>
      </c>
      <c r="D687" s="147">
        <v>2</v>
      </c>
      <c r="E687" s="148">
        <v>4.18</v>
      </c>
      <c r="F687" s="147">
        <v>6</v>
      </c>
      <c r="G687" s="147">
        <v>5</v>
      </c>
      <c r="H687" s="147">
        <v>0</v>
      </c>
      <c r="I687" s="147">
        <v>0</v>
      </c>
      <c r="J687" s="147">
        <v>0</v>
      </c>
      <c r="K687" s="147">
        <v>0</v>
      </c>
      <c r="AN687" s="72">
        <f>F691*LeagueRatings!$K$27</f>
        <v>0</v>
      </c>
      <c r="AO687" s="72">
        <f>G691*LeagueRatings!$K$27</f>
        <v>0</v>
      </c>
      <c r="AP687" s="72">
        <f>T694*LeagueRatings!$K$27</f>
        <v>0</v>
      </c>
      <c r="AQ687" s="30"/>
    </row>
    <row r="688" spans="1:43" x14ac:dyDescent="0.2">
      <c r="AN688" s="72">
        <f>F692*LeagueRatings!$K$27</f>
        <v>0</v>
      </c>
      <c r="AO688" s="72">
        <f>G692*LeagueRatings!$K$27</f>
        <v>0</v>
      </c>
      <c r="AP688" s="72">
        <f>T695*LeagueRatings!$K$27</f>
        <v>0</v>
      </c>
      <c r="AQ688" s="30"/>
    </row>
    <row r="689" spans="1:43" x14ac:dyDescent="0.2">
      <c r="L689" s="159">
        <v>142.33000000000001</v>
      </c>
      <c r="M689" s="138">
        <v>168</v>
      </c>
      <c r="N689" s="138">
        <v>100</v>
      </c>
      <c r="O689" s="138">
        <v>95</v>
      </c>
      <c r="P689" s="138">
        <v>14</v>
      </c>
      <c r="Q689" s="138">
        <v>69</v>
      </c>
      <c r="R689" s="138">
        <v>2</v>
      </c>
      <c r="S689" s="138">
        <v>116</v>
      </c>
      <c r="T689" s="161">
        <v>659</v>
      </c>
      <c r="U689" s="161"/>
      <c r="V689" s="286"/>
      <c r="W689" s="161"/>
      <c r="Y689" s="151">
        <f>+(Q689-R689)/(T689-R689)*100</f>
        <v>10.197869101978691</v>
      </c>
      <c r="Z689" s="152">
        <f>IF(Y689&lt;LeagueRatings!$K$21,((LeagueRatings!$K$21-Y689)/LeagueRatings!$K$21)*36,(LeagueRatings!$K$21-Y689)*6.48)</f>
        <v>-8.0666508014908853</v>
      </c>
      <c r="AA689" s="153">
        <v>1.24</v>
      </c>
      <c r="AB689" s="153">
        <f>(P689/(T689-R689))*100</f>
        <v>2.1308980213089801</v>
      </c>
      <c r="AC689" s="152">
        <f>IF(AB689&lt;LeagueRatings!$K$19,((LeagueRatings!$K$19-AB689)/LeagueRatings!$K$19)*36,(LeagueRatings!$K$19-AB689)/LeagueRatings!$K$22)</f>
        <v>9.6202469439154772</v>
      </c>
      <c r="AD689" s="153">
        <v>-0.21</v>
      </c>
      <c r="AE689" s="103">
        <f>+((LeagueRatings!$I$17-E686)*5)+9.5</f>
        <v>0.2643872437063628</v>
      </c>
      <c r="AF689" s="103">
        <f>IF(AE689&lt;4,4,AE689)</f>
        <v>4</v>
      </c>
      <c r="AG689" s="103">
        <f>IF(M689&lt;L689,((1-(M689/L689))*7)-0.07,(1-(M689/L689))*5)</f>
        <v>-0.90177755919342295</v>
      </c>
      <c r="AH689" s="154">
        <f>+AA689+AD689+AF689+AG689</f>
        <v>4.1282224408065771</v>
      </c>
      <c r="AN689" s="72">
        <f>F693*LeagueRatings!$K$27</f>
        <v>0</v>
      </c>
      <c r="AO689" s="72">
        <f>G693*LeagueRatings!$K$27</f>
        <v>0</v>
      </c>
      <c r="AP689" s="72">
        <f>T696*LeagueRatings!$K$27</f>
        <v>0</v>
      </c>
      <c r="AQ689" s="30"/>
    </row>
    <row r="690" spans="1:43" x14ac:dyDescent="0.2">
      <c r="A690" s="155" t="s">
        <v>667</v>
      </c>
      <c r="B690" s="156" t="s">
        <v>156</v>
      </c>
      <c r="L690" s="148">
        <v>28</v>
      </c>
      <c r="M690" s="147">
        <v>25</v>
      </c>
      <c r="N690" s="147">
        <v>14</v>
      </c>
      <c r="O690" s="147">
        <v>13</v>
      </c>
      <c r="P690" s="147">
        <v>5</v>
      </c>
      <c r="Q690" s="147">
        <v>8</v>
      </c>
      <c r="R690" s="147">
        <v>0</v>
      </c>
      <c r="S690" s="147">
        <v>26</v>
      </c>
      <c r="T690" s="150">
        <v>118</v>
      </c>
      <c r="U690" s="150"/>
      <c r="V690" s="289"/>
      <c r="W690" s="150"/>
      <c r="X690" s="138"/>
      <c r="Y690" s="151">
        <f>+(Q690-R690)/(T690-R690)*100</f>
        <v>6.7796610169491522</v>
      </c>
      <c r="Z690" s="152">
        <f>IF(Y690&lt;LeagueRatings!$K$21,((LeagueRatings!$K$21-Y690)/LeagueRatings!$K$21)*36,(LeagueRatings!$K$21-Y690)*6.48)</f>
        <v>8.7390403444250548</v>
      </c>
      <c r="AA690" s="153">
        <v>-0.56000000000000005</v>
      </c>
      <c r="AB690" s="153">
        <f>(P690/(T690-R690))*100</f>
        <v>4.2372881355932197</v>
      </c>
      <c r="AC690" s="152">
        <f>IF(AB690&lt;LeagueRatings!$K$19,((LeagueRatings!$K$19-AB690)/LeagueRatings!$K$19)*36,(LeagueRatings!$K$19-AB690)/LeagueRatings!$K$22)</f>
        <v>-10.740620090946667</v>
      </c>
      <c r="AD690" s="153">
        <v>1.5</v>
      </c>
      <c r="AE690" s="103">
        <f>+((LeagueRatings!$I$17-E687)*5)+9.5</f>
        <v>9.4143872437063649</v>
      </c>
      <c r="AF690" s="103">
        <f>IF(AE690&lt;4,4,AE690)</f>
        <v>9.4143872437063649</v>
      </c>
      <c r="AG690" s="103">
        <f>IF(M690&lt;L690,((1-(M690/L690))*7)-0.07,(1-(M690/L690))*5)</f>
        <v>0.67999999999999972</v>
      </c>
      <c r="AH690" s="154">
        <f>+AA690+AD690+AF690+AG690</f>
        <v>11.034387243706364</v>
      </c>
      <c r="AN690" s="72">
        <f>F694*LeagueRatings!$K$27</f>
        <v>0</v>
      </c>
      <c r="AO690" s="72">
        <f>G694*LeagueRatings!$K$27</f>
        <v>0</v>
      </c>
      <c r="AP690" s="72">
        <f>T697*LeagueRatings!$K$27</f>
        <v>0</v>
      </c>
      <c r="AQ690" s="30"/>
    </row>
    <row r="691" spans="1:43" x14ac:dyDescent="0.2">
      <c r="A691" s="155" t="s">
        <v>667</v>
      </c>
      <c r="B691" s="156" t="s">
        <v>170</v>
      </c>
      <c r="L691" s="157">
        <f>(L689/100)/((L689+L690)/100)</f>
        <v>0.83561322139376515</v>
      </c>
      <c r="T691" s="158"/>
      <c r="U691" s="158"/>
      <c r="V691" s="282"/>
      <c r="W691" s="158"/>
      <c r="X691" s="158"/>
      <c r="Y691" s="153"/>
      <c r="Z691" s="152">
        <f>Z689*L691</f>
        <v>-6.7406000620923958</v>
      </c>
      <c r="AA691" s="153"/>
      <c r="AB691" s="153"/>
      <c r="AC691" s="152">
        <f>AC689*L691</f>
        <v>8.0388055394087363</v>
      </c>
      <c r="AD691" s="153"/>
      <c r="AE691" s="103"/>
      <c r="AF691" s="103"/>
      <c r="AG691" s="103"/>
      <c r="AH691" s="154">
        <f>AH689*L691</f>
        <v>3.4495972523924157</v>
      </c>
      <c r="AN691" s="72">
        <f>F695*LeagueRatings!$K$27</f>
        <v>0</v>
      </c>
      <c r="AO691" s="72">
        <f>G695*LeagueRatings!$K$27</f>
        <v>0</v>
      </c>
      <c r="AP691" s="72">
        <f>T698*LeagueRatings!$K$27</f>
        <v>0</v>
      </c>
      <c r="AQ691" s="30"/>
    </row>
    <row r="692" spans="1:43" x14ac:dyDescent="0.2">
      <c r="L692" s="157">
        <f>(L690/100)/((L689+L690)/100)</f>
        <v>0.16438677860623496</v>
      </c>
      <c r="T692" s="158"/>
      <c r="U692" s="158"/>
      <c r="V692" s="282"/>
      <c r="W692" s="158"/>
      <c r="X692" s="158"/>
      <c r="Y692" s="153"/>
      <c r="Z692" s="152">
        <f>Z690*L692</f>
        <v>1.4365826903299568</v>
      </c>
      <c r="AA692" s="153"/>
      <c r="AB692" s="153"/>
      <c r="AC692" s="152">
        <f>AC690*L692</f>
        <v>-1.7656159369841289</v>
      </c>
      <c r="AD692" s="153"/>
      <c r="AE692" s="103"/>
      <c r="AF692" s="103"/>
      <c r="AG692" s="103"/>
      <c r="AH692" s="154">
        <f>AH690*L692</f>
        <v>1.8139073728866213</v>
      </c>
      <c r="AN692" s="72">
        <f>F696*LeagueRatings!$K$27</f>
        <v>0</v>
      </c>
      <c r="AO692" s="72">
        <f>G696*LeagueRatings!$K$27</f>
        <v>0</v>
      </c>
      <c r="AP692" s="72">
        <f>T699*LeagueRatings!$K$27</f>
        <v>0</v>
      </c>
      <c r="AQ692" s="30"/>
    </row>
    <row r="693" spans="1:43" x14ac:dyDescent="0.2">
      <c r="T693" s="158"/>
      <c r="U693" s="158"/>
      <c r="V693" s="282"/>
      <c r="W693" s="158"/>
      <c r="X693" s="158"/>
      <c r="Y693" s="153"/>
      <c r="Z693" s="152">
        <f>SUM(Z691:Z692)</f>
        <v>-5.3040173717624395</v>
      </c>
      <c r="AA693" s="153"/>
      <c r="AB693" s="153"/>
      <c r="AC693" s="152">
        <f>SUM(AC691:AC692)</f>
        <v>6.2731896024246074</v>
      </c>
      <c r="AD693" s="153"/>
      <c r="AE693" s="103"/>
      <c r="AF693" s="103"/>
      <c r="AG693" s="103"/>
      <c r="AH693" s="153">
        <f>SUM(AH691:AH692)</f>
        <v>5.2635046252790367</v>
      </c>
      <c r="AN693" s="72">
        <f>F697*LeagueRatings!$K$27</f>
        <v>0</v>
      </c>
      <c r="AO693" s="72">
        <f>G697*LeagueRatings!$K$27</f>
        <v>0</v>
      </c>
      <c r="AP693" s="72">
        <f>T700*LeagueRatings!$K$27</f>
        <v>0</v>
      </c>
    </row>
    <row r="694" spans="1:43" x14ac:dyDescent="0.2">
      <c r="AM694" s="262">
        <f>+AR571*LeagueRatings!$K$27</f>
        <v>0</v>
      </c>
      <c r="AN694" s="72">
        <f>F698*LeagueRatings!$K$27</f>
        <v>30</v>
      </c>
      <c r="AO694" s="72">
        <f>G698*LeagueRatings!$K$27</f>
        <v>0</v>
      </c>
      <c r="AP694" s="72">
        <f>T701*LeagueRatings!$K$27</f>
        <v>102.22222222222223</v>
      </c>
    </row>
    <row r="695" spans="1:43" x14ac:dyDescent="0.2">
      <c r="AJ695" s="94" t="s">
        <v>53</v>
      </c>
      <c r="AK695" s="94" t="s">
        <v>65</v>
      </c>
      <c r="AL695" s="94" t="s">
        <v>37</v>
      </c>
      <c r="AM695" s="262">
        <f>+AR572*LeagueRatings!$K$27</f>
        <v>79.444444444444443</v>
      </c>
      <c r="AN695" s="72">
        <f>F699*LeagueRatings!$K$27</f>
        <v>8.8888888888888893</v>
      </c>
      <c r="AO695" s="72">
        <f>G699*LeagueRatings!$K$27</f>
        <v>0</v>
      </c>
      <c r="AP695" s="72">
        <f>T702*LeagueRatings!$K$27</f>
        <v>26.666666666666668</v>
      </c>
    </row>
    <row r="696" spans="1:43" x14ac:dyDescent="0.2">
      <c r="A696" s="146" t="s">
        <v>549</v>
      </c>
      <c r="B696" s="138" t="s">
        <v>164</v>
      </c>
      <c r="AJ696" s="5"/>
      <c r="AK696" s="5"/>
      <c r="AL696" s="5"/>
      <c r="AN696" s="72">
        <f>F700*LeagueRatings!$K$27</f>
        <v>0</v>
      </c>
      <c r="AO696" s="72">
        <f>G700*LeagueRatings!$K$27</f>
        <v>0</v>
      </c>
      <c r="AP696" s="72">
        <f>T703*LeagueRatings!$K$27</f>
        <v>0</v>
      </c>
    </row>
    <row r="697" spans="1:43" x14ac:dyDescent="0.2">
      <c r="A697" s="58" t="s">
        <v>549</v>
      </c>
      <c r="B697" s="138" t="s">
        <v>144</v>
      </c>
      <c r="AJ697" s="5"/>
      <c r="AK697" s="5"/>
      <c r="AL697" s="5"/>
      <c r="AN697" s="72">
        <f>F701*LeagueRatings!$K$27</f>
        <v>0</v>
      </c>
      <c r="AO697" s="72">
        <f>G701*LeagueRatings!$K$27</f>
        <v>0</v>
      </c>
      <c r="AP697" s="72">
        <f>T704*LeagueRatings!$K$27</f>
        <v>0</v>
      </c>
    </row>
    <row r="698" spans="1:43" x14ac:dyDescent="0.2">
      <c r="C698" s="138">
        <v>0</v>
      </c>
      <c r="D698" s="138">
        <v>4</v>
      </c>
      <c r="E698" s="159">
        <v>3.92</v>
      </c>
      <c r="F698" s="138">
        <v>54</v>
      </c>
      <c r="G698" s="138">
        <v>0</v>
      </c>
      <c r="H698" s="138">
        <v>0</v>
      </c>
      <c r="I698" s="138">
        <v>0</v>
      </c>
      <c r="J698" s="138">
        <v>0</v>
      </c>
      <c r="K698" s="160">
        <v>4</v>
      </c>
      <c r="AI698" s="170" t="s">
        <v>549</v>
      </c>
      <c r="AJ698" s="5" t="s">
        <v>68</v>
      </c>
      <c r="AK698" s="5" t="s">
        <v>47</v>
      </c>
      <c r="AL698" s="5" t="s">
        <v>69</v>
      </c>
      <c r="AM698" s="262">
        <f>SUM(AM694:AM697)</f>
        <v>79.444444444444443</v>
      </c>
      <c r="AN698" s="14">
        <f>SUM(AN694:AN697)</f>
        <v>38.888888888888886</v>
      </c>
      <c r="AO698" s="14">
        <f>SUM(AO694:AO697)</f>
        <v>0</v>
      </c>
      <c r="AP698" s="14">
        <f>SUM(AP694:AP697)</f>
        <v>128.88888888888889</v>
      </c>
    </row>
    <row r="699" spans="1:43" x14ac:dyDescent="0.2">
      <c r="C699" s="138">
        <v>0</v>
      </c>
      <c r="D699" s="138">
        <v>0</v>
      </c>
      <c r="E699" s="159">
        <v>2.92</v>
      </c>
      <c r="F699" s="138">
        <v>16</v>
      </c>
      <c r="G699" s="138">
        <v>0</v>
      </c>
      <c r="H699" s="146">
        <v>0</v>
      </c>
      <c r="I699" s="138">
        <v>0</v>
      </c>
      <c r="J699" s="138">
        <v>0</v>
      </c>
      <c r="K699" s="160">
        <v>0</v>
      </c>
    </row>
    <row r="701" spans="1:43" x14ac:dyDescent="0.2">
      <c r="L701" s="159">
        <v>41.33</v>
      </c>
      <c r="M701" s="138">
        <v>45</v>
      </c>
      <c r="N701" s="138">
        <v>20</v>
      </c>
      <c r="O701" s="138">
        <v>18</v>
      </c>
      <c r="P701" s="138">
        <v>5</v>
      </c>
      <c r="Q701" s="138">
        <v>16</v>
      </c>
      <c r="R701" s="138">
        <v>2</v>
      </c>
      <c r="S701" s="138">
        <v>40</v>
      </c>
      <c r="T701" s="138">
        <v>184</v>
      </c>
      <c r="U701" s="138"/>
      <c r="V701" s="287"/>
      <c r="W701" s="138"/>
      <c r="Y701" s="151">
        <f>+(Q701-R701)/(T701-R701)*100</f>
        <v>7.6923076923076925</v>
      </c>
      <c r="Z701" s="152">
        <f>IF(Y701&lt;LeagueRatings!$K$10,((LeagueRatings!$K$10-Y701)/LeagueRatings!$K$10)*36,(LeagueRatings!$K$10-Y701)*6.48)</f>
        <v>4.0506257961278145</v>
      </c>
      <c r="AA701" s="153">
        <v>-0.32</v>
      </c>
      <c r="AB701" s="153">
        <f>(P701/(T701-R701))*100</f>
        <v>2.7472527472527473</v>
      </c>
      <c r="AC701" s="152">
        <f>IF(AB701&lt;LeagueRatings!$K$8,((LeagueRatings!$K$8-AB701)/LeagueRatings!$K$8)*36,(LeagueRatings!$K$8-AB701)/LeagueRatings!$K$11)</f>
        <v>5.1148115687993005</v>
      </c>
      <c r="AD701" s="153">
        <v>0</v>
      </c>
      <c r="AE701" s="103">
        <f>+((LeagueRatings!$I$6-E698)*5)+9.5</f>
        <v>10.908051455277404</v>
      </c>
      <c r="AF701" s="103">
        <f>IF(AE701&lt;4,4,AE701)</f>
        <v>10.908051455277404</v>
      </c>
      <c r="AG701" s="103">
        <f>IF(M701&lt;L701,((1-(M701/L701))*7)-0.07,(1-(M701/L701))*5)</f>
        <v>-0.44398741834018929</v>
      </c>
      <c r="AH701" s="154">
        <f>+AA701+AD701+AF701+AG701</f>
        <v>10.144064036937214</v>
      </c>
    </row>
    <row r="702" spans="1:43" x14ac:dyDescent="0.2">
      <c r="A702" s="155" t="s">
        <v>111</v>
      </c>
      <c r="B702" s="156" t="s">
        <v>169</v>
      </c>
      <c r="L702" s="159">
        <v>12.33</v>
      </c>
      <c r="M702" s="138">
        <v>9</v>
      </c>
      <c r="N702" s="138">
        <v>4</v>
      </c>
      <c r="O702" s="138">
        <v>4</v>
      </c>
      <c r="P702" s="138">
        <v>2</v>
      </c>
      <c r="Q702" s="138">
        <v>3</v>
      </c>
      <c r="R702" s="138">
        <v>0</v>
      </c>
      <c r="S702" s="138">
        <v>15</v>
      </c>
      <c r="T702" s="138">
        <v>48</v>
      </c>
      <c r="U702" s="138"/>
      <c r="V702" s="287"/>
      <c r="W702" s="138"/>
      <c r="X702" s="138"/>
      <c r="Y702" s="151">
        <f>+(Q702-R702)/(T702-R702)*100</f>
        <v>6.25</v>
      </c>
      <c r="Z702" s="152">
        <f>IF(Y702&lt;LeagueRatings!$K$10,((LeagueRatings!$K$10-Y702)/LeagueRatings!$K$10)*36,(LeagueRatings!$K$10-Y702)*6.48)</f>
        <v>10.041133459353849</v>
      </c>
      <c r="AA702" s="153">
        <v>-0.83</v>
      </c>
      <c r="AB702" s="153">
        <f>(P702/(T702-R702))*100</f>
        <v>4.1666666666666661</v>
      </c>
      <c r="AC702" s="152">
        <f>IF(AB702&lt;LeagueRatings!$K$8,((LeagueRatings!$K$8-AB702)/LeagueRatings!$K$8)*36,(LeagueRatings!$K$8-AB702)/LeagueRatings!$K$11)</f>
        <v>-7.6581608088589253</v>
      </c>
      <c r="AD702" s="153">
        <v>1.03</v>
      </c>
      <c r="AE702" s="103">
        <f>+((LeagueRatings!$I$6-E699)*5)+9.5</f>
        <v>15.908051455277404</v>
      </c>
      <c r="AF702" s="103">
        <f>IF(AE702&lt;4,4,AE702)</f>
        <v>15.908051455277404</v>
      </c>
      <c r="AG702" s="103">
        <f>IF(M702&lt;L702,((1-(M702/L702))*7)-0.07,(1-(M702/L702))*5)</f>
        <v>1.8205109489051094</v>
      </c>
      <c r="AH702" s="154">
        <f>+AA702+AD702+AF702+AG702</f>
        <v>17.928562404182514</v>
      </c>
    </row>
    <row r="703" spans="1:43" x14ac:dyDescent="0.2">
      <c r="A703" s="155" t="s">
        <v>111</v>
      </c>
      <c r="B703" s="156" t="s">
        <v>152</v>
      </c>
      <c r="L703" s="157">
        <f>(L701/100)/((L701+L702)/100)</f>
        <v>0.77021990309355204</v>
      </c>
      <c r="T703" s="158"/>
      <c r="U703" s="158"/>
      <c r="V703" s="282"/>
      <c r="W703" s="158"/>
      <c r="X703" s="158"/>
      <c r="Y703" s="153"/>
      <c r="Z703" s="152">
        <f>Z701*L703</f>
        <v>3.1198726081618076</v>
      </c>
      <c r="AA703" s="153"/>
      <c r="AB703" s="153"/>
      <c r="AC703" s="152">
        <f>AC701*L703</f>
        <v>3.9395296708623762</v>
      </c>
      <c r="AD703" s="153"/>
      <c r="AE703" s="103"/>
      <c r="AF703" s="103"/>
      <c r="AG703" s="103"/>
      <c r="AH703" s="154">
        <f>AH701*L703</f>
        <v>7.8131600195045676</v>
      </c>
    </row>
    <row r="704" spans="1:43" x14ac:dyDescent="0.2">
      <c r="L704" s="157">
        <f>(L702/100)/((L701+L702)/100)</f>
        <v>0.22978009690644804</v>
      </c>
      <c r="T704" s="158"/>
      <c r="U704" s="158"/>
      <c r="V704" s="282"/>
      <c r="W704" s="158"/>
      <c r="X704" s="158"/>
      <c r="Y704" s="153"/>
      <c r="Z704" s="152">
        <f>Z702*L704</f>
        <v>2.3072526193409053</v>
      </c>
      <c r="AA704" s="153"/>
      <c r="AB704" s="153"/>
      <c r="AC704" s="152">
        <f>AC702*L704</f>
        <v>-1.7596929327847664</v>
      </c>
      <c r="AD704" s="153"/>
      <c r="AE704" s="103"/>
      <c r="AF704" s="103"/>
      <c r="AG704" s="103"/>
      <c r="AH704" s="154">
        <f>AH702*L704</f>
        <v>4.1196268066263597</v>
      </c>
    </row>
    <row r="705" spans="20:34" x14ac:dyDescent="0.2">
      <c r="T705" s="158"/>
      <c r="U705" s="158"/>
      <c r="V705" s="282"/>
      <c r="W705" s="158"/>
      <c r="X705" s="158"/>
      <c r="Y705" s="153"/>
      <c r="Z705" s="152">
        <f>SUM(Z703:Z704)</f>
        <v>5.4271252275027129</v>
      </c>
      <c r="AA705" s="153"/>
      <c r="AB705" s="153"/>
      <c r="AC705" s="152">
        <f>SUM(AC703:AC704)</f>
        <v>2.1798367380776096</v>
      </c>
      <c r="AD705" s="153"/>
      <c r="AE705" s="103"/>
      <c r="AF705" s="103"/>
      <c r="AG705" s="103"/>
      <c r="AH705" s="153">
        <f>SUM(AH703:AH704)</f>
        <v>11.932786826130927</v>
      </c>
    </row>
  </sheetData>
  <mergeCells count="2">
    <mergeCell ref="A1:J1"/>
    <mergeCell ref="A2:I2"/>
  </mergeCells>
  <conditionalFormatting sqref="Y410:AA410 AH537 Y4:AA5 Y119:AA119 Y239:AA239 Y203:AA203 Y227:AA227 Y215:AA215 Y161:AA161 Y299:AA299 Y179:AA179 Y311:AA311 Y185:AA185 Y65:AA65 Y173:AA173 Y348:AA348">
    <cfRule type="cellIs" priority="1413" stopIfTrue="1" operator="lessThan">
      <formula>10.237</formula>
    </cfRule>
  </conditionalFormatting>
  <conditionalFormatting sqref="Y409:AA409">
    <cfRule type="cellIs" priority="1412" stopIfTrue="1" operator="lessThan">
      <formula>10.237</formula>
    </cfRule>
  </conditionalFormatting>
  <conditionalFormatting sqref="AH411:AH412 AC411:AC413 Y411:Z413">
    <cfRule type="cellIs" priority="1411" stopIfTrue="1" operator="lessThan">
      <formula>10.237</formula>
    </cfRule>
  </conditionalFormatting>
  <conditionalFormatting sqref="Y403:Z404">
    <cfRule type="cellIs" priority="1410" stopIfTrue="1" operator="lessThan">
      <formula>10.237</formula>
    </cfRule>
  </conditionalFormatting>
  <conditionalFormatting sqref="AH405:AH406 AC405:AC407 Y405:Z407">
    <cfRule type="cellIs" priority="1409" stopIfTrue="1" operator="lessThan">
      <formula>10.237</formula>
    </cfRule>
  </conditionalFormatting>
  <conditionalFormatting sqref="Y416:AA416">
    <cfRule type="cellIs" priority="1408" stopIfTrue="1" operator="lessThan">
      <formula>10.237</formula>
    </cfRule>
  </conditionalFormatting>
  <conditionalFormatting sqref="Y415:AA415">
    <cfRule type="cellIs" priority="1407" stopIfTrue="1" operator="lessThan">
      <formula>10.237</formula>
    </cfRule>
  </conditionalFormatting>
  <conditionalFormatting sqref="AH417:AH418 AC417:AC419 Y417:Z419">
    <cfRule type="cellIs" priority="1406" stopIfTrue="1" operator="lessThan">
      <formula>10.237</formula>
    </cfRule>
  </conditionalFormatting>
  <conditionalFormatting sqref="AH618:AH619 AC618:AC621 Y618:Z621">
    <cfRule type="cellIs" priority="1360" stopIfTrue="1" operator="lessThan">
      <formula>10.237</formula>
    </cfRule>
  </conditionalFormatting>
  <conditionalFormatting sqref="Y428:AA428 Y427:Z427">
    <cfRule type="cellIs" priority="1405" stopIfTrue="1" operator="lessThan">
      <formula>10.237</formula>
    </cfRule>
  </conditionalFormatting>
  <conditionalFormatting sqref="AH429:AH430 AC429:AC431 Y429:Z431">
    <cfRule type="cellIs" priority="1404" stopIfTrue="1" operator="lessThan">
      <formula>10.237</formula>
    </cfRule>
  </conditionalFormatting>
  <conditionalFormatting sqref="Y434:AA434 Y433:Z433">
    <cfRule type="cellIs" priority="1403" stopIfTrue="1" operator="lessThan">
      <formula>10.237</formula>
    </cfRule>
  </conditionalFormatting>
  <conditionalFormatting sqref="AH435:AH436 AC435:AC437 Y435:Z437">
    <cfRule type="cellIs" priority="1402" stopIfTrue="1" operator="lessThan">
      <formula>10.237</formula>
    </cfRule>
  </conditionalFormatting>
  <conditionalFormatting sqref="Y440:AA440 Y439:Z439">
    <cfRule type="cellIs" priority="1401" stopIfTrue="1" operator="lessThan">
      <formula>10.237</formula>
    </cfRule>
  </conditionalFormatting>
  <conditionalFormatting sqref="AH441:AH442 AC441:AC443 Y441:Z443">
    <cfRule type="cellIs" priority="1400" stopIfTrue="1" operator="lessThan">
      <formula>10.237</formula>
    </cfRule>
  </conditionalFormatting>
  <conditionalFormatting sqref="Y452:Z452">
    <cfRule type="cellIs" priority="1399" stopIfTrue="1" operator="lessThan">
      <formula>10.237</formula>
    </cfRule>
  </conditionalFormatting>
  <conditionalFormatting sqref="AH453:AH454 AC453:AC455 Y453:Z455">
    <cfRule type="cellIs" priority="1398" stopIfTrue="1" operator="lessThan">
      <formula>10.237</formula>
    </cfRule>
  </conditionalFormatting>
  <conditionalFormatting sqref="Y451:Z451">
    <cfRule type="cellIs" priority="1397" stopIfTrue="1" operator="lessThan">
      <formula>10.237</formula>
    </cfRule>
  </conditionalFormatting>
  <conditionalFormatting sqref="Y458:AA458">
    <cfRule type="cellIs" priority="1396" stopIfTrue="1" operator="lessThan">
      <formula>10.237</formula>
    </cfRule>
  </conditionalFormatting>
  <conditionalFormatting sqref="Y457:Z457">
    <cfRule type="cellIs" priority="1395" stopIfTrue="1" operator="lessThan">
      <formula>10.237</formula>
    </cfRule>
  </conditionalFormatting>
  <conditionalFormatting sqref="AH459:AH460 AC459:AC461 Y459:Z461">
    <cfRule type="cellIs" priority="1394" stopIfTrue="1" operator="lessThan">
      <formula>10.237</formula>
    </cfRule>
  </conditionalFormatting>
  <conditionalFormatting sqref="Y464:AA464 Y463:Z463">
    <cfRule type="cellIs" priority="1393" stopIfTrue="1" operator="lessThan">
      <formula>10.237</formula>
    </cfRule>
  </conditionalFormatting>
  <conditionalFormatting sqref="AH465:AH466 AC465:AC467 Y465:Z467">
    <cfRule type="cellIs" priority="1392" stopIfTrue="1" operator="lessThan">
      <formula>10.237</formula>
    </cfRule>
  </conditionalFormatting>
  <conditionalFormatting sqref="Y476:Z476">
    <cfRule type="cellIs" priority="1391" stopIfTrue="1" operator="lessThan">
      <formula>10.237</formula>
    </cfRule>
  </conditionalFormatting>
  <conditionalFormatting sqref="Y475:Z475">
    <cfRule type="cellIs" priority="1390" stopIfTrue="1" operator="lessThan">
      <formula>10.237</formula>
    </cfRule>
  </conditionalFormatting>
  <conditionalFormatting sqref="AH477:AH478 AC477:AC479 Y477:Z479">
    <cfRule type="cellIs" priority="1389" stopIfTrue="1" operator="lessThan">
      <formula>10.237</formula>
    </cfRule>
  </conditionalFormatting>
  <conditionalFormatting sqref="Y482:AA482">
    <cfRule type="cellIs" priority="1388" stopIfTrue="1" operator="lessThan">
      <formula>10.237</formula>
    </cfRule>
  </conditionalFormatting>
  <conditionalFormatting sqref="Y481:Z481">
    <cfRule type="cellIs" priority="1387" stopIfTrue="1" operator="lessThan">
      <formula>10.237</formula>
    </cfRule>
  </conditionalFormatting>
  <conditionalFormatting sqref="AH483:AH484 AC483:AC485 Y483:Z485">
    <cfRule type="cellIs" priority="1386" stopIfTrue="1" operator="lessThan">
      <formula>10.237</formula>
    </cfRule>
  </conditionalFormatting>
  <conditionalFormatting sqref="Y488:AA488">
    <cfRule type="cellIs" priority="1385" stopIfTrue="1" operator="lessThan">
      <formula>10.237</formula>
    </cfRule>
  </conditionalFormatting>
  <conditionalFormatting sqref="Y487:AA487">
    <cfRule type="cellIs" priority="1384" stopIfTrue="1" operator="lessThan">
      <formula>10.237</formula>
    </cfRule>
  </conditionalFormatting>
  <conditionalFormatting sqref="AH489:AH490 AC489:AC491 Y489:Z491">
    <cfRule type="cellIs" priority="1383" stopIfTrue="1" operator="lessThan">
      <formula>10.237</formula>
    </cfRule>
  </conditionalFormatting>
  <conditionalFormatting sqref="Y494:AA494">
    <cfRule type="cellIs" priority="1382" stopIfTrue="1" operator="lessThan">
      <formula>10.237</formula>
    </cfRule>
  </conditionalFormatting>
  <conditionalFormatting sqref="Y493:AA493">
    <cfRule type="cellIs" priority="1381" stopIfTrue="1" operator="lessThan">
      <formula>10.237</formula>
    </cfRule>
  </conditionalFormatting>
  <conditionalFormatting sqref="AH495:AH496 AC495:AC497 Y495:Z497">
    <cfRule type="cellIs" priority="1380" stopIfTrue="1" operator="lessThan">
      <formula>10.237</formula>
    </cfRule>
  </conditionalFormatting>
  <conditionalFormatting sqref="Y506:AA506">
    <cfRule type="cellIs" priority="1379" stopIfTrue="1" operator="lessThan">
      <formula>10.237</formula>
    </cfRule>
  </conditionalFormatting>
  <conditionalFormatting sqref="Y505:AA505">
    <cfRule type="cellIs" priority="1378" stopIfTrue="1" operator="lessThan">
      <formula>10.237</formula>
    </cfRule>
  </conditionalFormatting>
  <conditionalFormatting sqref="AH507:AH508 AC507:AC509 Y507:Z509">
    <cfRule type="cellIs" priority="1377" stopIfTrue="1" operator="lessThan">
      <formula>10.237</formula>
    </cfRule>
  </conditionalFormatting>
  <conditionalFormatting sqref="Y511:AA512">
    <cfRule type="cellIs" priority="1376" stopIfTrue="1" operator="lessThan">
      <formula>10.237</formula>
    </cfRule>
  </conditionalFormatting>
  <conditionalFormatting sqref="AH513:AH514 AC513:AC515 Y513:Z515">
    <cfRule type="cellIs" priority="1375" stopIfTrue="1" operator="lessThan">
      <formula>10.237</formula>
    </cfRule>
  </conditionalFormatting>
  <conditionalFormatting sqref="Y517:AA518">
    <cfRule type="cellIs" priority="1374" stopIfTrue="1" operator="lessThan">
      <formula>10.237</formula>
    </cfRule>
  </conditionalFormatting>
  <conditionalFormatting sqref="AH519:AH520 AC519:AC521 Y519:Z521">
    <cfRule type="cellIs" priority="1373" stopIfTrue="1" operator="lessThan">
      <formula>10.237</formula>
    </cfRule>
  </conditionalFormatting>
  <conditionalFormatting sqref="Y524:Z524">
    <cfRule type="cellIs" priority="1372" stopIfTrue="1" operator="lessThan">
      <formula>10.237</formula>
    </cfRule>
  </conditionalFormatting>
  <conditionalFormatting sqref="Y523:AA523">
    <cfRule type="cellIs" priority="1371" stopIfTrue="1" operator="lessThan">
      <formula>10.237</formula>
    </cfRule>
  </conditionalFormatting>
  <conditionalFormatting sqref="AH525:AH526 AC525:AC528 Y525:Z528">
    <cfRule type="cellIs" priority="1370" stopIfTrue="1" operator="lessThan">
      <formula>10.237</formula>
    </cfRule>
  </conditionalFormatting>
  <conditionalFormatting sqref="Y547:Z547 Y549:Z549">
    <cfRule type="cellIs" priority="1369" stopIfTrue="1" operator="lessThan">
      <formula>10.237</formula>
    </cfRule>
  </conditionalFormatting>
  <conditionalFormatting sqref="Y550:Z552">
    <cfRule type="cellIs" priority="1368" stopIfTrue="1" operator="lessThan">
      <formula>10.237</formula>
    </cfRule>
  </conditionalFormatting>
  <conditionalFormatting sqref="Y592:Z593">
    <cfRule type="cellIs" priority="1367" stopIfTrue="1" operator="lessThan">
      <formula>10.237</formula>
    </cfRule>
  </conditionalFormatting>
  <conditionalFormatting sqref="AH594:AH595 AC594:AC596 Y594:Z596">
    <cfRule type="cellIs" priority="1366" stopIfTrue="1" operator="lessThan">
      <formula>10.237</formula>
    </cfRule>
  </conditionalFormatting>
  <conditionalFormatting sqref="Y580:Z581">
    <cfRule type="cellIs" priority="1365" stopIfTrue="1" operator="lessThan">
      <formula>10.237</formula>
    </cfRule>
  </conditionalFormatting>
  <conditionalFormatting sqref="AH582:AH583 AC582:AC584 Y582:Z584">
    <cfRule type="cellIs" priority="1364" stopIfTrue="1" operator="lessThan">
      <formula>10.237</formula>
    </cfRule>
  </conditionalFormatting>
  <conditionalFormatting sqref="Y604:AA605">
    <cfRule type="cellIs" priority="1363" stopIfTrue="1" operator="lessThan">
      <formula>10.237</formula>
    </cfRule>
  </conditionalFormatting>
  <conditionalFormatting sqref="AH606:AH607 AC606:AC609 Y606:Z609">
    <cfRule type="cellIs" priority="1362" stopIfTrue="1" operator="lessThan">
      <formula>10.237</formula>
    </cfRule>
  </conditionalFormatting>
  <conditionalFormatting sqref="Y616:AA617">
    <cfRule type="cellIs" priority="1361" stopIfTrue="1" operator="lessThan">
      <formula>10.237</formula>
    </cfRule>
  </conditionalFormatting>
  <conditionalFormatting sqref="Y629:AA629">
    <cfRule type="cellIs" priority="1359" stopIfTrue="1" operator="lessThan">
      <formula>10.237</formula>
    </cfRule>
  </conditionalFormatting>
  <conditionalFormatting sqref="Y628:Z628">
    <cfRule type="cellIs" priority="1358" stopIfTrue="1" operator="lessThan">
      <formula>10.237</formula>
    </cfRule>
  </conditionalFormatting>
  <conditionalFormatting sqref="AH630:AH631 AC630:AC632 Y630:Z632">
    <cfRule type="cellIs" priority="1357" stopIfTrue="1" operator="lessThan">
      <formula>10.237</formula>
    </cfRule>
  </conditionalFormatting>
  <conditionalFormatting sqref="Y634:Z634">
    <cfRule type="cellIs" priority="1356" stopIfTrue="1" operator="lessThan">
      <formula>10.237</formula>
    </cfRule>
  </conditionalFormatting>
  <conditionalFormatting sqref="Y635:AA635">
    <cfRule type="cellIs" priority="1355" stopIfTrue="1" operator="lessThan">
      <formula>10.237</formula>
    </cfRule>
  </conditionalFormatting>
  <conditionalFormatting sqref="AH636:AH637 AC636:AC638 Y636:Z638">
    <cfRule type="cellIs" priority="1354" stopIfTrue="1" operator="lessThan">
      <formula>10.237</formula>
    </cfRule>
  </conditionalFormatting>
  <conditionalFormatting sqref="Y653:Z653">
    <cfRule type="cellIs" priority="1353" stopIfTrue="1" operator="lessThan">
      <formula>10.237</formula>
    </cfRule>
  </conditionalFormatting>
  <conditionalFormatting sqref="Y654:AA654">
    <cfRule type="cellIs" priority="1352" stopIfTrue="1" operator="lessThan">
      <formula>10.237</formula>
    </cfRule>
  </conditionalFormatting>
  <conditionalFormatting sqref="AH655:AH656 AC655:AC657 Y655:Z657">
    <cfRule type="cellIs" priority="1351" stopIfTrue="1" operator="lessThan">
      <formula>10.237</formula>
    </cfRule>
  </conditionalFormatting>
  <conditionalFormatting sqref="Y660:AA660">
    <cfRule type="cellIs" priority="1350" stopIfTrue="1" operator="lessThan">
      <formula>10.237</formula>
    </cfRule>
  </conditionalFormatting>
  <conditionalFormatting sqref="Y659:AA659">
    <cfRule type="cellIs" priority="1349" stopIfTrue="1" operator="lessThan">
      <formula>10.237</formula>
    </cfRule>
  </conditionalFormatting>
  <conditionalFormatting sqref="AH661:AH662 AC661:AC663 Y661:Z663">
    <cfRule type="cellIs" priority="1348" stopIfTrue="1" operator="lessThan">
      <formula>10.237</formula>
    </cfRule>
  </conditionalFormatting>
  <conditionalFormatting sqref="Y665:AA666">
    <cfRule type="cellIs" priority="1347" stopIfTrue="1" operator="lessThan">
      <formula>10.237</formula>
    </cfRule>
  </conditionalFormatting>
  <conditionalFormatting sqref="AH667:AH668 AC667:AC669 Y667:Z669">
    <cfRule type="cellIs" priority="1346" stopIfTrue="1" operator="lessThan">
      <formula>10.237</formula>
    </cfRule>
  </conditionalFormatting>
  <conditionalFormatting sqref="Y671:AA672">
    <cfRule type="cellIs" priority="1345" stopIfTrue="1" operator="lessThan">
      <formula>10.237</formula>
    </cfRule>
  </conditionalFormatting>
  <conditionalFormatting sqref="AH673:AH674 AC673:AC675 Y673:Z675">
    <cfRule type="cellIs" priority="1344" stopIfTrue="1" operator="lessThan">
      <formula>10.237</formula>
    </cfRule>
  </conditionalFormatting>
  <conditionalFormatting sqref="Y677:AA678">
    <cfRule type="cellIs" priority="1343" stopIfTrue="1" operator="lessThan">
      <formula>10.237</formula>
    </cfRule>
  </conditionalFormatting>
  <conditionalFormatting sqref="AH679:AH680 AC679:AC681 Y679:Z681">
    <cfRule type="cellIs" priority="1342" stopIfTrue="1" operator="lessThan">
      <formula>10.237</formula>
    </cfRule>
  </conditionalFormatting>
  <conditionalFormatting sqref="Y689:Z690">
    <cfRule type="cellIs" priority="1341" stopIfTrue="1" operator="lessThan">
      <formula>10.237</formula>
    </cfRule>
  </conditionalFormatting>
  <conditionalFormatting sqref="AH691:AH692 AC691:AC693 Y691:Z693">
    <cfRule type="cellIs" priority="1340" stopIfTrue="1" operator="lessThan">
      <formula>10.237</formula>
    </cfRule>
  </conditionalFormatting>
  <conditionalFormatting sqref="Y701:AA702">
    <cfRule type="cellIs" priority="1339" stopIfTrue="1" operator="lessThan">
      <formula>10.237</formula>
    </cfRule>
  </conditionalFormatting>
  <conditionalFormatting sqref="AH703:AH704 AC703:AC705 Y703:Z705">
    <cfRule type="cellIs" priority="1338" stopIfTrue="1" operator="lessThan">
      <formula>10.237</formula>
    </cfRule>
  </conditionalFormatting>
  <conditionalFormatting sqref="Y536:Z536">
    <cfRule type="cellIs" priority="1337" stopIfTrue="1" operator="lessThan">
      <formula>10.237</formula>
    </cfRule>
  </conditionalFormatting>
  <conditionalFormatting sqref="Y535:AA535">
    <cfRule type="cellIs" priority="1336" stopIfTrue="1" operator="lessThan">
      <formula>10.237</formula>
    </cfRule>
  </conditionalFormatting>
  <conditionalFormatting sqref="AC537 Y537:Z537 Y538">
    <cfRule type="cellIs" priority="1335" stopIfTrue="1" operator="lessThan">
      <formula>10.237</formula>
    </cfRule>
  </conditionalFormatting>
  <conditionalFormatting sqref="AH538 AC538 Z538">
    <cfRule type="cellIs" priority="1334" stopIfTrue="1" operator="lessThan">
      <formula>10.237</formula>
    </cfRule>
  </conditionalFormatting>
  <conditionalFormatting sqref="AC539 Z539">
    <cfRule type="cellIs" priority="1333" stopIfTrue="1" operator="lessThan">
      <formula>10.237</formula>
    </cfRule>
  </conditionalFormatting>
  <conditionalFormatting sqref="Y422:AA422">
    <cfRule type="cellIs" priority="1332" stopIfTrue="1" operator="lessThan">
      <formula>10.237</formula>
    </cfRule>
  </conditionalFormatting>
  <conditionalFormatting sqref="Y421:AA421">
    <cfRule type="cellIs" priority="1331" stopIfTrue="1" operator="lessThan">
      <formula>10.237</formula>
    </cfRule>
  </conditionalFormatting>
  <conditionalFormatting sqref="AH423:AH424 AC423:AC425 Y423:Z425">
    <cfRule type="cellIs" priority="1330" stopIfTrue="1" operator="lessThan">
      <formula>10.237</formula>
    </cfRule>
  </conditionalFormatting>
  <conditionalFormatting sqref="Y446:Z446">
    <cfRule type="cellIs" priority="1329" stopIfTrue="1" operator="lessThan">
      <formula>10.237</formula>
    </cfRule>
  </conditionalFormatting>
  <conditionalFormatting sqref="AH447:AH448 AC447:AC449 Y447:Z449">
    <cfRule type="cellIs" priority="1328" stopIfTrue="1" operator="lessThan">
      <formula>10.237</formula>
    </cfRule>
  </conditionalFormatting>
  <conditionalFormatting sqref="Y445:Z445">
    <cfRule type="cellIs" priority="1327" stopIfTrue="1" operator="lessThan">
      <formula>10.237</formula>
    </cfRule>
  </conditionalFormatting>
  <conditionalFormatting sqref="Y500:AA500">
    <cfRule type="cellIs" priority="1326" stopIfTrue="1" operator="lessThan">
      <formula>10.237</formula>
    </cfRule>
  </conditionalFormatting>
  <conditionalFormatting sqref="Y499:AA499">
    <cfRule type="cellIs" priority="1325" stopIfTrue="1" operator="lessThan">
      <formula>10.237</formula>
    </cfRule>
  </conditionalFormatting>
  <conditionalFormatting sqref="AH501:AH502 AC501:AC503 Y501:Z503">
    <cfRule type="cellIs" priority="1324" stopIfTrue="1" operator="lessThan">
      <formula>10.237</formula>
    </cfRule>
  </conditionalFormatting>
  <conditionalFormatting sqref="AH471:AH472 AC471:AC473 Y471:Z473">
    <cfRule type="cellIs" priority="1321" stopIfTrue="1" operator="lessThan">
      <formula>10.237</formula>
    </cfRule>
  </conditionalFormatting>
  <conditionalFormatting sqref="Y548:Z548">
    <cfRule type="cellIs" priority="1320" stopIfTrue="1" operator="lessThan">
      <formula>10.237</formula>
    </cfRule>
  </conditionalFormatting>
  <conditionalFormatting sqref="Y470:AA470">
    <cfRule type="cellIs" priority="1323" stopIfTrue="1" operator="lessThan">
      <formula>10.237</formula>
    </cfRule>
  </conditionalFormatting>
  <conditionalFormatting sqref="Y469:AA469">
    <cfRule type="cellIs" priority="1322" stopIfTrue="1" operator="lessThan">
      <formula>10.237</formula>
    </cfRule>
  </conditionalFormatting>
  <conditionalFormatting sqref="Y529:Z530">
    <cfRule type="cellIs" priority="1319" stopIfTrue="1" operator="lessThan">
      <formula>10.237</formula>
    </cfRule>
  </conditionalFormatting>
  <conditionalFormatting sqref="AH531:AH532 AC531:AC533 Y531:Z533">
    <cfRule type="cellIs" priority="1318" stopIfTrue="1" operator="lessThan">
      <formula>10.237</formula>
    </cfRule>
  </conditionalFormatting>
  <conditionalFormatting sqref="AC550:AC552">
    <cfRule type="cellIs" priority="1317" stopIfTrue="1" operator="lessThan">
      <formula>10.237</formula>
    </cfRule>
  </conditionalFormatting>
  <conditionalFormatting sqref="AH550:AH552">
    <cfRule type="cellIs" priority="1316" stopIfTrue="1" operator="lessThan">
      <formula>10.237</formula>
    </cfRule>
  </conditionalFormatting>
  <conditionalFormatting sqref="AH557">
    <cfRule type="cellIs" priority="1315" stopIfTrue="1" operator="lessThan">
      <formula>10.237</formula>
    </cfRule>
  </conditionalFormatting>
  <conditionalFormatting sqref="Y556:Z556">
    <cfRule type="cellIs" priority="1314" stopIfTrue="1" operator="lessThan">
      <formula>10.237</formula>
    </cfRule>
  </conditionalFormatting>
  <conditionalFormatting sqref="Y555:AA555">
    <cfRule type="cellIs" priority="1313" stopIfTrue="1" operator="lessThan">
      <formula>10.237</formula>
    </cfRule>
  </conditionalFormatting>
  <conditionalFormatting sqref="AC557 Y557:Z557 Y558">
    <cfRule type="cellIs" priority="1312" stopIfTrue="1" operator="lessThan">
      <formula>10.237</formula>
    </cfRule>
  </conditionalFormatting>
  <conditionalFormatting sqref="AH558 AC558 Z558">
    <cfRule type="cellIs" priority="1311" stopIfTrue="1" operator="lessThan">
      <formula>10.237</formula>
    </cfRule>
  </conditionalFormatting>
  <conditionalFormatting sqref="AC559 Z559">
    <cfRule type="cellIs" priority="1310" stopIfTrue="1" operator="lessThan">
      <formula>10.237</formula>
    </cfRule>
  </conditionalFormatting>
  <conditionalFormatting sqref="AH564">
    <cfRule type="cellIs" priority="1309" stopIfTrue="1" operator="lessThan">
      <formula>10.237</formula>
    </cfRule>
  </conditionalFormatting>
  <conditionalFormatting sqref="Y563:Z563">
    <cfRule type="cellIs" priority="1308" stopIfTrue="1" operator="lessThan">
      <formula>10.237</formula>
    </cfRule>
  </conditionalFormatting>
  <conditionalFormatting sqref="Y562:AA562">
    <cfRule type="cellIs" priority="1307" stopIfTrue="1" operator="lessThan">
      <formula>10.237</formula>
    </cfRule>
  </conditionalFormatting>
  <conditionalFormatting sqref="AC564 Y564:Z564 Y565">
    <cfRule type="cellIs" priority="1306" stopIfTrue="1" operator="lessThan">
      <formula>10.237</formula>
    </cfRule>
  </conditionalFormatting>
  <conditionalFormatting sqref="AH565 AC565 Z565">
    <cfRule type="cellIs" priority="1305" stopIfTrue="1" operator="lessThan">
      <formula>10.237</formula>
    </cfRule>
  </conditionalFormatting>
  <conditionalFormatting sqref="AC566 Z566">
    <cfRule type="cellIs" priority="1304" stopIfTrue="1" operator="lessThan">
      <formula>10.237</formula>
    </cfRule>
  </conditionalFormatting>
  <conditionalFormatting sqref="AH570">
    <cfRule type="cellIs" priority="1303" stopIfTrue="1" operator="lessThan">
      <formula>10.237</formula>
    </cfRule>
  </conditionalFormatting>
  <conditionalFormatting sqref="Y569:Z569">
    <cfRule type="cellIs" priority="1302" stopIfTrue="1" operator="lessThan">
      <formula>10.237</formula>
    </cfRule>
  </conditionalFormatting>
  <conditionalFormatting sqref="Y568:AA568">
    <cfRule type="cellIs" priority="1301" stopIfTrue="1" operator="lessThan">
      <formula>10.237</formula>
    </cfRule>
  </conditionalFormatting>
  <conditionalFormatting sqref="AC570 Y570:Z570 Y571">
    <cfRule type="cellIs" priority="1300" stopIfTrue="1" operator="lessThan">
      <formula>10.237</formula>
    </cfRule>
  </conditionalFormatting>
  <conditionalFormatting sqref="AH571 AC571 Z571">
    <cfRule type="cellIs" priority="1299" stopIfTrue="1" operator="lessThan">
      <formula>10.237</formula>
    </cfRule>
  </conditionalFormatting>
  <conditionalFormatting sqref="AC572 Z572">
    <cfRule type="cellIs" priority="1298" stopIfTrue="1" operator="lessThan">
      <formula>10.237</formula>
    </cfRule>
  </conditionalFormatting>
  <conditionalFormatting sqref="Y586:Z587">
    <cfRule type="cellIs" priority="1297" stopIfTrue="1" operator="lessThan">
      <formula>10.237</formula>
    </cfRule>
  </conditionalFormatting>
  <conditionalFormatting sqref="AH588:AH589 AC588:AC590 Y588:Z590">
    <cfRule type="cellIs" priority="1296" stopIfTrue="1" operator="lessThan">
      <formula>10.237</formula>
    </cfRule>
  </conditionalFormatting>
  <conditionalFormatting sqref="AC578 Z578">
    <cfRule type="cellIs" priority="1288" stopIfTrue="1" operator="lessThan">
      <formula>10.237</formula>
    </cfRule>
  </conditionalFormatting>
  <conditionalFormatting sqref="AH643:AH645">
    <cfRule type="cellIs" priority="1283" stopIfTrue="1" operator="lessThan">
      <formula>10.237</formula>
    </cfRule>
  </conditionalFormatting>
  <conditionalFormatting sqref="AH600:AH601 AC600:AC602 Y600:Z602">
    <cfRule type="cellIs" priority="1294" stopIfTrue="1" operator="lessThan">
      <formula>10.237</formula>
    </cfRule>
  </conditionalFormatting>
  <conditionalFormatting sqref="Y598:AA599">
    <cfRule type="cellIs" priority="1295" stopIfTrue="1" operator="lessThan">
      <formula>10.237</formula>
    </cfRule>
  </conditionalFormatting>
  <conditionalFormatting sqref="AH576">
    <cfRule type="cellIs" priority="1293" stopIfTrue="1" operator="lessThan">
      <formula>10.237</formula>
    </cfRule>
  </conditionalFormatting>
  <conditionalFormatting sqref="Y575:Z575">
    <cfRule type="cellIs" priority="1292" stopIfTrue="1" operator="lessThan">
      <formula>10.237</formula>
    </cfRule>
  </conditionalFormatting>
  <conditionalFormatting sqref="Y574:AA574">
    <cfRule type="cellIs" priority="1291" stopIfTrue="1" operator="lessThan">
      <formula>10.237</formula>
    </cfRule>
  </conditionalFormatting>
  <conditionalFormatting sqref="AC576 Y576:Z576 Y577">
    <cfRule type="cellIs" priority="1290" stopIfTrue="1" operator="lessThan">
      <formula>10.237</formula>
    </cfRule>
  </conditionalFormatting>
  <conditionalFormatting sqref="AH577 AC577 Z577">
    <cfRule type="cellIs" priority="1289" stopIfTrue="1" operator="lessThan">
      <formula>10.237</formula>
    </cfRule>
  </conditionalFormatting>
  <conditionalFormatting sqref="Y640:Z640 Y642:Z642">
    <cfRule type="cellIs" priority="1287" stopIfTrue="1" operator="lessThan">
      <formula>10.237</formula>
    </cfRule>
  </conditionalFormatting>
  <conditionalFormatting sqref="Y643:Z645">
    <cfRule type="cellIs" priority="1286" stopIfTrue="1" operator="lessThan">
      <formula>10.237</formula>
    </cfRule>
  </conditionalFormatting>
  <conditionalFormatting sqref="Y641:Z641">
    <cfRule type="cellIs" priority="1285" stopIfTrue="1" operator="lessThan">
      <formula>10.237</formula>
    </cfRule>
  </conditionalFormatting>
  <conditionalFormatting sqref="AC643:AC645">
    <cfRule type="cellIs" priority="1284" stopIfTrue="1" operator="lessThan">
      <formula>10.237</formula>
    </cfRule>
  </conditionalFormatting>
  <conditionalFormatting sqref="Y610:AA611">
    <cfRule type="cellIs" priority="1282" stopIfTrue="1" operator="lessThan">
      <formula>10.237</formula>
    </cfRule>
  </conditionalFormatting>
  <conditionalFormatting sqref="AH612:AH613 AC612:AC615 Y612:Z615">
    <cfRule type="cellIs" priority="1281" stopIfTrue="1" operator="lessThan">
      <formula>10.237</formula>
    </cfRule>
  </conditionalFormatting>
  <conditionalFormatting sqref="AH624:AH625 AC624:AC627 Y624:Z627">
    <cfRule type="cellIs" priority="1279" stopIfTrue="1" operator="lessThan">
      <formula>10.237</formula>
    </cfRule>
  </conditionalFormatting>
  <conditionalFormatting sqref="Y622:AA623">
    <cfRule type="cellIs" priority="1280" stopIfTrue="1" operator="lessThan">
      <formula>10.237</formula>
    </cfRule>
  </conditionalFormatting>
  <conditionalFormatting sqref="AH543">
    <cfRule type="cellIs" priority="1278" stopIfTrue="1" operator="lessThan">
      <formula>10.237</formula>
    </cfRule>
  </conditionalFormatting>
  <conditionalFormatting sqref="Y542:Z542">
    <cfRule type="cellIs" priority="1277" stopIfTrue="1" operator="lessThan">
      <formula>10.237</formula>
    </cfRule>
  </conditionalFormatting>
  <conditionalFormatting sqref="Y541:AA541">
    <cfRule type="cellIs" priority="1276" stopIfTrue="1" operator="lessThan">
      <formula>10.237</formula>
    </cfRule>
  </conditionalFormatting>
  <conditionalFormatting sqref="AC543 Y543:Z543 Y544">
    <cfRule type="cellIs" priority="1275" stopIfTrue="1" operator="lessThan">
      <formula>10.237</formula>
    </cfRule>
  </conditionalFormatting>
  <conditionalFormatting sqref="AH544 AC544 Z544">
    <cfRule type="cellIs" priority="1274" stopIfTrue="1" operator="lessThan">
      <formula>10.237</formula>
    </cfRule>
  </conditionalFormatting>
  <conditionalFormatting sqref="AC545 Z545">
    <cfRule type="cellIs" priority="1273" stopIfTrue="1" operator="lessThan">
      <formula>10.237</formula>
    </cfRule>
  </conditionalFormatting>
  <conditionalFormatting sqref="Y234:Z234 Y235">
    <cfRule type="cellIs" priority="1272" stopIfTrue="1" operator="lessThan">
      <formula>10.237</formula>
    </cfRule>
  </conditionalFormatting>
  <conditionalFormatting sqref="AK234:AK235">
    <cfRule type="cellIs" priority="1271" stopIfTrue="1" operator="lessThan">
      <formula>10.237</formula>
    </cfRule>
  </conditionalFormatting>
  <conditionalFormatting sqref="AL234:AL235">
    <cfRule type="cellIs" priority="1270" stopIfTrue="1" operator="lessThan">
      <formula>10.237</formula>
    </cfRule>
  </conditionalFormatting>
  <conditionalFormatting sqref="AK234:AL235">
    <cfRule type="cellIs" dxfId="748" priority="1268" operator="lessThan">
      <formula>0</formula>
    </cfRule>
    <cfRule type="cellIs" dxfId="747" priority="1269" operator="lessThan">
      <formula>0</formula>
    </cfRule>
  </conditionalFormatting>
  <conditionalFormatting sqref="AA234:AA235">
    <cfRule type="cellIs" priority="1267" stopIfTrue="1" operator="lessThan">
      <formula>10.237</formula>
    </cfRule>
  </conditionalFormatting>
  <conditionalFormatting sqref="AD234:AD235">
    <cfRule type="cellIs" priority="1266" stopIfTrue="1" operator="lessThan">
      <formula>10.237</formula>
    </cfRule>
  </conditionalFormatting>
  <conditionalFormatting sqref="AH236:AH237 AC236:AC238 Y236:Z238">
    <cfRule type="cellIs" priority="1265" stopIfTrue="1" operator="lessThan">
      <formula>10.237</formula>
    </cfRule>
  </conditionalFormatting>
  <conditionalFormatting sqref="AK238">
    <cfRule type="cellIs" priority="1264" stopIfTrue="1" operator="lessThan">
      <formula>10.237</formula>
    </cfRule>
  </conditionalFormatting>
  <conditionalFormatting sqref="AL238">
    <cfRule type="cellIs" priority="1263" stopIfTrue="1" operator="lessThan">
      <formula>10.237</formula>
    </cfRule>
  </conditionalFormatting>
  <conditionalFormatting sqref="AK238:AL238">
    <cfRule type="cellIs" dxfId="746" priority="1261" operator="lessThan">
      <formula>0</formula>
    </cfRule>
    <cfRule type="cellIs" dxfId="745" priority="1262" operator="lessThan">
      <formula>0</formula>
    </cfRule>
  </conditionalFormatting>
  <conditionalFormatting sqref="Y198:Z199">
    <cfRule type="cellIs" priority="1260" stopIfTrue="1" operator="lessThan">
      <formula>10.237</formula>
    </cfRule>
  </conditionalFormatting>
  <conditionalFormatting sqref="AK198:AK199">
    <cfRule type="cellIs" priority="1259" stopIfTrue="1" operator="lessThan">
      <formula>10.237</formula>
    </cfRule>
  </conditionalFormatting>
  <conditionalFormatting sqref="AL198:AL199">
    <cfRule type="cellIs" priority="1258" stopIfTrue="1" operator="lessThan">
      <formula>10.237</formula>
    </cfRule>
  </conditionalFormatting>
  <conditionalFormatting sqref="AK198:AL199">
    <cfRule type="cellIs" dxfId="744" priority="1256" operator="lessThan">
      <formula>0</formula>
    </cfRule>
    <cfRule type="cellIs" dxfId="743" priority="1257" operator="lessThan">
      <formula>0</formula>
    </cfRule>
  </conditionalFormatting>
  <conditionalFormatting sqref="AA198:AA199">
    <cfRule type="cellIs" priority="1255" stopIfTrue="1" operator="lessThan">
      <formula>10.237</formula>
    </cfRule>
  </conditionalFormatting>
  <conditionalFormatting sqref="AD198:AD199">
    <cfRule type="cellIs" priority="1254" stopIfTrue="1" operator="lessThan">
      <formula>10.237</formula>
    </cfRule>
  </conditionalFormatting>
  <conditionalFormatting sqref="AH200:AH201 AC200:AC202 Y200:Z202">
    <cfRule type="cellIs" priority="1253" stopIfTrue="1" operator="lessThan">
      <formula>10.237</formula>
    </cfRule>
  </conditionalFormatting>
  <conditionalFormatting sqref="AK202">
    <cfRule type="cellIs" priority="1252" stopIfTrue="1" operator="lessThan">
      <formula>10.237</formula>
    </cfRule>
  </conditionalFormatting>
  <conditionalFormatting sqref="AL202">
    <cfRule type="cellIs" priority="1251" stopIfTrue="1" operator="lessThan">
      <formula>10.237</formula>
    </cfRule>
  </conditionalFormatting>
  <conditionalFormatting sqref="AK202:AL202">
    <cfRule type="cellIs" dxfId="742" priority="1249" operator="lessThan">
      <formula>0</formula>
    </cfRule>
    <cfRule type="cellIs" dxfId="741" priority="1250" operator="lessThan">
      <formula>0</formula>
    </cfRule>
  </conditionalFormatting>
  <conditionalFormatting sqref="Y222:Y223 AA222:AA223">
    <cfRule type="cellIs" priority="1248" stopIfTrue="1" operator="lessThan">
      <formula>10.237</formula>
    </cfRule>
  </conditionalFormatting>
  <conditionalFormatting sqref="AK222:AK223">
    <cfRule type="cellIs" priority="1247" stopIfTrue="1" operator="lessThan">
      <formula>10.237</formula>
    </cfRule>
  </conditionalFormatting>
  <conditionalFormatting sqref="AL222:AL223">
    <cfRule type="cellIs" priority="1246" stopIfTrue="1" operator="lessThan">
      <formula>10.237</formula>
    </cfRule>
  </conditionalFormatting>
  <conditionalFormatting sqref="AK222:AL223">
    <cfRule type="cellIs" dxfId="740" priority="1241" operator="lessThan">
      <formula>0</formula>
    </cfRule>
    <cfRule type="cellIs" dxfId="739" priority="1245" operator="lessThan">
      <formula>0</formula>
    </cfRule>
  </conditionalFormatting>
  <conditionalFormatting sqref="AD222:AD223">
    <cfRule type="cellIs" priority="1244" stopIfTrue="1" operator="lessThan">
      <formula>10.237</formula>
    </cfRule>
  </conditionalFormatting>
  <conditionalFormatting sqref="AK222:AK223">
    <cfRule type="cellIs" priority="1243" stopIfTrue="1" operator="lessThan">
      <formula>10.237</formula>
    </cfRule>
  </conditionalFormatting>
  <conditionalFormatting sqref="AL222:AL223">
    <cfRule type="cellIs" priority="1242" stopIfTrue="1" operator="lessThan">
      <formula>10.237</formula>
    </cfRule>
  </conditionalFormatting>
  <conditionalFormatting sqref="AH224:AH225 AC224:AC226 Y224:Z226">
    <cfRule type="cellIs" priority="1240" stopIfTrue="1" operator="lessThan">
      <formula>10.237</formula>
    </cfRule>
  </conditionalFormatting>
  <conditionalFormatting sqref="AK226">
    <cfRule type="cellIs" priority="1239" stopIfTrue="1" operator="lessThan">
      <formula>10.237</formula>
    </cfRule>
  </conditionalFormatting>
  <conditionalFormatting sqref="AL226">
    <cfRule type="cellIs" priority="1238" stopIfTrue="1" operator="lessThan">
      <formula>10.237</formula>
    </cfRule>
  </conditionalFormatting>
  <conditionalFormatting sqref="AK226:AL226">
    <cfRule type="cellIs" dxfId="738" priority="1236" operator="lessThan">
      <formula>0</formula>
    </cfRule>
    <cfRule type="cellIs" dxfId="737" priority="1237" operator="lessThan">
      <formula>0</formula>
    </cfRule>
  </conditionalFormatting>
  <conditionalFormatting sqref="Y210:AA211">
    <cfRule type="cellIs" priority="1235" stopIfTrue="1" operator="lessThan">
      <formula>10.237</formula>
    </cfRule>
  </conditionalFormatting>
  <conditionalFormatting sqref="AK210:AK211">
    <cfRule type="cellIs" priority="1234" stopIfTrue="1" operator="lessThan">
      <formula>10.237</formula>
    </cfRule>
  </conditionalFormatting>
  <conditionalFormatting sqref="AL210:AL211">
    <cfRule type="cellIs" priority="1233" stopIfTrue="1" operator="lessThan">
      <formula>10.237</formula>
    </cfRule>
  </conditionalFormatting>
  <conditionalFormatting sqref="AK210:AL211">
    <cfRule type="cellIs" dxfId="736" priority="1228" operator="lessThan">
      <formula>0</formula>
    </cfRule>
    <cfRule type="cellIs" dxfId="735" priority="1232" operator="lessThan">
      <formula>0</formula>
    </cfRule>
  </conditionalFormatting>
  <conditionalFormatting sqref="AD210:AD211">
    <cfRule type="cellIs" priority="1231" stopIfTrue="1" operator="lessThan">
      <formula>10.237</formula>
    </cfRule>
  </conditionalFormatting>
  <conditionalFormatting sqref="AK210:AK211">
    <cfRule type="cellIs" priority="1230" stopIfTrue="1" operator="lessThan">
      <formula>10.237</formula>
    </cfRule>
  </conditionalFormatting>
  <conditionalFormatting sqref="AL210:AL211">
    <cfRule type="cellIs" priority="1229" stopIfTrue="1" operator="lessThan">
      <formula>10.237</formula>
    </cfRule>
  </conditionalFormatting>
  <conditionalFormatting sqref="AH212:AH213 AC212:AC214 Y212:Z214">
    <cfRule type="cellIs" priority="1227" stopIfTrue="1" operator="lessThan">
      <formula>10.237</formula>
    </cfRule>
  </conditionalFormatting>
  <conditionalFormatting sqref="AK214">
    <cfRule type="cellIs" priority="1226" stopIfTrue="1" operator="lessThan">
      <formula>10.237</formula>
    </cfRule>
  </conditionalFormatting>
  <conditionalFormatting sqref="AL214">
    <cfRule type="cellIs" priority="1225" stopIfTrue="1" operator="lessThan">
      <formula>10.237</formula>
    </cfRule>
  </conditionalFormatting>
  <conditionalFormatting sqref="AK214:AL214">
    <cfRule type="cellIs" dxfId="734" priority="1223" operator="lessThan">
      <formula>0</formula>
    </cfRule>
    <cfRule type="cellIs" dxfId="733" priority="1224" operator="lessThan">
      <formula>0</formula>
    </cfRule>
  </conditionalFormatting>
  <conditionalFormatting sqref="Y156:Z156 Y157">
    <cfRule type="cellIs" priority="1222" stopIfTrue="1" operator="lessThan">
      <formula>10.237</formula>
    </cfRule>
  </conditionalFormatting>
  <conditionalFormatting sqref="AK156:AK157">
    <cfRule type="cellIs" priority="1221" stopIfTrue="1" operator="lessThan">
      <formula>10.237</formula>
    </cfRule>
  </conditionalFormatting>
  <conditionalFormatting sqref="AL156:AL157">
    <cfRule type="cellIs" priority="1220" stopIfTrue="1" operator="lessThan">
      <formula>10.237</formula>
    </cfRule>
  </conditionalFormatting>
  <conditionalFormatting sqref="AK156:AL157">
    <cfRule type="cellIs" dxfId="732" priority="1218" operator="lessThan">
      <formula>0</formula>
    </cfRule>
    <cfRule type="cellIs" dxfId="731" priority="1219" operator="lessThan">
      <formula>0</formula>
    </cfRule>
  </conditionalFormatting>
  <conditionalFormatting sqref="AA156:AA157">
    <cfRule type="cellIs" priority="1217" stopIfTrue="1" operator="lessThan">
      <formula>10.237</formula>
    </cfRule>
  </conditionalFormatting>
  <conditionalFormatting sqref="AD156:AD157">
    <cfRule type="cellIs" priority="1216" stopIfTrue="1" operator="lessThan">
      <formula>10.237</formula>
    </cfRule>
  </conditionalFormatting>
  <conditionalFormatting sqref="AH158:AH159 AC158:AC160 Y158:Z160">
    <cfRule type="cellIs" priority="1215" stopIfTrue="1" operator="lessThan">
      <formula>10.237</formula>
    </cfRule>
  </conditionalFormatting>
  <conditionalFormatting sqref="AK160">
    <cfRule type="cellIs" priority="1214" stopIfTrue="1" operator="lessThan">
      <formula>10.237</formula>
    </cfRule>
  </conditionalFormatting>
  <conditionalFormatting sqref="AL160">
    <cfRule type="cellIs" priority="1213" stopIfTrue="1" operator="lessThan">
      <formula>10.237</formula>
    </cfRule>
  </conditionalFormatting>
  <conditionalFormatting sqref="AK160:AL160">
    <cfRule type="cellIs" dxfId="730" priority="1211" operator="lessThan">
      <formula>0</formula>
    </cfRule>
    <cfRule type="cellIs" dxfId="729" priority="1212" operator="lessThan">
      <formula>0</formula>
    </cfRule>
  </conditionalFormatting>
  <conditionalFormatting sqref="AL294">
    <cfRule type="cellIs" priority="1197" stopIfTrue="1" operator="lessThan">
      <formula>10.237</formula>
    </cfRule>
  </conditionalFormatting>
  <conditionalFormatting sqref="AD174">
    <cfRule type="cellIs" priority="1176" stopIfTrue="1" operator="lessThan">
      <formula>10.237</formula>
    </cfRule>
  </conditionalFormatting>
  <conditionalFormatting sqref="AH296:AH297 AC296:AC298 Y296:Z298">
    <cfRule type="cellIs" priority="1195" stopIfTrue="1" operator="lessThan">
      <formula>10.237</formula>
    </cfRule>
  </conditionalFormatting>
  <conditionalFormatting sqref="AH352:AH354">
    <cfRule type="cellIs" priority="742" stopIfTrue="1" operator="lessThan">
      <formula>10.237</formula>
    </cfRule>
  </conditionalFormatting>
  <conditionalFormatting sqref="AC352:AC354">
    <cfRule type="cellIs" priority="743" stopIfTrue="1" operator="lessThan">
      <formula>10.237</formula>
    </cfRule>
  </conditionalFormatting>
  <conditionalFormatting sqref="Y295">
    <cfRule type="cellIs" priority="1210" stopIfTrue="1" operator="lessThan">
      <formula>10.237</formula>
    </cfRule>
  </conditionalFormatting>
  <conditionalFormatting sqref="AK295">
    <cfRule type="cellIs" priority="1209" stopIfTrue="1" operator="lessThan">
      <formula>10.237</formula>
    </cfRule>
  </conditionalFormatting>
  <conditionalFormatting sqref="AL295">
    <cfRule type="cellIs" priority="1208" stopIfTrue="1" operator="lessThan">
      <formula>10.237</formula>
    </cfRule>
  </conditionalFormatting>
  <conditionalFormatting sqref="AK295:AL295">
    <cfRule type="cellIs" dxfId="728" priority="1206" operator="lessThan">
      <formula>0</formula>
    </cfRule>
    <cfRule type="cellIs" dxfId="727" priority="1207" operator="lessThan">
      <formula>0</formula>
    </cfRule>
  </conditionalFormatting>
  <conditionalFormatting sqref="AD295">
    <cfRule type="cellIs" priority="1204" stopIfTrue="1" operator="lessThan">
      <formula>10.237</formula>
    </cfRule>
  </conditionalFormatting>
  <conditionalFormatting sqref="AA295">
    <cfRule type="cellIs" priority="1205" stopIfTrue="1" operator="lessThan">
      <formula>10.237</formula>
    </cfRule>
  </conditionalFormatting>
  <conditionalFormatting sqref="Y294:AA294 Z295">
    <cfRule type="cellIs" priority="1203" stopIfTrue="1" operator="lessThan">
      <formula>10.237</formula>
    </cfRule>
  </conditionalFormatting>
  <conditionalFormatting sqref="AK294">
    <cfRule type="cellIs" priority="1202" stopIfTrue="1" operator="lessThan">
      <formula>10.237</formula>
    </cfRule>
  </conditionalFormatting>
  <conditionalFormatting sqref="AL294">
    <cfRule type="cellIs" priority="1201" stopIfTrue="1" operator="lessThan">
      <formula>10.237</formula>
    </cfRule>
  </conditionalFormatting>
  <conditionalFormatting sqref="AK294:AL294">
    <cfRule type="cellIs" dxfId="726" priority="1196" operator="lessThan">
      <formula>0</formula>
    </cfRule>
    <cfRule type="cellIs" dxfId="725" priority="1200" operator="lessThan">
      <formula>0</formula>
    </cfRule>
  </conditionalFormatting>
  <conditionalFormatting sqref="AD294">
    <cfRule type="cellIs" priority="1199" stopIfTrue="1" operator="lessThan">
      <formula>10.237</formula>
    </cfRule>
  </conditionalFormatting>
  <conditionalFormatting sqref="AK294">
    <cfRule type="cellIs" priority="1198" stopIfTrue="1" operator="lessThan">
      <formula>10.237</formula>
    </cfRule>
  </conditionalFormatting>
  <conditionalFormatting sqref="AA174">
    <cfRule type="cellIs" priority="1177" stopIfTrue="1" operator="lessThan">
      <formula>10.237</formula>
    </cfRule>
  </conditionalFormatting>
  <conditionalFormatting sqref="AH176:AH177 AC176:AC178 Y176:Z178">
    <cfRule type="cellIs" priority="1175" stopIfTrue="1" operator="lessThan">
      <formula>10.237</formula>
    </cfRule>
  </conditionalFormatting>
  <conditionalFormatting sqref="AK298">
    <cfRule type="cellIs" priority="1194" stopIfTrue="1" operator="lessThan">
      <formula>10.237</formula>
    </cfRule>
  </conditionalFormatting>
  <conditionalFormatting sqref="AL298">
    <cfRule type="cellIs" priority="1193" stopIfTrue="1" operator="lessThan">
      <formula>10.237</formula>
    </cfRule>
  </conditionalFormatting>
  <conditionalFormatting sqref="AK298:AL298">
    <cfRule type="cellIs" dxfId="724" priority="1191" operator="lessThan">
      <formula>0</formula>
    </cfRule>
    <cfRule type="cellIs" dxfId="723" priority="1192" operator="lessThan">
      <formula>0</formula>
    </cfRule>
  </conditionalFormatting>
  <conditionalFormatting sqref="Y175:AA175 Z174">
    <cfRule type="cellIs" priority="1190" stopIfTrue="1" operator="lessThan">
      <formula>10.237</formula>
    </cfRule>
  </conditionalFormatting>
  <conditionalFormatting sqref="AK175">
    <cfRule type="cellIs" priority="1189" stopIfTrue="1" operator="lessThan">
      <formula>10.237</formula>
    </cfRule>
  </conditionalFormatting>
  <conditionalFormatting sqref="AL175">
    <cfRule type="cellIs" priority="1188" stopIfTrue="1" operator="lessThan">
      <formula>10.237</formula>
    </cfRule>
  </conditionalFormatting>
  <conditionalFormatting sqref="AK175:AL175">
    <cfRule type="cellIs" dxfId="722" priority="1183" operator="lessThan">
      <formula>0</formula>
    </cfRule>
    <cfRule type="cellIs" dxfId="721" priority="1187" operator="lessThan">
      <formula>0</formula>
    </cfRule>
  </conditionalFormatting>
  <conditionalFormatting sqref="AD175">
    <cfRule type="cellIs" priority="1186" stopIfTrue="1" operator="lessThan">
      <formula>10.237</formula>
    </cfRule>
  </conditionalFormatting>
  <conditionalFormatting sqref="AK175">
    <cfRule type="cellIs" priority="1185" stopIfTrue="1" operator="lessThan">
      <formula>10.237</formula>
    </cfRule>
  </conditionalFormatting>
  <conditionalFormatting sqref="AL175">
    <cfRule type="cellIs" priority="1184" stopIfTrue="1" operator="lessThan">
      <formula>10.237</formula>
    </cfRule>
  </conditionalFormatting>
  <conditionalFormatting sqref="Y174">
    <cfRule type="cellIs" priority="1182" stopIfTrue="1" operator="lessThan">
      <formula>10.237</formula>
    </cfRule>
  </conditionalFormatting>
  <conditionalFormatting sqref="AK174">
    <cfRule type="cellIs" priority="1181" stopIfTrue="1" operator="lessThan">
      <formula>10.237</formula>
    </cfRule>
  </conditionalFormatting>
  <conditionalFormatting sqref="AL174">
    <cfRule type="cellIs" priority="1180" stopIfTrue="1" operator="lessThan">
      <formula>10.237</formula>
    </cfRule>
  </conditionalFormatting>
  <conditionalFormatting sqref="AK174:AL174">
    <cfRule type="cellIs" dxfId="720" priority="1178" operator="lessThan">
      <formula>0</formula>
    </cfRule>
    <cfRule type="cellIs" dxfId="719" priority="1179" operator="lessThan">
      <formula>0</formula>
    </cfRule>
  </conditionalFormatting>
  <conditionalFormatting sqref="AD180:AD181">
    <cfRule type="cellIs" priority="1151" stopIfTrue="1" operator="lessThan">
      <formula>10.237</formula>
    </cfRule>
  </conditionalFormatting>
  <conditionalFormatting sqref="AL306:AL307">
    <cfRule type="cellIs" priority="1164" stopIfTrue="1" operator="lessThan">
      <formula>10.237</formula>
    </cfRule>
  </conditionalFormatting>
  <conditionalFormatting sqref="AH308:AH309 AC308:AC310 Y308:Z310">
    <cfRule type="cellIs" priority="1162" stopIfTrue="1" operator="lessThan">
      <formula>10.237</formula>
    </cfRule>
  </conditionalFormatting>
  <conditionalFormatting sqref="AK178">
    <cfRule type="cellIs" priority="1174" stopIfTrue="1" operator="lessThan">
      <formula>10.237</formula>
    </cfRule>
  </conditionalFormatting>
  <conditionalFormatting sqref="AL178">
    <cfRule type="cellIs" priority="1173" stopIfTrue="1" operator="lessThan">
      <formula>10.237</formula>
    </cfRule>
  </conditionalFormatting>
  <conditionalFormatting sqref="AK178:AL178">
    <cfRule type="cellIs" dxfId="718" priority="1171" operator="lessThan">
      <formula>0</formula>
    </cfRule>
    <cfRule type="cellIs" dxfId="717" priority="1172" operator="lessThan">
      <formula>0</formula>
    </cfRule>
  </conditionalFormatting>
  <conditionalFormatting sqref="Y307:Z307 Y306">
    <cfRule type="cellIs" priority="1170" stopIfTrue="1" operator="lessThan">
      <formula>10.237</formula>
    </cfRule>
  </conditionalFormatting>
  <conditionalFormatting sqref="AK306:AK307">
    <cfRule type="cellIs" priority="1169" stopIfTrue="1" operator="lessThan">
      <formula>10.237</formula>
    </cfRule>
  </conditionalFormatting>
  <conditionalFormatting sqref="AL306:AL307">
    <cfRule type="cellIs" priority="1168" stopIfTrue="1" operator="lessThan">
      <formula>10.237</formula>
    </cfRule>
  </conditionalFormatting>
  <conditionalFormatting sqref="AK306:AL307">
    <cfRule type="cellIs" dxfId="716" priority="1163" operator="lessThan">
      <formula>0</formula>
    </cfRule>
    <cfRule type="cellIs" dxfId="715" priority="1167" operator="lessThan">
      <formula>0</formula>
    </cfRule>
  </conditionalFormatting>
  <conditionalFormatting sqref="AD306:AD307">
    <cfRule type="cellIs" priority="1166" stopIfTrue="1" operator="lessThan">
      <formula>10.237</formula>
    </cfRule>
  </conditionalFormatting>
  <conditionalFormatting sqref="AK306:AK307">
    <cfRule type="cellIs" priority="1165" stopIfTrue="1" operator="lessThan">
      <formula>10.237</formula>
    </cfRule>
  </conditionalFormatting>
  <conditionalFormatting sqref="AA180:AA181">
    <cfRule type="cellIs" priority="1152" stopIfTrue="1" operator="lessThan">
      <formula>10.237</formula>
    </cfRule>
  </conditionalFormatting>
  <conditionalFormatting sqref="AH182:AH183 AC182:AC184 Y182:Z184">
    <cfRule type="cellIs" priority="1150" stopIfTrue="1" operator="lessThan">
      <formula>10.237</formula>
    </cfRule>
  </conditionalFormatting>
  <conditionalFormatting sqref="AK310">
    <cfRule type="cellIs" priority="1161" stopIfTrue="1" operator="lessThan">
      <formula>10.237</formula>
    </cfRule>
  </conditionalFormatting>
  <conditionalFormatting sqref="AL310">
    <cfRule type="cellIs" priority="1160" stopIfTrue="1" operator="lessThan">
      <formula>10.237</formula>
    </cfRule>
  </conditionalFormatting>
  <conditionalFormatting sqref="AK310:AL310">
    <cfRule type="cellIs" dxfId="714" priority="1158" operator="lessThan">
      <formula>0</formula>
    </cfRule>
    <cfRule type="cellIs" dxfId="713" priority="1159" operator="lessThan">
      <formula>0</formula>
    </cfRule>
  </conditionalFormatting>
  <conditionalFormatting sqref="Y180:Y181">
    <cfRule type="cellIs" priority="1157" stopIfTrue="1" operator="lessThan">
      <formula>10.237</formula>
    </cfRule>
  </conditionalFormatting>
  <conditionalFormatting sqref="AK180:AK181">
    <cfRule type="cellIs" priority="1156" stopIfTrue="1" operator="lessThan">
      <formula>10.237</formula>
    </cfRule>
  </conditionalFormatting>
  <conditionalFormatting sqref="AL180:AL181">
    <cfRule type="cellIs" priority="1155" stopIfTrue="1" operator="lessThan">
      <formula>10.237</formula>
    </cfRule>
  </conditionalFormatting>
  <conditionalFormatting sqref="AK180:AL181">
    <cfRule type="cellIs" dxfId="712" priority="1153" operator="lessThan">
      <formula>0</formula>
    </cfRule>
    <cfRule type="cellIs" dxfId="711" priority="1154" operator="lessThan">
      <formula>0</formula>
    </cfRule>
  </conditionalFormatting>
  <conditionalFormatting sqref="AA60:AA61">
    <cfRule type="cellIs" priority="1140" stopIfTrue="1" operator="lessThan">
      <formula>10.237</formula>
    </cfRule>
  </conditionalFormatting>
  <conditionalFormatting sqref="AD60:AD61">
    <cfRule type="cellIs" priority="1139" stopIfTrue="1" operator="lessThan">
      <formula>10.237</formula>
    </cfRule>
  </conditionalFormatting>
  <conditionalFormatting sqref="AH62:AH63 AC62:AC64 Y62:Z64">
    <cfRule type="cellIs" priority="1138" stopIfTrue="1" operator="lessThan">
      <formula>10.237</formula>
    </cfRule>
  </conditionalFormatting>
  <conditionalFormatting sqref="AK184">
    <cfRule type="cellIs" priority="1149" stopIfTrue="1" operator="lessThan">
      <formula>10.237</formula>
    </cfRule>
  </conditionalFormatting>
  <conditionalFormatting sqref="AL184">
    <cfRule type="cellIs" priority="1148" stopIfTrue="1" operator="lessThan">
      <formula>10.237</formula>
    </cfRule>
  </conditionalFormatting>
  <conditionalFormatting sqref="AK184:AL184">
    <cfRule type="cellIs" dxfId="710" priority="1146" operator="lessThan">
      <formula>0</formula>
    </cfRule>
    <cfRule type="cellIs" dxfId="709" priority="1147" operator="lessThan">
      <formula>0</formula>
    </cfRule>
  </conditionalFormatting>
  <conditionalFormatting sqref="Y61:Z61 Y60">
    <cfRule type="cellIs" priority="1145" stopIfTrue="1" operator="lessThan">
      <formula>10.237</formula>
    </cfRule>
  </conditionalFormatting>
  <conditionalFormatting sqref="AK60:AK61">
    <cfRule type="cellIs" priority="1144" stopIfTrue="1" operator="lessThan">
      <formula>10.237</formula>
    </cfRule>
  </conditionalFormatting>
  <conditionalFormatting sqref="AL60:AL61">
    <cfRule type="cellIs" priority="1143" stopIfTrue="1" operator="lessThan">
      <formula>10.237</formula>
    </cfRule>
  </conditionalFormatting>
  <conditionalFormatting sqref="AK60:AL61">
    <cfRule type="cellIs" dxfId="708" priority="1141" operator="lessThan">
      <formula>0</formula>
    </cfRule>
    <cfRule type="cellIs" dxfId="707" priority="1142" operator="lessThan">
      <formula>0</formula>
    </cfRule>
  </conditionalFormatting>
  <conditionalFormatting sqref="AL342">
    <cfRule type="cellIs" priority="1080" stopIfTrue="1" operator="lessThan">
      <formula>10.237</formula>
    </cfRule>
  </conditionalFormatting>
  <conditionalFormatting sqref="AD132">
    <cfRule type="cellIs" priority="1059" stopIfTrue="1" operator="lessThan">
      <formula>10.237</formula>
    </cfRule>
  </conditionalFormatting>
  <conditionalFormatting sqref="AH170:AH171 AC170:AC172 Y170:Z172">
    <cfRule type="cellIs" priority="1118" stopIfTrue="1" operator="lessThan">
      <formula>10.237</formula>
    </cfRule>
  </conditionalFormatting>
  <conditionalFormatting sqref="AK64">
    <cfRule type="cellIs" priority="1137" stopIfTrue="1" operator="lessThan">
      <formula>10.237</formula>
    </cfRule>
  </conditionalFormatting>
  <conditionalFormatting sqref="AL64">
    <cfRule type="cellIs" priority="1136" stopIfTrue="1" operator="lessThan">
      <formula>10.237</formula>
    </cfRule>
  </conditionalFormatting>
  <conditionalFormatting sqref="AK64:AL64">
    <cfRule type="cellIs" dxfId="706" priority="1134" operator="lessThan">
      <formula>0</formula>
    </cfRule>
    <cfRule type="cellIs" dxfId="705" priority="1135" operator="lessThan">
      <formula>0</formula>
    </cfRule>
  </conditionalFormatting>
  <conditionalFormatting sqref="Y169 AA169">
    <cfRule type="cellIs" priority="1133" stopIfTrue="1" operator="lessThan">
      <formula>10.237</formula>
    </cfRule>
  </conditionalFormatting>
  <conditionalFormatting sqref="AK169">
    <cfRule type="cellIs" priority="1132" stopIfTrue="1" operator="lessThan">
      <formula>10.237</formula>
    </cfRule>
  </conditionalFormatting>
  <conditionalFormatting sqref="AL169">
    <cfRule type="cellIs" priority="1131" stopIfTrue="1" operator="lessThan">
      <formula>10.237</formula>
    </cfRule>
  </conditionalFormatting>
  <conditionalFormatting sqref="AK169:AL169">
    <cfRule type="cellIs" dxfId="704" priority="1126" operator="lessThan">
      <formula>0</formula>
    </cfRule>
    <cfRule type="cellIs" dxfId="703" priority="1130" operator="lessThan">
      <formula>0</formula>
    </cfRule>
  </conditionalFormatting>
  <conditionalFormatting sqref="AD169">
    <cfRule type="cellIs" priority="1129" stopIfTrue="1" operator="lessThan">
      <formula>10.237</formula>
    </cfRule>
  </conditionalFormatting>
  <conditionalFormatting sqref="AK169">
    <cfRule type="cellIs" priority="1128" stopIfTrue="1" operator="lessThan">
      <formula>10.237</formula>
    </cfRule>
  </conditionalFormatting>
  <conditionalFormatting sqref="AL169">
    <cfRule type="cellIs" priority="1127" stopIfTrue="1" operator="lessThan">
      <formula>10.237</formula>
    </cfRule>
  </conditionalFormatting>
  <conditionalFormatting sqref="AA168">
    <cfRule type="cellIs" priority="1124" stopIfTrue="1" operator="lessThan">
      <formula>10.237</formula>
    </cfRule>
  </conditionalFormatting>
  <conditionalFormatting sqref="AD168">
    <cfRule type="cellIs" priority="1123" stopIfTrue="1" operator="lessThan">
      <formula>10.237</formula>
    </cfRule>
  </conditionalFormatting>
  <conditionalFormatting sqref="Y168:Z168 Z169">
    <cfRule type="cellIs" priority="1125" stopIfTrue="1" operator="lessThan">
      <formula>10.237</formula>
    </cfRule>
  </conditionalFormatting>
  <conditionalFormatting sqref="AK168">
    <cfRule type="cellIs" priority="1122" stopIfTrue="1" operator="lessThan">
      <formula>10.237</formula>
    </cfRule>
  </conditionalFormatting>
  <conditionalFormatting sqref="AL168">
    <cfRule type="cellIs" priority="1121" stopIfTrue="1" operator="lessThan">
      <formula>10.237</formula>
    </cfRule>
  </conditionalFormatting>
  <conditionalFormatting sqref="AK168:AL168">
    <cfRule type="cellIs" dxfId="702" priority="1119" operator="lessThan">
      <formula>0</formula>
    </cfRule>
    <cfRule type="cellIs" dxfId="701" priority="1120" operator="lessThan">
      <formula>0</formula>
    </cfRule>
  </conditionalFormatting>
  <conditionalFormatting sqref="AH116:AH117 AC116:AC118 Y116:Z118">
    <cfRule type="cellIs" priority="1098" stopIfTrue="1" operator="lessThan">
      <formula>10.237</formula>
    </cfRule>
  </conditionalFormatting>
  <conditionalFormatting sqref="AK172">
    <cfRule type="cellIs" priority="1117" stopIfTrue="1" operator="lessThan">
      <formula>10.237</formula>
    </cfRule>
  </conditionalFormatting>
  <conditionalFormatting sqref="AL172">
    <cfRule type="cellIs" priority="1116" stopIfTrue="1" operator="lessThan">
      <formula>10.237</formula>
    </cfRule>
  </conditionalFormatting>
  <conditionalFormatting sqref="AK172:AL172">
    <cfRule type="cellIs" dxfId="700" priority="1114" operator="lessThan">
      <formula>0</formula>
    </cfRule>
    <cfRule type="cellIs" dxfId="699" priority="1115" operator="lessThan">
      <formula>0</formula>
    </cfRule>
  </conditionalFormatting>
  <conditionalFormatting sqref="Y115 Z114 AA115">
    <cfRule type="cellIs" priority="1113" stopIfTrue="1" operator="lessThan">
      <formula>10.237</formula>
    </cfRule>
  </conditionalFormatting>
  <conditionalFormatting sqref="AK115">
    <cfRule type="cellIs" priority="1112" stopIfTrue="1" operator="lessThan">
      <formula>10.237</formula>
    </cfRule>
  </conditionalFormatting>
  <conditionalFormatting sqref="AL115">
    <cfRule type="cellIs" priority="1111" stopIfTrue="1" operator="lessThan">
      <formula>10.237</formula>
    </cfRule>
  </conditionalFormatting>
  <conditionalFormatting sqref="AK115:AL115">
    <cfRule type="cellIs" dxfId="698" priority="1106" operator="lessThan">
      <formula>0</formula>
    </cfRule>
    <cfRule type="cellIs" dxfId="697" priority="1110" operator="lessThan">
      <formula>0</formula>
    </cfRule>
  </conditionalFormatting>
  <conditionalFormatting sqref="AD115">
    <cfRule type="cellIs" priority="1109" stopIfTrue="1" operator="lessThan">
      <formula>10.237</formula>
    </cfRule>
  </conditionalFormatting>
  <conditionalFormatting sqref="AK115">
    <cfRule type="cellIs" priority="1108" stopIfTrue="1" operator="lessThan">
      <formula>10.237</formula>
    </cfRule>
  </conditionalFormatting>
  <conditionalFormatting sqref="AL115">
    <cfRule type="cellIs" priority="1107" stopIfTrue="1" operator="lessThan">
      <formula>10.237</formula>
    </cfRule>
  </conditionalFormatting>
  <conditionalFormatting sqref="AA114">
    <cfRule type="cellIs" priority="1104" stopIfTrue="1" operator="lessThan">
      <formula>10.237</formula>
    </cfRule>
  </conditionalFormatting>
  <conditionalFormatting sqref="AD114">
    <cfRule type="cellIs" priority="1103" stopIfTrue="1" operator="lessThan">
      <formula>10.237</formula>
    </cfRule>
  </conditionalFormatting>
  <conditionalFormatting sqref="Y114">
    <cfRule type="cellIs" priority="1105" stopIfTrue="1" operator="lessThan">
      <formula>10.237</formula>
    </cfRule>
  </conditionalFormatting>
  <conditionalFormatting sqref="AK114">
    <cfRule type="cellIs" priority="1102" stopIfTrue="1" operator="lessThan">
      <formula>10.237</formula>
    </cfRule>
  </conditionalFormatting>
  <conditionalFormatting sqref="AL114">
    <cfRule type="cellIs" priority="1101" stopIfTrue="1" operator="lessThan">
      <formula>10.237</formula>
    </cfRule>
  </conditionalFormatting>
  <conditionalFormatting sqref="AK114:AL114">
    <cfRule type="cellIs" dxfId="696" priority="1099" operator="lessThan">
      <formula>0</formula>
    </cfRule>
    <cfRule type="cellIs" dxfId="695" priority="1100" operator="lessThan">
      <formula>0</formula>
    </cfRule>
  </conditionalFormatting>
  <conditionalFormatting sqref="AH344:AH345 AC344:AC347 Y344:Z347">
    <cfRule type="cellIs" priority="1078" stopIfTrue="1" operator="lessThan">
      <formula>10.237</formula>
    </cfRule>
  </conditionalFormatting>
  <conditionalFormatting sqref="AK118">
    <cfRule type="cellIs" priority="1097" stopIfTrue="1" operator="lessThan">
      <formula>10.237</formula>
    </cfRule>
  </conditionalFormatting>
  <conditionalFormatting sqref="AL118">
    <cfRule type="cellIs" priority="1096" stopIfTrue="1" operator="lessThan">
      <formula>10.237</formula>
    </cfRule>
  </conditionalFormatting>
  <conditionalFormatting sqref="AK118:AL118">
    <cfRule type="cellIs" dxfId="694" priority="1094" operator="lessThan">
      <formula>0</formula>
    </cfRule>
    <cfRule type="cellIs" dxfId="693" priority="1095" operator="lessThan">
      <formula>0</formula>
    </cfRule>
  </conditionalFormatting>
  <conditionalFormatting sqref="Y343">
    <cfRule type="cellIs" priority="1093" stopIfTrue="1" operator="lessThan">
      <formula>10.237</formula>
    </cfRule>
  </conditionalFormatting>
  <conditionalFormatting sqref="AK343">
    <cfRule type="cellIs" priority="1092" stopIfTrue="1" operator="lessThan">
      <formula>10.237</formula>
    </cfRule>
  </conditionalFormatting>
  <conditionalFormatting sqref="AL343">
    <cfRule type="cellIs" priority="1091" stopIfTrue="1" operator="lessThan">
      <formula>10.237</formula>
    </cfRule>
  </conditionalFormatting>
  <conditionalFormatting sqref="AK343:AL343">
    <cfRule type="cellIs" dxfId="692" priority="1089" operator="lessThan">
      <formula>0</formula>
    </cfRule>
    <cfRule type="cellIs" dxfId="691" priority="1090" operator="lessThan">
      <formula>0</formula>
    </cfRule>
  </conditionalFormatting>
  <conditionalFormatting sqref="AD343">
    <cfRule type="cellIs" priority="1087" stopIfTrue="1" operator="lessThan">
      <formula>10.237</formula>
    </cfRule>
  </conditionalFormatting>
  <conditionalFormatting sqref="Y342 AA342:AA343">
    <cfRule type="cellIs" priority="1086" stopIfTrue="1" operator="lessThan">
      <formula>10.237</formula>
    </cfRule>
  </conditionalFormatting>
  <conditionalFormatting sqref="AK342:AK343">
    <cfRule type="cellIs" priority="1085" stopIfTrue="1" operator="lessThan">
      <formula>10.237</formula>
    </cfRule>
  </conditionalFormatting>
  <conditionalFormatting sqref="AL342">
    <cfRule type="cellIs" priority="1084" stopIfTrue="1" operator="lessThan">
      <formula>10.237</formula>
    </cfRule>
  </conditionalFormatting>
  <conditionalFormatting sqref="AK342:AL342 AK343">
    <cfRule type="cellIs" dxfId="690" priority="1079" operator="lessThan">
      <formula>0</formula>
    </cfRule>
    <cfRule type="cellIs" dxfId="689" priority="1083" operator="lessThan">
      <formula>0</formula>
    </cfRule>
  </conditionalFormatting>
  <conditionalFormatting sqref="AD342">
    <cfRule type="cellIs" priority="1082" stopIfTrue="1" operator="lessThan">
      <formula>10.237</formula>
    </cfRule>
  </conditionalFormatting>
  <conditionalFormatting sqref="AK342:AK343">
    <cfRule type="cellIs" priority="1081" stopIfTrue="1" operator="lessThan">
      <formula>10.237</formula>
    </cfRule>
  </conditionalFormatting>
  <conditionalFormatting sqref="AH134:AH135 AC134:AC136 Y134:Z136">
    <cfRule type="cellIs" priority="1058" stopIfTrue="1" operator="lessThan">
      <formula>10.237</formula>
    </cfRule>
  </conditionalFormatting>
  <conditionalFormatting sqref="AK346:AK347">
    <cfRule type="cellIs" priority="1077" stopIfTrue="1" operator="lessThan">
      <formula>10.237</formula>
    </cfRule>
  </conditionalFormatting>
  <conditionalFormatting sqref="AL346:AL347">
    <cfRule type="cellIs" priority="1076" stopIfTrue="1" operator="lessThan">
      <formula>10.237</formula>
    </cfRule>
  </conditionalFormatting>
  <conditionalFormatting sqref="AK346:AL347">
    <cfRule type="cellIs" dxfId="688" priority="1074" operator="lessThan">
      <formula>0</formula>
    </cfRule>
    <cfRule type="cellIs" dxfId="687" priority="1075" operator="lessThan">
      <formula>0</formula>
    </cfRule>
  </conditionalFormatting>
  <conditionalFormatting sqref="Y133:AA133 AA132">
    <cfRule type="cellIs" priority="1073" stopIfTrue="1" operator="lessThan">
      <formula>10.237</formula>
    </cfRule>
  </conditionalFormatting>
  <conditionalFormatting sqref="AK132:AK133">
    <cfRule type="cellIs" priority="1072" stopIfTrue="1" operator="lessThan">
      <formula>10.237</formula>
    </cfRule>
  </conditionalFormatting>
  <conditionalFormatting sqref="AL133">
    <cfRule type="cellIs" priority="1071" stopIfTrue="1" operator="lessThan">
      <formula>10.237</formula>
    </cfRule>
  </conditionalFormatting>
  <conditionalFormatting sqref="AK133:AL133 AK132">
    <cfRule type="cellIs" dxfId="686" priority="1066" operator="lessThan">
      <formula>0</formula>
    </cfRule>
    <cfRule type="cellIs" dxfId="685" priority="1070" operator="lessThan">
      <formula>0</formula>
    </cfRule>
  </conditionalFormatting>
  <conditionalFormatting sqref="AD133">
    <cfRule type="cellIs" priority="1069" stopIfTrue="1" operator="lessThan">
      <formula>10.237</formula>
    </cfRule>
  </conditionalFormatting>
  <conditionalFormatting sqref="AK132:AK133">
    <cfRule type="cellIs" priority="1068" stopIfTrue="1" operator="lessThan">
      <formula>10.237</formula>
    </cfRule>
  </conditionalFormatting>
  <conditionalFormatting sqref="AL133">
    <cfRule type="cellIs" priority="1067" stopIfTrue="1" operator="lessThan">
      <formula>10.237</formula>
    </cfRule>
  </conditionalFormatting>
  <conditionalFormatting sqref="Y132:Z132">
    <cfRule type="cellIs" priority="1065" stopIfTrue="1" operator="lessThan">
      <formula>10.237</formula>
    </cfRule>
  </conditionalFormatting>
  <conditionalFormatting sqref="AK132">
    <cfRule type="cellIs" priority="1064" stopIfTrue="1" operator="lessThan">
      <formula>10.237</formula>
    </cfRule>
  </conditionalFormatting>
  <conditionalFormatting sqref="AL132">
    <cfRule type="cellIs" priority="1063" stopIfTrue="1" operator="lessThan">
      <formula>10.237</formula>
    </cfRule>
  </conditionalFormatting>
  <conditionalFormatting sqref="AK132:AL132">
    <cfRule type="cellIs" dxfId="684" priority="1061" operator="lessThan">
      <formula>0</formula>
    </cfRule>
    <cfRule type="cellIs" dxfId="683" priority="1062" operator="lessThan">
      <formula>0</formula>
    </cfRule>
  </conditionalFormatting>
  <conditionalFormatting sqref="AL90:AL91">
    <cfRule type="cellIs" priority="1047" stopIfTrue="1" operator="lessThan">
      <formula>10.237</formula>
    </cfRule>
  </conditionalFormatting>
  <conditionalFormatting sqref="AD192">
    <cfRule type="cellIs" priority="1027" stopIfTrue="1" operator="lessThan">
      <formula>10.237</formula>
    </cfRule>
  </conditionalFormatting>
  <conditionalFormatting sqref="AH92:AH93 AC92:AC94 Y92:Z94">
    <cfRule type="cellIs" priority="1045" stopIfTrue="1" operator="lessThan">
      <formula>10.237</formula>
    </cfRule>
  </conditionalFormatting>
  <conditionalFormatting sqref="AK136">
    <cfRule type="cellIs" priority="1057" stopIfTrue="1" operator="lessThan">
      <formula>10.237</formula>
    </cfRule>
  </conditionalFormatting>
  <conditionalFormatting sqref="AL136">
    <cfRule type="cellIs" priority="1056" stopIfTrue="1" operator="lessThan">
      <formula>10.237</formula>
    </cfRule>
  </conditionalFormatting>
  <conditionalFormatting sqref="AK136:AL136">
    <cfRule type="cellIs" dxfId="682" priority="1054" operator="lessThan">
      <formula>0</formula>
    </cfRule>
    <cfRule type="cellIs" dxfId="681" priority="1055" operator="lessThan">
      <formula>0</formula>
    </cfRule>
  </conditionalFormatting>
  <conditionalFormatting sqref="Y90:AA90 Y91 AA91">
    <cfRule type="cellIs" priority="1053" stopIfTrue="1" operator="lessThan">
      <formula>10.237</formula>
    </cfRule>
  </conditionalFormatting>
  <conditionalFormatting sqref="AK90:AK91">
    <cfRule type="cellIs" priority="1052" stopIfTrue="1" operator="lessThan">
      <formula>10.237</formula>
    </cfRule>
  </conditionalFormatting>
  <conditionalFormatting sqref="AL90:AL91">
    <cfRule type="cellIs" priority="1051" stopIfTrue="1" operator="lessThan">
      <formula>10.237</formula>
    </cfRule>
  </conditionalFormatting>
  <conditionalFormatting sqref="AK90:AL91">
    <cfRule type="cellIs" dxfId="680" priority="1046" operator="lessThan">
      <formula>0</formula>
    </cfRule>
    <cfRule type="cellIs" dxfId="679" priority="1050" operator="lessThan">
      <formula>0</formula>
    </cfRule>
  </conditionalFormatting>
  <conditionalFormatting sqref="AD90:AD91">
    <cfRule type="cellIs" priority="1049" stopIfTrue="1" operator="lessThan">
      <formula>10.237</formula>
    </cfRule>
  </conditionalFormatting>
  <conditionalFormatting sqref="AK90:AK91">
    <cfRule type="cellIs" priority="1048" stopIfTrue="1" operator="lessThan">
      <formula>10.237</formula>
    </cfRule>
  </conditionalFormatting>
  <conditionalFormatting sqref="AH194:AH195 AC194:AC196 Y194:Z196">
    <cfRule type="cellIs" priority="1026" stopIfTrue="1" operator="lessThan">
      <formula>10.237</formula>
    </cfRule>
  </conditionalFormatting>
  <conditionalFormatting sqref="AK94">
    <cfRule type="cellIs" priority="1044" stopIfTrue="1" operator="lessThan">
      <formula>10.237</formula>
    </cfRule>
  </conditionalFormatting>
  <conditionalFormatting sqref="AL94">
    <cfRule type="cellIs" priority="1043" stopIfTrue="1" operator="lessThan">
      <formula>10.237</formula>
    </cfRule>
  </conditionalFormatting>
  <conditionalFormatting sqref="AK94:AL94">
    <cfRule type="cellIs" dxfId="678" priority="1041" operator="lessThan">
      <formula>0</formula>
    </cfRule>
    <cfRule type="cellIs" dxfId="677" priority="1042" operator="lessThan">
      <formula>0</formula>
    </cfRule>
  </conditionalFormatting>
  <conditionalFormatting sqref="Y193 AA193">
    <cfRule type="cellIs" priority="1040" stopIfTrue="1" operator="lessThan">
      <formula>10.237</formula>
    </cfRule>
  </conditionalFormatting>
  <conditionalFormatting sqref="AK192:AK193">
    <cfRule type="cellIs" priority="1039" stopIfTrue="1" operator="lessThan">
      <formula>10.237</formula>
    </cfRule>
  </conditionalFormatting>
  <conditionalFormatting sqref="AL193">
    <cfRule type="cellIs" priority="1038" stopIfTrue="1" operator="lessThan">
      <formula>10.237</formula>
    </cfRule>
  </conditionalFormatting>
  <conditionalFormatting sqref="AK193:AL193 AK192">
    <cfRule type="cellIs" dxfId="676" priority="1033" operator="lessThan">
      <formula>0</formula>
    </cfRule>
    <cfRule type="cellIs" dxfId="675" priority="1037" operator="lessThan">
      <formula>0</formula>
    </cfRule>
  </conditionalFormatting>
  <conditionalFormatting sqref="AD193">
    <cfRule type="cellIs" priority="1036" stopIfTrue="1" operator="lessThan">
      <formula>10.237</formula>
    </cfRule>
  </conditionalFormatting>
  <conditionalFormatting sqref="AK192:AK193">
    <cfRule type="cellIs" priority="1035" stopIfTrue="1" operator="lessThan">
      <formula>10.237</formula>
    </cfRule>
  </conditionalFormatting>
  <conditionalFormatting sqref="AL193">
    <cfRule type="cellIs" priority="1034" stopIfTrue="1" operator="lessThan">
      <formula>10.237</formula>
    </cfRule>
  </conditionalFormatting>
  <conditionalFormatting sqref="AD30">
    <cfRule type="cellIs" priority="994" stopIfTrue="1" operator="lessThan">
      <formula>10.237</formula>
    </cfRule>
  </conditionalFormatting>
  <conditionalFormatting sqref="AL282:AL283">
    <cfRule type="cellIs" priority="1015" stopIfTrue="1" operator="lessThan">
      <formula>10.237</formula>
    </cfRule>
  </conditionalFormatting>
  <conditionalFormatting sqref="Y192 Z193">
    <cfRule type="cellIs" priority="1032" stopIfTrue="1" operator="lessThan">
      <formula>10.237</formula>
    </cfRule>
  </conditionalFormatting>
  <conditionalFormatting sqref="AK192">
    <cfRule type="cellIs" priority="1031" stopIfTrue="1" operator="lessThan">
      <formula>10.237</formula>
    </cfRule>
  </conditionalFormatting>
  <conditionalFormatting sqref="AL192">
    <cfRule type="cellIs" priority="1030" stopIfTrue="1" operator="lessThan">
      <formula>10.237</formula>
    </cfRule>
  </conditionalFormatting>
  <conditionalFormatting sqref="AK192:AL192">
    <cfRule type="cellIs" dxfId="674" priority="1028" operator="lessThan">
      <formula>0</formula>
    </cfRule>
    <cfRule type="cellIs" dxfId="673" priority="1029" operator="lessThan">
      <formula>0</formula>
    </cfRule>
  </conditionalFormatting>
  <conditionalFormatting sqref="AH284:AH285 AC284:AC286 Y284:Z286">
    <cfRule type="cellIs" priority="1013" stopIfTrue="1" operator="lessThan">
      <formula>10.237</formula>
    </cfRule>
  </conditionalFormatting>
  <conditionalFormatting sqref="AK196">
    <cfRule type="cellIs" priority="1025" stopIfTrue="1" operator="lessThan">
      <formula>10.237</formula>
    </cfRule>
  </conditionalFormatting>
  <conditionalFormatting sqref="AL196">
    <cfRule type="cellIs" priority="1024" stopIfTrue="1" operator="lessThan">
      <formula>10.237</formula>
    </cfRule>
  </conditionalFormatting>
  <conditionalFormatting sqref="AK196:AL196">
    <cfRule type="cellIs" dxfId="672" priority="1022" operator="lessThan">
      <formula>0</formula>
    </cfRule>
    <cfRule type="cellIs" dxfId="671" priority="1023" operator="lessThan">
      <formula>0</formula>
    </cfRule>
  </conditionalFormatting>
  <conditionalFormatting sqref="Y282:AA282 Y283 AA283">
    <cfRule type="cellIs" priority="1021" stopIfTrue="1" operator="lessThan">
      <formula>10.237</formula>
    </cfRule>
  </conditionalFormatting>
  <conditionalFormatting sqref="AK282:AK283">
    <cfRule type="cellIs" priority="1020" stopIfTrue="1" operator="lessThan">
      <formula>10.237</formula>
    </cfRule>
  </conditionalFormatting>
  <conditionalFormatting sqref="AL282:AL283">
    <cfRule type="cellIs" priority="1019" stopIfTrue="1" operator="lessThan">
      <formula>10.237</formula>
    </cfRule>
  </conditionalFormatting>
  <conditionalFormatting sqref="AK282:AL283">
    <cfRule type="cellIs" dxfId="670" priority="1014" operator="lessThan">
      <formula>0</formula>
    </cfRule>
    <cfRule type="cellIs" dxfId="669" priority="1018" operator="lessThan">
      <formula>0</formula>
    </cfRule>
  </conditionalFormatting>
  <conditionalFormatting sqref="AD282:AD283">
    <cfRule type="cellIs" priority="1017" stopIfTrue="1" operator="lessThan">
      <formula>10.237</formula>
    </cfRule>
  </conditionalFormatting>
  <conditionalFormatting sqref="AK282:AK283">
    <cfRule type="cellIs" priority="1016" stopIfTrue="1" operator="lessThan">
      <formula>10.237</formula>
    </cfRule>
  </conditionalFormatting>
  <conditionalFormatting sqref="AH32:AH33 AC32:AC34 Y32:Z34">
    <cfRule type="cellIs" priority="993" stopIfTrue="1" operator="lessThan">
      <formula>10.237</formula>
    </cfRule>
  </conditionalFormatting>
  <conditionalFormatting sqref="AK286">
    <cfRule type="cellIs" priority="1012" stopIfTrue="1" operator="lessThan">
      <formula>10.237</formula>
    </cfRule>
  </conditionalFormatting>
  <conditionalFormatting sqref="AL286">
    <cfRule type="cellIs" priority="1011" stopIfTrue="1" operator="lessThan">
      <formula>10.237</formula>
    </cfRule>
  </conditionalFormatting>
  <conditionalFormatting sqref="AK286:AL286">
    <cfRule type="cellIs" dxfId="668" priority="1009" operator="lessThan">
      <formula>0</formula>
    </cfRule>
    <cfRule type="cellIs" dxfId="667" priority="1010" operator="lessThan">
      <formula>0</formula>
    </cfRule>
  </conditionalFormatting>
  <conditionalFormatting sqref="AA31">
    <cfRule type="cellIs" priority="1008" stopIfTrue="1" operator="lessThan">
      <formula>10.237</formula>
    </cfRule>
  </conditionalFormatting>
  <conditionalFormatting sqref="Y31:Z31 Z30">
    <cfRule type="cellIs" priority="1007" stopIfTrue="1" operator="lessThan">
      <formula>10.237</formula>
    </cfRule>
  </conditionalFormatting>
  <conditionalFormatting sqref="AK30:AK31">
    <cfRule type="cellIs" priority="1006" stopIfTrue="1" operator="lessThan">
      <formula>10.237</formula>
    </cfRule>
  </conditionalFormatting>
  <conditionalFormatting sqref="AL31">
    <cfRule type="cellIs" priority="1005" stopIfTrue="1" operator="lessThan">
      <formula>10.237</formula>
    </cfRule>
  </conditionalFormatting>
  <conditionalFormatting sqref="AK31:AL31 AK30">
    <cfRule type="cellIs" dxfId="666" priority="1000" operator="lessThan">
      <formula>0</formula>
    </cfRule>
    <cfRule type="cellIs" dxfId="665" priority="1004" operator="lessThan">
      <formula>0</formula>
    </cfRule>
  </conditionalFormatting>
  <conditionalFormatting sqref="AD31">
    <cfRule type="cellIs" priority="1003" stopIfTrue="1" operator="lessThan">
      <formula>10.237</formula>
    </cfRule>
  </conditionalFormatting>
  <conditionalFormatting sqref="AK30:AK31">
    <cfRule type="cellIs" priority="1002" stopIfTrue="1" operator="lessThan">
      <formula>10.237</formula>
    </cfRule>
  </conditionalFormatting>
  <conditionalFormatting sqref="AL31">
    <cfRule type="cellIs" priority="1001" stopIfTrue="1" operator="lessThan">
      <formula>10.237</formula>
    </cfRule>
  </conditionalFormatting>
  <conditionalFormatting sqref="AD318:AD319">
    <cfRule type="cellIs" priority="940" stopIfTrue="1" operator="lessThan">
      <formula>10.237</formula>
    </cfRule>
  </conditionalFormatting>
  <conditionalFormatting sqref="AL162">
    <cfRule type="cellIs" priority="974" stopIfTrue="1" operator="lessThan">
      <formula>10.237</formula>
    </cfRule>
  </conditionalFormatting>
  <conditionalFormatting sqref="Y30">
    <cfRule type="cellIs" priority="999" stopIfTrue="1" operator="lessThan">
      <formula>10.237</formula>
    </cfRule>
  </conditionalFormatting>
  <conditionalFormatting sqref="AK30">
    <cfRule type="cellIs" priority="998" stopIfTrue="1" operator="lessThan">
      <formula>10.237</formula>
    </cfRule>
  </conditionalFormatting>
  <conditionalFormatting sqref="AL30">
    <cfRule type="cellIs" priority="997" stopIfTrue="1" operator="lessThan">
      <formula>10.237</formula>
    </cfRule>
  </conditionalFormatting>
  <conditionalFormatting sqref="AK30:AL30">
    <cfRule type="cellIs" dxfId="664" priority="995" operator="lessThan">
      <formula>0</formula>
    </cfRule>
    <cfRule type="cellIs" dxfId="663" priority="996" operator="lessThan">
      <formula>0</formula>
    </cfRule>
  </conditionalFormatting>
  <conditionalFormatting sqref="AH164:AH165 AC164:AC166 Y164:Z166">
    <cfRule type="cellIs" priority="972" stopIfTrue="1" operator="lessThan">
      <formula>10.237</formula>
    </cfRule>
  </conditionalFormatting>
  <conditionalFormatting sqref="AK34">
    <cfRule type="cellIs" priority="992" stopIfTrue="1" operator="lessThan">
      <formula>10.237</formula>
    </cfRule>
  </conditionalFormatting>
  <conditionalFormatting sqref="AL34">
    <cfRule type="cellIs" priority="991" stopIfTrue="1" operator="lessThan">
      <formula>10.237</formula>
    </cfRule>
  </conditionalFormatting>
  <conditionalFormatting sqref="AK34:AL34">
    <cfRule type="cellIs" dxfId="662" priority="989" operator="lessThan">
      <formula>0</formula>
    </cfRule>
    <cfRule type="cellIs" dxfId="661" priority="990" operator="lessThan">
      <formula>0</formula>
    </cfRule>
  </conditionalFormatting>
  <conditionalFormatting sqref="Y163:Z163">
    <cfRule type="cellIs" priority="988" stopIfTrue="1" operator="lessThan">
      <formula>10.237</formula>
    </cfRule>
  </conditionalFormatting>
  <conditionalFormatting sqref="AK163">
    <cfRule type="cellIs" priority="987" stopIfTrue="1" operator="lessThan">
      <formula>10.237</formula>
    </cfRule>
  </conditionalFormatting>
  <conditionalFormatting sqref="AL163">
    <cfRule type="cellIs" priority="986" stopIfTrue="1" operator="lessThan">
      <formula>10.237</formula>
    </cfRule>
  </conditionalFormatting>
  <conditionalFormatting sqref="AK163:AL163">
    <cfRule type="cellIs" dxfId="660" priority="984" operator="lessThan">
      <formula>0</formula>
    </cfRule>
    <cfRule type="cellIs" dxfId="659" priority="985" operator="lessThan">
      <formula>0</formula>
    </cfRule>
  </conditionalFormatting>
  <conditionalFormatting sqref="AA163">
    <cfRule type="cellIs" priority="983" stopIfTrue="1" operator="lessThan">
      <formula>10.237</formula>
    </cfRule>
  </conditionalFormatting>
  <conditionalFormatting sqref="AD163">
    <cfRule type="cellIs" priority="982" stopIfTrue="1" operator="lessThan">
      <formula>10.237</formula>
    </cfRule>
  </conditionalFormatting>
  <conditionalFormatting sqref="AA162">
    <cfRule type="cellIs" priority="981" stopIfTrue="1" operator="lessThan">
      <formula>10.237</formula>
    </cfRule>
  </conditionalFormatting>
  <conditionalFormatting sqref="Y162:Z162">
    <cfRule type="cellIs" priority="980" stopIfTrue="1" operator="lessThan">
      <formula>10.237</formula>
    </cfRule>
  </conditionalFormatting>
  <conditionalFormatting sqref="AK162">
    <cfRule type="cellIs" priority="979" stopIfTrue="1" operator="lessThan">
      <formula>10.237</formula>
    </cfRule>
  </conditionalFormatting>
  <conditionalFormatting sqref="AL162">
    <cfRule type="cellIs" priority="978" stopIfTrue="1" operator="lessThan">
      <formula>10.237</formula>
    </cfRule>
  </conditionalFormatting>
  <conditionalFormatting sqref="AK162:AL162">
    <cfRule type="cellIs" dxfId="658" priority="973" operator="lessThan">
      <formula>0</formula>
    </cfRule>
    <cfRule type="cellIs" dxfId="657" priority="977" operator="lessThan">
      <formula>0</formula>
    </cfRule>
  </conditionalFormatting>
  <conditionalFormatting sqref="AD162">
    <cfRule type="cellIs" priority="976" stopIfTrue="1" operator="lessThan">
      <formula>10.237</formula>
    </cfRule>
  </conditionalFormatting>
  <conditionalFormatting sqref="AK162">
    <cfRule type="cellIs" priority="975" stopIfTrue="1" operator="lessThan">
      <formula>10.237</formula>
    </cfRule>
  </conditionalFormatting>
  <conditionalFormatting sqref="AL258">
    <cfRule type="cellIs" priority="953" stopIfTrue="1" operator="lessThan">
      <formula>10.237</formula>
    </cfRule>
  </conditionalFormatting>
  <conditionalFormatting sqref="AH260:AH261 AC260:AC262 Y260:Z262">
    <cfRule type="cellIs" priority="951" stopIfTrue="1" operator="lessThan">
      <formula>10.237</formula>
    </cfRule>
  </conditionalFormatting>
  <conditionalFormatting sqref="AK166">
    <cfRule type="cellIs" priority="971" stopIfTrue="1" operator="lessThan">
      <formula>10.237</formula>
    </cfRule>
  </conditionalFormatting>
  <conditionalFormatting sqref="AL166">
    <cfRule type="cellIs" priority="970" stopIfTrue="1" operator="lessThan">
      <formula>10.237</formula>
    </cfRule>
  </conditionalFormatting>
  <conditionalFormatting sqref="AK166:AL166">
    <cfRule type="cellIs" dxfId="656" priority="968" operator="lessThan">
      <formula>0</formula>
    </cfRule>
    <cfRule type="cellIs" dxfId="655" priority="969" operator="lessThan">
      <formula>0</formula>
    </cfRule>
  </conditionalFormatting>
  <conditionalFormatting sqref="Y259:Z259 Z258">
    <cfRule type="cellIs" priority="967" stopIfTrue="1" operator="lessThan">
      <formula>10.237</formula>
    </cfRule>
  </conditionalFormatting>
  <conditionalFormatting sqref="AK259">
    <cfRule type="cellIs" priority="966" stopIfTrue="1" operator="lessThan">
      <formula>10.237</formula>
    </cfRule>
  </conditionalFormatting>
  <conditionalFormatting sqref="AL259">
    <cfRule type="cellIs" priority="965" stopIfTrue="1" operator="lessThan">
      <formula>10.237</formula>
    </cfRule>
  </conditionalFormatting>
  <conditionalFormatting sqref="AK259:AL259">
    <cfRule type="cellIs" dxfId="654" priority="963" operator="lessThan">
      <formula>0</formula>
    </cfRule>
    <cfRule type="cellIs" dxfId="653" priority="964" operator="lessThan">
      <formula>0</formula>
    </cfRule>
  </conditionalFormatting>
  <conditionalFormatting sqref="AA259">
    <cfRule type="cellIs" priority="962" stopIfTrue="1" operator="lessThan">
      <formula>10.237</formula>
    </cfRule>
  </conditionalFormatting>
  <conditionalFormatting sqref="AD259">
    <cfRule type="cellIs" priority="961" stopIfTrue="1" operator="lessThan">
      <formula>10.237</formula>
    </cfRule>
  </conditionalFormatting>
  <conditionalFormatting sqref="AA318:AA319">
    <cfRule type="cellIs" priority="941" stopIfTrue="1" operator="lessThan">
      <formula>10.237</formula>
    </cfRule>
  </conditionalFormatting>
  <conditionalFormatting sqref="AA258">
    <cfRule type="cellIs" priority="960" stopIfTrue="1" operator="lessThan">
      <formula>10.237</formula>
    </cfRule>
  </conditionalFormatting>
  <conditionalFormatting sqref="Y258">
    <cfRule type="cellIs" priority="959" stopIfTrue="1" operator="lessThan">
      <formula>10.237</formula>
    </cfRule>
  </conditionalFormatting>
  <conditionalFormatting sqref="AK258">
    <cfRule type="cellIs" priority="958" stopIfTrue="1" operator="lessThan">
      <formula>10.237</formula>
    </cfRule>
  </conditionalFormatting>
  <conditionalFormatting sqref="AL258">
    <cfRule type="cellIs" priority="957" stopIfTrue="1" operator="lessThan">
      <formula>10.237</formula>
    </cfRule>
  </conditionalFormatting>
  <conditionalFormatting sqref="AK258:AL258">
    <cfRule type="cellIs" dxfId="652" priority="952" operator="lessThan">
      <formula>0</formula>
    </cfRule>
    <cfRule type="cellIs" dxfId="651" priority="956" operator="lessThan">
      <formula>0</formula>
    </cfRule>
  </conditionalFormatting>
  <conditionalFormatting sqref="AD258">
    <cfRule type="cellIs" priority="955" stopIfTrue="1" operator="lessThan">
      <formula>10.237</formula>
    </cfRule>
  </conditionalFormatting>
  <conditionalFormatting sqref="AK258">
    <cfRule type="cellIs" priority="954" stopIfTrue="1" operator="lessThan">
      <formula>10.237</formula>
    </cfRule>
  </conditionalFormatting>
  <conditionalFormatting sqref="AH320:AH321 AC320:AC322 Y320:Z322">
    <cfRule type="cellIs" priority="939" stopIfTrue="1" operator="lessThan">
      <formula>10.237</formula>
    </cfRule>
  </conditionalFormatting>
  <conditionalFormatting sqref="AK262">
    <cfRule type="cellIs" priority="950" stopIfTrue="1" operator="lessThan">
      <formula>10.237</formula>
    </cfRule>
  </conditionalFormatting>
  <conditionalFormatting sqref="AL262">
    <cfRule type="cellIs" priority="949" stopIfTrue="1" operator="lessThan">
      <formula>10.237</formula>
    </cfRule>
  </conditionalFormatting>
  <conditionalFormatting sqref="AK262:AL262">
    <cfRule type="cellIs" dxfId="650" priority="947" operator="lessThan">
      <formula>0</formula>
    </cfRule>
    <cfRule type="cellIs" dxfId="649" priority="948" operator="lessThan">
      <formula>0</formula>
    </cfRule>
  </conditionalFormatting>
  <conditionalFormatting sqref="Y318:Z319">
    <cfRule type="cellIs" priority="946" stopIfTrue="1" operator="lessThan">
      <formula>10.237</formula>
    </cfRule>
  </conditionalFormatting>
  <conditionalFormatting sqref="AK318:AK319">
    <cfRule type="cellIs" priority="945" stopIfTrue="1" operator="lessThan">
      <formula>10.237</formula>
    </cfRule>
  </conditionalFormatting>
  <conditionalFormatting sqref="AL318:AL319">
    <cfRule type="cellIs" priority="944" stopIfTrue="1" operator="lessThan">
      <formula>10.237</formula>
    </cfRule>
  </conditionalFormatting>
  <conditionalFormatting sqref="AK318:AL319">
    <cfRule type="cellIs" dxfId="648" priority="942" operator="lessThan">
      <formula>0</formula>
    </cfRule>
    <cfRule type="cellIs" dxfId="647" priority="943" operator="lessThan">
      <formula>0</formula>
    </cfRule>
  </conditionalFormatting>
  <conditionalFormatting sqref="AA300">
    <cfRule type="cellIs" priority="921" stopIfTrue="1" operator="lessThan">
      <formula>10.237</formula>
    </cfRule>
  </conditionalFormatting>
  <conditionalFormatting sqref="AD300">
    <cfRule type="cellIs" priority="920" stopIfTrue="1" operator="lessThan">
      <formula>10.237</formula>
    </cfRule>
  </conditionalFormatting>
  <conditionalFormatting sqref="AH302:AH303 AC302:AC304 Y302:Z304">
    <cfRule type="cellIs" priority="919" stopIfTrue="1" operator="lessThan">
      <formula>10.237</formula>
    </cfRule>
  </conditionalFormatting>
  <conditionalFormatting sqref="AK322">
    <cfRule type="cellIs" priority="938" stopIfTrue="1" operator="lessThan">
      <formula>10.237</formula>
    </cfRule>
  </conditionalFormatting>
  <conditionalFormatting sqref="AL322">
    <cfRule type="cellIs" priority="937" stopIfTrue="1" operator="lessThan">
      <formula>10.237</formula>
    </cfRule>
  </conditionalFormatting>
  <conditionalFormatting sqref="AK322:AL322">
    <cfRule type="cellIs" dxfId="646" priority="935" operator="lessThan">
      <formula>0</formula>
    </cfRule>
    <cfRule type="cellIs" dxfId="645" priority="936" operator="lessThan">
      <formula>0</formula>
    </cfRule>
  </conditionalFormatting>
  <conditionalFormatting sqref="Y301 AA301">
    <cfRule type="cellIs" priority="934" stopIfTrue="1" operator="lessThan">
      <formula>10.237</formula>
    </cfRule>
  </conditionalFormatting>
  <conditionalFormatting sqref="AK301">
    <cfRule type="cellIs" priority="933" stopIfTrue="1" operator="lessThan">
      <formula>10.237</formula>
    </cfRule>
  </conditionalFormatting>
  <conditionalFormatting sqref="AL301">
    <cfRule type="cellIs" priority="932" stopIfTrue="1" operator="lessThan">
      <formula>10.237</formula>
    </cfRule>
  </conditionalFormatting>
  <conditionalFormatting sqref="AK301:AL301">
    <cfRule type="cellIs" dxfId="644" priority="927" operator="lessThan">
      <formula>0</formula>
    </cfRule>
    <cfRule type="cellIs" dxfId="643" priority="931" operator="lessThan">
      <formula>0</formula>
    </cfRule>
  </conditionalFormatting>
  <conditionalFormatting sqref="AD301">
    <cfRule type="cellIs" priority="930" stopIfTrue="1" operator="lessThan">
      <formula>10.237</formula>
    </cfRule>
  </conditionalFormatting>
  <conditionalFormatting sqref="AK301">
    <cfRule type="cellIs" priority="929" stopIfTrue="1" operator="lessThan">
      <formula>10.237</formula>
    </cfRule>
  </conditionalFormatting>
  <conditionalFormatting sqref="AL301">
    <cfRule type="cellIs" priority="928" stopIfTrue="1" operator="lessThan">
      <formula>10.237</formula>
    </cfRule>
  </conditionalFormatting>
  <conditionalFormatting sqref="AD312:AD313">
    <cfRule type="cellIs" priority="888" stopIfTrue="1" operator="lessThan">
      <formula>10.237</formula>
    </cfRule>
  </conditionalFormatting>
  <conditionalFormatting sqref="AL270">
    <cfRule type="cellIs" priority="901" stopIfTrue="1" operator="lessThan">
      <formula>10.237</formula>
    </cfRule>
  </conditionalFormatting>
  <conditionalFormatting sqref="Y300:Z300 Z301">
    <cfRule type="cellIs" priority="926" stopIfTrue="1" operator="lessThan">
      <formula>10.237</formula>
    </cfRule>
  </conditionalFormatting>
  <conditionalFormatting sqref="AK300">
    <cfRule type="cellIs" priority="925" stopIfTrue="1" operator="lessThan">
      <formula>10.237</formula>
    </cfRule>
  </conditionalFormatting>
  <conditionalFormatting sqref="AL300">
    <cfRule type="cellIs" priority="924" stopIfTrue="1" operator="lessThan">
      <formula>10.237</formula>
    </cfRule>
  </conditionalFormatting>
  <conditionalFormatting sqref="AK300:AL300">
    <cfRule type="cellIs" dxfId="642" priority="922" operator="lessThan">
      <formula>0</formula>
    </cfRule>
    <cfRule type="cellIs" dxfId="641" priority="923" operator="lessThan">
      <formula>0</formula>
    </cfRule>
  </conditionalFormatting>
  <conditionalFormatting sqref="AH272:AH273 AC272:AC274 Y272:Z274">
    <cfRule type="cellIs" priority="899" stopIfTrue="1" operator="lessThan">
      <formula>10.237</formula>
    </cfRule>
  </conditionalFormatting>
  <conditionalFormatting sqref="AK304">
    <cfRule type="cellIs" priority="918" stopIfTrue="1" operator="lessThan">
      <formula>10.237</formula>
    </cfRule>
  </conditionalFormatting>
  <conditionalFormatting sqref="AL304">
    <cfRule type="cellIs" priority="917" stopIfTrue="1" operator="lessThan">
      <formula>10.237</formula>
    </cfRule>
  </conditionalFormatting>
  <conditionalFormatting sqref="AK304:AL304">
    <cfRule type="cellIs" dxfId="640" priority="915" operator="lessThan">
      <formula>0</formula>
    </cfRule>
    <cfRule type="cellIs" dxfId="639" priority="916" operator="lessThan">
      <formula>0</formula>
    </cfRule>
  </conditionalFormatting>
  <conditionalFormatting sqref="Y271:Z271 Z270">
    <cfRule type="cellIs" priority="914" stopIfTrue="1" operator="lessThan">
      <formula>10.237</formula>
    </cfRule>
  </conditionalFormatting>
  <conditionalFormatting sqref="AK271">
    <cfRule type="cellIs" priority="913" stopIfTrue="1" operator="lessThan">
      <formula>10.237</formula>
    </cfRule>
  </conditionalFormatting>
  <conditionalFormatting sqref="AL271">
    <cfRule type="cellIs" priority="912" stopIfTrue="1" operator="lessThan">
      <formula>10.237</formula>
    </cfRule>
  </conditionalFormatting>
  <conditionalFormatting sqref="AK271:AL271">
    <cfRule type="cellIs" dxfId="638" priority="910" operator="lessThan">
      <formula>0</formula>
    </cfRule>
    <cfRule type="cellIs" dxfId="637" priority="911" operator="lessThan">
      <formula>0</formula>
    </cfRule>
  </conditionalFormatting>
  <conditionalFormatting sqref="AA271">
    <cfRule type="cellIs" priority="909" stopIfTrue="1" operator="lessThan">
      <formula>10.237</formula>
    </cfRule>
  </conditionalFormatting>
  <conditionalFormatting sqref="AD271">
    <cfRule type="cellIs" priority="908" stopIfTrue="1" operator="lessThan">
      <formula>10.237</formula>
    </cfRule>
  </conditionalFormatting>
  <conditionalFormatting sqref="Y270 AA270">
    <cfRule type="cellIs" priority="907" stopIfTrue="1" operator="lessThan">
      <formula>10.237</formula>
    </cfRule>
  </conditionalFormatting>
  <conditionalFormatting sqref="AK270">
    <cfRule type="cellIs" priority="906" stopIfTrue="1" operator="lessThan">
      <formula>10.237</formula>
    </cfRule>
  </conditionalFormatting>
  <conditionalFormatting sqref="AL270">
    <cfRule type="cellIs" priority="905" stopIfTrue="1" operator="lessThan">
      <formula>10.237</formula>
    </cfRule>
  </conditionalFormatting>
  <conditionalFormatting sqref="AK270:AL270">
    <cfRule type="cellIs" dxfId="636" priority="900" operator="lessThan">
      <formula>0</formula>
    </cfRule>
    <cfRule type="cellIs" dxfId="635" priority="904" operator="lessThan">
      <formula>0</formula>
    </cfRule>
  </conditionalFormatting>
  <conditionalFormatting sqref="AD270">
    <cfRule type="cellIs" priority="903" stopIfTrue="1" operator="lessThan">
      <formula>10.237</formula>
    </cfRule>
  </conditionalFormatting>
  <conditionalFormatting sqref="AK270">
    <cfRule type="cellIs" priority="902" stopIfTrue="1" operator="lessThan">
      <formula>10.237</formula>
    </cfRule>
  </conditionalFormatting>
  <conditionalFormatting sqref="AA312:AA313">
    <cfRule type="cellIs" priority="889" stopIfTrue="1" operator="lessThan">
      <formula>10.237</formula>
    </cfRule>
  </conditionalFormatting>
  <conditionalFormatting sqref="AH314:AH315 AC314:AC316 Y314:Z316">
    <cfRule type="cellIs" priority="887" stopIfTrue="1" operator="lessThan">
      <formula>10.237</formula>
    </cfRule>
  </conditionalFormatting>
  <conditionalFormatting sqref="AK274">
    <cfRule type="cellIs" priority="898" stopIfTrue="1" operator="lessThan">
      <formula>10.237</formula>
    </cfRule>
  </conditionalFormatting>
  <conditionalFormatting sqref="AL274">
    <cfRule type="cellIs" priority="897" stopIfTrue="1" operator="lessThan">
      <formula>10.237</formula>
    </cfRule>
  </conditionalFormatting>
  <conditionalFormatting sqref="AK274:AL274">
    <cfRule type="cellIs" dxfId="634" priority="895" operator="lessThan">
      <formula>0</formula>
    </cfRule>
    <cfRule type="cellIs" dxfId="633" priority="896" operator="lessThan">
      <formula>0</formula>
    </cfRule>
  </conditionalFormatting>
  <conditionalFormatting sqref="Y313:Z313 Y312">
    <cfRule type="cellIs" priority="894" stopIfTrue="1" operator="lessThan">
      <formula>10.237</formula>
    </cfRule>
  </conditionalFormatting>
  <conditionalFormatting sqref="AK312:AK313">
    <cfRule type="cellIs" priority="893" stopIfTrue="1" operator="lessThan">
      <formula>10.237</formula>
    </cfRule>
  </conditionalFormatting>
  <conditionalFormatting sqref="AL312:AL313">
    <cfRule type="cellIs" priority="892" stopIfTrue="1" operator="lessThan">
      <formula>10.237</formula>
    </cfRule>
  </conditionalFormatting>
  <conditionalFormatting sqref="AK312:AL313">
    <cfRule type="cellIs" dxfId="632" priority="890" operator="lessThan">
      <formula>0</formula>
    </cfRule>
    <cfRule type="cellIs" dxfId="631" priority="891" operator="lessThan">
      <formula>0</formula>
    </cfRule>
  </conditionalFormatting>
  <conditionalFormatting sqref="AA48">
    <cfRule type="cellIs" priority="869" stopIfTrue="1" operator="lessThan">
      <formula>10.237</formula>
    </cfRule>
  </conditionalFormatting>
  <conditionalFormatting sqref="AD48">
    <cfRule type="cellIs" priority="868" stopIfTrue="1" operator="lessThan">
      <formula>10.237</formula>
    </cfRule>
  </conditionalFormatting>
  <conditionalFormatting sqref="AH50:AH51 AC50:AC52 Y50:Z52">
    <cfRule type="cellIs" priority="867" stopIfTrue="1" operator="lessThan">
      <formula>10.237</formula>
    </cfRule>
  </conditionalFormatting>
  <conditionalFormatting sqref="AK316">
    <cfRule type="cellIs" priority="886" stopIfTrue="1" operator="lessThan">
      <formula>10.237</formula>
    </cfRule>
  </conditionalFormatting>
  <conditionalFormatting sqref="AL316">
    <cfRule type="cellIs" priority="885" stopIfTrue="1" operator="lessThan">
      <formula>10.237</formula>
    </cfRule>
  </conditionalFormatting>
  <conditionalFormatting sqref="AK316:AL316">
    <cfRule type="cellIs" dxfId="630" priority="883" operator="lessThan">
      <formula>0</formula>
    </cfRule>
    <cfRule type="cellIs" dxfId="629" priority="884" operator="lessThan">
      <formula>0</formula>
    </cfRule>
  </conditionalFormatting>
  <conditionalFormatting sqref="Y49 AA49">
    <cfRule type="cellIs" priority="882" stopIfTrue="1" operator="lessThan">
      <formula>10.237</formula>
    </cfRule>
  </conditionalFormatting>
  <conditionalFormatting sqref="AK49">
    <cfRule type="cellIs" priority="881" stopIfTrue="1" operator="lessThan">
      <formula>10.237</formula>
    </cfRule>
  </conditionalFormatting>
  <conditionalFormatting sqref="AL49">
    <cfRule type="cellIs" priority="880" stopIfTrue="1" operator="lessThan">
      <formula>10.237</formula>
    </cfRule>
  </conditionalFormatting>
  <conditionalFormatting sqref="AK49:AL49">
    <cfRule type="cellIs" dxfId="628" priority="875" operator="lessThan">
      <formula>0</formula>
    </cfRule>
    <cfRule type="cellIs" dxfId="627" priority="879" operator="lessThan">
      <formula>0</formula>
    </cfRule>
  </conditionalFormatting>
  <conditionalFormatting sqref="AD49">
    <cfRule type="cellIs" priority="878" stopIfTrue="1" operator="lessThan">
      <formula>10.237</formula>
    </cfRule>
  </conditionalFormatting>
  <conditionalFormatting sqref="AK49">
    <cfRule type="cellIs" priority="877" stopIfTrue="1" operator="lessThan">
      <formula>10.237</formula>
    </cfRule>
  </conditionalFormatting>
  <conditionalFormatting sqref="AL49">
    <cfRule type="cellIs" priority="876" stopIfTrue="1" operator="lessThan">
      <formula>10.237</formula>
    </cfRule>
  </conditionalFormatting>
  <conditionalFormatting sqref="AD150:AD151">
    <cfRule type="cellIs" priority="816" stopIfTrue="1" operator="lessThan">
      <formula>10.237</formula>
    </cfRule>
  </conditionalFormatting>
  <conditionalFormatting sqref="AL36">
    <cfRule type="cellIs" priority="849" stopIfTrue="1" operator="lessThan">
      <formula>10.237</formula>
    </cfRule>
  </conditionalFormatting>
  <conditionalFormatting sqref="Y48:Z48 Z49">
    <cfRule type="cellIs" priority="874" stopIfTrue="1" operator="lessThan">
      <formula>10.237</formula>
    </cfRule>
  </conditionalFormatting>
  <conditionalFormatting sqref="AK48">
    <cfRule type="cellIs" priority="873" stopIfTrue="1" operator="lessThan">
      <formula>10.237</formula>
    </cfRule>
  </conditionalFormatting>
  <conditionalFormatting sqref="AL48">
    <cfRule type="cellIs" priority="872" stopIfTrue="1" operator="lessThan">
      <formula>10.237</formula>
    </cfRule>
  </conditionalFormatting>
  <conditionalFormatting sqref="AK48:AL48">
    <cfRule type="cellIs" dxfId="626" priority="870" operator="lessThan">
      <formula>0</formula>
    </cfRule>
    <cfRule type="cellIs" dxfId="625" priority="871" operator="lessThan">
      <formula>0</formula>
    </cfRule>
  </conditionalFormatting>
  <conditionalFormatting sqref="AH38:AH39 AC38:AC40 Y38:Z40">
    <cfRule type="cellIs" priority="847" stopIfTrue="1" operator="lessThan">
      <formula>10.237</formula>
    </cfRule>
  </conditionalFormatting>
  <conditionalFormatting sqref="AK52">
    <cfRule type="cellIs" priority="866" stopIfTrue="1" operator="lessThan">
      <formula>10.237</formula>
    </cfRule>
  </conditionalFormatting>
  <conditionalFormatting sqref="AL52">
    <cfRule type="cellIs" priority="865" stopIfTrue="1" operator="lessThan">
      <formula>10.237</formula>
    </cfRule>
  </conditionalFormatting>
  <conditionalFormatting sqref="AK52:AL52">
    <cfRule type="cellIs" dxfId="624" priority="863" operator="lessThan">
      <formula>0</formula>
    </cfRule>
    <cfRule type="cellIs" dxfId="623" priority="864" operator="lessThan">
      <formula>0</formula>
    </cfRule>
  </conditionalFormatting>
  <conditionalFormatting sqref="Y37">
    <cfRule type="cellIs" priority="862" stopIfTrue="1" operator="lessThan">
      <formula>10.237</formula>
    </cfRule>
  </conditionalFormatting>
  <conditionalFormatting sqref="AK36:AK37">
    <cfRule type="cellIs" priority="861" stopIfTrue="1" operator="lessThan">
      <formula>10.237</formula>
    </cfRule>
  </conditionalFormatting>
  <conditionalFormatting sqref="AL37">
    <cfRule type="cellIs" priority="860" stopIfTrue="1" operator="lessThan">
      <formula>10.237</formula>
    </cfRule>
  </conditionalFormatting>
  <conditionalFormatting sqref="AK37:AL37 AK36">
    <cfRule type="cellIs" dxfId="622" priority="858" operator="lessThan">
      <formula>0</formula>
    </cfRule>
    <cfRule type="cellIs" dxfId="621" priority="859" operator="lessThan">
      <formula>0</formula>
    </cfRule>
  </conditionalFormatting>
  <conditionalFormatting sqref="AA36:AA37">
    <cfRule type="cellIs" priority="857" stopIfTrue="1" operator="lessThan">
      <formula>10.237</formula>
    </cfRule>
  </conditionalFormatting>
  <conditionalFormatting sqref="AD37">
    <cfRule type="cellIs" priority="856" stopIfTrue="1" operator="lessThan">
      <formula>10.237</formula>
    </cfRule>
  </conditionalFormatting>
  <conditionalFormatting sqref="Y36">
    <cfRule type="cellIs" priority="855" stopIfTrue="1" operator="lessThan">
      <formula>10.237</formula>
    </cfRule>
  </conditionalFormatting>
  <conditionalFormatting sqref="AK36">
    <cfRule type="cellIs" priority="854" stopIfTrue="1" operator="lessThan">
      <formula>10.237</formula>
    </cfRule>
  </conditionalFormatting>
  <conditionalFormatting sqref="AL36">
    <cfRule type="cellIs" priority="853" stopIfTrue="1" operator="lessThan">
      <formula>10.237</formula>
    </cfRule>
  </conditionalFormatting>
  <conditionalFormatting sqref="AK36:AL36">
    <cfRule type="cellIs" dxfId="620" priority="848" operator="lessThan">
      <formula>0</formula>
    </cfRule>
    <cfRule type="cellIs" dxfId="619" priority="852" operator="lessThan">
      <formula>0</formula>
    </cfRule>
  </conditionalFormatting>
  <conditionalFormatting sqref="AD36">
    <cfRule type="cellIs" priority="851" stopIfTrue="1" operator="lessThan">
      <formula>10.237</formula>
    </cfRule>
  </conditionalFormatting>
  <conditionalFormatting sqref="AK36">
    <cfRule type="cellIs" priority="850" stopIfTrue="1" operator="lessThan">
      <formula>10.237</formula>
    </cfRule>
  </conditionalFormatting>
  <conditionalFormatting sqref="AL78">
    <cfRule type="cellIs" priority="829" stopIfTrue="1" operator="lessThan">
      <formula>10.237</formula>
    </cfRule>
  </conditionalFormatting>
  <conditionalFormatting sqref="AH80:AH81 AC80:AC82 Y80:Z82">
    <cfRule type="cellIs" priority="827" stopIfTrue="1" operator="lessThan">
      <formula>10.237</formula>
    </cfRule>
  </conditionalFormatting>
  <conditionalFormatting sqref="AK40">
    <cfRule type="cellIs" priority="846" stopIfTrue="1" operator="lessThan">
      <formula>10.237</formula>
    </cfRule>
  </conditionalFormatting>
  <conditionalFormatting sqref="AL40">
    <cfRule type="cellIs" priority="845" stopIfTrue="1" operator="lessThan">
      <formula>10.237</formula>
    </cfRule>
  </conditionalFormatting>
  <conditionalFormatting sqref="AK40:AL40">
    <cfRule type="cellIs" dxfId="618" priority="843" operator="lessThan">
      <formula>0</formula>
    </cfRule>
    <cfRule type="cellIs" dxfId="617" priority="844" operator="lessThan">
      <formula>0</formula>
    </cfRule>
  </conditionalFormatting>
  <conditionalFormatting sqref="Y79">
    <cfRule type="cellIs" priority="842" stopIfTrue="1" operator="lessThan">
      <formula>10.237</formula>
    </cfRule>
  </conditionalFormatting>
  <conditionalFormatting sqref="AK79">
    <cfRule type="cellIs" priority="841" stopIfTrue="1" operator="lessThan">
      <formula>10.237</formula>
    </cfRule>
  </conditionalFormatting>
  <conditionalFormatting sqref="AL79">
    <cfRule type="cellIs" priority="840" stopIfTrue="1" operator="lessThan">
      <formula>10.237</formula>
    </cfRule>
  </conditionalFormatting>
  <conditionalFormatting sqref="AK79:AL79">
    <cfRule type="cellIs" dxfId="616" priority="838" operator="lessThan">
      <formula>0</formula>
    </cfRule>
    <cfRule type="cellIs" dxfId="615" priority="839" operator="lessThan">
      <formula>0</formula>
    </cfRule>
  </conditionalFormatting>
  <conditionalFormatting sqref="AA79">
    <cfRule type="cellIs" priority="837" stopIfTrue="1" operator="lessThan">
      <formula>10.237</formula>
    </cfRule>
  </conditionalFormatting>
  <conditionalFormatting sqref="AD79">
    <cfRule type="cellIs" priority="836" stopIfTrue="1" operator="lessThan">
      <formula>10.237</formula>
    </cfRule>
  </conditionalFormatting>
  <conditionalFormatting sqref="AA150:AA151">
    <cfRule type="cellIs" priority="817" stopIfTrue="1" operator="lessThan">
      <formula>10.237</formula>
    </cfRule>
  </conditionalFormatting>
  <conditionalFormatting sqref="Y78">
    <cfRule type="cellIs" priority="835" stopIfTrue="1" operator="lessThan">
      <formula>10.237</formula>
    </cfRule>
  </conditionalFormatting>
  <conditionalFormatting sqref="AK78">
    <cfRule type="cellIs" priority="834" stopIfTrue="1" operator="lessThan">
      <formula>10.237</formula>
    </cfRule>
  </conditionalFormatting>
  <conditionalFormatting sqref="AL78">
    <cfRule type="cellIs" priority="833" stopIfTrue="1" operator="lessThan">
      <formula>10.237</formula>
    </cfRule>
  </conditionalFormatting>
  <conditionalFormatting sqref="AK78:AL78">
    <cfRule type="cellIs" dxfId="614" priority="828" operator="lessThan">
      <formula>0</formula>
    </cfRule>
    <cfRule type="cellIs" dxfId="613" priority="832" operator="lessThan">
      <formula>0</formula>
    </cfRule>
  </conditionalFormatting>
  <conditionalFormatting sqref="AD78">
    <cfRule type="cellIs" priority="831" stopIfTrue="1" operator="lessThan">
      <formula>10.237</formula>
    </cfRule>
  </conditionalFormatting>
  <conditionalFormatting sqref="AK78">
    <cfRule type="cellIs" priority="830" stopIfTrue="1" operator="lessThan">
      <formula>10.237</formula>
    </cfRule>
  </conditionalFormatting>
  <conditionalFormatting sqref="AH152:AH153 AC152:AC154 Y152:Z154">
    <cfRule type="cellIs" priority="815" stopIfTrue="1" operator="lessThan">
      <formula>10.237</formula>
    </cfRule>
  </conditionalFormatting>
  <conditionalFormatting sqref="AK82">
    <cfRule type="cellIs" priority="826" stopIfTrue="1" operator="lessThan">
      <formula>10.237</formula>
    </cfRule>
  </conditionalFormatting>
  <conditionalFormatting sqref="AL82">
    <cfRule type="cellIs" priority="825" stopIfTrue="1" operator="lessThan">
      <formula>10.237</formula>
    </cfRule>
  </conditionalFormatting>
  <conditionalFormatting sqref="AK82:AL82">
    <cfRule type="cellIs" dxfId="612" priority="823" operator="lessThan">
      <formula>0</formula>
    </cfRule>
    <cfRule type="cellIs" dxfId="611" priority="824" operator="lessThan">
      <formula>0</formula>
    </cfRule>
  </conditionalFormatting>
  <conditionalFormatting sqref="Y150:Y151">
    <cfRule type="cellIs" priority="822" stopIfTrue="1" operator="lessThan">
      <formula>10.237</formula>
    </cfRule>
  </conditionalFormatting>
  <conditionalFormatting sqref="AK150:AK151">
    <cfRule type="cellIs" priority="821" stopIfTrue="1" operator="lessThan">
      <formula>10.237</formula>
    </cfRule>
  </conditionalFormatting>
  <conditionalFormatting sqref="AL150:AL151">
    <cfRule type="cellIs" priority="820" stopIfTrue="1" operator="lessThan">
      <formula>10.237</formula>
    </cfRule>
  </conditionalFormatting>
  <conditionalFormatting sqref="AK150:AL151">
    <cfRule type="cellIs" dxfId="610" priority="818" operator="lessThan">
      <formula>0</formula>
    </cfRule>
    <cfRule type="cellIs" dxfId="609" priority="819" operator="lessThan">
      <formula>0</formula>
    </cfRule>
  </conditionalFormatting>
  <conditionalFormatting sqref="AL276:AL277">
    <cfRule type="cellIs" priority="804" stopIfTrue="1" operator="lessThan">
      <formula>10.237</formula>
    </cfRule>
  </conditionalFormatting>
  <conditionalFormatting sqref="AD6:AD7">
    <cfRule type="cellIs" priority="791" stopIfTrue="1" operator="lessThan">
      <formula>10.237</formula>
    </cfRule>
  </conditionalFormatting>
  <conditionalFormatting sqref="AH278:AH279 AC278:AC280 Y278:Z280">
    <cfRule type="cellIs" priority="802" stopIfTrue="1" operator="lessThan">
      <formula>10.237</formula>
    </cfRule>
  </conditionalFormatting>
  <conditionalFormatting sqref="AK154">
    <cfRule type="cellIs" priority="814" stopIfTrue="1" operator="lessThan">
      <formula>10.237</formula>
    </cfRule>
  </conditionalFormatting>
  <conditionalFormatting sqref="AL154">
    <cfRule type="cellIs" priority="813" stopIfTrue="1" operator="lessThan">
      <formula>10.237</formula>
    </cfRule>
  </conditionalFormatting>
  <conditionalFormatting sqref="AK154:AL154">
    <cfRule type="cellIs" dxfId="608" priority="811" operator="lessThan">
      <formula>0</formula>
    </cfRule>
    <cfRule type="cellIs" dxfId="607" priority="812" operator="lessThan">
      <formula>0</formula>
    </cfRule>
  </conditionalFormatting>
  <conditionalFormatting sqref="Y276:AA276 Y277 AA277">
    <cfRule type="cellIs" priority="810" stopIfTrue="1" operator="lessThan">
      <formula>10.237</formula>
    </cfRule>
  </conditionalFormatting>
  <conditionalFormatting sqref="AK276:AK277">
    <cfRule type="cellIs" priority="809" stopIfTrue="1" operator="lessThan">
      <formula>10.237</formula>
    </cfRule>
  </conditionalFormatting>
  <conditionalFormatting sqref="AL276:AL277">
    <cfRule type="cellIs" priority="808" stopIfTrue="1" operator="lessThan">
      <formula>10.237</formula>
    </cfRule>
  </conditionalFormatting>
  <conditionalFormatting sqref="AK276:AL277">
    <cfRule type="cellIs" dxfId="606" priority="803" operator="lessThan">
      <formula>0</formula>
    </cfRule>
    <cfRule type="cellIs" dxfId="605" priority="807" operator="lessThan">
      <formula>0</formula>
    </cfRule>
  </conditionalFormatting>
  <conditionalFormatting sqref="AD276:AD277">
    <cfRule type="cellIs" priority="806" stopIfTrue="1" operator="lessThan">
      <formula>10.237</formula>
    </cfRule>
  </conditionalFormatting>
  <conditionalFormatting sqref="AK276:AK277">
    <cfRule type="cellIs" priority="805" stopIfTrue="1" operator="lessThan">
      <formula>10.237</formula>
    </cfRule>
  </conditionalFormatting>
  <conditionalFormatting sqref="AA6:AA7">
    <cfRule type="cellIs" priority="792" stopIfTrue="1" operator="lessThan">
      <formula>10.237</formula>
    </cfRule>
  </conditionalFormatting>
  <conditionalFormatting sqref="AH8:AH9 AC8:AC10 Y8:Z10">
    <cfRule type="cellIs" priority="790" stopIfTrue="1" operator="lessThan">
      <formula>10.237</formula>
    </cfRule>
  </conditionalFormatting>
  <conditionalFormatting sqref="AK280">
    <cfRule type="cellIs" priority="801" stopIfTrue="1" operator="lessThan">
      <formula>10.237</formula>
    </cfRule>
  </conditionalFormatting>
  <conditionalFormatting sqref="AL280">
    <cfRule type="cellIs" priority="800" stopIfTrue="1" operator="lessThan">
      <formula>10.237</formula>
    </cfRule>
  </conditionalFormatting>
  <conditionalFormatting sqref="AK280:AL280">
    <cfRule type="cellIs" dxfId="604" priority="798" operator="lessThan">
      <formula>0</formula>
    </cfRule>
    <cfRule type="cellIs" dxfId="603" priority="799" operator="lessThan">
      <formula>0</formula>
    </cfRule>
  </conditionalFormatting>
  <conditionalFormatting sqref="Y6:Y7">
    <cfRule type="cellIs" priority="797" stopIfTrue="1" operator="lessThan">
      <formula>10.237</formula>
    </cfRule>
  </conditionalFormatting>
  <conditionalFormatting sqref="AK6:AK7">
    <cfRule type="cellIs" priority="796" stopIfTrue="1" operator="lessThan">
      <formula>10.237</formula>
    </cfRule>
  </conditionalFormatting>
  <conditionalFormatting sqref="AL6:AL7">
    <cfRule type="cellIs" priority="795" stopIfTrue="1" operator="lessThan">
      <formula>10.237</formula>
    </cfRule>
  </conditionalFormatting>
  <conditionalFormatting sqref="AK6:AL7">
    <cfRule type="cellIs" dxfId="602" priority="793" operator="lessThan">
      <formula>0</formula>
    </cfRule>
    <cfRule type="cellIs" dxfId="601" priority="794" operator="lessThan">
      <formula>0</formula>
    </cfRule>
  </conditionalFormatting>
  <conditionalFormatting sqref="AA186:AA187">
    <cfRule type="cellIs" priority="780" stopIfTrue="1" operator="lessThan">
      <formula>10.237</formula>
    </cfRule>
  </conditionalFormatting>
  <conditionalFormatting sqref="AD186:AD187">
    <cfRule type="cellIs" priority="779" stopIfTrue="1" operator="lessThan">
      <formula>10.237</formula>
    </cfRule>
  </conditionalFormatting>
  <conditionalFormatting sqref="AH188:AH189 AC188:AC190 Y188:Z190">
    <cfRule type="cellIs" priority="778" stopIfTrue="1" operator="lessThan">
      <formula>10.237</formula>
    </cfRule>
  </conditionalFormatting>
  <conditionalFormatting sqref="AK10">
    <cfRule type="cellIs" priority="789" stopIfTrue="1" operator="lessThan">
      <formula>10.237</formula>
    </cfRule>
  </conditionalFormatting>
  <conditionalFormatting sqref="AL10">
    <cfRule type="cellIs" priority="788" stopIfTrue="1" operator="lessThan">
      <formula>10.237</formula>
    </cfRule>
  </conditionalFormatting>
  <conditionalFormatting sqref="AK10:AL10">
    <cfRule type="cellIs" dxfId="600" priority="786" operator="lessThan">
      <formula>0</formula>
    </cfRule>
    <cfRule type="cellIs" dxfId="599" priority="787" operator="lessThan">
      <formula>0</formula>
    </cfRule>
  </conditionalFormatting>
  <conditionalFormatting sqref="Y186:Y187">
    <cfRule type="cellIs" priority="785" stopIfTrue="1" operator="lessThan">
      <formula>10.237</formula>
    </cfRule>
  </conditionalFormatting>
  <conditionalFormatting sqref="AK186:AK187">
    <cfRule type="cellIs" priority="784" stopIfTrue="1" operator="lessThan">
      <formula>10.237</formula>
    </cfRule>
  </conditionalFormatting>
  <conditionalFormatting sqref="AL186:AL187">
    <cfRule type="cellIs" priority="783" stopIfTrue="1" operator="lessThan">
      <formula>10.237</formula>
    </cfRule>
  </conditionalFormatting>
  <conditionalFormatting sqref="AK186:AL187">
    <cfRule type="cellIs" dxfId="598" priority="781" operator="lessThan">
      <formula>0</formula>
    </cfRule>
    <cfRule type="cellIs" dxfId="597" priority="782" operator="lessThan">
      <formula>0</formula>
    </cfRule>
  </conditionalFormatting>
  <conditionalFormatting sqref="AL288:AL289">
    <cfRule type="cellIs" priority="766" stopIfTrue="1" operator="lessThan">
      <formula>10.237</formula>
    </cfRule>
  </conditionalFormatting>
  <conditionalFormatting sqref="AH290:AH291 AC290:AC292 Y290:Z292">
    <cfRule type="cellIs" priority="764" stopIfTrue="1" operator="lessThan">
      <formula>10.237</formula>
    </cfRule>
  </conditionalFormatting>
  <conditionalFormatting sqref="AK190">
    <cfRule type="cellIs" priority="777" stopIfTrue="1" operator="lessThan">
      <formula>10.237</formula>
    </cfRule>
  </conditionalFormatting>
  <conditionalFormatting sqref="AL190">
    <cfRule type="cellIs" priority="776" stopIfTrue="1" operator="lessThan">
      <formula>10.237</formula>
    </cfRule>
  </conditionalFormatting>
  <conditionalFormatting sqref="AK190:AL190">
    <cfRule type="cellIs" dxfId="596" priority="774" operator="lessThan">
      <formula>0</formula>
    </cfRule>
    <cfRule type="cellIs" dxfId="595" priority="775" operator="lessThan">
      <formula>0</formula>
    </cfRule>
  </conditionalFormatting>
  <conditionalFormatting sqref="AA288:AA289">
    <cfRule type="cellIs" priority="773" stopIfTrue="1" operator="lessThan">
      <formula>10.237</formula>
    </cfRule>
  </conditionalFormatting>
  <conditionalFormatting sqref="Y288:Z288 Y289">
    <cfRule type="cellIs" priority="772" stopIfTrue="1" operator="lessThan">
      <formula>10.237</formula>
    </cfRule>
  </conditionalFormatting>
  <conditionalFormatting sqref="AK288:AK289">
    <cfRule type="cellIs" priority="771" stopIfTrue="1" operator="lessThan">
      <formula>10.237</formula>
    </cfRule>
  </conditionalFormatting>
  <conditionalFormatting sqref="AL288:AL289">
    <cfRule type="cellIs" priority="770" stopIfTrue="1" operator="lessThan">
      <formula>10.237</formula>
    </cfRule>
  </conditionalFormatting>
  <conditionalFormatting sqref="AK288:AL289">
    <cfRule type="cellIs" dxfId="594" priority="765" operator="lessThan">
      <formula>0</formula>
    </cfRule>
    <cfRule type="cellIs" dxfId="593" priority="769" operator="lessThan">
      <formula>0</formula>
    </cfRule>
  </conditionalFormatting>
  <conditionalFormatting sqref="AD288:AD289">
    <cfRule type="cellIs" priority="768" stopIfTrue="1" operator="lessThan">
      <formula>10.237</formula>
    </cfRule>
  </conditionalFormatting>
  <conditionalFormatting sqref="AK288:AK289">
    <cfRule type="cellIs" priority="767" stopIfTrue="1" operator="lessThan">
      <formula>10.237</formula>
    </cfRule>
  </conditionalFormatting>
  <conditionalFormatting sqref="AA349:AA350">
    <cfRule type="cellIs" priority="746" stopIfTrue="1" operator="lessThan">
      <formula>10.237</formula>
    </cfRule>
  </conditionalFormatting>
  <conditionalFormatting sqref="AK292">
    <cfRule type="cellIs" priority="763" stopIfTrue="1" operator="lessThan">
      <formula>10.237</formula>
    </cfRule>
  </conditionalFormatting>
  <conditionalFormatting sqref="AL292">
    <cfRule type="cellIs" priority="762" stopIfTrue="1" operator="lessThan">
      <formula>10.237</formula>
    </cfRule>
  </conditionalFormatting>
  <conditionalFormatting sqref="AK292:AL292">
    <cfRule type="cellIs" dxfId="592" priority="760" operator="lessThan">
      <formula>0</formula>
    </cfRule>
    <cfRule type="cellIs" dxfId="591" priority="761" operator="lessThan">
      <formula>0</formula>
    </cfRule>
  </conditionalFormatting>
  <conditionalFormatting sqref="Y351:AA351">
    <cfRule type="cellIs" priority="759" stopIfTrue="1" operator="lessThan">
      <formula>10.237</formula>
    </cfRule>
  </conditionalFormatting>
  <conditionalFormatting sqref="AK351">
    <cfRule type="cellIs" priority="758" stopIfTrue="1" operator="lessThan">
      <formula>10.237</formula>
    </cfRule>
  </conditionalFormatting>
  <conditionalFormatting sqref="AL351">
    <cfRule type="cellIs" priority="757" stopIfTrue="1" operator="lessThan">
      <formula>10.237</formula>
    </cfRule>
  </conditionalFormatting>
  <conditionalFormatting sqref="AK351:AL351">
    <cfRule type="cellIs" dxfId="590" priority="752" operator="lessThan">
      <formula>0</formula>
    </cfRule>
    <cfRule type="cellIs" dxfId="589" priority="756" operator="lessThan">
      <formula>0</formula>
    </cfRule>
  </conditionalFormatting>
  <conditionalFormatting sqref="AD351">
    <cfRule type="cellIs" priority="755" stopIfTrue="1" operator="lessThan">
      <formula>10.237</formula>
    </cfRule>
  </conditionalFormatting>
  <conditionalFormatting sqref="AK351">
    <cfRule type="cellIs" priority="754" stopIfTrue="1" operator="lessThan">
      <formula>10.237</formula>
    </cfRule>
  </conditionalFormatting>
  <conditionalFormatting sqref="AL351">
    <cfRule type="cellIs" priority="753" stopIfTrue="1" operator="lessThan">
      <formula>10.237</formula>
    </cfRule>
  </conditionalFormatting>
  <conditionalFormatting sqref="AD349:AD350">
    <cfRule type="cellIs" priority="745" stopIfTrue="1" operator="lessThan">
      <formula>10.237</formula>
    </cfRule>
  </conditionalFormatting>
  <conditionalFormatting sqref="Y349:Z350">
    <cfRule type="cellIs" priority="751" stopIfTrue="1" operator="lessThan">
      <formula>10.237</formula>
    </cfRule>
  </conditionalFormatting>
  <conditionalFormatting sqref="AK349:AK350">
    <cfRule type="cellIs" priority="750" stopIfTrue="1" operator="lessThan">
      <formula>10.237</formula>
    </cfRule>
  </conditionalFormatting>
  <conditionalFormatting sqref="AL349:AL351">
    <cfRule type="cellIs" priority="749" stopIfTrue="1" operator="lessThan">
      <formula>10.237</formula>
    </cfRule>
  </conditionalFormatting>
  <conditionalFormatting sqref="AK349:AL350 AL351">
    <cfRule type="cellIs" dxfId="588" priority="747" operator="lessThan">
      <formula>0</formula>
    </cfRule>
    <cfRule type="cellIs" dxfId="587" priority="748" operator="lessThan">
      <formula>0</formula>
    </cfRule>
  </conditionalFormatting>
  <conditionalFormatting sqref="Y352:Z354">
    <cfRule type="cellIs" priority="744" stopIfTrue="1" operator="lessThan">
      <formula>10.237</formula>
    </cfRule>
  </conditionalFormatting>
  <conditionalFormatting sqref="Y96:Y97">
    <cfRule type="cellIs" priority="741" stopIfTrue="1" operator="lessThan">
      <formula>10.237</formula>
    </cfRule>
  </conditionalFormatting>
  <conditionalFormatting sqref="AK96:AK97">
    <cfRule type="cellIs" priority="740" stopIfTrue="1" operator="lessThan">
      <formula>10.237</formula>
    </cfRule>
  </conditionalFormatting>
  <conditionalFormatting sqref="AL96:AL97">
    <cfRule type="cellIs" priority="739" stopIfTrue="1" operator="lessThan">
      <formula>10.237</formula>
    </cfRule>
  </conditionalFormatting>
  <conditionalFormatting sqref="AK96:AL97">
    <cfRule type="cellIs" dxfId="586" priority="737" operator="lessThan">
      <formula>0</formula>
    </cfRule>
    <cfRule type="cellIs" dxfId="585" priority="738" operator="lessThan">
      <formula>0</formula>
    </cfRule>
  </conditionalFormatting>
  <conditionalFormatting sqref="AA96:AA97">
    <cfRule type="cellIs" priority="736" stopIfTrue="1" operator="lessThan">
      <formula>10.237</formula>
    </cfRule>
  </conditionalFormatting>
  <conditionalFormatting sqref="AD96:AD97">
    <cfRule type="cellIs" priority="735" stopIfTrue="1" operator="lessThan">
      <formula>10.237</formula>
    </cfRule>
  </conditionalFormatting>
  <conditionalFormatting sqref="AH98:AH99 AC98:AC100 Y98:Z100">
    <cfRule type="cellIs" priority="734" stopIfTrue="1" operator="lessThan">
      <formula>10.237</formula>
    </cfRule>
  </conditionalFormatting>
  <conditionalFormatting sqref="AK100">
    <cfRule type="cellIs" priority="733" stopIfTrue="1" operator="lessThan">
      <formula>10.237</formula>
    </cfRule>
  </conditionalFormatting>
  <conditionalFormatting sqref="AL100">
    <cfRule type="cellIs" priority="732" stopIfTrue="1" operator="lessThan">
      <formula>10.237</formula>
    </cfRule>
  </conditionalFormatting>
  <conditionalFormatting sqref="AK100:AL100">
    <cfRule type="cellIs" dxfId="584" priority="730" operator="lessThan">
      <formula>0</formula>
    </cfRule>
    <cfRule type="cellIs" dxfId="583" priority="731" operator="lessThan">
      <formula>0</formula>
    </cfRule>
  </conditionalFormatting>
  <conditionalFormatting sqref="AL72">
    <cfRule type="cellIs" priority="722" stopIfTrue="1" operator="lessThan">
      <formula>10.237</formula>
    </cfRule>
  </conditionalFormatting>
  <conditionalFormatting sqref="AA72">
    <cfRule type="cellIs" priority="729" stopIfTrue="1" operator="lessThan">
      <formula>10.237</formula>
    </cfRule>
  </conditionalFormatting>
  <conditionalFormatting sqref="Y72">
    <cfRule type="cellIs" priority="728" stopIfTrue="1" operator="lessThan">
      <formula>10.237</formula>
    </cfRule>
  </conditionalFormatting>
  <conditionalFormatting sqref="AK72">
    <cfRule type="cellIs" priority="727" stopIfTrue="1" operator="lessThan">
      <formula>10.237</formula>
    </cfRule>
  </conditionalFormatting>
  <conditionalFormatting sqref="AL72">
    <cfRule type="cellIs" priority="726" stopIfTrue="1" operator="lessThan">
      <formula>10.237</formula>
    </cfRule>
  </conditionalFormatting>
  <conditionalFormatting sqref="AK72:AL72">
    <cfRule type="cellIs" dxfId="582" priority="721" operator="lessThan">
      <formula>0</formula>
    </cfRule>
    <cfRule type="cellIs" dxfId="581" priority="725" operator="lessThan">
      <formula>0</formula>
    </cfRule>
  </conditionalFormatting>
  <conditionalFormatting sqref="AD72">
    <cfRule type="cellIs" priority="724" stopIfTrue="1" operator="lessThan">
      <formula>10.237</formula>
    </cfRule>
  </conditionalFormatting>
  <conditionalFormatting sqref="AK72">
    <cfRule type="cellIs" priority="723" stopIfTrue="1" operator="lessThan">
      <formula>10.237</formula>
    </cfRule>
  </conditionalFormatting>
  <conditionalFormatting sqref="Y73:Z73 Z72">
    <cfRule type="cellIs" priority="720" stopIfTrue="1" operator="lessThan">
      <formula>10.237</formula>
    </cfRule>
  </conditionalFormatting>
  <conditionalFormatting sqref="AA73">
    <cfRule type="cellIs" priority="719" stopIfTrue="1" operator="lessThan">
      <formula>10.237</formula>
    </cfRule>
  </conditionalFormatting>
  <conditionalFormatting sqref="AD73">
    <cfRule type="cellIs" priority="718" stopIfTrue="1" operator="lessThan">
      <formula>10.237</formula>
    </cfRule>
  </conditionalFormatting>
  <conditionalFormatting sqref="AK73">
    <cfRule type="cellIs" priority="717" stopIfTrue="1" operator="lessThan">
      <formula>10.237</formula>
    </cfRule>
  </conditionalFormatting>
  <conditionalFormatting sqref="AL73">
    <cfRule type="cellIs" priority="716" stopIfTrue="1" operator="lessThan">
      <formula>10.237</formula>
    </cfRule>
  </conditionalFormatting>
  <conditionalFormatting sqref="AK73:AL73">
    <cfRule type="cellIs" dxfId="580" priority="714" operator="lessThan">
      <formula>0</formula>
    </cfRule>
    <cfRule type="cellIs" dxfId="579" priority="715" operator="lessThan">
      <formula>0</formula>
    </cfRule>
  </conditionalFormatting>
  <conditionalFormatting sqref="AH74:AH75 AC74:AC76 Y74:Z76">
    <cfRule type="cellIs" priority="713" stopIfTrue="1" operator="lessThan">
      <formula>10.237</formula>
    </cfRule>
  </conditionalFormatting>
  <conditionalFormatting sqref="AK76">
    <cfRule type="cellIs" priority="712" stopIfTrue="1" operator="lessThan">
      <formula>10.237</formula>
    </cfRule>
  </conditionalFormatting>
  <conditionalFormatting sqref="AL76">
    <cfRule type="cellIs" priority="711" stopIfTrue="1" operator="lessThan">
      <formula>10.237</formula>
    </cfRule>
  </conditionalFormatting>
  <conditionalFormatting sqref="AK76:AL76">
    <cfRule type="cellIs" dxfId="578" priority="709" operator="lessThan">
      <formula>0</formula>
    </cfRule>
    <cfRule type="cellIs" dxfId="577" priority="710" operator="lessThan">
      <formula>0</formula>
    </cfRule>
  </conditionalFormatting>
  <conditionalFormatting sqref="Y264:Y265 AA264:AA265">
    <cfRule type="cellIs" priority="708" stopIfTrue="1" operator="lessThan">
      <formula>10.237</formula>
    </cfRule>
  </conditionalFormatting>
  <conditionalFormatting sqref="AK264:AK265">
    <cfRule type="cellIs" priority="707" stopIfTrue="1" operator="lessThan">
      <formula>10.237</formula>
    </cfRule>
  </conditionalFormatting>
  <conditionalFormatting sqref="AL264:AL265">
    <cfRule type="cellIs" priority="706" stopIfTrue="1" operator="lessThan">
      <formula>10.237</formula>
    </cfRule>
  </conditionalFormatting>
  <conditionalFormatting sqref="AK264:AL265">
    <cfRule type="cellIs" dxfId="576" priority="701" operator="lessThan">
      <formula>0</formula>
    </cfRule>
    <cfRule type="cellIs" dxfId="575" priority="705" operator="lessThan">
      <formula>0</formula>
    </cfRule>
  </conditionalFormatting>
  <conditionalFormatting sqref="AD264:AD265">
    <cfRule type="cellIs" priority="704" stopIfTrue="1" operator="lessThan">
      <formula>10.237</formula>
    </cfRule>
  </conditionalFormatting>
  <conditionalFormatting sqref="AK264:AK265">
    <cfRule type="cellIs" priority="703" stopIfTrue="1" operator="lessThan">
      <formula>10.237</formula>
    </cfRule>
  </conditionalFormatting>
  <conditionalFormatting sqref="AL264:AL265">
    <cfRule type="cellIs" priority="702" stopIfTrue="1" operator="lessThan">
      <formula>10.237</formula>
    </cfRule>
  </conditionalFormatting>
  <conditionalFormatting sqref="AH266:AH267 AC266:AC268 Y266:Z268">
    <cfRule type="cellIs" priority="700" stopIfTrue="1" operator="lessThan">
      <formula>10.237</formula>
    </cfRule>
  </conditionalFormatting>
  <conditionalFormatting sqref="AK268">
    <cfRule type="cellIs" priority="699" stopIfTrue="1" operator="lessThan">
      <formula>10.237</formula>
    </cfRule>
  </conditionalFormatting>
  <conditionalFormatting sqref="AL268">
    <cfRule type="cellIs" priority="698" stopIfTrue="1" operator="lessThan">
      <formula>10.237</formula>
    </cfRule>
  </conditionalFormatting>
  <conditionalFormatting sqref="AK268:AL268">
    <cfRule type="cellIs" dxfId="574" priority="696" operator="lessThan">
      <formula>0</formula>
    </cfRule>
    <cfRule type="cellIs" dxfId="573" priority="697" operator="lessThan">
      <formula>0</formula>
    </cfRule>
  </conditionalFormatting>
  <conditionalFormatting sqref="Y103:AA103">
    <cfRule type="cellIs" priority="695" stopIfTrue="1" operator="lessThan">
      <formula>10.237</formula>
    </cfRule>
  </conditionalFormatting>
  <conditionalFormatting sqref="AK103">
    <cfRule type="cellIs" priority="694" stopIfTrue="1" operator="lessThan">
      <formula>10.237</formula>
    </cfRule>
  </conditionalFormatting>
  <conditionalFormatting sqref="AL103">
    <cfRule type="cellIs" priority="693" stopIfTrue="1" operator="lessThan">
      <formula>10.237</formula>
    </cfRule>
  </conditionalFormatting>
  <conditionalFormatting sqref="AK103:AL103">
    <cfRule type="cellIs" dxfId="572" priority="688" operator="lessThan">
      <formula>0</formula>
    </cfRule>
    <cfRule type="cellIs" dxfId="571" priority="692" operator="lessThan">
      <formula>0</formula>
    </cfRule>
  </conditionalFormatting>
  <conditionalFormatting sqref="AD103">
    <cfRule type="cellIs" priority="691" stopIfTrue="1" operator="lessThan">
      <formula>10.237</formula>
    </cfRule>
  </conditionalFormatting>
  <conditionalFormatting sqref="AK103">
    <cfRule type="cellIs" priority="690" stopIfTrue="1" operator="lessThan">
      <formula>10.237</formula>
    </cfRule>
  </conditionalFormatting>
  <conditionalFormatting sqref="AL103">
    <cfRule type="cellIs" priority="689" stopIfTrue="1" operator="lessThan">
      <formula>10.237</formula>
    </cfRule>
  </conditionalFormatting>
  <conditionalFormatting sqref="Y102:Z102">
    <cfRule type="cellIs" priority="687" stopIfTrue="1" operator="lessThan">
      <formula>10.237</formula>
    </cfRule>
  </conditionalFormatting>
  <conditionalFormatting sqref="AA102">
    <cfRule type="cellIs" priority="686" stopIfTrue="1" operator="lessThan">
      <formula>10.237</formula>
    </cfRule>
  </conditionalFormatting>
  <conditionalFormatting sqref="AD102">
    <cfRule type="cellIs" priority="685" stopIfTrue="1" operator="lessThan">
      <formula>10.237</formula>
    </cfRule>
  </conditionalFormatting>
  <conditionalFormatting sqref="AK102">
    <cfRule type="cellIs" priority="684" stopIfTrue="1" operator="lessThan">
      <formula>10.237</formula>
    </cfRule>
  </conditionalFormatting>
  <conditionalFormatting sqref="AL102">
    <cfRule type="cellIs" priority="683" stopIfTrue="1" operator="lessThan">
      <formula>10.237</formula>
    </cfRule>
  </conditionalFormatting>
  <conditionalFormatting sqref="AK102:AL102">
    <cfRule type="cellIs" dxfId="570" priority="681" operator="lessThan">
      <formula>0</formula>
    </cfRule>
    <cfRule type="cellIs" dxfId="569" priority="682" operator="lessThan">
      <formula>0</formula>
    </cfRule>
  </conditionalFormatting>
  <conditionalFormatting sqref="AH104:AH105 AC104:AC106 Y104:Z106">
    <cfRule type="cellIs" priority="680" stopIfTrue="1" operator="lessThan">
      <formula>10.237</formula>
    </cfRule>
  </conditionalFormatting>
  <conditionalFormatting sqref="AK106">
    <cfRule type="cellIs" priority="679" stopIfTrue="1" operator="lessThan">
      <formula>10.237</formula>
    </cfRule>
  </conditionalFormatting>
  <conditionalFormatting sqref="AL106">
    <cfRule type="cellIs" priority="678" stopIfTrue="1" operator="lessThan">
      <formula>10.237</formula>
    </cfRule>
  </conditionalFormatting>
  <conditionalFormatting sqref="AK106:AL106">
    <cfRule type="cellIs" dxfId="568" priority="676" operator="lessThan">
      <formula>0</formula>
    </cfRule>
    <cfRule type="cellIs" dxfId="567" priority="677" operator="lessThan">
      <formula>0</formula>
    </cfRule>
  </conditionalFormatting>
  <conditionalFormatting sqref="Y109 AA109">
    <cfRule type="cellIs" priority="675" stopIfTrue="1" operator="lessThan">
      <formula>10.237</formula>
    </cfRule>
  </conditionalFormatting>
  <conditionalFormatting sqref="AK109">
    <cfRule type="cellIs" priority="674" stopIfTrue="1" operator="lessThan">
      <formula>10.237</formula>
    </cfRule>
  </conditionalFormatting>
  <conditionalFormatting sqref="AL109">
    <cfRule type="cellIs" priority="673" stopIfTrue="1" operator="lessThan">
      <formula>10.237</formula>
    </cfRule>
  </conditionalFormatting>
  <conditionalFormatting sqref="AK109:AL109">
    <cfRule type="cellIs" dxfId="566" priority="668" operator="lessThan">
      <formula>0</formula>
    </cfRule>
    <cfRule type="cellIs" dxfId="565" priority="672" operator="lessThan">
      <formula>0</formula>
    </cfRule>
  </conditionalFormatting>
  <conditionalFormatting sqref="AK109">
    <cfRule type="cellIs" priority="670" stopIfTrue="1" operator="lessThan">
      <formula>10.237</formula>
    </cfRule>
  </conditionalFormatting>
  <conditionalFormatting sqref="AL109">
    <cfRule type="cellIs" priority="669" stopIfTrue="1" operator="lessThan">
      <formula>10.237</formula>
    </cfRule>
  </conditionalFormatting>
  <conditionalFormatting sqref="Y108:Z108 Z109">
    <cfRule type="cellIs" priority="667" stopIfTrue="1" operator="lessThan">
      <formula>10.237</formula>
    </cfRule>
  </conditionalFormatting>
  <conditionalFormatting sqref="AA108">
    <cfRule type="cellIs" priority="666" stopIfTrue="1" operator="lessThan">
      <formula>10.237</formula>
    </cfRule>
  </conditionalFormatting>
  <conditionalFormatting sqref="AD108:AD109">
    <cfRule type="cellIs" priority="665" stopIfTrue="1" operator="lessThan">
      <formula>10.237</formula>
    </cfRule>
  </conditionalFormatting>
  <conditionalFormatting sqref="AK108">
    <cfRule type="cellIs" priority="664" stopIfTrue="1" operator="lessThan">
      <formula>10.237</formula>
    </cfRule>
  </conditionalFormatting>
  <conditionalFormatting sqref="AL108:AL109">
    <cfRule type="cellIs" priority="663" stopIfTrue="1" operator="lessThan">
      <formula>10.237</formula>
    </cfRule>
  </conditionalFormatting>
  <conditionalFormatting sqref="AK108:AL108 AL109">
    <cfRule type="cellIs" dxfId="564" priority="661" operator="lessThan">
      <formula>0</formula>
    </cfRule>
    <cfRule type="cellIs" dxfId="563" priority="662" operator="lessThan">
      <formula>0</formula>
    </cfRule>
  </conditionalFormatting>
  <conditionalFormatting sqref="AH110:AH111 AC110:AC112 Y110:Z112">
    <cfRule type="cellIs" priority="660" stopIfTrue="1" operator="lessThan">
      <formula>10.237</formula>
    </cfRule>
  </conditionalFormatting>
  <conditionalFormatting sqref="AK112">
    <cfRule type="cellIs" priority="659" stopIfTrue="1" operator="lessThan">
      <formula>10.237</formula>
    </cfRule>
  </conditionalFormatting>
  <conditionalFormatting sqref="AL112">
    <cfRule type="cellIs" priority="658" stopIfTrue="1" operator="lessThan">
      <formula>10.237</formula>
    </cfRule>
  </conditionalFormatting>
  <conditionalFormatting sqref="AK112:AL112">
    <cfRule type="cellIs" dxfId="562" priority="656" operator="lessThan">
      <formula>0</formula>
    </cfRule>
    <cfRule type="cellIs" dxfId="561" priority="657" operator="lessThan">
      <formula>0</formula>
    </cfRule>
  </conditionalFormatting>
  <conditionalFormatting sqref="Y241">
    <cfRule type="cellIs" priority="655" stopIfTrue="1" operator="lessThan">
      <formula>10.237</formula>
    </cfRule>
  </conditionalFormatting>
  <conditionalFormatting sqref="AK240:AK241">
    <cfRule type="cellIs" priority="654" stopIfTrue="1" operator="lessThan">
      <formula>10.237</formula>
    </cfRule>
  </conditionalFormatting>
  <conditionalFormatting sqref="AL241">
    <cfRule type="cellIs" priority="653" stopIfTrue="1" operator="lessThan">
      <formula>10.237</formula>
    </cfRule>
  </conditionalFormatting>
  <conditionalFormatting sqref="AK241:AL241 AK240">
    <cfRule type="cellIs" dxfId="560" priority="651" operator="lessThan">
      <formula>0</formula>
    </cfRule>
    <cfRule type="cellIs" dxfId="559" priority="652" operator="lessThan">
      <formula>0</formula>
    </cfRule>
  </conditionalFormatting>
  <conditionalFormatting sqref="AA240:AA241">
    <cfRule type="cellIs" priority="650" stopIfTrue="1" operator="lessThan">
      <formula>10.237</formula>
    </cfRule>
  </conditionalFormatting>
  <conditionalFormatting sqref="AD240:AD241">
    <cfRule type="cellIs" priority="649" stopIfTrue="1" operator="lessThan">
      <formula>10.237</formula>
    </cfRule>
  </conditionalFormatting>
  <conditionalFormatting sqref="Y240">
    <cfRule type="cellIs" priority="648" stopIfTrue="1" operator="lessThan">
      <formula>10.237</formula>
    </cfRule>
  </conditionalFormatting>
  <conditionalFormatting sqref="AK240">
    <cfRule type="cellIs" priority="647" stopIfTrue="1" operator="lessThan">
      <formula>10.237</formula>
    </cfRule>
  </conditionalFormatting>
  <conditionalFormatting sqref="AL240">
    <cfRule type="cellIs" priority="646" stopIfTrue="1" operator="lessThan">
      <formula>10.237</formula>
    </cfRule>
  </conditionalFormatting>
  <conditionalFormatting sqref="AK240:AL240">
    <cfRule type="cellIs" dxfId="558" priority="641" operator="lessThan">
      <formula>0</formula>
    </cfRule>
    <cfRule type="cellIs" dxfId="557" priority="645" operator="lessThan">
      <formula>0</formula>
    </cfRule>
  </conditionalFormatting>
  <conditionalFormatting sqref="AK240">
    <cfRule type="cellIs" priority="643" stopIfTrue="1" operator="lessThan">
      <formula>10.237</formula>
    </cfRule>
  </conditionalFormatting>
  <conditionalFormatting sqref="AL240">
    <cfRule type="cellIs" priority="642" stopIfTrue="1" operator="lessThan">
      <formula>10.237</formula>
    </cfRule>
  </conditionalFormatting>
  <conditionalFormatting sqref="AH242:AH243 AC242:AC244 Y242:Z244">
    <cfRule type="cellIs" priority="640" stopIfTrue="1" operator="lessThan">
      <formula>10.237</formula>
    </cfRule>
  </conditionalFormatting>
  <conditionalFormatting sqref="AK244">
    <cfRule type="cellIs" priority="639" stopIfTrue="1" operator="lessThan">
      <formula>10.237</formula>
    </cfRule>
  </conditionalFormatting>
  <conditionalFormatting sqref="AL244">
    <cfRule type="cellIs" priority="638" stopIfTrue="1" operator="lessThan">
      <formula>10.237</formula>
    </cfRule>
  </conditionalFormatting>
  <conditionalFormatting sqref="AK244:AL244">
    <cfRule type="cellIs" dxfId="556" priority="636" operator="lessThan">
      <formula>0</formula>
    </cfRule>
    <cfRule type="cellIs" dxfId="555" priority="637" operator="lessThan">
      <formula>0</formula>
    </cfRule>
  </conditionalFormatting>
  <conditionalFormatting sqref="Y66:AA66 Y67 AA67">
    <cfRule type="cellIs" priority="635" stopIfTrue="1" operator="lessThan">
      <formula>10.237</formula>
    </cfRule>
  </conditionalFormatting>
  <conditionalFormatting sqref="AK66:AK67">
    <cfRule type="cellIs" priority="634" stopIfTrue="1" operator="lessThan">
      <formula>10.237</formula>
    </cfRule>
  </conditionalFormatting>
  <conditionalFormatting sqref="AL66:AL67">
    <cfRule type="cellIs" priority="633" stopIfTrue="1" operator="lessThan">
      <formula>10.237</formula>
    </cfRule>
  </conditionalFormatting>
  <conditionalFormatting sqref="AK66:AL67">
    <cfRule type="cellIs" dxfId="554" priority="628" operator="lessThan">
      <formula>0</formula>
    </cfRule>
    <cfRule type="cellIs" dxfId="553" priority="632" operator="lessThan">
      <formula>0</formula>
    </cfRule>
  </conditionalFormatting>
  <conditionalFormatting sqref="AD66:AD67">
    <cfRule type="cellIs" priority="631" stopIfTrue="1" operator="lessThan">
      <formula>10.237</formula>
    </cfRule>
  </conditionalFormatting>
  <conditionalFormatting sqref="AK66:AK67">
    <cfRule type="cellIs" priority="630" stopIfTrue="1" operator="lessThan">
      <formula>10.237</formula>
    </cfRule>
  </conditionalFormatting>
  <conditionalFormatting sqref="AL66:AL67">
    <cfRule type="cellIs" priority="629" stopIfTrue="1" operator="lessThan">
      <formula>10.237</formula>
    </cfRule>
  </conditionalFormatting>
  <conditionalFormatting sqref="AH68:AH69 AC68:AC70 Y68:Z70">
    <cfRule type="cellIs" priority="627" stopIfTrue="1" operator="lessThan">
      <formula>10.237</formula>
    </cfRule>
  </conditionalFormatting>
  <conditionalFormatting sqref="AK70">
    <cfRule type="cellIs" priority="626" stopIfTrue="1" operator="lessThan">
      <formula>10.237</formula>
    </cfRule>
  </conditionalFormatting>
  <conditionalFormatting sqref="AL70">
    <cfRule type="cellIs" priority="625" stopIfTrue="1" operator="lessThan">
      <formula>10.237</formula>
    </cfRule>
  </conditionalFormatting>
  <conditionalFormatting sqref="AK70:AL70">
    <cfRule type="cellIs" dxfId="552" priority="623" operator="lessThan">
      <formula>0</formula>
    </cfRule>
    <cfRule type="cellIs" dxfId="551" priority="624" operator="lessThan">
      <formula>0</formula>
    </cfRule>
  </conditionalFormatting>
  <conditionalFormatting sqref="Y24 AA24">
    <cfRule type="cellIs" priority="622" stopIfTrue="1" operator="lessThan">
      <formula>10.237</formula>
    </cfRule>
  </conditionalFormatting>
  <conditionalFormatting sqref="AK24">
    <cfRule type="cellIs" priority="621" stopIfTrue="1" operator="lessThan">
      <formula>10.237</formula>
    </cfRule>
  </conditionalFormatting>
  <conditionalFormatting sqref="AL24">
    <cfRule type="cellIs" priority="620" stopIfTrue="1" operator="lessThan">
      <formula>10.237</formula>
    </cfRule>
  </conditionalFormatting>
  <conditionalFormatting sqref="AK24:AL24">
    <cfRule type="cellIs" dxfId="550" priority="615" operator="lessThan">
      <formula>0</formula>
    </cfRule>
    <cfRule type="cellIs" dxfId="549" priority="619" operator="lessThan">
      <formula>0</formula>
    </cfRule>
  </conditionalFormatting>
  <conditionalFormatting sqref="AD24">
    <cfRule type="cellIs" priority="618" stopIfTrue="1" operator="lessThan">
      <formula>10.237</formula>
    </cfRule>
  </conditionalFormatting>
  <conditionalFormatting sqref="AK24">
    <cfRule type="cellIs" priority="617" stopIfTrue="1" operator="lessThan">
      <formula>10.237</formula>
    </cfRule>
  </conditionalFormatting>
  <conditionalFormatting sqref="AL24">
    <cfRule type="cellIs" priority="616" stopIfTrue="1" operator="lessThan">
      <formula>10.237</formula>
    </cfRule>
  </conditionalFormatting>
  <conditionalFormatting sqref="Y25:Z25">
    <cfRule type="cellIs" priority="614" stopIfTrue="1" operator="lessThan">
      <formula>10.237</formula>
    </cfRule>
  </conditionalFormatting>
  <conditionalFormatting sqref="AK25">
    <cfRule type="cellIs" priority="613" stopIfTrue="1" operator="lessThan">
      <formula>10.237</formula>
    </cfRule>
  </conditionalFormatting>
  <conditionalFormatting sqref="AL25">
    <cfRule type="cellIs" priority="612" stopIfTrue="1" operator="lessThan">
      <formula>10.237</formula>
    </cfRule>
  </conditionalFormatting>
  <conditionalFormatting sqref="AK25:AL25">
    <cfRule type="cellIs" dxfId="548" priority="610" operator="lessThan">
      <formula>0</formula>
    </cfRule>
    <cfRule type="cellIs" dxfId="547" priority="611" operator="lessThan">
      <formula>0</formula>
    </cfRule>
  </conditionalFormatting>
  <conditionalFormatting sqref="AA25">
    <cfRule type="cellIs" priority="609" stopIfTrue="1" operator="lessThan">
      <formula>10.237</formula>
    </cfRule>
  </conditionalFormatting>
  <conditionalFormatting sqref="AD25">
    <cfRule type="cellIs" priority="608" stopIfTrue="1" operator="lessThan">
      <formula>10.237</formula>
    </cfRule>
  </conditionalFormatting>
  <conditionalFormatting sqref="AH26:AH27 AC26:AC28 Y26:Z28">
    <cfRule type="cellIs" priority="607" stopIfTrue="1" operator="lessThan">
      <formula>10.237</formula>
    </cfRule>
  </conditionalFormatting>
  <conditionalFormatting sqref="AK28">
    <cfRule type="cellIs" priority="606" stopIfTrue="1" operator="lessThan">
      <formula>10.237</formula>
    </cfRule>
  </conditionalFormatting>
  <conditionalFormatting sqref="AL28">
    <cfRule type="cellIs" priority="605" stopIfTrue="1" operator="lessThan">
      <formula>10.237</formula>
    </cfRule>
  </conditionalFormatting>
  <conditionalFormatting sqref="AK28:AL28">
    <cfRule type="cellIs" dxfId="546" priority="603" operator="lessThan">
      <formula>0</formula>
    </cfRule>
    <cfRule type="cellIs" dxfId="545" priority="604" operator="lessThan">
      <formula>0</formula>
    </cfRule>
  </conditionalFormatting>
  <conditionalFormatting sqref="Y331:AA331">
    <cfRule type="cellIs" priority="602" stopIfTrue="1" operator="lessThan">
      <formula>10.237</formula>
    </cfRule>
  </conditionalFormatting>
  <conditionalFormatting sqref="AK331">
    <cfRule type="cellIs" priority="601" stopIfTrue="1" operator="lessThan">
      <formula>10.237</formula>
    </cfRule>
  </conditionalFormatting>
  <conditionalFormatting sqref="AL331">
    <cfRule type="cellIs" priority="600" stopIfTrue="1" operator="lessThan">
      <formula>10.237</formula>
    </cfRule>
  </conditionalFormatting>
  <conditionalFormatting sqref="AK331:AL331">
    <cfRule type="cellIs" dxfId="544" priority="595" operator="lessThan">
      <formula>0</formula>
    </cfRule>
    <cfRule type="cellIs" dxfId="543" priority="599" operator="lessThan">
      <formula>0</formula>
    </cfRule>
  </conditionalFormatting>
  <conditionalFormatting sqref="AD331">
    <cfRule type="cellIs" priority="598" stopIfTrue="1" operator="lessThan">
      <formula>10.237</formula>
    </cfRule>
  </conditionalFormatting>
  <conditionalFormatting sqref="AK331">
    <cfRule type="cellIs" priority="597" stopIfTrue="1" operator="lessThan">
      <formula>10.237</formula>
    </cfRule>
  </conditionalFormatting>
  <conditionalFormatting sqref="AL331">
    <cfRule type="cellIs" priority="596" stopIfTrue="1" operator="lessThan">
      <formula>10.237</formula>
    </cfRule>
  </conditionalFormatting>
  <conditionalFormatting sqref="AH332:AH333 AC332:AC334 Y332:Z334">
    <cfRule type="cellIs" priority="594" stopIfTrue="1" operator="lessThan">
      <formula>10.237</formula>
    </cfRule>
  </conditionalFormatting>
  <conditionalFormatting sqref="AK334">
    <cfRule type="cellIs" priority="593" stopIfTrue="1" operator="lessThan">
      <formula>10.237</formula>
    </cfRule>
  </conditionalFormatting>
  <conditionalFormatting sqref="AL334">
    <cfRule type="cellIs" priority="592" stopIfTrue="1" operator="lessThan">
      <formula>10.237</formula>
    </cfRule>
  </conditionalFormatting>
  <conditionalFormatting sqref="AK334:AL334">
    <cfRule type="cellIs" dxfId="542" priority="590" operator="lessThan">
      <formula>0</formula>
    </cfRule>
    <cfRule type="cellIs" dxfId="541" priority="591" operator="lessThan">
      <formula>0</formula>
    </cfRule>
  </conditionalFormatting>
  <conditionalFormatting sqref="Y330 AA330">
    <cfRule type="cellIs" priority="589" stopIfTrue="1" operator="lessThan">
      <formula>10.237</formula>
    </cfRule>
  </conditionalFormatting>
  <conditionalFormatting sqref="AK330">
    <cfRule type="cellIs" priority="588" stopIfTrue="1" operator="lessThan">
      <formula>10.237</formula>
    </cfRule>
  </conditionalFormatting>
  <conditionalFormatting sqref="AL330">
    <cfRule type="cellIs" priority="587" stopIfTrue="1" operator="lessThan">
      <formula>10.237</formula>
    </cfRule>
  </conditionalFormatting>
  <conditionalFormatting sqref="AK330:AL330">
    <cfRule type="cellIs" dxfId="540" priority="582" operator="lessThan">
      <formula>0</formula>
    </cfRule>
    <cfRule type="cellIs" dxfId="539" priority="586" operator="lessThan">
      <formula>0</formula>
    </cfRule>
  </conditionalFormatting>
  <conditionalFormatting sqref="AD330">
    <cfRule type="cellIs" priority="585" stopIfTrue="1" operator="lessThan">
      <formula>10.237</formula>
    </cfRule>
  </conditionalFormatting>
  <conditionalFormatting sqref="AK330">
    <cfRule type="cellIs" priority="584" stopIfTrue="1" operator="lessThan">
      <formula>10.237</formula>
    </cfRule>
  </conditionalFormatting>
  <conditionalFormatting sqref="AL330">
    <cfRule type="cellIs" priority="583" stopIfTrue="1" operator="lessThan">
      <formula>10.237</formula>
    </cfRule>
  </conditionalFormatting>
  <conditionalFormatting sqref="Y55:AA55">
    <cfRule type="cellIs" priority="581" stopIfTrue="1" operator="lessThan">
      <formula>10.237</formula>
    </cfRule>
  </conditionalFormatting>
  <conditionalFormatting sqref="AK55">
    <cfRule type="cellIs" priority="580" stopIfTrue="1" operator="lessThan">
      <formula>10.237</formula>
    </cfRule>
  </conditionalFormatting>
  <conditionalFormatting sqref="AL55">
    <cfRule type="cellIs" priority="579" stopIfTrue="1" operator="lessThan">
      <formula>10.237</formula>
    </cfRule>
  </conditionalFormatting>
  <conditionalFormatting sqref="AK55:AL55">
    <cfRule type="cellIs" dxfId="538" priority="574" operator="lessThan">
      <formula>0</formula>
    </cfRule>
    <cfRule type="cellIs" dxfId="537" priority="578" operator="lessThan">
      <formula>0</formula>
    </cfRule>
  </conditionalFormatting>
  <conditionalFormatting sqref="AD55">
    <cfRule type="cellIs" priority="577" stopIfTrue="1" operator="lessThan">
      <formula>10.237</formula>
    </cfRule>
  </conditionalFormatting>
  <conditionalFormatting sqref="AK55">
    <cfRule type="cellIs" priority="576" stopIfTrue="1" operator="lessThan">
      <formula>10.237</formula>
    </cfRule>
  </conditionalFormatting>
  <conditionalFormatting sqref="AL55">
    <cfRule type="cellIs" priority="575" stopIfTrue="1" operator="lessThan">
      <formula>10.237</formula>
    </cfRule>
  </conditionalFormatting>
  <conditionalFormatting sqref="Y54:Z54">
    <cfRule type="cellIs" priority="573" stopIfTrue="1" operator="lessThan">
      <formula>10.237</formula>
    </cfRule>
  </conditionalFormatting>
  <conditionalFormatting sqref="AK54">
    <cfRule type="cellIs" priority="572" stopIfTrue="1" operator="lessThan">
      <formula>10.237</formula>
    </cfRule>
  </conditionalFormatting>
  <conditionalFormatting sqref="AL54">
    <cfRule type="cellIs" priority="571" stopIfTrue="1" operator="lessThan">
      <formula>10.237</formula>
    </cfRule>
  </conditionalFormatting>
  <conditionalFormatting sqref="AK54:AL54">
    <cfRule type="cellIs" dxfId="536" priority="569" operator="lessThan">
      <formula>0</formula>
    </cfRule>
    <cfRule type="cellIs" dxfId="535" priority="570" operator="lessThan">
      <formula>0</formula>
    </cfRule>
  </conditionalFormatting>
  <conditionalFormatting sqref="AA54">
    <cfRule type="cellIs" priority="568" stopIfTrue="1" operator="lessThan">
      <formula>10.237</formula>
    </cfRule>
  </conditionalFormatting>
  <conditionalFormatting sqref="AD54">
    <cfRule type="cellIs" priority="567" stopIfTrue="1" operator="lessThan">
      <formula>10.237</formula>
    </cfRule>
  </conditionalFormatting>
  <conditionalFormatting sqref="AH56:AH57 AC56:AC58 Y56:Z58">
    <cfRule type="cellIs" priority="566" stopIfTrue="1" operator="lessThan">
      <formula>10.237</formula>
    </cfRule>
  </conditionalFormatting>
  <conditionalFormatting sqref="AK58">
    <cfRule type="cellIs" priority="565" stopIfTrue="1" operator="lessThan">
      <formula>10.237</formula>
    </cfRule>
  </conditionalFormatting>
  <conditionalFormatting sqref="AL58">
    <cfRule type="cellIs" priority="564" stopIfTrue="1" operator="lessThan">
      <formula>10.237</formula>
    </cfRule>
  </conditionalFormatting>
  <conditionalFormatting sqref="AK58:AL58">
    <cfRule type="cellIs" dxfId="534" priority="562" operator="lessThan">
      <formula>0</formula>
    </cfRule>
    <cfRule type="cellIs" dxfId="533" priority="563" operator="lessThan">
      <formula>0</formula>
    </cfRule>
  </conditionalFormatting>
  <conditionalFormatting sqref="Y252 AA252">
    <cfRule type="cellIs" priority="561" stopIfTrue="1" operator="lessThan">
      <formula>10.237</formula>
    </cfRule>
  </conditionalFormatting>
  <conditionalFormatting sqref="AK252">
    <cfRule type="cellIs" priority="560" stopIfTrue="1" operator="lessThan">
      <formula>10.237</formula>
    </cfRule>
  </conditionalFormatting>
  <conditionalFormatting sqref="AL252">
    <cfRule type="cellIs" priority="559" stopIfTrue="1" operator="lessThan">
      <formula>10.237</formula>
    </cfRule>
  </conditionalFormatting>
  <conditionalFormatting sqref="AK252:AL252">
    <cfRule type="cellIs" dxfId="532" priority="554" operator="lessThan">
      <formula>0</formula>
    </cfRule>
    <cfRule type="cellIs" dxfId="531" priority="558" operator="lessThan">
      <formula>0</formula>
    </cfRule>
  </conditionalFormatting>
  <conditionalFormatting sqref="AD252">
    <cfRule type="cellIs" priority="557" stopIfTrue="1" operator="lessThan">
      <formula>10.237</formula>
    </cfRule>
  </conditionalFormatting>
  <conditionalFormatting sqref="AK252">
    <cfRule type="cellIs" priority="556" stopIfTrue="1" operator="lessThan">
      <formula>10.237</formula>
    </cfRule>
  </conditionalFormatting>
  <conditionalFormatting sqref="AL252">
    <cfRule type="cellIs" priority="555" stopIfTrue="1" operator="lessThan">
      <formula>10.237</formula>
    </cfRule>
  </conditionalFormatting>
  <conditionalFormatting sqref="Y253:Z253 Z252">
    <cfRule type="cellIs" priority="553" stopIfTrue="1" operator="lessThan">
      <formula>10.237</formula>
    </cfRule>
  </conditionalFormatting>
  <conditionalFormatting sqref="AK253">
    <cfRule type="cellIs" priority="552" stopIfTrue="1" operator="lessThan">
      <formula>10.237</formula>
    </cfRule>
  </conditionalFormatting>
  <conditionalFormatting sqref="AL253">
    <cfRule type="cellIs" priority="551" stopIfTrue="1" operator="lessThan">
      <formula>10.237</formula>
    </cfRule>
  </conditionalFormatting>
  <conditionalFormatting sqref="AK253:AL253">
    <cfRule type="cellIs" dxfId="530" priority="549" operator="lessThan">
      <formula>0</formula>
    </cfRule>
    <cfRule type="cellIs" dxfId="529" priority="550" operator="lessThan">
      <formula>0</formula>
    </cfRule>
  </conditionalFormatting>
  <conditionalFormatting sqref="AA253">
    <cfRule type="cellIs" priority="548" stopIfTrue="1" operator="lessThan">
      <formula>10.237</formula>
    </cfRule>
  </conditionalFormatting>
  <conditionalFormatting sqref="AD253">
    <cfRule type="cellIs" priority="547" stopIfTrue="1" operator="lessThan">
      <formula>10.237</formula>
    </cfRule>
  </conditionalFormatting>
  <conditionalFormatting sqref="AH254:AH255 AC254:AC256 Y254:Z256">
    <cfRule type="cellIs" priority="546" stopIfTrue="1" operator="lessThan">
      <formula>10.237</formula>
    </cfRule>
  </conditionalFormatting>
  <conditionalFormatting sqref="AK256">
    <cfRule type="cellIs" priority="545" stopIfTrue="1" operator="lessThan">
      <formula>10.237</formula>
    </cfRule>
  </conditionalFormatting>
  <conditionalFormatting sqref="AL256">
    <cfRule type="cellIs" priority="544" stopIfTrue="1" operator="lessThan">
      <formula>10.237</formula>
    </cfRule>
  </conditionalFormatting>
  <conditionalFormatting sqref="AK256:AL256">
    <cfRule type="cellIs" dxfId="528" priority="542" operator="lessThan">
      <formula>0</formula>
    </cfRule>
    <cfRule type="cellIs" dxfId="527" priority="543" operator="lessThan">
      <formula>0</formula>
    </cfRule>
  </conditionalFormatting>
  <conditionalFormatting sqref="Y145:Z145 Y144">
    <cfRule type="cellIs" priority="541" stopIfTrue="1" operator="lessThan">
      <formula>10.237</formula>
    </cfRule>
  </conditionalFormatting>
  <conditionalFormatting sqref="AK144:AK145">
    <cfRule type="cellIs" priority="540" stopIfTrue="1" operator="lessThan">
      <formula>10.237</formula>
    </cfRule>
  </conditionalFormatting>
  <conditionalFormatting sqref="AL144:AL145">
    <cfRule type="cellIs" priority="539" stopIfTrue="1" operator="lessThan">
      <formula>10.237</formula>
    </cfRule>
  </conditionalFormatting>
  <conditionalFormatting sqref="AK144:AL145">
    <cfRule type="cellIs" dxfId="526" priority="537" operator="lessThan">
      <formula>0</formula>
    </cfRule>
    <cfRule type="cellIs" dxfId="525" priority="538" operator="lessThan">
      <formula>0</formula>
    </cfRule>
  </conditionalFormatting>
  <conditionalFormatting sqref="AD144:AD145">
    <cfRule type="cellIs" priority="535" stopIfTrue="1" operator="lessThan">
      <formula>10.237</formula>
    </cfRule>
  </conditionalFormatting>
  <conditionalFormatting sqref="AA144:AA145">
    <cfRule type="cellIs" priority="536" stopIfTrue="1" operator="lessThan">
      <formula>10.237</formula>
    </cfRule>
  </conditionalFormatting>
  <conditionalFormatting sqref="AH146:AH147 AC146:AC148 Y146:Z148">
    <cfRule type="cellIs" priority="534" stopIfTrue="1" operator="lessThan">
      <formula>10.237</formula>
    </cfRule>
  </conditionalFormatting>
  <conditionalFormatting sqref="AK148">
    <cfRule type="cellIs" priority="533" stopIfTrue="1" operator="lessThan">
      <formula>10.237</formula>
    </cfRule>
  </conditionalFormatting>
  <conditionalFormatting sqref="AL148">
    <cfRule type="cellIs" priority="532" stopIfTrue="1" operator="lessThan">
      <formula>10.237</formula>
    </cfRule>
  </conditionalFormatting>
  <conditionalFormatting sqref="AK148:AL148">
    <cfRule type="cellIs" dxfId="524" priority="530" operator="lessThan">
      <formula>0</formula>
    </cfRule>
    <cfRule type="cellIs" dxfId="523" priority="531" operator="lessThan">
      <formula>0</formula>
    </cfRule>
  </conditionalFormatting>
  <conditionalFormatting sqref="AK1:AL11 AK17:AL17 AK329:AL335 AK47:AL83 AK209:AL215 AK131:AL137 AK23:AL41 AK144:AL203 AK233:AL245 AK251:AL323 AK90:AL119 AK221:AL227 AK342:AL1048576">
    <cfRule type="cellIs" dxfId="522" priority="529" operator="lessThan">
      <formula>0</formula>
    </cfRule>
  </conditionalFormatting>
  <conditionalFormatting sqref="Y12:Z12">
    <cfRule type="cellIs" priority="528" stopIfTrue="1" operator="lessThan">
      <formula>10.237</formula>
    </cfRule>
  </conditionalFormatting>
  <conditionalFormatting sqref="AK12">
    <cfRule type="cellIs" priority="527" stopIfTrue="1" operator="lessThan">
      <formula>10.237</formula>
    </cfRule>
  </conditionalFormatting>
  <conditionalFormatting sqref="AL12">
    <cfRule type="cellIs" priority="526" stopIfTrue="1" operator="lessThan">
      <formula>10.237</formula>
    </cfRule>
  </conditionalFormatting>
  <conditionalFormatting sqref="AK12:AL12">
    <cfRule type="cellIs" dxfId="521" priority="524" operator="lessThan">
      <formula>0</formula>
    </cfRule>
    <cfRule type="cellIs" dxfId="520" priority="525" operator="lessThan">
      <formula>0</formula>
    </cfRule>
  </conditionalFormatting>
  <conditionalFormatting sqref="AD12">
    <cfRule type="cellIs" priority="522" stopIfTrue="1" operator="lessThan">
      <formula>10.237</formula>
    </cfRule>
  </conditionalFormatting>
  <conditionalFormatting sqref="AA12">
    <cfRule type="cellIs" priority="523" stopIfTrue="1" operator="lessThan">
      <formula>10.237</formula>
    </cfRule>
  </conditionalFormatting>
  <conditionalFormatting sqref="AK12:AL12">
    <cfRule type="cellIs" dxfId="519" priority="521" operator="lessThan">
      <formula>0</formula>
    </cfRule>
  </conditionalFormatting>
  <conditionalFormatting sqref="Y13 AA13">
    <cfRule type="cellIs" priority="520" stopIfTrue="1" operator="lessThan">
      <formula>10.237</formula>
    </cfRule>
  </conditionalFormatting>
  <conditionalFormatting sqref="Z13">
    <cfRule type="cellIs" priority="519" stopIfTrue="1" operator="lessThan">
      <formula>10.237</formula>
    </cfRule>
  </conditionalFormatting>
  <conditionalFormatting sqref="AK13">
    <cfRule type="cellIs" priority="518" stopIfTrue="1" operator="lessThan">
      <formula>10.237</formula>
    </cfRule>
  </conditionalFormatting>
  <conditionalFormatting sqref="AL13">
    <cfRule type="cellIs" priority="517" stopIfTrue="1" operator="lessThan">
      <formula>10.237</formula>
    </cfRule>
  </conditionalFormatting>
  <conditionalFormatting sqref="AK13:AL13">
    <cfRule type="cellIs" dxfId="518" priority="512" operator="lessThan">
      <formula>0</formula>
    </cfRule>
    <cfRule type="cellIs" dxfId="517" priority="516" operator="lessThan">
      <formula>0</formula>
    </cfRule>
  </conditionalFormatting>
  <conditionalFormatting sqref="AD13">
    <cfRule type="cellIs" priority="515" stopIfTrue="1" operator="lessThan">
      <formula>10.237</formula>
    </cfRule>
  </conditionalFormatting>
  <conditionalFormatting sqref="AK13">
    <cfRule type="cellIs" priority="514" stopIfTrue="1" operator="lessThan">
      <formula>10.237</formula>
    </cfRule>
  </conditionalFormatting>
  <conditionalFormatting sqref="AL13">
    <cfRule type="cellIs" priority="513" stopIfTrue="1" operator="lessThan">
      <formula>10.237</formula>
    </cfRule>
  </conditionalFormatting>
  <conditionalFormatting sqref="AH14:AH15 AC14:AC16 Y14:Z16">
    <cfRule type="cellIs" priority="511" stopIfTrue="1" operator="lessThan">
      <formula>10.237</formula>
    </cfRule>
  </conditionalFormatting>
  <conditionalFormatting sqref="AK16">
    <cfRule type="cellIs" priority="510" stopIfTrue="1" operator="lessThan">
      <formula>10.237</formula>
    </cfRule>
  </conditionalFormatting>
  <conditionalFormatting sqref="AL16">
    <cfRule type="cellIs" priority="509" stopIfTrue="1" operator="lessThan">
      <formula>10.237</formula>
    </cfRule>
  </conditionalFormatting>
  <conditionalFormatting sqref="AK16:AL16">
    <cfRule type="cellIs" dxfId="516" priority="507" operator="lessThan">
      <formula>0</formula>
    </cfRule>
    <cfRule type="cellIs" dxfId="515" priority="508" operator="lessThan">
      <formula>0</formula>
    </cfRule>
  </conditionalFormatting>
  <conditionalFormatting sqref="AK14:AL16">
    <cfRule type="cellIs" dxfId="514" priority="506" operator="lessThan">
      <formula>0</formula>
    </cfRule>
  </conditionalFormatting>
  <conditionalFormatting sqref="Y217 AA217">
    <cfRule type="cellIs" priority="505" stopIfTrue="1" operator="lessThan">
      <formula>10.237</formula>
    </cfRule>
  </conditionalFormatting>
  <conditionalFormatting sqref="AK217">
    <cfRule type="cellIs" priority="504" stopIfTrue="1" operator="lessThan">
      <formula>10.237</formula>
    </cfRule>
  </conditionalFormatting>
  <conditionalFormatting sqref="AL217">
    <cfRule type="cellIs" priority="503" stopIfTrue="1" operator="lessThan">
      <formula>10.237</formula>
    </cfRule>
  </conditionalFormatting>
  <conditionalFormatting sqref="AK217:AL217">
    <cfRule type="cellIs" dxfId="513" priority="498" operator="lessThan">
      <formula>0</formula>
    </cfRule>
    <cfRule type="cellIs" dxfId="512" priority="502" operator="lessThan">
      <formula>0</formula>
    </cfRule>
  </conditionalFormatting>
  <conditionalFormatting sqref="AD217">
    <cfRule type="cellIs" priority="501" stopIfTrue="1" operator="lessThan">
      <formula>10.237</formula>
    </cfRule>
  </conditionalFormatting>
  <conditionalFormatting sqref="AK217">
    <cfRule type="cellIs" priority="500" stopIfTrue="1" operator="lessThan">
      <formula>10.237</formula>
    </cfRule>
  </conditionalFormatting>
  <conditionalFormatting sqref="AL217">
    <cfRule type="cellIs" priority="499" stopIfTrue="1" operator="lessThan">
      <formula>10.237</formula>
    </cfRule>
  </conditionalFormatting>
  <conditionalFormatting sqref="Y216 AA216">
    <cfRule type="cellIs" priority="497" stopIfTrue="1" operator="lessThan">
      <formula>10.237</formula>
    </cfRule>
  </conditionalFormatting>
  <conditionalFormatting sqref="AK216">
    <cfRule type="cellIs" priority="495" stopIfTrue="1" operator="lessThan">
      <formula>10.237</formula>
    </cfRule>
  </conditionalFormatting>
  <conditionalFormatting sqref="AL216">
    <cfRule type="cellIs" priority="494" stopIfTrue="1" operator="lessThan">
      <formula>10.237</formula>
    </cfRule>
  </conditionalFormatting>
  <conditionalFormatting sqref="AK216:AL216">
    <cfRule type="cellIs" dxfId="511" priority="489" operator="lessThan">
      <formula>0</formula>
    </cfRule>
    <cfRule type="cellIs" dxfId="510" priority="493" operator="lessThan">
      <formula>0</formula>
    </cfRule>
  </conditionalFormatting>
  <conditionalFormatting sqref="AD216">
    <cfRule type="cellIs" priority="492" stopIfTrue="1" operator="lessThan">
      <formula>10.237</formula>
    </cfRule>
  </conditionalFormatting>
  <conditionalFormatting sqref="AK216">
    <cfRule type="cellIs" priority="491" stopIfTrue="1" operator="lessThan">
      <formula>10.237</formula>
    </cfRule>
  </conditionalFormatting>
  <conditionalFormatting sqref="AL216">
    <cfRule type="cellIs" priority="490" stopIfTrue="1" operator="lessThan">
      <formula>10.237</formula>
    </cfRule>
  </conditionalFormatting>
  <conditionalFormatting sqref="AH218:AH219 AC218:AC220 Y218:Z220">
    <cfRule type="cellIs" priority="488" stopIfTrue="1" operator="lessThan">
      <formula>10.237</formula>
    </cfRule>
  </conditionalFormatting>
  <conditionalFormatting sqref="AK220">
    <cfRule type="cellIs" priority="487" stopIfTrue="1" operator="lessThan">
      <formula>10.237</formula>
    </cfRule>
  </conditionalFormatting>
  <conditionalFormatting sqref="AL220">
    <cfRule type="cellIs" priority="486" stopIfTrue="1" operator="lessThan">
      <formula>10.237</formula>
    </cfRule>
  </conditionalFormatting>
  <conditionalFormatting sqref="AK220:AL220">
    <cfRule type="cellIs" dxfId="509" priority="484" operator="lessThan">
      <formula>0</formula>
    </cfRule>
    <cfRule type="cellIs" dxfId="508" priority="485" operator="lessThan">
      <formula>0</formula>
    </cfRule>
  </conditionalFormatting>
  <conditionalFormatting sqref="AK218:AL220">
    <cfRule type="cellIs" dxfId="507" priority="483" operator="lessThan">
      <formula>0</formula>
    </cfRule>
  </conditionalFormatting>
  <conditionalFormatting sqref="Y325:Z325 Z324">
    <cfRule type="cellIs" priority="482" stopIfTrue="1" operator="lessThan">
      <formula>10.237</formula>
    </cfRule>
  </conditionalFormatting>
  <conditionalFormatting sqref="AL325">
    <cfRule type="cellIs" priority="480" stopIfTrue="1" operator="lessThan">
      <formula>10.237</formula>
    </cfRule>
  </conditionalFormatting>
  <conditionalFormatting sqref="AL325">
    <cfRule type="cellIs" dxfId="506" priority="475" operator="lessThan">
      <formula>0</formula>
    </cfRule>
    <cfRule type="cellIs" dxfId="505" priority="479" operator="lessThan">
      <formula>0</formula>
    </cfRule>
  </conditionalFormatting>
  <conditionalFormatting sqref="AD325">
    <cfRule type="cellIs" priority="478" stopIfTrue="1" operator="lessThan">
      <formula>10.237</formula>
    </cfRule>
  </conditionalFormatting>
  <conditionalFormatting sqref="AL325">
    <cfRule type="cellIs" priority="476" stopIfTrue="1" operator="lessThan">
      <formula>10.237</formula>
    </cfRule>
  </conditionalFormatting>
  <conditionalFormatting sqref="Y324">
    <cfRule type="cellIs" priority="474" stopIfTrue="1" operator="lessThan">
      <formula>10.237</formula>
    </cfRule>
  </conditionalFormatting>
  <conditionalFormatting sqref="AK324:AK325">
    <cfRule type="cellIs" priority="473" stopIfTrue="1" operator="lessThan">
      <formula>10.237</formula>
    </cfRule>
  </conditionalFormatting>
  <conditionalFormatting sqref="AL324">
    <cfRule type="cellIs" priority="472" stopIfTrue="1" operator="lessThan">
      <formula>10.237</formula>
    </cfRule>
  </conditionalFormatting>
  <conditionalFormatting sqref="AK324:AL324 AK325">
    <cfRule type="cellIs" dxfId="504" priority="470" operator="lessThan">
      <formula>0</formula>
    </cfRule>
    <cfRule type="cellIs" dxfId="503" priority="471" operator="lessThan">
      <formula>0</formula>
    </cfRule>
  </conditionalFormatting>
  <conditionalFormatting sqref="AD324">
    <cfRule type="cellIs" priority="468" stopIfTrue="1" operator="lessThan">
      <formula>10.237</formula>
    </cfRule>
  </conditionalFormatting>
  <conditionalFormatting sqref="AA324:AA325">
    <cfRule type="cellIs" priority="469" stopIfTrue="1" operator="lessThan">
      <formula>10.237</formula>
    </cfRule>
  </conditionalFormatting>
  <conditionalFormatting sqref="AK324:AL324 AK325">
    <cfRule type="cellIs" dxfId="502" priority="467" operator="lessThan">
      <formula>0</formula>
    </cfRule>
  </conditionalFormatting>
  <conditionalFormatting sqref="AH326:AH327 AC326:AC328 Y326:Z328">
    <cfRule type="cellIs" priority="466" stopIfTrue="1" operator="lessThan">
      <formula>10.237</formula>
    </cfRule>
  </conditionalFormatting>
  <conditionalFormatting sqref="AK328">
    <cfRule type="cellIs" priority="465" stopIfTrue="1" operator="lessThan">
      <formula>10.237</formula>
    </cfRule>
  </conditionalFormatting>
  <conditionalFormatting sqref="AL328">
    <cfRule type="cellIs" priority="464" stopIfTrue="1" operator="lessThan">
      <formula>10.237</formula>
    </cfRule>
  </conditionalFormatting>
  <conditionalFormatting sqref="AK328:AL328">
    <cfRule type="cellIs" dxfId="501" priority="462" operator="lessThan">
      <formula>0</formula>
    </cfRule>
    <cfRule type="cellIs" dxfId="500" priority="463" operator="lessThan">
      <formula>0</formula>
    </cfRule>
  </conditionalFormatting>
  <conditionalFormatting sqref="AK326:AL328">
    <cfRule type="cellIs" dxfId="499" priority="461" operator="lessThan">
      <formula>0</formula>
    </cfRule>
  </conditionalFormatting>
  <conditionalFormatting sqref="Y42:Z42">
    <cfRule type="cellIs" priority="460" stopIfTrue="1" operator="lessThan">
      <formula>10.237</formula>
    </cfRule>
  </conditionalFormatting>
  <conditionalFormatting sqref="AK42">
    <cfRule type="cellIs" priority="459" stopIfTrue="1" operator="lessThan">
      <formula>10.237</formula>
    </cfRule>
  </conditionalFormatting>
  <conditionalFormatting sqref="AL42">
    <cfRule type="cellIs" priority="458" stopIfTrue="1" operator="lessThan">
      <formula>10.237</formula>
    </cfRule>
  </conditionalFormatting>
  <conditionalFormatting sqref="AK42:AL42">
    <cfRule type="cellIs" dxfId="498" priority="456" operator="lessThan">
      <formula>0</formula>
    </cfRule>
    <cfRule type="cellIs" dxfId="497" priority="457" operator="lessThan">
      <formula>0</formula>
    </cfRule>
  </conditionalFormatting>
  <conditionalFormatting sqref="AD42">
    <cfRule type="cellIs" priority="454" stopIfTrue="1" operator="lessThan">
      <formula>10.237</formula>
    </cfRule>
  </conditionalFormatting>
  <conditionalFormatting sqref="AA42">
    <cfRule type="cellIs" priority="455" stopIfTrue="1" operator="lessThan">
      <formula>10.237</formula>
    </cfRule>
  </conditionalFormatting>
  <conditionalFormatting sqref="AK42:AL42">
    <cfRule type="cellIs" dxfId="496" priority="453" operator="lessThan">
      <formula>0</formula>
    </cfRule>
  </conditionalFormatting>
  <conditionalFormatting sqref="Y43:Z43">
    <cfRule type="cellIs" priority="452" stopIfTrue="1" operator="lessThan">
      <formula>10.237</formula>
    </cfRule>
  </conditionalFormatting>
  <conditionalFormatting sqref="AK43">
    <cfRule type="cellIs" priority="451" stopIfTrue="1" operator="lessThan">
      <formula>10.237</formula>
    </cfRule>
  </conditionalFormatting>
  <conditionalFormatting sqref="AL43">
    <cfRule type="cellIs" priority="450" stopIfTrue="1" operator="lessThan">
      <formula>10.237</formula>
    </cfRule>
  </conditionalFormatting>
  <conditionalFormatting sqref="AK43:AL43">
    <cfRule type="cellIs" dxfId="495" priority="448" operator="lessThan">
      <formula>0</formula>
    </cfRule>
    <cfRule type="cellIs" dxfId="494" priority="449" operator="lessThan">
      <formula>0</formula>
    </cfRule>
  </conditionalFormatting>
  <conditionalFormatting sqref="AA43">
    <cfRule type="cellIs" priority="447" stopIfTrue="1" operator="lessThan">
      <formula>10.237</formula>
    </cfRule>
  </conditionalFormatting>
  <conditionalFormatting sqref="AD43">
    <cfRule type="cellIs" priority="446" stopIfTrue="1" operator="lessThan">
      <formula>10.237</formula>
    </cfRule>
  </conditionalFormatting>
  <conditionalFormatting sqref="AH44:AH45 AC44:AC46 Y44:Z46">
    <cfRule type="cellIs" priority="445" stopIfTrue="1" operator="lessThan">
      <formula>10.237</formula>
    </cfRule>
  </conditionalFormatting>
  <conditionalFormatting sqref="AK46">
    <cfRule type="cellIs" priority="444" stopIfTrue="1" operator="lessThan">
      <formula>10.237</formula>
    </cfRule>
  </conditionalFormatting>
  <conditionalFormatting sqref="AL46">
    <cfRule type="cellIs" priority="443" stopIfTrue="1" operator="lessThan">
      <formula>10.237</formula>
    </cfRule>
  </conditionalFormatting>
  <conditionalFormatting sqref="AK46:AL46">
    <cfRule type="cellIs" dxfId="493" priority="441" operator="lessThan">
      <formula>0</formula>
    </cfRule>
    <cfRule type="cellIs" dxfId="492" priority="442" operator="lessThan">
      <formula>0</formula>
    </cfRule>
  </conditionalFormatting>
  <conditionalFormatting sqref="AK44:AL46">
    <cfRule type="cellIs" dxfId="491" priority="440" operator="lessThan">
      <formula>0</formula>
    </cfRule>
  </conditionalFormatting>
  <conditionalFormatting sqref="Y18:Z18">
    <cfRule type="cellIs" priority="439" stopIfTrue="1" operator="lessThan">
      <formula>10.237</formula>
    </cfRule>
  </conditionalFormatting>
  <conditionalFormatting sqref="AK18">
    <cfRule type="cellIs" priority="438" stopIfTrue="1" operator="lessThan">
      <formula>10.237</formula>
    </cfRule>
  </conditionalFormatting>
  <conditionalFormatting sqref="AL18">
    <cfRule type="cellIs" priority="437" stopIfTrue="1" operator="lessThan">
      <formula>10.237</formula>
    </cfRule>
  </conditionalFormatting>
  <conditionalFormatting sqref="AK18:AL18">
    <cfRule type="cellIs" dxfId="490" priority="435" operator="lessThan">
      <formula>0</formula>
    </cfRule>
    <cfRule type="cellIs" dxfId="489" priority="436" operator="lessThan">
      <formula>0</formula>
    </cfRule>
  </conditionalFormatting>
  <conditionalFormatting sqref="AD18">
    <cfRule type="cellIs" priority="433" stopIfTrue="1" operator="lessThan">
      <formula>10.237</formula>
    </cfRule>
  </conditionalFormatting>
  <conditionalFormatting sqref="AA18">
    <cfRule type="cellIs" priority="434" stopIfTrue="1" operator="lessThan">
      <formula>10.237</formula>
    </cfRule>
  </conditionalFormatting>
  <conditionalFormatting sqref="AK18:AL18">
    <cfRule type="cellIs" dxfId="488" priority="432" operator="lessThan">
      <formula>0</formula>
    </cfRule>
  </conditionalFormatting>
  <conditionalFormatting sqref="Y19">
    <cfRule type="cellIs" priority="431" stopIfTrue="1" operator="lessThan">
      <formula>10.237</formula>
    </cfRule>
  </conditionalFormatting>
  <conditionalFormatting sqref="AK19">
    <cfRule type="cellIs" priority="430" stopIfTrue="1" operator="lessThan">
      <formula>10.237</formula>
    </cfRule>
  </conditionalFormatting>
  <conditionalFormatting sqref="AL19">
    <cfRule type="cellIs" priority="429" stopIfTrue="1" operator="lessThan">
      <formula>10.237</formula>
    </cfRule>
  </conditionalFormatting>
  <conditionalFormatting sqref="AK19:AL19">
    <cfRule type="cellIs" dxfId="487" priority="427" operator="lessThan">
      <formula>0</formula>
    </cfRule>
    <cfRule type="cellIs" dxfId="486" priority="428" operator="lessThan">
      <formula>0</formula>
    </cfRule>
  </conditionalFormatting>
  <conditionalFormatting sqref="AA19">
    <cfRule type="cellIs" priority="426" stopIfTrue="1" operator="lessThan">
      <formula>10.237</formula>
    </cfRule>
  </conditionalFormatting>
  <conditionalFormatting sqref="AD19">
    <cfRule type="cellIs" priority="425" stopIfTrue="1" operator="lessThan">
      <formula>10.237</formula>
    </cfRule>
  </conditionalFormatting>
  <conditionalFormatting sqref="AH20:AH21 AC20:AC22 Y20:Z22">
    <cfRule type="cellIs" priority="424" stopIfTrue="1" operator="lessThan">
      <formula>10.237</formula>
    </cfRule>
  </conditionalFormatting>
  <conditionalFormatting sqref="AK22">
    <cfRule type="cellIs" priority="423" stopIfTrue="1" operator="lessThan">
      <formula>10.237</formula>
    </cfRule>
  </conditionalFormatting>
  <conditionalFormatting sqref="AL22">
    <cfRule type="cellIs" priority="422" stopIfTrue="1" operator="lessThan">
      <formula>10.237</formula>
    </cfRule>
  </conditionalFormatting>
  <conditionalFormatting sqref="AK22:AL22">
    <cfRule type="cellIs" dxfId="485" priority="420" operator="lessThan">
      <formula>0</formula>
    </cfRule>
    <cfRule type="cellIs" dxfId="484" priority="421" operator="lessThan">
      <formula>0</formula>
    </cfRule>
  </conditionalFormatting>
  <conditionalFormatting sqref="AK20:AL22">
    <cfRule type="cellIs" dxfId="483" priority="419" operator="lessThan">
      <formula>0</formula>
    </cfRule>
  </conditionalFormatting>
  <conditionalFormatting sqref="AA205">
    <cfRule type="cellIs" priority="411" stopIfTrue="1" operator="lessThan">
      <formula>10.237</formula>
    </cfRule>
  </conditionalFormatting>
  <conditionalFormatting sqref="AD205">
    <cfRule type="cellIs" priority="410" stopIfTrue="1" operator="lessThan">
      <formula>10.237</formula>
    </cfRule>
  </conditionalFormatting>
  <conditionalFormatting sqref="AK208">
    <cfRule type="cellIs" priority="408" stopIfTrue="1" operator="lessThan">
      <formula>10.237</formula>
    </cfRule>
  </conditionalFormatting>
  <conditionalFormatting sqref="AL208">
    <cfRule type="cellIs" priority="407" stopIfTrue="1" operator="lessThan">
      <formula>10.237</formula>
    </cfRule>
  </conditionalFormatting>
  <conditionalFormatting sqref="Y204">
    <cfRule type="cellIs" priority="418" stopIfTrue="1" operator="lessThan">
      <formula>10.237</formula>
    </cfRule>
  </conditionalFormatting>
  <conditionalFormatting sqref="AD204">
    <cfRule type="cellIs" priority="417" stopIfTrue="1" operator="lessThan">
      <formula>10.237</formula>
    </cfRule>
  </conditionalFormatting>
  <conditionalFormatting sqref="Y205:Z205 Z204">
    <cfRule type="cellIs" priority="416" stopIfTrue="1" operator="lessThan">
      <formula>10.237</formula>
    </cfRule>
  </conditionalFormatting>
  <conditionalFormatting sqref="AK205">
    <cfRule type="cellIs" priority="415" stopIfTrue="1" operator="lessThan">
      <formula>10.237</formula>
    </cfRule>
  </conditionalFormatting>
  <conditionalFormatting sqref="AL205">
    <cfRule type="cellIs" priority="414" stopIfTrue="1" operator="lessThan">
      <formula>10.237</formula>
    </cfRule>
  </conditionalFormatting>
  <conditionalFormatting sqref="AK205:AL205">
    <cfRule type="cellIs" dxfId="482" priority="412" operator="lessThan">
      <formula>0</formula>
    </cfRule>
    <cfRule type="cellIs" dxfId="481" priority="413" operator="lessThan">
      <formula>0</formula>
    </cfRule>
  </conditionalFormatting>
  <conditionalFormatting sqref="AH206:AH207 AC206:AC208 Y206:Z208">
    <cfRule type="cellIs" priority="409" stopIfTrue="1" operator="lessThan">
      <formula>10.237</formula>
    </cfRule>
  </conditionalFormatting>
  <conditionalFormatting sqref="AK208:AL208">
    <cfRule type="cellIs" dxfId="480" priority="405" operator="lessThan">
      <formula>0</formula>
    </cfRule>
    <cfRule type="cellIs" dxfId="479" priority="406" operator="lessThan">
      <formula>0</formula>
    </cfRule>
  </conditionalFormatting>
  <conditionalFormatting sqref="AK206:AL208">
    <cfRule type="cellIs" dxfId="478" priority="404" operator="lessThan">
      <formula>0</formula>
    </cfRule>
  </conditionalFormatting>
  <conditionalFormatting sqref="Y228">
    <cfRule type="cellIs" priority="403" stopIfTrue="1" operator="lessThan">
      <formula>10.237</formula>
    </cfRule>
  </conditionalFormatting>
  <conditionalFormatting sqref="AK127">
    <cfRule type="cellIs" priority="382" stopIfTrue="1" operator="lessThan">
      <formula>10.237</formula>
    </cfRule>
  </conditionalFormatting>
  <conditionalFormatting sqref="AL127">
    <cfRule type="cellIs" priority="381" stopIfTrue="1" operator="lessThan">
      <formula>10.237</formula>
    </cfRule>
  </conditionalFormatting>
  <conditionalFormatting sqref="AD228">
    <cfRule type="cellIs" priority="402" stopIfTrue="1" operator="lessThan">
      <formula>10.237</formula>
    </cfRule>
  </conditionalFormatting>
  <conditionalFormatting sqref="AA127">
    <cfRule type="cellIs" priority="378" stopIfTrue="1" operator="lessThan">
      <formula>10.237</formula>
    </cfRule>
  </conditionalFormatting>
  <conditionalFormatting sqref="AD127">
    <cfRule type="cellIs" priority="377" stopIfTrue="1" operator="lessThan">
      <formula>10.237</formula>
    </cfRule>
  </conditionalFormatting>
  <conditionalFormatting sqref="Y229 Z228">
    <cfRule type="cellIs" priority="401" stopIfTrue="1" operator="lessThan">
      <formula>10.237</formula>
    </cfRule>
  </conditionalFormatting>
  <conditionalFormatting sqref="AK229">
    <cfRule type="cellIs" priority="400" stopIfTrue="1" operator="lessThan">
      <formula>10.237</formula>
    </cfRule>
  </conditionalFormatting>
  <conditionalFormatting sqref="AL229">
    <cfRule type="cellIs" priority="399" stopIfTrue="1" operator="lessThan">
      <formula>10.237</formula>
    </cfRule>
  </conditionalFormatting>
  <conditionalFormatting sqref="AK229:AL229">
    <cfRule type="cellIs" dxfId="477" priority="397" operator="lessThan">
      <formula>0</formula>
    </cfRule>
    <cfRule type="cellIs" dxfId="476" priority="398" operator="lessThan">
      <formula>0</formula>
    </cfRule>
  </conditionalFormatting>
  <conditionalFormatting sqref="AA229">
    <cfRule type="cellIs" priority="396" stopIfTrue="1" operator="lessThan">
      <formula>10.237</formula>
    </cfRule>
  </conditionalFormatting>
  <conditionalFormatting sqref="AD229">
    <cfRule type="cellIs" priority="395" stopIfTrue="1" operator="lessThan">
      <formula>10.237</formula>
    </cfRule>
  </conditionalFormatting>
  <conditionalFormatting sqref="AK232">
    <cfRule type="cellIs" priority="393" stopIfTrue="1" operator="lessThan">
      <formula>10.237</formula>
    </cfRule>
  </conditionalFormatting>
  <conditionalFormatting sqref="AL232">
    <cfRule type="cellIs" priority="392" stopIfTrue="1" operator="lessThan">
      <formula>10.237</formula>
    </cfRule>
  </conditionalFormatting>
  <conditionalFormatting sqref="AH230:AH231 AC230:AC232 Y230:Z232">
    <cfRule type="cellIs" priority="394" stopIfTrue="1" operator="lessThan">
      <formula>10.237</formula>
    </cfRule>
  </conditionalFormatting>
  <conditionalFormatting sqref="AK232:AL232">
    <cfRule type="cellIs" dxfId="475" priority="390" operator="lessThan">
      <formula>0</formula>
    </cfRule>
    <cfRule type="cellIs" dxfId="474" priority="391" operator="lessThan">
      <formula>0</formula>
    </cfRule>
  </conditionalFormatting>
  <conditionalFormatting sqref="AK230:AL232">
    <cfRule type="cellIs" dxfId="473" priority="389" operator="lessThan">
      <formula>0</formula>
    </cfRule>
  </conditionalFormatting>
  <conditionalFormatting sqref="Y126">
    <cfRule type="cellIs" priority="388" stopIfTrue="1" operator="lessThan">
      <formula>10.237</formula>
    </cfRule>
  </conditionalFormatting>
  <conditionalFormatting sqref="AK204">
    <cfRule type="cellIs" priority="367" stopIfTrue="1" operator="lessThan">
      <formula>10.237</formula>
    </cfRule>
  </conditionalFormatting>
  <conditionalFormatting sqref="AL204">
    <cfRule type="cellIs" priority="366" stopIfTrue="1" operator="lessThan">
      <formula>10.237</formula>
    </cfRule>
  </conditionalFormatting>
  <conditionalFormatting sqref="AD126">
    <cfRule type="cellIs" priority="387" stopIfTrue="1" operator="lessThan">
      <formula>10.237</formula>
    </cfRule>
  </conditionalFormatting>
  <conditionalFormatting sqref="AL228">
    <cfRule type="cellIs" priority="363" stopIfTrue="1" operator="lessThan">
      <formula>10.237</formula>
    </cfRule>
  </conditionalFormatting>
  <conditionalFormatting sqref="AA204">
    <cfRule type="cellIs" priority="386" stopIfTrue="1" operator="lessThan">
      <formula>10.237</formula>
    </cfRule>
  </conditionalFormatting>
  <conditionalFormatting sqref="AA228">
    <cfRule type="cellIs" priority="385" stopIfTrue="1" operator="lessThan">
      <formula>10.237</formula>
    </cfRule>
  </conditionalFormatting>
  <conditionalFormatting sqref="AA126">
    <cfRule type="cellIs" priority="384" stopIfTrue="1" operator="lessThan">
      <formula>10.237</formula>
    </cfRule>
  </conditionalFormatting>
  <conditionalFormatting sqref="Y127:Z127 Z126">
    <cfRule type="cellIs" priority="383" stopIfTrue="1" operator="lessThan">
      <formula>10.237</formula>
    </cfRule>
  </conditionalFormatting>
  <conditionalFormatting sqref="AK127:AL127">
    <cfRule type="cellIs" dxfId="472" priority="379" operator="lessThan">
      <formula>0</formula>
    </cfRule>
    <cfRule type="cellIs" dxfId="471" priority="380" operator="lessThan">
      <formula>0</formula>
    </cfRule>
  </conditionalFormatting>
  <conditionalFormatting sqref="AK130">
    <cfRule type="cellIs" priority="375" stopIfTrue="1" operator="lessThan">
      <formula>10.237</formula>
    </cfRule>
  </conditionalFormatting>
  <conditionalFormatting sqref="AL130">
    <cfRule type="cellIs" priority="374" stopIfTrue="1" operator="lessThan">
      <formula>10.237</formula>
    </cfRule>
  </conditionalFormatting>
  <conditionalFormatting sqref="AH128:AH129 AC128:AC130 Y128:Z130">
    <cfRule type="cellIs" priority="376" stopIfTrue="1" operator="lessThan">
      <formula>10.237</formula>
    </cfRule>
  </conditionalFormatting>
  <conditionalFormatting sqref="AK130:AL130">
    <cfRule type="cellIs" dxfId="470" priority="372" operator="lessThan">
      <formula>0</formula>
    </cfRule>
    <cfRule type="cellIs" dxfId="469" priority="373" operator="lessThan">
      <formula>0</formula>
    </cfRule>
  </conditionalFormatting>
  <conditionalFormatting sqref="AK128:AL130">
    <cfRule type="cellIs" dxfId="468" priority="371" operator="lessThan">
      <formula>0</formula>
    </cfRule>
  </conditionalFormatting>
  <conditionalFormatting sqref="AK204">
    <cfRule type="cellIs" priority="370" stopIfTrue="1" operator="lessThan">
      <formula>10.237</formula>
    </cfRule>
  </conditionalFormatting>
  <conditionalFormatting sqref="AL204">
    <cfRule type="cellIs" priority="369" stopIfTrue="1" operator="lessThan">
      <formula>10.237</formula>
    </cfRule>
  </conditionalFormatting>
  <conditionalFormatting sqref="AK204:AL204">
    <cfRule type="cellIs" dxfId="467" priority="365" operator="lessThan">
      <formula>0</formula>
    </cfRule>
    <cfRule type="cellIs" dxfId="466" priority="368" operator="lessThan">
      <formula>0</formula>
    </cfRule>
  </conditionalFormatting>
  <conditionalFormatting sqref="AK228">
    <cfRule type="cellIs" priority="364" stopIfTrue="1" operator="lessThan">
      <formula>10.237</formula>
    </cfRule>
  </conditionalFormatting>
  <conditionalFormatting sqref="AK228:AL228">
    <cfRule type="cellIs" dxfId="465" priority="359" operator="lessThan">
      <formula>0</formula>
    </cfRule>
    <cfRule type="cellIs" dxfId="464" priority="362" operator="lessThan">
      <formula>0</formula>
    </cfRule>
  </conditionalFormatting>
  <conditionalFormatting sqref="AK228">
    <cfRule type="cellIs" priority="361" stopIfTrue="1" operator="lessThan">
      <formula>10.237</formula>
    </cfRule>
  </conditionalFormatting>
  <conditionalFormatting sqref="AL228">
    <cfRule type="cellIs" priority="360" stopIfTrue="1" operator="lessThan">
      <formula>10.237</formula>
    </cfRule>
  </conditionalFormatting>
  <conditionalFormatting sqref="AK126">
    <cfRule type="cellIs" priority="358" stopIfTrue="1" operator="lessThan">
      <formula>10.237</formula>
    </cfRule>
  </conditionalFormatting>
  <conditionalFormatting sqref="AL126">
    <cfRule type="cellIs" priority="357" stopIfTrue="1" operator="lessThan">
      <formula>10.237</formula>
    </cfRule>
  </conditionalFormatting>
  <conditionalFormatting sqref="AK126:AL126">
    <cfRule type="cellIs" dxfId="463" priority="353" operator="lessThan">
      <formula>0</formula>
    </cfRule>
    <cfRule type="cellIs" dxfId="462" priority="356" operator="lessThan">
      <formula>0</formula>
    </cfRule>
  </conditionalFormatting>
  <conditionalFormatting sqref="AK126">
    <cfRule type="cellIs" priority="355" stopIfTrue="1" operator="lessThan">
      <formula>10.237</formula>
    </cfRule>
  </conditionalFormatting>
  <conditionalFormatting sqref="AL126">
    <cfRule type="cellIs" priority="354" stopIfTrue="1" operator="lessThan">
      <formula>10.237</formula>
    </cfRule>
  </conditionalFormatting>
  <conditionalFormatting sqref="Y138">
    <cfRule type="cellIs" priority="352" stopIfTrue="1" operator="lessThan">
      <formula>10.237</formula>
    </cfRule>
  </conditionalFormatting>
  <conditionalFormatting sqref="AK138">
    <cfRule type="cellIs" priority="351" stopIfTrue="1" operator="lessThan">
      <formula>10.237</formula>
    </cfRule>
  </conditionalFormatting>
  <conditionalFormatting sqref="AL138">
    <cfRule type="cellIs" priority="350" stopIfTrue="1" operator="lessThan">
      <formula>10.237</formula>
    </cfRule>
  </conditionalFormatting>
  <conditionalFormatting sqref="AK138:AL138">
    <cfRule type="cellIs" dxfId="461" priority="348" operator="lessThan">
      <formula>0</formula>
    </cfRule>
    <cfRule type="cellIs" dxfId="460" priority="349" operator="lessThan">
      <formula>0</formula>
    </cfRule>
  </conditionalFormatting>
  <conditionalFormatting sqref="AA138">
    <cfRule type="cellIs" priority="347" stopIfTrue="1" operator="lessThan">
      <formula>10.237</formula>
    </cfRule>
  </conditionalFormatting>
  <conditionalFormatting sqref="AD138">
    <cfRule type="cellIs" priority="346" stopIfTrue="1" operator="lessThan">
      <formula>10.237</formula>
    </cfRule>
  </conditionalFormatting>
  <conditionalFormatting sqref="Y139">
    <cfRule type="cellIs" priority="345" stopIfTrue="1" operator="lessThan">
      <formula>10.237</formula>
    </cfRule>
  </conditionalFormatting>
  <conditionalFormatting sqref="AK139">
    <cfRule type="cellIs" priority="344" stopIfTrue="1" operator="lessThan">
      <formula>10.237</formula>
    </cfRule>
  </conditionalFormatting>
  <conditionalFormatting sqref="AL139">
    <cfRule type="cellIs" priority="343" stopIfTrue="1" operator="lessThan">
      <formula>10.237</formula>
    </cfRule>
  </conditionalFormatting>
  <conditionalFormatting sqref="AK139:AL139">
    <cfRule type="cellIs" dxfId="459" priority="341" operator="lessThan">
      <formula>0</formula>
    </cfRule>
    <cfRule type="cellIs" dxfId="458" priority="342" operator="lessThan">
      <formula>0</formula>
    </cfRule>
  </conditionalFormatting>
  <conditionalFormatting sqref="AA139">
    <cfRule type="cellIs" priority="340" stopIfTrue="1" operator="lessThan">
      <formula>10.237</formula>
    </cfRule>
  </conditionalFormatting>
  <conditionalFormatting sqref="AD139">
    <cfRule type="cellIs" priority="339" stopIfTrue="1" operator="lessThan">
      <formula>10.237</formula>
    </cfRule>
  </conditionalFormatting>
  <conditionalFormatting sqref="AK142">
    <cfRule type="cellIs" priority="337" stopIfTrue="1" operator="lessThan">
      <formula>10.237</formula>
    </cfRule>
  </conditionalFormatting>
  <conditionalFormatting sqref="AL142">
    <cfRule type="cellIs" priority="336" stopIfTrue="1" operator="lessThan">
      <formula>10.237</formula>
    </cfRule>
  </conditionalFormatting>
  <conditionalFormatting sqref="AH140:AH141 AC140:AC142 Y140:Z142">
    <cfRule type="cellIs" priority="338" stopIfTrue="1" operator="lessThan">
      <formula>10.237</formula>
    </cfRule>
  </conditionalFormatting>
  <conditionalFormatting sqref="AK142:AL142">
    <cfRule type="cellIs" dxfId="457" priority="334" operator="lessThan">
      <formula>0</formula>
    </cfRule>
    <cfRule type="cellIs" dxfId="456" priority="335" operator="lessThan">
      <formula>0</formula>
    </cfRule>
  </conditionalFormatting>
  <conditionalFormatting sqref="AK140:AL142">
    <cfRule type="cellIs" dxfId="455" priority="333" operator="lessThan">
      <formula>0</formula>
    </cfRule>
  </conditionalFormatting>
  <conditionalFormatting sqref="AK355">
    <cfRule type="cellIs" priority="332" stopIfTrue="1" operator="lessThan">
      <formula>10.237</formula>
    </cfRule>
  </conditionalFormatting>
  <conditionalFormatting sqref="AK355">
    <cfRule type="cellIs" dxfId="454" priority="330" operator="lessThan">
      <formula>0</formula>
    </cfRule>
    <cfRule type="cellIs" dxfId="453" priority="331" operator="lessThan">
      <formula>0</formula>
    </cfRule>
  </conditionalFormatting>
  <conditionalFormatting sqref="AL355">
    <cfRule type="cellIs" priority="329" stopIfTrue="1" operator="lessThan">
      <formula>10.237</formula>
    </cfRule>
  </conditionalFormatting>
  <conditionalFormatting sqref="AL355">
    <cfRule type="cellIs" dxfId="452" priority="327" operator="lessThan">
      <formula>0</formula>
    </cfRule>
    <cfRule type="cellIs" dxfId="451" priority="328" operator="lessThan">
      <formula>0</formula>
    </cfRule>
  </conditionalFormatting>
  <conditionalFormatting sqref="AA192">
    <cfRule type="cellIs" priority="326" stopIfTrue="1" operator="lessThan">
      <formula>10.237</formula>
    </cfRule>
  </conditionalFormatting>
  <conditionalFormatting sqref="AA30">
    <cfRule type="cellIs" priority="325" stopIfTrue="1" operator="lessThan">
      <formula>10.237</formula>
    </cfRule>
  </conditionalFormatting>
  <conditionalFormatting sqref="AA78">
    <cfRule type="cellIs" priority="324" stopIfTrue="1" operator="lessThan">
      <formula>10.237</formula>
    </cfRule>
  </conditionalFormatting>
  <conditionalFormatting sqref="AK143:AL143">
    <cfRule type="cellIs" dxfId="450" priority="323" operator="lessThan">
      <formula>0</formula>
    </cfRule>
  </conditionalFormatting>
  <conditionalFormatting sqref="Y84:Z84">
    <cfRule type="cellIs" priority="322" stopIfTrue="1" operator="lessThan">
      <formula>10.237</formula>
    </cfRule>
  </conditionalFormatting>
  <conditionalFormatting sqref="AK84">
    <cfRule type="cellIs" priority="321" stopIfTrue="1" operator="lessThan">
      <formula>10.237</formula>
    </cfRule>
  </conditionalFormatting>
  <conditionalFormatting sqref="AL84">
    <cfRule type="cellIs" priority="320" stopIfTrue="1" operator="lessThan">
      <formula>10.237</formula>
    </cfRule>
  </conditionalFormatting>
  <conditionalFormatting sqref="AK84:AL84">
    <cfRule type="cellIs" dxfId="449" priority="318" operator="lessThan">
      <formula>0</formula>
    </cfRule>
    <cfRule type="cellIs" dxfId="448" priority="319" operator="lessThan">
      <formula>0</formula>
    </cfRule>
  </conditionalFormatting>
  <conditionalFormatting sqref="AA84">
    <cfRule type="cellIs" priority="317" stopIfTrue="1" operator="lessThan">
      <formula>10.237</formula>
    </cfRule>
  </conditionalFormatting>
  <conditionalFormatting sqref="AD84">
    <cfRule type="cellIs" priority="316" stopIfTrue="1" operator="lessThan">
      <formula>10.237</formula>
    </cfRule>
  </conditionalFormatting>
  <conditionalFormatting sqref="Y85:Z85">
    <cfRule type="cellIs" priority="315" stopIfTrue="1" operator="lessThan">
      <formula>10.237</formula>
    </cfRule>
  </conditionalFormatting>
  <conditionalFormatting sqref="AK85">
    <cfRule type="cellIs" priority="314" stopIfTrue="1" operator="lessThan">
      <formula>10.237</formula>
    </cfRule>
  </conditionalFormatting>
  <conditionalFormatting sqref="AL85">
    <cfRule type="cellIs" priority="313" stopIfTrue="1" operator="lessThan">
      <formula>10.237</formula>
    </cfRule>
  </conditionalFormatting>
  <conditionalFormatting sqref="AK85:AL85">
    <cfRule type="cellIs" dxfId="447" priority="311" operator="lessThan">
      <formula>0</formula>
    </cfRule>
    <cfRule type="cellIs" dxfId="446" priority="312" operator="lessThan">
      <formula>0</formula>
    </cfRule>
  </conditionalFormatting>
  <conditionalFormatting sqref="AA85">
    <cfRule type="cellIs" priority="310" stopIfTrue="1" operator="lessThan">
      <formula>10.237</formula>
    </cfRule>
  </conditionalFormatting>
  <conditionalFormatting sqref="AD85">
    <cfRule type="cellIs" priority="309" stopIfTrue="1" operator="lessThan">
      <formula>10.237</formula>
    </cfRule>
  </conditionalFormatting>
  <conditionalFormatting sqref="AK88">
    <cfRule type="cellIs" priority="307" stopIfTrue="1" operator="lessThan">
      <formula>10.237</formula>
    </cfRule>
  </conditionalFormatting>
  <conditionalFormatting sqref="AL88">
    <cfRule type="cellIs" priority="306" stopIfTrue="1" operator="lessThan">
      <formula>10.237</formula>
    </cfRule>
  </conditionalFormatting>
  <conditionalFormatting sqref="AH86:AH87 AC86:AC88 Y86:Z88">
    <cfRule type="cellIs" priority="308" stopIfTrue="1" operator="lessThan">
      <formula>10.237</formula>
    </cfRule>
  </conditionalFormatting>
  <conditionalFormatting sqref="AK88:AL88">
    <cfRule type="cellIs" dxfId="445" priority="304" operator="lessThan">
      <formula>0</formula>
    </cfRule>
    <cfRule type="cellIs" dxfId="444" priority="305" operator="lessThan">
      <formula>0</formula>
    </cfRule>
  </conditionalFormatting>
  <conditionalFormatting sqref="AK86:AL88">
    <cfRule type="cellIs" dxfId="443" priority="303" operator="lessThan">
      <formula>0</formula>
    </cfRule>
  </conditionalFormatting>
  <conditionalFormatting sqref="AK89:AL89">
    <cfRule type="cellIs" dxfId="442" priority="302" operator="lessThan">
      <formula>0</formula>
    </cfRule>
  </conditionalFormatting>
  <conditionalFormatting sqref="Y336">
    <cfRule type="cellIs" priority="301" stopIfTrue="1" operator="lessThan">
      <formula>10.237</formula>
    </cfRule>
  </conditionalFormatting>
  <conditionalFormatting sqref="AK336">
    <cfRule type="cellIs" priority="300" stopIfTrue="1" operator="lessThan">
      <formula>10.237</formula>
    </cfRule>
  </conditionalFormatting>
  <conditionalFormatting sqref="AL336">
    <cfRule type="cellIs" priority="299" stopIfTrue="1" operator="lessThan">
      <formula>10.237</formula>
    </cfRule>
  </conditionalFormatting>
  <conditionalFormatting sqref="AK336:AL336">
    <cfRule type="cellIs" dxfId="441" priority="297" operator="lessThan">
      <formula>0</formula>
    </cfRule>
    <cfRule type="cellIs" dxfId="440" priority="298" operator="lessThan">
      <formula>0</formula>
    </cfRule>
  </conditionalFormatting>
  <conditionalFormatting sqref="AA336">
    <cfRule type="cellIs" priority="296" stopIfTrue="1" operator="lessThan">
      <formula>10.237</formula>
    </cfRule>
  </conditionalFormatting>
  <conditionalFormatting sqref="AD336">
    <cfRule type="cellIs" priority="295" stopIfTrue="1" operator="lessThan">
      <formula>10.237</formula>
    </cfRule>
  </conditionalFormatting>
  <conditionalFormatting sqref="Y337">
    <cfRule type="cellIs" priority="294" stopIfTrue="1" operator="lessThan">
      <formula>10.237</formula>
    </cfRule>
  </conditionalFormatting>
  <conditionalFormatting sqref="AK337">
    <cfRule type="cellIs" priority="293" stopIfTrue="1" operator="lessThan">
      <formula>10.237</formula>
    </cfRule>
  </conditionalFormatting>
  <conditionalFormatting sqref="AL337">
    <cfRule type="cellIs" priority="292" stopIfTrue="1" operator="lessThan">
      <formula>10.237</formula>
    </cfRule>
  </conditionalFormatting>
  <conditionalFormatting sqref="AK337:AL337">
    <cfRule type="cellIs" dxfId="439" priority="290" operator="lessThan">
      <formula>0</formula>
    </cfRule>
    <cfRule type="cellIs" dxfId="438" priority="291" operator="lessThan">
      <formula>0</formula>
    </cfRule>
  </conditionalFormatting>
  <conditionalFormatting sqref="AA337">
    <cfRule type="cellIs" priority="289" stopIfTrue="1" operator="lessThan">
      <formula>10.237</formula>
    </cfRule>
  </conditionalFormatting>
  <conditionalFormatting sqref="AD337">
    <cfRule type="cellIs" priority="288" stopIfTrue="1" operator="lessThan">
      <formula>10.237</formula>
    </cfRule>
  </conditionalFormatting>
  <conditionalFormatting sqref="AK340">
    <cfRule type="cellIs" priority="286" stopIfTrue="1" operator="lessThan">
      <formula>10.237</formula>
    </cfRule>
  </conditionalFormatting>
  <conditionalFormatting sqref="AL340">
    <cfRule type="cellIs" priority="285" stopIfTrue="1" operator="lessThan">
      <formula>10.237</formula>
    </cfRule>
  </conditionalFormatting>
  <conditionalFormatting sqref="AH338:AH339 AC338:AC340 Y338:Z340">
    <cfRule type="cellIs" priority="287" stopIfTrue="1" operator="lessThan">
      <formula>10.237</formula>
    </cfRule>
  </conditionalFormatting>
  <conditionalFormatting sqref="AK340:AL340">
    <cfRule type="cellIs" dxfId="437" priority="283" operator="lessThan">
      <formula>0</formula>
    </cfRule>
    <cfRule type="cellIs" dxfId="436" priority="284" operator="lessThan">
      <formula>0</formula>
    </cfRule>
  </conditionalFormatting>
  <conditionalFormatting sqref="AK338:AL340">
    <cfRule type="cellIs" dxfId="435" priority="282" operator="lessThan">
      <formula>0</formula>
    </cfRule>
  </conditionalFormatting>
  <conditionalFormatting sqref="AK341:AL341">
    <cfRule type="cellIs" dxfId="434" priority="281" operator="lessThan">
      <formula>0</formula>
    </cfRule>
  </conditionalFormatting>
  <conditionalFormatting sqref="Y246">
    <cfRule type="cellIs" priority="280" stopIfTrue="1" operator="lessThan">
      <formula>10.237</formula>
    </cfRule>
  </conditionalFormatting>
  <conditionalFormatting sqref="AK246">
    <cfRule type="cellIs" priority="279" stopIfTrue="1" operator="lessThan">
      <formula>10.237</formula>
    </cfRule>
  </conditionalFormatting>
  <conditionalFormatting sqref="AL246">
    <cfRule type="cellIs" priority="278" stopIfTrue="1" operator="lessThan">
      <formula>10.237</formula>
    </cfRule>
  </conditionalFormatting>
  <conditionalFormatting sqref="AK246:AL246">
    <cfRule type="cellIs" dxfId="433" priority="276" operator="lessThan">
      <formula>0</formula>
    </cfRule>
    <cfRule type="cellIs" dxfId="432" priority="277" operator="lessThan">
      <formula>0</formula>
    </cfRule>
  </conditionalFormatting>
  <conditionalFormatting sqref="AA246">
    <cfRule type="cellIs" priority="275" stopIfTrue="1" operator="lessThan">
      <formula>10.237</formula>
    </cfRule>
  </conditionalFormatting>
  <conditionalFormatting sqref="AD246">
    <cfRule type="cellIs" priority="274" stopIfTrue="1" operator="lessThan">
      <formula>10.237</formula>
    </cfRule>
  </conditionalFormatting>
  <conditionalFormatting sqref="Y247">
    <cfRule type="cellIs" priority="273" stopIfTrue="1" operator="lessThan">
      <formula>10.237</formula>
    </cfRule>
  </conditionalFormatting>
  <conditionalFormatting sqref="AK247">
    <cfRule type="cellIs" priority="272" stopIfTrue="1" operator="lessThan">
      <formula>10.237</formula>
    </cfRule>
  </conditionalFormatting>
  <conditionalFormatting sqref="AL247">
    <cfRule type="cellIs" priority="271" stopIfTrue="1" operator="lessThan">
      <formula>10.237</formula>
    </cfRule>
  </conditionalFormatting>
  <conditionalFormatting sqref="AK247:AL247">
    <cfRule type="cellIs" dxfId="431" priority="269" operator="lessThan">
      <formula>0</formula>
    </cfRule>
    <cfRule type="cellIs" dxfId="430" priority="270" operator="lessThan">
      <formula>0</formula>
    </cfRule>
  </conditionalFormatting>
  <conditionalFormatting sqref="AA247">
    <cfRule type="cellIs" priority="268" stopIfTrue="1" operator="lessThan">
      <formula>10.237</formula>
    </cfRule>
  </conditionalFormatting>
  <conditionalFormatting sqref="AD247">
    <cfRule type="cellIs" priority="267" stopIfTrue="1" operator="lessThan">
      <formula>10.237</formula>
    </cfRule>
  </conditionalFormatting>
  <conditionalFormatting sqref="AK250">
    <cfRule type="cellIs" priority="265" stopIfTrue="1" operator="lessThan">
      <formula>10.237</formula>
    </cfRule>
  </conditionalFormatting>
  <conditionalFormatting sqref="AL250">
    <cfRule type="cellIs" priority="264" stopIfTrue="1" operator="lessThan">
      <formula>10.237</formula>
    </cfRule>
  </conditionalFormatting>
  <conditionalFormatting sqref="AH248:AH249 AC248:AC250 Y248:Z250">
    <cfRule type="cellIs" priority="266" stopIfTrue="1" operator="lessThan">
      <formula>10.237</formula>
    </cfRule>
  </conditionalFormatting>
  <conditionalFormatting sqref="AK250:AL250">
    <cfRule type="cellIs" dxfId="429" priority="262" operator="lessThan">
      <formula>0</formula>
    </cfRule>
    <cfRule type="cellIs" dxfId="428" priority="263" operator="lessThan">
      <formula>0</formula>
    </cfRule>
  </conditionalFormatting>
  <conditionalFormatting sqref="AK248:AL250">
    <cfRule type="cellIs" dxfId="427" priority="261" operator="lessThan">
      <formula>0</formula>
    </cfRule>
  </conditionalFormatting>
  <conditionalFormatting sqref="L132:L133">
    <cfRule type="cellIs" dxfId="426" priority="258" operator="lessThan">
      <formula>0</formula>
    </cfRule>
    <cfRule type="cellIs" dxfId="425" priority="259" operator="lessThan">
      <formula>0</formula>
    </cfRule>
  </conditionalFormatting>
  <conditionalFormatting sqref="L132:L133">
    <cfRule type="cellIs" priority="260" stopIfTrue="1" operator="lessThan">
      <formula>10.237</formula>
    </cfRule>
  </conditionalFormatting>
  <conditionalFormatting sqref="L6:L7">
    <cfRule type="cellIs" dxfId="424" priority="255" operator="lessThan">
      <formula>0</formula>
    </cfRule>
    <cfRule type="cellIs" dxfId="423" priority="256" operator="lessThan">
      <formula>0</formula>
    </cfRule>
  </conditionalFormatting>
  <conditionalFormatting sqref="L6:L7">
    <cfRule type="cellIs" priority="257" stopIfTrue="1" operator="lessThan">
      <formula>10.237</formula>
    </cfRule>
  </conditionalFormatting>
  <conditionalFormatting sqref="Z115">
    <cfRule type="cellIs" priority="182" stopIfTrue="1" operator="lessThan">
      <formula>10.237</formula>
    </cfRule>
  </conditionalFormatting>
  <conditionalFormatting sqref="Z6:Z7">
    <cfRule type="cellIs" priority="254" stopIfTrue="1" operator="lessThan">
      <formula>10.237</formula>
    </cfRule>
  </conditionalFormatting>
  <conditionalFormatting sqref="L12:L13">
    <cfRule type="cellIs" dxfId="422" priority="251" operator="lessThan">
      <formula>0</formula>
    </cfRule>
    <cfRule type="cellIs" dxfId="421" priority="252" operator="lessThan">
      <formula>0</formula>
    </cfRule>
  </conditionalFormatting>
  <conditionalFormatting sqref="L12:L13">
    <cfRule type="cellIs" priority="253" stopIfTrue="1" operator="lessThan">
      <formula>10.237</formula>
    </cfRule>
  </conditionalFormatting>
  <conditionalFormatting sqref="L18:L19">
    <cfRule type="cellIs" dxfId="420" priority="248" operator="lessThan">
      <formula>0</formula>
    </cfRule>
    <cfRule type="cellIs" dxfId="419" priority="249" operator="lessThan">
      <formula>0</formula>
    </cfRule>
  </conditionalFormatting>
  <conditionalFormatting sqref="L18:L19">
    <cfRule type="cellIs" priority="250" stopIfTrue="1" operator="lessThan">
      <formula>10.237</formula>
    </cfRule>
  </conditionalFormatting>
  <conditionalFormatting sqref="Z19">
    <cfRule type="cellIs" priority="247" stopIfTrue="1" operator="lessThan">
      <formula>10.237</formula>
    </cfRule>
  </conditionalFormatting>
  <conditionalFormatting sqref="L24:L25">
    <cfRule type="cellIs" dxfId="418" priority="244" operator="lessThan">
      <formula>0</formula>
    </cfRule>
    <cfRule type="cellIs" dxfId="417" priority="245" operator="lessThan">
      <formula>0</formula>
    </cfRule>
  </conditionalFormatting>
  <conditionalFormatting sqref="L24:L25">
    <cfRule type="cellIs" priority="246" stopIfTrue="1" operator="lessThan">
      <formula>10.237</formula>
    </cfRule>
  </conditionalFormatting>
  <conditionalFormatting sqref="Z24">
    <cfRule type="cellIs" priority="243" stopIfTrue="1" operator="lessThan">
      <formula>10.237</formula>
    </cfRule>
  </conditionalFormatting>
  <conditionalFormatting sqref="L30:L31">
    <cfRule type="cellIs" dxfId="416" priority="240" operator="lessThan">
      <formula>0</formula>
    </cfRule>
    <cfRule type="cellIs" dxfId="415" priority="241" operator="lessThan">
      <formula>0</formula>
    </cfRule>
  </conditionalFormatting>
  <conditionalFormatting sqref="L30:L31">
    <cfRule type="cellIs" priority="242" stopIfTrue="1" operator="lessThan">
      <formula>10.237</formula>
    </cfRule>
  </conditionalFormatting>
  <conditionalFormatting sqref="L36:L37">
    <cfRule type="cellIs" dxfId="414" priority="237" operator="lessThan">
      <formula>0</formula>
    </cfRule>
    <cfRule type="cellIs" dxfId="413" priority="238" operator="lessThan">
      <formula>0</formula>
    </cfRule>
  </conditionalFormatting>
  <conditionalFormatting sqref="L36:L37">
    <cfRule type="cellIs" priority="239" stopIfTrue="1" operator="lessThan">
      <formula>10.237</formula>
    </cfRule>
  </conditionalFormatting>
  <conditionalFormatting sqref="Z37">
    <cfRule type="cellIs" priority="236" stopIfTrue="1" operator="lessThan">
      <formula>10.237</formula>
    </cfRule>
  </conditionalFormatting>
  <conditionalFormatting sqref="Z36">
    <cfRule type="cellIs" priority="235" stopIfTrue="1" operator="lessThan">
      <formula>10.237</formula>
    </cfRule>
  </conditionalFormatting>
  <conditionalFormatting sqref="L42:L43">
    <cfRule type="cellIs" dxfId="412" priority="232" operator="lessThan">
      <formula>0</formula>
    </cfRule>
    <cfRule type="cellIs" dxfId="411" priority="233" operator="lessThan">
      <formula>0</formula>
    </cfRule>
  </conditionalFormatting>
  <conditionalFormatting sqref="L42:L43">
    <cfRule type="cellIs" priority="234" stopIfTrue="1" operator="lessThan">
      <formula>10.237</formula>
    </cfRule>
  </conditionalFormatting>
  <conditionalFormatting sqref="L48:L49">
    <cfRule type="cellIs" dxfId="410" priority="229" operator="lessThan">
      <formula>0</formula>
    </cfRule>
    <cfRule type="cellIs" dxfId="409" priority="230" operator="lessThan">
      <formula>0</formula>
    </cfRule>
  </conditionalFormatting>
  <conditionalFormatting sqref="L48:L49">
    <cfRule type="cellIs" priority="231" stopIfTrue="1" operator="lessThan">
      <formula>10.237</formula>
    </cfRule>
  </conditionalFormatting>
  <conditionalFormatting sqref="L54:L55">
    <cfRule type="cellIs" dxfId="408" priority="226" operator="lessThan">
      <formula>0</formula>
    </cfRule>
    <cfRule type="cellIs" dxfId="407" priority="227" operator="lessThan">
      <formula>0</formula>
    </cfRule>
  </conditionalFormatting>
  <conditionalFormatting sqref="L54:L55">
    <cfRule type="cellIs" priority="228" stopIfTrue="1" operator="lessThan">
      <formula>10.237</formula>
    </cfRule>
  </conditionalFormatting>
  <conditionalFormatting sqref="L60:L61">
    <cfRule type="cellIs" dxfId="406" priority="223" operator="lessThan">
      <formula>0</formula>
    </cfRule>
    <cfRule type="cellIs" dxfId="405" priority="224" operator="lessThan">
      <formula>0</formula>
    </cfRule>
  </conditionalFormatting>
  <conditionalFormatting sqref="L60:L61">
    <cfRule type="cellIs" priority="225" stopIfTrue="1" operator="lessThan">
      <formula>10.237</formula>
    </cfRule>
  </conditionalFormatting>
  <conditionalFormatting sqref="Z60">
    <cfRule type="cellIs" priority="222" stopIfTrue="1" operator="lessThan">
      <formula>10.237</formula>
    </cfRule>
  </conditionalFormatting>
  <conditionalFormatting sqref="L66:L67">
    <cfRule type="cellIs" dxfId="404" priority="219" operator="lessThan">
      <formula>0</formula>
    </cfRule>
    <cfRule type="cellIs" dxfId="403" priority="220" operator="lessThan">
      <formula>0</formula>
    </cfRule>
  </conditionalFormatting>
  <conditionalFormatting sqref="L66:L67">
    <cfRule type="cellIs" priority="221" stopIfTrue="1" operator="lessThan">
      <formula>10.237</formula>
    </cfRule>
  </conditionalFormatting>
  <conditionalFormatting sqref="Z67">
    <cfRule type="cellIs" priority="218" stopIfTrue="1" operator="lessThan">
      <formula>10.237</formula>
    </cfRule>
  </conditionalFormatting>
  <conditionalFormatting sqref="L72:L73">
    <cfRule type="cellIs" dxfId="402" priority="215" operator="lessThan">
      <formula>0</formula>
    </cfRule>
    <cfRule type="cellIs" dxfId="401" priority="216" operator="lessThan">
      <formula>0</formula>
    </cfRule>
  </conditionalFormatting>
  <conditionalFormatting sqref="L72:L73">
    <cfRule type="cellIs" priority="217" stopIfTrue="1" operator="lessThan">
      <formula>10.237</formula>
    </cfRule>
  </conditionalFormatting>
  <conditionalFormatting sqref="L78:L79">
    <cfRule type="cellIs" dxfId="400" priority="209" operator="lessThan">
      <formula>0</formula>
    </cfRule>
    <cfRule type="cellIs" dxfId="399" priority="210" operator="lessThan">
      <formula>0</formula>
    </cfRule>
  </conditionalFormatting>
  <conditionalFormatting sqref="L78:L79">
    <cfRule type="cellIs" priority="211" stopIfTrue="1" operator="lessThan">
      <formula>10.237</formula>
    </cfRule>
  </conditionalFormatting>
  <conditionalFormatting sqref="Z78">
    <cfRule type="cellIs" priority="207" stopIfTrue="1" operator="lessThan">
      <formula>10.237</formula>
    </cfRule>
  </conditionalFormatting>
  <conditionalFormatting sqref="Z79">
    <cfRule type="cellIs" priority="206" stopIfTrue="1" operator="lessThan">
      <formula>10.237</formula>
    </cfRule>
  </conditionalFormatting>
  <conditionalFormatting sqref="L84:L85">
    <cfRule type="cellIs" dxfId="398" priority="203" operator="lessThan">
      <formula>0</formula>
    </cfRule>
    <cfRule type="cellIs" dxfId="397" priority="204" operator="lessThan">
      <formula>0</formula>
    </cfRule>
  </conditionalFormatting>
  <conditionalFormatting sqref="L84:L85">
    <cfRule type="cellIs" priority="205" stopIfTrue="1" operator="lessThan">
      <formula>10.237</formula>
    </cfRule>
  </conditionalFormatting>
  <conditionalFormatting sqref="L90:L91">
    <cfRule type="cellIs" dxfId="396" priority="200" operator="lessThan">
      <formula>0</formula>
    </cfRule>
    <cfRule type="cellIs" dxfId="395" priority="201" operator="lessThan">
      <formula>0</formula>
    </cfRule>
  </conditionalFormatting>
  <conditionalFormatting sqref="L90:L91">
    <cfRule type="cellIs" priority="202" stopIfTrue="1" operator="lessThan">
      <formula>10.237</formula>
    </cfRule>
  </conditionalFormatting>
  <conditionalFormatting sqref="Z91">
    <cfRule type="cellIs" priority="199" stopIfTrue="1" operator="lessThan">
      <formula>10.237</formula>
    </cfRule>
  </conditionalFormatting>
  <conditionalFormatting sqref="L96:L97">
    <cfRule type="cellIs" dxfId="394" priority="196" operator="lessThan">
      <formula>0</formula>
    </cfRule>
    <cfRule type="cellIs" dxfId="393" priority="197" operator="lessThan">
      <formula>0</formula>
    </cfRule>
  </conditionalFormatting>
  <conditionalFormatting sqref="L96:L97">
    <cfRule type="cellIs" priority="198" stopIfTrue="1" operator="lessThan">
      <formula>10.237</formula>
    </cfRule>
  </conditionalFormatting>
  <conditionalFormatting sqref="Z96:Z97">
    <cfRule type="cellIs" priority="195" stopIfTrue="1" operator="lessThan">
      <formula>10.237</formula>
    </cfRule>
  </conditionalFormatting>
  <conditionalFormatting sqref="L102:L103">
    <cfRule type="cellIs" dxfId="392" priority="189" operator="lessThan">
      <formula>0</formula>
    </cfRule>
    <cfRule type="cellIs" dxfId="391" priority="190" operator="lessThan">
      <formula>0</formula>
    </cfRule>
  </conditionalFormatting>
  <conditionalFormatting sqref="L102:L103">
    <cfRule type="cellIs" priority="191" stopIfTrue="1" operator="lessThan">
      <formula>10.237</formula>
    </cfRule>
  </conditionalFormatting>
  <conditionalFormatting sqref="L108:L109">
    <cfRule type="cellIs" dxfId="390" priority="186" operator="lessThan">
      <formula>0</formula>
    </cfRule>
    <cfRule type="cellIs" dxfId="389" priority="187" operator="lessThan">
      <formula>0</formula>
    </cfRule>
  </conditionalFormatting>
  <conditionalFormatting sqref="L108:L109">
    <cfRule type="cellIs" priority="188" stopIfTrue="1" operator="lessThan">
      <formula>10.237</formula>
    </cfRule>
  </conditionalFormatting>
  <conditionalFormatting sqref="L114:L115">
    <cfRule type="cellIs" dxfId="388" priority="183" operator="lessThan">
      <formula>0</formula>
    </cfRule>
    <cfRule type="cellIs" dxfId="387" priority="184" operator="lessThan">
      <formula>0</formula>
    </cfRule>
  </conditionalFormatting>
  <conditionalFormatting sqref="L114:L115">
    <cfRule type="cellIs" priority="185" stopIfTrue="1" operator="lessThan">
      <formula>10.237</formula>
    </cfRule>
  </conditionalFormatting>
  <conditionalFormatting sqref="L126:L127">
    <cfRule type="cellIs" dxfId="386" priority="179" operator="lessThan">
      <formula>0</formula>
    </cfRule>
    <cfRule type="cellIs" dxfId="385" priority="180" operator="lessThan">
      <formula>0</formula>
    </cfRule>
  </conditionalFormatting>
  <conditionalFormatting sqref="L126:L127">
    <cfRule type="cellIs" priority="181" stopIfTrue="1" operator="lessThan">
      <formula>10.237</formula>
    </cfRule>
  </conditionalFormatting>
  <conditionalFormatting sqref="L138:L139">
    <cfRule type="cellIs" dxfId="384" priority="176" operator="lessThan">
      <formula>0</formula>
    </cfRule>
    <cfRule type="cellIs" dxfId="383" priority="177" operator="lessThan">
      <formula>0</formula>
    </cfRule>
  </conditionalFormatting>
  <conditionalFormatting sqref="L138:L139">
    <cfRule type="cellIs" priority="178" stopIfTrue="1" operator="lessThan">
      <formula>10.237</formula>
    </cfRule>
  </conditionalFormatting>
  <conditionalFormatting sqref="Z138:Z139">
    <cfRule type="cellIs" priority="175" stopIfTrue="1" operator="lessThan">
      <formula>10.237</formula>
    </cfRule>
  </conditionalFormatting>
  <conditionalFormatting sqref="L144:L145">
    <cfRule type="cellIs" dxfId="382" priority="172" operator="lessThan">
      <formula>0</formula>
    </cfRule>
    <cfRule type="cellIs" dxfId="381" priority="173" operator="lessThan">
      <formula>0</formula>
    </cfRule>
  </conditionalFormatting>
  <conditionalFormatting sqref="L144:L145">
    <cfRule type="cellIs" priority="174" stopIfTrue="1" operator="lessThan">
      <formula>10.237</formula>
    </cfRule>
  </conditionalFormatting>
  <conditionalFormatting sqref="Z144">
    <cfRule type="cellIs" priority="171" stopIfTrue="1" operator="lessThan">
      <formula>10.237</formula>
    </cfRule>
  </conditionalFormatting>
  <conditionalFormatting sqref="L150:L151">
    <cfRule type="cellIs" dxfId="380" priority="168" operator="lessThan">
      <formula>0</formula>
    </cfRule>
    <cfRule type="cellIs" dxfId="379" priority="169" operator="lessThan">
      <formula>0</formula>
    </cfRule>
  </conditionalFormatting>
  <conditionalFormatting sqref="L150:L151">
    <cfRule type="cellIs" priority="170" stopIfTrue="1" operator="lessThan">
      <formula>10.237</formula>
    </cfRule>
  </conditionalFormatting>
  <conditionalFormatting sqref="Z150:Z151">
    <cfRule type="cellIs" priority="167" stopIfTrue="1" operator="lessThan">
      <formula>10.237</formula>
    </cfRule>
  </conditionalFormatting>
  <conditionalFormatting sqref="L156:L157">
    <cfRule type="cellIs" dxfId="378" priority="164" operator="lessThan">
      <formula>0</formula>
    </cfRule>
    <cfRule type="cellIs" dxfId="377" priority="165" operator="lessThan">
      <formula>0</formula>
    </cfRule>
  </conditionalFormatting>
  <conditionalFormatting sqref="L156:L157">
    <cfRule type="cellIs" priority="166" stopIfTrue="1" operator="lessThan">
      <formula>10.237</formula>
    </cfRule>
  </conditionalFormatting>
  <conditionalFormatting sqref="Z157">
    <cfRule type="cellIs" priority="163" stopIfTrue="1" operator="lessThan">
      <formula>10.237</formula>
    </cfRule>
  </conditionalFormatting>
  <conditionalFormatting sqref="L162:L163">
    <cfRule type="cellIs" dxfId="376" priority="160" operator="lessThan">
      <formula>0</formula>
    </cfRule>
    <cfRule type="cellIs" dxfId="375" priority="161" operator="lessThan">
      <formula>0</formula>
    </cfRule>
  </conditionalFormatting>
  <conditionalFormatting sqref="L162:L163">
    <cfRule type="cellIs" priority="162" stopIfTrue="1" operator="lessThan">
      <formula>10.237</formula>
    </cfRule>
  </conditionalFormatting>
  <conditionalFormatting sqref="L168:L169">
    <cfRule type="cellIs" dxfId="374" priority="157" operator="lessThan">
      <formula>0</formula>
    </cfRule>
    <cfRule type="cellIs" dxfId="373" priority="158" operator="lessThan">
      <formula>0</formula>
    </cfRule>
  </conditionalFormatting>
  <conditionalFormatting sqref="L168:L169">
    <cfRule type="cellIs" priority="159" stopIfTrue="1" operator="lessThan">
      <formula>10.237</formula>
    </cfRule>
  </conditionalFormatting>
  <conditionalFormatting sqref="L174:L175">
    <cfRule type="cellIs" dxfId="372" priority="151" operator="lessThan">
      <formula>0</formula>
    </cfRule>
    <cfRule type="cellIs" dxfId="371" priority="152" operator="lessThan">
      <formula>0</formula>
    </cfRule>
  </conditionalFormatting>
  <conditionalFormatting sqref="L174:L175">
    <cfRule type="cellIs" priority="153" stopIfTrue="1" operator="lessThan">
      <formula>10.237</formula>
    </cfRule>
  </conditionalFormatting>
  <conditionalFormatting sqref="L180:L181">
    <cfRule type="cellIs" dxfId="370" priority="148" operator="lessThan">
      <formula>0</formula>
    </cfRule>
    <cfRule type="cellIs" dxfId="369" priority="149" operator="lessThan">
      <formula>0</formula>
    </cfRule>
  </conditionalFormatting>
  <conditionalFormatting sqref="L180:L181">
    <cfRule type="cellIs" priority="150" stopIfTrue="1" operator="lessThan">
      <formula>10.237</formula>
    </cfRule>
  </conditionalFormatting>
  <conditionalFormatting sqref="Z180:Z181">
    <cfRule type="cellIs" priority="147" stopIfTrue="1" operator="lessThan">
      <formula>10.237</formula>
    </cfRule>
  </conditionalFormatting>
  <conditionalFormatting sqref="L186:L187">
    <cfRule type="cellIs" dxfId="368" priority="141" operator="lessThan">
      <formula>0</formula>
    </cfRule>
    <cfRule type="cellIs" dxfId="367" priority="142" operator="lessThan">
      <formula>0</formula>
    </cfRule>
  </conditionalFormatting>
  <conditionalFormatting sqref="L186:L187">
    <cfRule type="cellIs" priority="143" stopIfTrue="1" operator="lessThan">
      <formula>10.237</formula>
    </cfRule>
  </conditionalFormatting>
  <conditionalFormatting sqref="Z186:Z187">
    <cfRule type="cellIs" priority="140" stopIfTrue="1" operator="lessThan">
      <formula>10.237</formula>
    </cfRule>
  </conditionalFormatting>
  <conditionalFormatting sqref="L192:L193">
    <cfRule type="cellIs" dxfId="366" priority="137" operator="lessThan">
      <formula>0</formula>
    </cfRule>
    <cfRule type="cellIs" dxfId="365" priority="138" operator="lessThan">
      <formula>0</formula>
    </cfRule>
  </conditionalFormatting>
  <conditionalFormatting sqref="L192:L193">
    <cfRule type="cellIs" priority="139" stopIfTrue="1" operator="lessThan">
      <formula>10.237</formula>
    </cfRule>
  </conditionalFormatting>
  <conditionalFormatting sqref="Z192">
    <cfRule type="cellIs" priority="136" stopIfTrue="1" operator="lessThan">
      <formula>10.237</formula>
    </cfRule>
  </conditionalFormatting>
  <conditionalFormatting sqref="L198:L199">
    <cfRule type="cellIs" dxfId="364" priority="133" operator="lessThan">
      <formula>0</formula>
    </cfRule>
    <cfRule type="cellIs" dxfId="363" priority="134" operator="lessThan">
      <formula>0</formula>
    </cfRule>
  </conditionalFormatting>
  <conditionalFormatting sqref="L198:L199">
    <cfRule type="cellIs" priority="135" stopIfTrue="1" operator="lessThan">
      <formula>10.237</formula>
    </cfRule>
  </conditionalFormatting>
  <conditionalFormatting sqref="L204:L205">
    <cfRule type="cellIs" dxfId="362" priority="130" operator="lessThan">
      <formula>0</formula>
    </cfRule>
    <cfRule type="cellIs" dxfId="361" priority="131" operator="lessThan">
      <formula>0</formula>
    </cfRule>
  </conditionalFormatting>
  <conditionalFormatting sqref="L204:L205">
    <cfRule type="cellIs" priority="132" stopIfTrue="1" operator="lessThan">
      <formula>10.237</formula>
    </cfRule>
  </conditionalFormatting>
  <conditionalFormatting sqref="L210:L211">
    <cfRule type="cellIs" dxfId="360" priority="127" operator="lessThan">
      <formula>0</formula>
    </cfRule>
    <cfRule type="cellIs" dxfId="359" priority="128" operator="lessThan">
      <formula>0</formula>
    </cfRule>
  </conditionalFormatting>
  <conditionalFormatting sqref="L210:L211">
    <cfRule type="cellIs" priority="129" stopIfTrue="1" operator="lessThan">
      <formula>10.237</formula>
    </cfRule>
  </conditionalFormatting>
  <conditionalFormatting sqref="L216:L217">
    <cfRule type="cellIs" dxfId="358" priority="124" operator="lessThan">
      <formula>0</formula>
    </cfRule>
    <cfRule type="cellIs" dxfId="357" priority="125" operator="lessThan">
      <formula>0</formula>
    </cfRule>
  </conditionalFormatting>
  <conditionalFormatting sqref="L216:L217">
    <cfRule type="cellIs" priority="126" stopIfTrue="1" operator="lessThan">
      <formula>10.237</formula>
    </cfRule>
  </conditionalFormatting>
  <conditionalFormatting sqref="Z216:Z217">
    <cfRule type="cellIs" priority="123" stopIfTrue="1" operator="lessThan">
      <formula>10.237</formula>
    </cfRule>
  </conditionalFormatting>
  <conditionalFormatting sqref="L222:L223">
    <cfRule type="cellIs" dxfId="356" priority="120" operator="lessThan">
      <formula>0</formula>
    </cfRule>
    <cfRule type="cellIs" dxfId="355" priority="121" operator="lessThan">
      <formula>0</formula>
    </cfRule>
  </conditionalFormatting>
  <conditionalFormatting sqref="L222:L223">
    <cfRule type="cellIs" priority="122" stopIfTrue="1" operator="lessThan">
      <formula>10.237</formula>
    </cfRule>
  </conditionalFormatting>
  <conditionalFormatting sqref="Z223">
    <cfRule type="cellIs" priority="119" stopIfTrue="1" operator="lessThan">
      <formula>10.237</formula>
    </cfRule>
  </conditionalFormatting>
  <conditionalFormatting sqref="L228:L229">
    <cfRule type="cellIs" dxfId="354" priority="116" operator="lessThan">
      <formula>0</formula>
    </cfRule>
    <cfRule type="cellIs" dxfId="353" priority="117" operator="lessThan">
      <formula>0</formula>
    </cfRule>
  </conditionalFormatting>
  <conditionalFormatting sqref="L228:L229">
    <cfRule type="cellIs" priority="118" stopIfTrue="1" operator="lessThan">
      <formula>10.237</formula>
    </cfRule>
  </conditionalFormatting>
  <conditionalFormatting sqref="Z229">
    <cfRule type="cellIs" priority="115" stopIfTrue="1" operator="lessThan">
      <formula>10.237</formula>
    </cfRule>
  </conditionalFormatting>
  <conditionalFormatting sqref="L234:L235">
    <cfRule type="cellIs" dxfId="352" priority="112" operator="lessThan">
      <formula>0</formula>
    </cfRule>
    <cfRule type="cellIs" dxfId="351" priority="113" operator="lessThan">
      <formula>0</formula>
    </cfRule>
  </conditionalFormatting>
  <conditionalFormatting sqref="L234:L235">
    <cfRule type="cellIs" priority="114" stopIfTrue="1" operator="lessThan">
      <formula>10.237</formula>
    </cfRule>
  </conditionalFormatting>
  <conditionalFormatting sqref="Z222">
    <cfRule type="cellIs" priority="110" stopIfTrue="1" operator="lessThan">
      <formula>10.237</formula>
    </cfRule>
  </conditionalFormatting>
  <conditionalFormatting sqref="Z235">
    <cfRule type="cellIs" priority="109" stopIfTrue="1" operator="lessThan">
      <formula>10.237</formula>
    </cfRule>
  </conditionalFormatting>
  <conditionalFormatting sqref="L240:L241">
    <cfRule type="cellIs" dxfId="350" priority="106" operator="lessThan">
      <formula>0</formula>
    </cfRule>
    <cfRule type="cellIs" dxfId="349" priority="107" operator="lessThan">
      <formula>0</formula>
    </cfRule>
  </conditionalFormatting>
  <conditionalFormatting sqref="L240:L241">
    <cfRule type="cellIs" priority="108" stopIfTrue="1" operator="lessThan">
      <formula>10.237</formula>
    </cfRule>
  </conditionalFormatting>
  <conditionalFormatting sqref="Z240">
    <cfRule type="cellIs" priority="105" stopIfTrue="1" operator="lessThan">
      <formula>10.237</formula>
    </cfRule>
  </conditionalFormatting>
  <conditionalFormatting sqref="Z241">
    <cfRule type="cellIs" priority="104" stopIfTrue="1" operator="lessThan">
      <formula>10.237</formula>
    </cfRule>
  </conditionalFormatting>
  <conditionalFormatting sqref="L246:L247">
    <cfRule type="cellIs" dxfId="348" priority="101" operator="lessThan">
      <formula>0</formula>
    </cfRule>
    <cfRule type="cellIs" dxfId="347" priority="102" operator="lessThan">
      <formula>0</formula>
    </cfRule>
  </conditionalFormatting>
  <conditionalFormatting sqref="L246:L247">
    <cfRule type="cellIs" priority="103" stopIfTrue="1" operator="lessThan">
      <formula>10.237</formula>
    </cfRule>
  </conditionalFormatting>
  <conditionalFormatting sqref="Z246:Z247">
    <cfRule type="cellIs" priority="100" stopIfTrue="1" operator="lessThan">
      <formula>10.237</formula>
    </cfRule>
  </conditionalFormatting>
  <conditionalFormatting sqref="L252:L253">
    <cfRule type="cellIs" dxfId="346" priority="97" operator="lessThan">
      <formula>0</formula>
    </cfRule>
    <cfRule type="cellIs" dxfId="345" priority="98" operator="lessThan">
      <formula>0</formula>
    </cfRule>
  </conditionalFormatting>
  <conditionalFormatting sqref="L252:L253">
    <cfRule type="cellIs" priority="99" stopIfTrue="1" operator="lessThan">
      <formula>10.237</formula>
    </cfRule>
  </conditionalFormatting>
  <conditionalFormatting sqref="L258:L259">
    <cfRule type="cellIs" dxfId="344" priority="94" operator="lessThan">
      <formula>0</formula>
    </cfRule>
    <cfRule type="cellIs" dxfId="343" priority="95" operator="lessThan">
      <formula>0</formula>
    </cfRule>
  </conditionalFormatting>
  <conditionalFormatting sqref="L258:L259">
    <cfRule type="cellIs" priority="96" stopIfTrue="1" operator="lessThan">
      <formula>10.237</formula>
    </cfRule>
  </conditionalFormatting>
  <conditionalFormatting sqref="L264:L265">
    <cfRule type="cellIs" dxfId="342" priority="91" operator="lessThan">
      <formula>0</formula>
    </cfRule>
    <cfRule type="cellIs" dxfId="341" priority="92" operator="lessThan">
      <formula>0</formula>
    </cfRule>
  </conditionalFormatting>
  <conditionalFormatting sqref="L264:L265">
    <cfRule type="cellIs" priority="93" stopIfTrue="1" operator="lessThan">
      <formula>10.237</formula>
    </cfRule>
  </conditionalFormatting>
  <conditionalFormatting sqref="Z264:Z265">
    <cfRule type="cellIs" priority="90" stopIfTrue="1" operator="lessThan">
      <formula>10.237</formula>
    </cfRule>
  </conditionalFormatting>
  <conditionalFormatting sqref="L270:L271">
    <cfRule type="cellIs" dxfId="340" priority="87" operator="lessThan">
      <formula>0</formula>
    </cfRule>
    <cfRule type="cellIs" dxfId="339" priority="88" operator="lessThan">
      <formula>0</formula>
    </cfRule>
  </conditionalFormatting>
  <conditionalFormatting sqref="L270:L271">
    <cfRule type="cellIs" priority="89" stopIfTrue="1" operator="lessThan">
      <formula>10.237</formula>
    </cfRule>
  </conditionalFormatting>
  <conditionalFormatting sqref="L276:L277">
    <cfRule type="cellIs" dxfId="338" priority="84" operator="lessThan">
      <formula>0</formula>
    </cfRule>
    <cfRule type="cellIs" dxfId="337" priority="85" operator="lessThan">
      <formula>0</formula>
    </cfRule>
  </conditionalFormatting>
  <conditionalFormatting sqref="L276:L277">
    <cfRule type="cellIs" priority="86" stopIfTrue="1" operator="lessThan">
      <formula>10.237</formula>
    </cfRule>
  </conditionalFormatting>
  <conditionalFormatting sqref="Z277">
    <cfRule type="cellIs" priority="83" stopIfTrue="1" operator="lessThan">
      <formula>10.237</formula>
    </cfRule>
  </conditionalFormatting>
  <conditionalFormatting sqref="L282:L283">
    <cfRule type="cellIs" dxfId="336" priority="80" operator="lessThan">
      <formula>0</formula>
    </cfRule>
    <cfRule type="cellIs" dxfId="335" priority="81" operator="lessThan">
      <formula>0</formula>
    </cfRule>
  </conditionalFormatting>
  <conditionalFormatting sqref="L282:L283">
    <cfRule type="cellIs" priority="82" stopIfTrue="1" operator="lessThan">
      <formula>10.237</formula>
    </cfRule>
  </conditionalFormatting>
  <conditionalFormatting sqref="Z283">
    <cfRule type="cellIs" priority="79" stopIfTrue="1" operator="lessThan">
      <formula>10.237</formula>
    </cfRule>
  </conditionalFormatting>
  <conditionalFormatting sqref="L288:L289">
    <cfRule type="cellIs" dxfId="334" priority="76" operator="lessThan">
      <formula>0</formula>
    </cfRule>
    <cfRule type="cellIs" dxfId="333" priority="77" operator="lessThan">
      <formula>0</formula>
    </cfRule>
  </conditionalFormatting>
  <conditionalFormatting sqref="L288:L289">
    <cfRule type="cellIs" priority="78" stopIfTrue="1" operator="lessThan">
      <formula>10.237</formula>
    </cfRule>
  </conditionalFormatting>
  <conditionalFormatting sqref="Z289">
    <cfRule type="cellIs" priority="75" stopIfTrue="1" operator="lessThan">
      <formula>10.237</formula>
    </cfRule>
  </conditionalFormatting>
  <conditionalFormatting sqref="L294:L295">
    <cfRule type="cellIs" dxfId="332" priority="72" operator="lessThan">
      <formula>0</formula>
    </cfRule>
    <cfRule type="cellIs" dxfId="331" priority="73" operator="lessThan">
      <formula>0</formula>
    </cfRule>
  </conditionalFormatting>
  <conditionalFormatting sqref="L294:L295">
    <cfRule type="cellIs" priority="74" stopIfTrue="1" operator="lessThan">
      <formula>10.237</formula>
    </cfRule>
  </conditionalFormatting>
  <conditionalFormatting sqref="L300:L301">
    <cfRule type="cellIs" dxfId="330" priority="69" operator="lessThan">
      <formula>0</formula>
    </cfRule>
    <cfRule type="cellIs" dxfId="329" priority="70" operator="lessThan">
      <formula>0</formula>
    </cfRule>
  </conditionalFormatting>
  <conditionalFormatting sqref="L300:L301">
    <cfRule type="cellIs" priority="71" stopIfTrue="1" operator="lessThan">
      <formula>10.237</formula>
    </cfRule>
  </conditionalFormatting>
  <conditionalFormatting sqref="L306:L307">
    <cfRule type="cellIs" dxfId="328" priority="66" operator="lessThan">
      <formula>0</formula>
    </cfRule>
    <cfRule type="cellIs" dxfId="327" priority="67" operator="lessThan">
      <formula>0</formula>
    </cfRule>
  </conditionalFormatting>
  <conditionalFormatting sqref="L306:L307">
    <cfRule type="cellIs" priority="68" stopIfTrue="1" operator="lessThan">
      <formula>10.237</formula>
    </cfRule>
  </conditionalFormatting>
  <conditionalFormatting sqref="Z306">
    <cfRule type="cellIs" priority="65" stopIfTrue="1" operator="lessThan">
      <formula>10.237</formula>
    </cfRule>
  </conditionalFormatting>
  <conditionalFormatting sqref="L312:L313">
    <cfRule type="cellIs" dxfId="326" priority="62" operator="lessThan">
      <formula>0</formula>
    </cfRule>
    <cfRule type="cellIs" dxfId="325" priority="63" operator="lessThan">
      <formula>0</formula>
    </cfRule>
  </conditionalFormatting>
  <conditionalFormatting sqref="L312:L313">
    <cfRule type="cellIs" priority="64" stopIfTrue="1" operator="lessThan">
      <formula>10.237</formula>
    </cfRule>
  </conditionalFormatting>
  <conditionalFormatting sqref="Z312">
    <cfRule type="cellIs" priority="61" stopIfTrue="1" operator="lessThan">
      <formula>10.237</formula>
    </cfRule>
  </conditionalFormatting>
  <conditionalFormatting sqref="L318:L319">
    <cfRule type="cellIs" dxfId="324" priority="58" operator="lessThan">
      <formula>0</formula>
    </cfRule>
    <cfRule type="cellIs" dxfId="323" priority="59" operator="lessThan">
      <formula>0</formula>
    </cfRule>
  </conditionalFormatting>
  <conditionalFormatting sqref="L318:L319">
    <cfRule type="cellIs" priority="60" stopIfTrue="1" operator="lessThan">
      <formula>10.237</formula>
    </cfRule>
  </conditionalFormatting>
  <conditionalFormatting sqref="L324:L325">
    <cfRule type="cellIs" dxfId="322" priority="55" operator="lessThan">
      <formula>0</formula>
    </cfRule>
    <cfRule type="cellIs" dxfId="321" priority="56" operator="lessThan">
      <formula>0</formula>
    </cfRule>
  </conditionalFormatting>
  <conditionalFormatting sqref="L324:L325">
    <cfRule type="cellIs" priority="57" stopIfTrue="1" operator="lessThan">
      <formula>10.237</formula>
    </cfRule>
  </conditionalFormatting>
  <conditionalFormatting sqref="L330:L331">
    <cfRule type="cellIs" dxfId="320" priority="52" operator="lessThan">
      <formula>0</formula>
    </cfRule>
    <cfRule type="cellIs" dxfId="319" priority="53" operator="lessThan">
      <formula>0</formula>
    </cfRule>
  </conditionalFormatting>
  <conditionalFormatting sqref="L330:L331">
    <cfRule type="cellIs" priority="54" stopIfTrue="1" operator="lessThan">
      <formula>10.237</formula>
    </cfRule>
  </conditionalFormatting>
  <conditionalFormatting sqref="Z330">
    <cfRule type="cellIs" priority="51" stopIfTrue="1" operator="lessThan">
      <formula>10.237</formula>
    </cfRule>
  </conditionalFormatting>
  <conditionalFormatting sqref="L336:L337">
    <cfRule type="cellIs" dxfId="318" priority="48" operator="lessThan">
      <formula>0</formula>
    </cfRule>
    <cfRule type="cellIs" dxfId="317" priority="49" operator="lessThan">
      <formula>0</formula>
    </cfRule>
  </conditionalFormatting>
  <conditionalFormatting sqref="L336:L337">
    <cfRule type="cellIs" priority="50" stopIfTrue="1" operator="lessThan">
      <formula>10.237</formula>
    </cfRule>
  </conditionalFormatting>
  <conditionalFormatting sqref="Z336:Z337">
    <cfRule type="cellIs" priority="47" stopIfTrue="1" operator="lessThan">
      <formula>10.237</formula>
    </cfRule>
  </conditionalFormatting>
  <conditionalFormatting sqref="L342">
    <cfRule type="cellIs" dxfId="316" priority="44" operator="lessThan">
      <formula>0</formula>
    </cfRule>
    <cfRule type="cellIs" dxfId="315" priority="45" operator="lessThan">
      <formula>0</formula>
    </cfRule>
  </conditionalFormatting>
  <conditionalFormatting sqref="L342">
    <cfRule type="cellIs" priority="46" stopIfTrue="1" operator="lessThan">
      <formula>10.237</formula>
    </cfRule>
  </conditionalFormatting>
  <conditionalFormatting sqref="L343">
    <cfRule type="cellIs" dxfId="314" priority="41" operator="lessThan">
      <formula>0</formula>
    </cfRule>
    <cfRule type="cellIs" dxfId="313" priority="42" operator="lessThan">
      <formula>0</formula>
    </cfRule>
  </conditionalFormatting>
  <conditionalFormatting sqref="L343">
    <cfRule type="cellIs" priority="43" stopIfTrue="1" operator="lessThan">
      <formula>10.237</formula>
    </cfRule>
  </conditionalFormatting>
  <conditionalFormatting sqref="Z343">
    <cfRule type="cellIs" priority="40" stopIfTrue="1" operator="lessThan">
      <formula>10.237</formula>
    </cfRule>
  </conditionalFormatting>
  <conditionalFormatting sqref="Z342">
    <cfRule type="cellIs" priority="39" stopIfTrue="1" operator="lessThan">
      <formula>10.237</formula>
    </cfRule>
  </conditionalFormatting>
  <conditionalFormatting sqref="AA306">
    <cfRule type="cellIs" priority="37" stopIfTrue="1" operator="lessThan">
      <formula>10.237</formula>
    </cfRule>
  </conditionalFormatting>
  <conditionalFormatting sqref="AA307">
    <cfRule type="cellIs" priority="38" stopIfTrue="1" operator="lessThan">
      <formula>10.237</formula>
    </cfRule>
  </conditionalFormatting>
  <conditionalFormatting sqref="AK307">
    <cfRule type="cellIs" priority="36" stopIfTrue="1" operator="lessThan">
      <formula>10.237</formula>
    </cfRule>
  </conditionalFormatting>
  <conditionalFormatting sqref="AK307">
    <cfRule type="cellIs" dxfId="312" priority="33" operator="lessThan">
      <formula>0</formula>
    </cfRule>
    <cfRule type="cellIs" dxfId="311" priority="35" operator="lessThan">
      <formula>0</formula>
    </cfRule>
  </conditionalFormatting>
  <conditionalFormatting sqref="AK307">
    <cfRule type="cellIs" priority="34" stopIfTrue="1" operator="lessThan">
      <formula>10.237</formula>
    </cfRule>
  </conditionalFormatting>
  <conditionalFormatting sqref="AK306">
    <cfRule type="cellIs" priority="32" stopIfTrue="1" operator="lessThan">
      <formula>10.237</formula>
    </cfRule>
  </conditionalFormatting>
  <conditionalFormatting sqref="AK306">
    <cfRule type="cellIs" dxfId="310" priority="30" operator="lessThan">
      <formula>0</formula>
    </cfRule>
    <cfRule type="cellIs" dxfId="309" priority="31" operator="lessThan">
      <formula>0</formula>
    </cfRule>
  </conditionalFormatting>
  <conditionalFormatting sqref="Y125:AA125">
    <cfRule type="cellIs" priority="29" stopIfTrue="1" operator="lessThan">
      <formula>10.237</formula>
    </cfRule>
  </conditionalFormatting>
  <conditionalFormatting sqref="AH122:AH123 AC122:AC124 Y122:Z124">
    <cfRule type="cellIs" priority="13" stopIfTrue="1" operator="lessThan">
      <formula>10.237</formula>
    </cfRule>
  </conditionalFormatting>
  <conditionalFormatting sqref="Z120 Y121:AA121">
    <cfRule type="cellIs" priority="28" stopIfTrue="1" operator="lessThan">
      <formula>10.237</formula>
    </cfRule>
  </conditionalFormatting>
  <conditionalFormatting sqref="AK121">
    <cfRule type="cellIs" priority="27" stopIfTrue="1" operator="lessThan">
      <formula>10.237</formula>
    </cfRule>
  </conditionalFormatting>
  <conditionalFormatting sqref="AL121">
    <cfRule type="cellIs" priority="26" stopIfTrue="1" operator="lessThan">
      <formula>10.237</formula>
    </cfRule>
  </conditionalFormatting>
  <conditionalFormatting sqref="AK121:AL121">
    <cfRule type="cellIs" dxfId="308" priority="21" operator="lessThan">
      <formula>0</formula>
    </cfRule>
    <cfRule type="cellIs" dxfId="307" priority="25" operator="lessThan">
      <formula>0</formula>
    </cfRule>
  </conditionalFormatting>
  <conditionalFormatting sqref="AD121">
    <cfRule type="cellIs" priority="24" stopIfTrue="1" operator="lessThan">
      <formula>10.237</formula>
    </cfRule>
  </conditionalFormatting>
  <conditionalFormatting sqref="AK121">
    <cfRule type="cellIs" priority="23" stopIfTrue="1" operator="lessThan">
      <formula>10.237</formula>
    </cfRule>
  </conditionalFormatting>
  <conditionalFormatting sqref="AL121">
    <cfRule type="cellIs" priority="22" stopIfTrue="1" operator="lessThan">
      <formula>10.237</formula>
    </cfRule>
  </conditionalFormatting>
  <conditionalFormatting sqref="AA120">
    <cfRule type="cellIs" priority="19" stopIfTrue="1" operator="lessThan">
      <formula>10.237</formula>
    </cfRule>
  </conditionalFormatting>
  <conditionalFormatting sqref="AD120">
    <cfRule type="cellIs" priority="18" stopIfTrue="1" operator="lessThan">
      <formula>10.237</formula>
    </cfRule>
  </conditionalFormatting>
  <conditionalFormatting sqref="Y120">
    <cfRule type="cellIs" priority="20" stopIfTrue="1" operator="lessThan">
      <formula>10.237</formula>
    </cfRule>
  </conditionalFormatting>
  <conditionalFormatting sqref="AK120">
    <cfRule type="cellIs" priority="17" stopIfTrue="1" operator="lessThan">
      <formula>10.237</formula>
    </cfRule>
  </conditionalFormatting>
  <conditionalFormatting sqref="AL120">
    <cfRule type="cellIs" priority="16" stopIfTrue="1" operator="lessThan">
      <formula>10.237</formula>
    </cfRule>
  </conditionalFormatting>
  <conditionalFormatting sqref="AK120:AL120">
    <cfRule type="cellIs" dxfId="306" priority="14" operator="lessThan">
      <formula>0</formula>
    </cfRule>
    <cfRule type="cellIs" dxfId="305" priority="15" operator="lessThan">
      <formula>0</formula>
    </cfRule>
  </conditionalFormatting>
  <conditionalFormatting sqref="AK124">
    <cfRule type="cellIs" priority="12" stopIfTrue="1" operator="lessThan">
      <formula>10.237</formula>
    </cfRule>
  </conditionalFormatting>
  <conditionalFormatting sqref="AL124">
    <cfRule type="cellIs" priority="11" stopIfTrue="1" operator="lessThan">
      <formula>10.237</formula>
    </cfRule>
  </conditionalFormatting>
  <conditionalFormatting sqref="AK124:AL124">
    <cfRule type="cellIs" dxfId="304" priority="9" operator="lessThan">
      <formula>0</formula>
    </cfRule>
    <cfRule type="cellIs" dxfId="303" priority="10" operator="lessThan">
      <formula>0</formula>
    </cfRule>
  </conditionalFormatting>
  <conditionalFormatting sqref="AK120:AL125">
    <cfRule type="cellIs" dxfId="302" priority="8" operator="lessThan">
      <formula>0</formula>
    </cfRule>
  </conditionalFormatting>
  <conditionalFormatting sqref="L120:L121">
    <cfRule type="cellIs" dxfId="299" priority="1" operator="lessThan">
      <formula>0</formula>
    </cfRule>
    <cfRule type="cellIs" dxfId="298" priority="2" operator="lessThan">
      <formula>0</formula>
    </cfRule>
  </conditionalFormatting>
  <conditionalFormatting sqref="L120:L121">
    <cfRule type="cellIs" priority="3" stopIfTrue="1" operator="lessThan">
      <formula>10.237</formula>
    </cfRule>
  </conditionalFormatting>
  <hyperlinks>
    <hyperlink ref="H412" r:id="rId1" display="http://mlb.mlb.com/team/player.jsp?player_id=453562"/>
    <hyperlink ref="H424" r:id="rId2" display="http://mlb.mlb.com/team/player.jsp?player_id=430574"/>
    <hyperlink ref="H436" r:id="rId3" display="http://mlb.mlb.com/team/player.jsp?player_id=452666"/>
    <hyperlink ref="H448" r:id="rId4" display="http://mlb.mlb.com/team/player.jsp?player_id=502264"/>
    <hyperlink ref="H454" r:id="rId5" display="http://mlb.mlb.com/team/player.jsp?player_id=448165"/>
    <hyperlink ref="H484" r:id="rId6" display="http://mlb.mlb.com/team/player.jsp?player_id=456068"/>
    <hyperlink ref="H502" r:id="rId7" display="http://mlb.mlb.com/team/player.jsp?player_id=150188"/>
    <hyperlink ref="H514" r:id="rId8" display="http://mlb.mlb.com/team/player.jsp?player_id=429717"/>
    <hyperlink ref="H520" r:id="rId9" display="http://mlb.mlb.com/team/player.jsp?player_id=488674"/>
    <hyperlink ref="H613" r:id="rId10" display="http://mlb.mlb.com/team/player.jsp?player_id=501697"/>
    <hyperlink ref="H656" r:id="rId11" display="http://mlb.mlb.com/team/player.jsp?player_id=467008"/>
    <hyperlink ref="H668" r:id="rId12" display="http://mlb.mlb.com/team/player.jsp?player_id=502327"/>
    <hyperlink ref="H674" r:id="rId13" display="http://mlb.mlb.com/team/player.jsp?player_id=456043"/>
    <hyperlink ref="H698" r:id="rId14" display="http://mlb.mlb.com/team/player.jsp?player_id=519293"/>
    <hyperlink ref="H533" r:id="rId15" display="http://mlb.mlb.com/team/player.jsp?player_id=460283"/>
    <hyperlink ref="H472" r:id="rId16" display="http://mlb.mlb.com/team/player.jsp?player_id=491703"/>
    <hyperlink ref="H466" r:id="rId17" display="http://mlb.mlb.com/team/player.jsp?player_id=150188"/>
    <hyperlink ref="H601" r:id="rId18" display="http://mlb.mlb.com/team/player.jsp?player_id=467726"/>
    <hyperlink ref="H595" r:id="rId19" display="http://mlb.mlb.com/team/player.jsp?player_id=501697"/>
    <hyperlink ref="H607" r:id="rId20" display="http://mlb.mlb.com/team/player.jsp?player_id=467726"/>
    <hyperlink ref="H619" r:id="rId21" display="http://mlb.mlb.com/team/player.jsp?player_id=501697"/>
    <hyperlink ref="H539" r:id="rId22" display="http://mlb.mlb.com/team/player.jsp?player_id=460283"/>
  </hyperlinks>
  <pageMargins left="0.75" right="0.75" top="1" bottom="1" header="0.5" footer="0.5"/>
  <pageSetup orientation="portrait" horizontalDpi="300" verticalDpi="300" r:id="rId23"/>
  <headerFooter alignWithMargins="0"/>
  <drawing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900"/>
  <sheetViews>
    <sheetView topLeftCell="A13" workbookViewId="0">
      <selection activeCell="F1" sqref="F1:F1048576"/>
    </sheetView>
  </sheetViews>
  <sheetFormatPr defaultRowHeight="12.75" x14ac:dyDescent="0.2"/>
  <cols>
    <col min="1" max="1" width="10.42578125" style="230" customWidth="1"/>
    <col min="2" max="2" width="11.140625" style="231" customWidth="1"/>
    <col min="3" max="3" width="10.42578125" style="230" customWidth="1"/>
    <col min="4" max="4" width="2" style="232" customWidth="1"/>
    <col min="5" max="5" width="10.42578125" style="230" customWidth="1"/>
    <col min="6" max="6" width="11.140625" style="231" customWidth="1"/>
    <col min="7" max="7" width="10.42578125" style="230" customWidth="1"/>
    <col min="8" max="8" width="2" style="230" customWidth="1"/>
    <col min="9" max="9" width="10.42578125" style="230" customWidth="1"/>
    <col min="10" max="10" width="12.140625" style="230" customWidth="1"/>
    <col min="11" max="11" width="2" style="232" customWidth="1"/>
    <col min="14" max="14" width="2" style="232" customWidth="1"/>
  </cols>
  <sheetData>
    <row r="1" spans="1:16" x14ac:dyDescent="0.2">
      <c r="A1" s="251" t="s">
        <v>79</v>
      </c>
      <c r="B1" s="252"/>
      <c r="C1" s="251"/>
      <c r="D1" s="253"/>
      <c r="E1" s="251" t="s">
        <v>80</v>
      </c>
      <c r="F1" s="252"/>
      <c r="G1" s="251"/>
      <c r="H1" s="251"/>
      <c r="I1" s="251" t="s">
        <v>1508</v>
      </c>
      <c r="J1" s="251"/>
      <c r="K1" s="254"/>
      <c r="L1" s="255" t="s">
        <v>729</v>
      </c>
      <c r="M1" s="256"/>
      <c r="N1" s="254"/>
      <c r="O1" s="255" t="s">
        <v>1509</v>
      </c>
      <c r="P1" s="256"/>
    </row>
    <row r="2" spans="1:16" s="146" customFormat="1" x14ac:dyDescent="0.2">
      <c r="A2" s="248" t="s">
        <v>3</v>
      </c>
      <c r="B2" s="234" t="s">
        <v>4</v>
      </c>
      <c r="C2" s="248"/>
      <c r="D2" s="249"/>
      <c r="E2" s="248" t="s">
        <v>6</v>
      </c>
      <c r="F2" s="234" t="s">
        <v>7</v>
      </c>
      <c r="G2" s="248"/>
      <c r="H2" s="248"/>
      <c r="I2" s="248" t="s">
        <v>1281</v>
      </c>
      <c r="J2" s="248" t="s">
        <v>1282</v>
      </c>
      <c r="K2" s="235"/>
      <c r="L2" s="250"/>
      <c r="M2" s="220"/>
      <c r="N2" s="235"/>
      <c r="O2" s="250"/>
      <c r="P2" s="220"/>
    </row>
    <row r="3" spans="1:16" x14ac:dyDescent="0.2">
      <c r="A3" s="236" t="s">
        <v>1285</v>
      </c>
      <c r="B3" s="237" t="s">
        <v>1286</v>
      </c>
      <c r="C3" s="238" t="s">
        <v>1287</v>
      </c>
      <c r="D3" s="239" t="s">
        <v>1288</v>
      </c>
      <c r="E3" s="245" t="s">
        <v>1289</v>
      </c>
      <c r="F3" s="237" t="s">
        <v>1290</v>
      </c>
      <c r="G3" s="245" t="s">
        <v>1291</v>
      </c>
      <c r="H3" s="245" t="s">
        <v>1292</v>
      </c>
      <c r="I3" s="245" t="s">
        <v>1293</v>
      </c>
      <c r="J3" s="245" t="s">
        <v>1294</v>
      </c>
      <c r="K3" s="246" t="s">
        <v>1295</v>
      </c>
      <c r="L3" s="247" t="s">
        <v>1506</v>
      </c>
      <c r="M3" s="247" t="s">
        <v>1507</v>
      </c>
      <c r="N3" s="246" t="s">
        <v>1295</v>
      </c>
      <c r="O3" s="247" t="s">
        <v>1506</v>
      </c>
      <c r="P3" s="247" t="s">
        <v>1507</v>
      </c>
    </row>
    <row r="4" spans="1:16" x14ac:dyDescent="0.2">
      <c r="A4" s="232">
        <v>1</v>
      </c>
      <c r="B4" s="233">
        <f t="shared" ref="B4:B10" si="0">A4*(-0.08)</f>
        <v>-0.08</v>
      </c>
      <c r="C4" s="232"/>
      <c r="E4" s="230">
        <v>1</v>
      </c>
      <c r="F4" s="231">
        <f t="shared" ref="F4:F10" si="1">E4*(-0.07)</f>
        <v>-7.0000000000000007E-2</v>
      </c>
      <c r="I4" s="230">
        <v>1</v>
      </c>
      <c r="J4" s="230">
        <v>11</v>
      </c>
      <c r="K4" s="233"/>
      <c r="L4" s="228">
        <v>66</v>
      </c>
      <c r="M4" s="218">
        <v>36</v>
      </c>
      <c r="N4" s="233"/>
      <c r="O4" s="228">
        <v>0</v>
      </c>
      <c r="P4" s="218">
        <v>0</v>
      </c>
    </row>
    <row r="5" spans="1:16" x14ac:dyDescent="0.2">
      <c r="A5" s="230">
        <v>2</v>
      </c>
      <c r="B5" s="231">
        <f t="shared" si="0"/>
        <v>-0.16</v>
      </c>
      <c r="E5" s="230">
        <v>2</v>
      </c>
      <c r="F5" s="231">
        <f t="shared" si="1"/>
        <v>-0.14000000000000001</v>
      </c>
      <c r="I5" s="230">
        <v>2</v>
      </c>
      <c r="J5" s="230">
        <v>12</v>
      </c>
      <c r="K5" s="233"/>
      <c r="L5" s="228">
        <v>65</v>
      </c>
      <c r="M5" s="218">
        <v>35</v>
      </c>
      <c r="N5" s="233"/>
      <c r="O5" s="228">
        <v>0.1</v>
      </c>
      <c r="P5" s="218">
        <v>0.33</v>
      </c>
    </row>
    <row r="6" spans="1:16" x14ac:dyDescent="0.2">
      <c r="A6" s="232">
        <v>3</v>
      </c>
      <c r="B6" s="233">
        <f t="shared" si="0"/>
        <v>-0.24</v>
      </c>
      <c r="C6" s="232"/>
      <c r="E6" s="230">
        <v>3</v>
      </c>
      <c r="F6" s="231">
        <f t="shared" si="1"/>
        <v>-0.21000000000000002</v>
      </c>
      <c r="I6" s="230">
        <v>3</v>
      </c>
      <c r="J6" s="230">
        <v>13</v>
      </c>
      <c r="K6" s="233"/>
      <c r="L6" s="228">
        <v>64</v>
      </c>
      <c r="M6" s="218">
        <v>34</v>
      </c>
      <c r="N6" s="233"/>
      <c r="O6" s="228">
        <v>0.2</v>
      </c>
      <c r="P6" s="218">
        <v>0.67</v>
      </c>
    </row>
    <row r="7" spans="1:16" x14ac:dyDescent="0.2">
      <c r="A7" s="230">
        <v>4</v>
      </c>
      <c r="B7" s="231">
        <f t="shared" si="0"/>
        <v>-0.32</v>
      </c>
      <c r="E7" s="230">
        <v>4</v>
      </c>
      <c r="F7" s="231">
        <f t="shared" si="1"/>
        <v>-0.28000000000000003</v>
      </c>
      <c r="I7" s="230">
        <v>4</v>
      </c>
      <c r="J7" s="230">
        <v>14</v>
      </c>
      <c r="K7" s="233"/>
      <c r="L7" s="228">
        <v>63</v>
      </c>
      <c r="M7" s="218">
        <v>33</v>
      </c>
      <c r="N7" s="233"/>
      <c r="O7" s="226">
        <f>$O4+1</f>
        <v>1</v>
      </c>
      <c r="P7" s="257">
        <f>$P4+1</f>
        <v>1</v>
      </c>
    </row>
    <row r="8" spans="1:16" x14ac:dyDescent="0.2">
      <c r="A8" s="232">
        <v>5</v>
      </c>
      <c r="B8" s="233">
        <f t="shared" si="0"/>
        <v>-0.4</v>
      </c>
      <c r="C8" s="232"/>
      <c r="E8" s="230">
        <v>5</v>
      </c>
      <c r="F8" s="231">
        <f t="shared" si="1"/>
        <v>-0.35000000000000003</v>
      </c>
      <c r="I8" s="230">
        <v>5</v>
      </c>
      <c r="J8" s="230">
        <v>15</v>
      </c>
      <c r="K8" s="233"/>
      <c r="L8" s="228">
        <v>62</v>
      </c>
      <c r="M8" s="218">
        <v>32</v>
      </c>
      <c r="N8" s="233"/>
      <c r="O8" s="226">
        <f t="shared" ref="O8:O71" si="2">$O5+1</f>
        <v>1.1000000000000001</v>
      </c>
      <c r="P8" s="257">
        <f t="shared" ref="P8:P71" si="3">$P5+1</f>
        <v>1.33</v>
      </c>
    </row>
    <row r="9" spans="1:16" x14ac:dyDescent="0.2">
      <c r="A9" s="230">
        <v>6</v>
      </c>
      <c r="B9" s="231">
        <f t="shared" si="0"/>
        <v>-0.48</v>
      </c>
      <c r="E9" s="230">
        <v>6</v>
      </c>
      <c r="F9" s="231">
        <f t="shared" si="1"/>
        <v>-0.42000000000000004</v>
      </c>
      <c r="I9" s="230">
        <v>6</v>
      </c>
      <c r="J9" s="230">
        <v>16</v>
      </c>
      <c r="K9" s="233"/>
      <c r="L9" s="228">
        <v>61</v>
      </c>
      <c r="M9" s="218">
        <v>31</v>
      </c>
      <c r="N9" s="233"/>
      <c r="O9" s="226">
        <f t="shared" si="2"/>
        <v>1.2</v>
      </c>
      <c r="P9" s="257">
        <f t="shared" si="3"/>
        <v>1.67</v>
      </c>
    </row>
    <row r="10" spans="1:16" x14ac:dyDescent="0.2">
      <c r="A10" s="232">
        <v>7</v>
      </c>
      <c r="B10" s="233">
        <f t="shared" si="0"/>
        <v>-0.56000000000000005</v>
      </c>
      <c r="C10" s="232"/>
      <c r="E10" s="230">
        <v>7</v>
      </c>
      <c r="F10" s="231">
        <f t="shared" si="1"/>
        <v>-0.49000000000000005</v>
      </c>
      <c r="I10" s="230">
        <v>7</v>
      </c>
      <c r="J10" s="230">
        <v>21</v>
      </c>
      <c r="K10" s="233"/>
      <c r="L10" s="228">
        <v>56</v>
      </c>
      <c r="M10" s="218">
        <v>30</v>
      </c>
      <c r="N10" s="233"/>
      <c r="O10" s="226">
        <f>$O7+1</f>
        <v>2</v>
      </c>
      <c r="P10" s="257">
        <f>$P7+1</f>
        <v>2</v>
      </c>
    </row>
    <row r="11" spans="1:16" x14ac:dyDescent="0.2">
      <c r="A11" s="230">
        <v>8</v>
      </c>
      <c r="B11" s="231">
        <f t="shared" ref="B11:B17" si="4">((A11-7)*(-0.09))+(-0.56)</f>
        <v>-0.65</v>
      </c>
      <c r="E11" s="230">
        <v>8</v>
      </c>
      <c r="F11" s="231">
        <f t="shared" ref="F11:F17" si="5">((E11-7)*(-0.08))+(-0.49)</f>
        <v>-0.56999999999999995</v>
      </c>
      <c r="I11" s="230">
        <v>8</v>
      </c>
      <c r="J11" s="230">
        <v>22</v>
      </c>
      <c r="K11" s="233"/>
      <c r="L11" s="228">
        <v>55</v>
      </c>
      <c r="M11" s="218">
        <v>29</v>
      </c>
      <c r="N11" s="233"/>
      <c r="O11" s="226">
        <f t="shared" si="2"/>
        <v>2.1</v>
      </c>
      <c r="P11" s="257">
        <f t="shared" si="3"/>
        <v>2.33</v>
      </c>
    </row>
    <row r="12" spans="1:16" x14ac:dyDescent="0.2">
      <c r="A12" s="232">
        <v>9</v>
      </c>
      <c r="B12" s="233">
        <f t="shared" si="4"/>
        <v>-0.74</v>
      </c>
      <c r="C12" s="232"/>
      <c r="E12" s="230">
        <v>9</v>
      </c>
      <c r="F12" s="231">
        <f t="shared" si="5"/>
        <v>-0.65</v>
      </c>
      <c r="I12" s="230">
        <v>9</v>
      </c>
      <c r="J12" s="230">
        <v>23</v>
      </c>
      <c r="K12" s="233"/>
      <c r="L12" s="228">
        <v>54</v>
      </c>
      <c r="M12" s="218">
        <v>28</v>
      </c>
      <c r="N12" s="233"/>
      <c r="O12" s="226">
        <f t="shared" si="2"/>
        <v>2.2000000000000002</v>
      </c>
      <c r="P12" s="257">
        <f t="shared" si="3"/>
        <v>2.67</v>
      </c>
    </row>
    <row r="13" spans="1:16" x14ac:dyDescent="0.2">
      <c r="A13" s="230">
        <v>10</v>
      </c>
      <c r="B13" s="231">
        <f t="shared" si="4"/>
        <v>-0.83000000000000007</v>
      </c>
      <c r="E13" s="230">
        <v>10</v>
      </c>
      <c r="F13" s="231">
        <f t="shared" si="5"/>
        <v>-0.73</v>
      </c>
      <c r="I13" s="230">
        <v>10</v>
      </c>
      <c r="J13" s="230">
        <v>24</v>
      </c>
      <c r="K13" s="233"/>
      <c r="L13" s="228">
        <v>53</v>
      </c>
      <c r="M13" s="218">
        <v>27</v>
      </c>
      <c r="N13" s="233"/>
      <c r="O13" s="226">
        <f t="shared" si="2"/>
        <v>3</v>
      </c>
      <c r="P13" s="257">
        <f t="shared" si="3"/>
        <v>3</v>
      </c>
    </row>
    <row r="14" spans="1:16" x14ac:dyDescent="0.2">
      <c r="A14" s="232">
        <v>11</v>
      </c>
      <c r="B14" s="233">
        <f t="shared" si="4"/>
        <v>-0.92</v>
      </c>
      <c r="C14" s="232"/>
      <c r="E14" s="230">
        <v>11</v>
      </c>
      <c r="F14" s="231">
        <f t="shared" si="5"/>
        <v>-0.81</v>
      </c>
      <c r="I14" s="230">
        <v>11</v>
      </c>
      <c r="J14" s="230">
        <v>25</v>
      </c>
      <c r="K14" s="233"/>
      <c r="L14" s="228">
        <v>52</v>
      </c>
      <c r="M14" s="218">
        <v>26</v>
      </c>
      <c r="N14" s="233"/>
      <c r="O14" s="226">
        <f t="shared" si="2"/>
        <v>3.1</v>
      </c>
      <c r="P14" s="257">
        <f t="shared" si="3"/>
        <v>3.33</v>
      </c>
    </row>
    <row r="15" spans="1:16" x14ac:dyDescent="0.2">
      <c r="A15" s="230">
        <v>12</v>
      </c>
      <c r="B15" s="231">
        <f t="shared" si="4"/>
        <v>-1.01</v>
      </c>
      <c r="E15" s="230">
        <v>12</v>
      </c>
      <c r="F15" s="231">
        <f t="shared" si="5"/>
        <v>-0.89</v>
      </c>
      <c r="I15" s="230">
        <v>12</v>
      </c>
      <c r="J15" s="230">
        <v>26</v>
      </c>
      <c r="K15" s="233"/>
      <c r="L15" s="228">
        <v>51</v>
      </c>
      <c r="M15" s="218">
        <v>25</v>
      </c>
      <c r="N15" s="233"/>
      <c r="O15" s="226">
        <f t="shared" si="2"/>
        <v>3.2</v>
      </c>
      <c r="P15" s="257">
        <f t="shared" si="3"/>
        <v>3.67</v>
      </c>
    </row>
    <row r="16" spans="1:16" x14ac:dyDescent="0.2">
      <c r="A16" s="232">
        <v>13</v>
      </c>
      <c r="B16" s="233">
        <f t="shared" si="4"/>
        <v>-1.1000000000000001</v>
      </c>
      <c r="C16" s="232"/>
      <c r="E16" s="230">
        <v>13</v>
      </c>
      <c r="F16" s="231">
        <f t="shared" si="5"/>
        <v>-0.97</v>
      </c>
      <c r="I16" s="230">
        <v>13</v>
      </c>
      <c r="J16" s="230">
        <v>31</v>
      </c>
      <c r="K16" s="233"/>
      <c r="L16" s="228">
        <v>46</v>
      </c>
      <c r="M16" s="218">
        <v>24</v>
      </c>
      <c r="N16" s="233"/>
      <c r="O16" s="226">
        <f t="shared" si="2"/>
        <v>4</v>
      </c>
      <c r="P16" s="257">
        <f t="shared" si="3"/>
        <v>4</v>
      </c>
    </row>
    <row r="17" spans="1:16" x14ac:dyDescent="0.2">
      <c r="A17" s="230">
        <v>14</v>
      </c>
      <c r="B17" s="231">
        <f t="shared" si="4"/>
        <v>-1.19</v>
      </c>
      <c r="E17" s="230">
        <v>14</v>
      </c>
      <c r="F17" s="231">
        <f t="shared" si="5"/>
        <v>-1.05</v>
      </c>
      <c r="I17" s="230">
        <v>14</v>
      </c>
      <c r="J17" s="230">
        <v>32</v>
      </c>
      <c r="K17" s="233"/>
      <c r="L17" s="228">
        <v>45</v>
      </c>
      <c r="M17" s="218">
        <v>23</v>
      </c>
      <c r="N17" s="233"/>
      <c r="O17" s="226">
        <f t="shared" si="2"/>
        <v>4.0999999999999996</v>
      </c>
      <c r="P17" s="257">
        <f t="shared" si="3"/>
        <v>4.33</v>
      </c>
    </row>
    <row r="18" spans="1:16" x14ac:dyDescent="0.2">
      <c r="A18" s="232">
        <v>15</v>
      </c>
      <c r="B18" s="233">
        <f t="shared" ref="B18:B24" si="6">((A18-14)*(-0.1))+(-1.19)</f>
        <v>-1.29</v>
      </c>
      <c r="C18" s="232"/>
      <c r="E18" s="230">
        <v>15</v>
      </c>
      <c r="F18" s="231">
        <f t="shared" ref="F18:F24" si="7">((E18-14)*(-0.09))+(-1.05)</f>
        <v>-1.1400000000000001</v>
      </c>
      <c r="I18" s="230">
        <v>15</v>
      </c>
      <c r="J18" s="230">
        <v>33</v>
      </c>
      <c r="K18" s="233"/>
      <c r="L18" s="228">
        <v>44</v>
      </c>
      <c r="M18" s="218">
        <v>22</v>
      </c>
      <c r="N18" s="233"/>
      <c r="O18" s="226">
        <f t="shared" si="2"/>
        <v>4.2</v>
      </c>
      <c r="P18" s="257">
        <f t="shared" si="3"/>
        <v>4.67</v>
      </c>
    </row>
    <row r="19" spans="1:16" x14ac:dyDescent="0.2">
      <c r="A19" s="230">
        <v>16</v>
      </c>
      <c r="B19" s="231">
        <f t="shared" si="6"/>
        <v>-1.39</v>
      </c>
      <c r="E19" s="230">
        <v>16</v>
      </c>
      <c r="F19" s="231">
        <f t="shared" si="7"/>
        <v>-1.23</v>
      </c>
      <c r="I19" s="230">
        <v>16</v>
      </c>
      <c r="J19" s="230">
        <v>34</v>
      </c>
      <c r="K19" s="233"/>
      <c r="L19" s="228">
        <v>43</v>
      </c>
      <c r="M19" s="218">
        <v>21</v>
      </c>
      <c r="N19" s="233"/>
      <c r="O19" s="226">
        <f t="shared" si="2"/>
        <v>5</v>
      </c>
      <c r="P19" s="257">
        <f t="shared" si="3"/>
        <v>5</v>
      </c>
    </row>
    <row r="20" spans="1:16" x14ac:dyDescent="0.2">
      <c r="A20" s="232">
        <v>17</v>
      </c>
      <c r="B20" s="233">
        <f t="shared" si="6"/>
        <v>-1.49</v>
      </c>
      <c r="C20" s="232"/>
      <c r="E20" s="230">
        <v>17</v>
      </c>
      <c r="F20" s="231">
        <f t="shared" si="7"/>
        <v>-1.32</v>
      </c>
      <c r="I20" s="230">
        <v>17</v>
      </c>
      <c r="J20" s="230">
        <v>35</v>
      </c>
      <c r="K20" s="233"/>
      <c r="L20" s="228">
        <v>42</v>
      </c>
      <c r="M20" s="218">
        <v>20</v>
      </c>
      <c r="N20" s="233"/>
      <c r="O20" s="226">
        <f t="shared" si="2"/>
        <v>5.0999999999999996</v>
      </c>
      <c r="P20" s="257">
        <f t="shared" si="3"/>
        <v>5.33</v>
      </c>
    </row>
    <row r="21" spans="1:16" x14ac:dyDescent="0.2">
      <c r="A21" s="230">
        <v>18</v>
      </c>
      <c r="B21" s="231">
        <f t="shared" si="6"/>
        <v>-1.5899999999999999</v>
      </c>
      <c r="E21" s="230">
        <v>18</v>
      </c>
      <c r="F21" s="231">
        <f t="shared" si="7"/>
        <v>-1.4100000000000001</v>
      </c>
      <c r="I21" s="230">
        <v>18</v>
      </c>
      <c r="J21" s="230">
        <v>36</v>
      </c>
      <c r="K21" s="233"/>
      <c r="L21" s="228">
        <v>41</v>
      </c>
      <c r="M21" s="218">
        <v>19</v>
      </c>
      <c r="N21" s="233"/>
      <c r="O21" s="226">
        <f t="shared" si="2"/>
        <v>5.2</v>
      </c>
      <c r="P21" s="257">
        <f t="shared" si="3"/>
        <v>5.67</v>
      </c>
    </row>
    <row r="22" spans="1:16" x14ac:dyDescent="0.2">
      <c r="A22" s="232">
        <v>19</v>
      </c>
      <c r="B22" s="233">
        <f t="shared" si="6"/>
        <v>-1.69</v>
      </c>
      <c r="C22" s="232"/>
      <c r="E22" s="230">
        <v>19</v>
      </c>
      <c r="F22" s="231">
        <f t="shared" si="7"/>
        <v>-1.5</v>
      </c>
      <c r="I22" s="230">
        <v>19</v>
      </c>
      <c r="J22" s="230">
        <v>41</v>
      </c>
      <c r="K22" s="233"/>
      <c r="L22" s="228">
        <v>36</v>
      </c>
      <c r="M22" s="218">
        <v>18</v>
      </c>
      <c r="N22" s="233"/>
      <c r="O22" s="226">
        <f t="shared" si="2"/>
        <v>6</v>
      </c>
      <c r="P22" s="257">
        <f t="shared" si="3"/>
        <v>6</v>
      </c>
    </row>
    <row r="23" spans="1:16" x14ac:dyDescent="0.2">
      <c r="A23" s="230">
        <v>20</v>
      </c>
      <c r="B23" s="231">
        <f t="shared" si="6"/>
        <v>-1.79</v>
      </c>
      <c r="E23" s="230">
        <v>20</v>
      </c>
      <c r="F23" s="231">
        <f t="shared" si="7"/>
        <v>-1.59</v>
      </c>
      <c r="I23" s="230">
        <v>20</v>
      </c>
      <c r="J23" s="230">
        <v>42</v>
      </c>
      <c r="K23" s="233"/>
      <c r="L23" s="228">
        <v>35</v>
      </c>
      <c r="M23" s="218">
        <v>17</v>
      </c>
      <c r="N23" s="233"/>
      <c r="O23" s="226">
        <f t="shared" si="2"/>
        <v>6.1</v>
      </c>
      <c r="P23" s="257">
        <f t="shared" si="3"/>
        <v>6.33</v>
      </c>
    </row>
    <row r="24" spans="1:16" x14ac:dyDescent="0.2">
      <c r="A24" s="232">
        <v>21</v>
      </c>
      <c r="B24" s="233">
        <f t="shared" si="6"/>
        <v>-1.8900000000000001</v>
      </c>
      <c r="C24" s="232"/>
      <c r="E24" s="230">
        <v>21</v>
      </c>
      <c r="F24" s="231">
        <f t="shared" si="7"/>
        <v>-1.6800000000000002</v>
      </c>
      <c r="I24" s="230">
        <v>21</v>
      </c>
      <c r="J24" s="230">
        <v>43</v>
      </c>
      <c r="K24" s="233"/>
      <c r="L24" s="228">
        <v>34</v>
      </c>
      <c r="M24" s="218">
        <v>16</v>
      </c>
      <c r="N24" s="233"/>
      <c r="O24" s="226">
        <f t="shared" si="2"/>
        <v>6.2</v>
      </c>
      <c r="P24" s="257">
        <f t="shared" si="3"/>
        <v>6.67</v>
      </c>
    </row>
    <row r="25" spans="1:16" x14ac:dyDescent="0.2">
      <c r="A25" s="230">
        <v>22</v>
      </c>
      <c r="B25" s="231">
        <f t="shared" ref="B25:B31" si="8">((A25-21)*(-0.11))+(-1.89)</f>
        <v>-2</v>
      </c>
      <c r="E25" s="230">
        <v>22</v>
      </c>
      <c r="F25" s="231">
        <f t="shared" ref="F25:F31" si="9">((E25-21)*(-0.1))+(-1.68)</f>
        <v>-1.78</v>
      </c>
      <c r="I25" s="230">
        <v>22</v>
      </c>
      <c r="J25" s="230">
        <v>44</v>
      </c>
      <c r="K25" s="233"/>
      <c r="L25" s="228">
        <v>33</v>
      </c>
      <c r="M25" s="218">
        <v>15</v>
      </c>
      <c r="N25" s="233"/>
      <c r="O25" s="226">
        <f t="shared" si="2"/>
        <v>7</v>
      </c>
      <c r="P25" s="257">
        <f t="shared" si="3"/>
        <v>7</v>
      </c>
    </row>
    <row r="26" spans="1:16" x14ac:dyDescent="0.2">
      <c r="A26" s="232">
        <v>23</v>
      </c>
      <c r="B26" s="233">
        <f t="shared" si="8"/>
        <v>-2.11</v>
      </c>
      <c r="C26" s="232"/>
      <c r="E26" s="230">
        <v>23</v>
      </c>
      <c r="F26" s="231">
        <f t="shared" si="9"/>
        <v>-1.88</v>
      </c>
      <c r="I26" s="230">
        <v>23</v>
      </c>
      <c r="J26" s="230">
        <v>45</v>
      </c>
      <c r="K26" s="233"/>
      <c r="L26" s="228">
        <v>32</v>
      </c>
      <c r="M26" s="218">
        <v>14</v>
      </c>
      <c r="N26" s="233"/>
      <c r="O26" s="226">
        <f t="shared" si="2"/>
        <v>7.1</v>
      </c>
      <c r="P26" s="257">
        <f t="shared" si="3"/>
        <v>7.33</v>
      </c>
    </row>
    <row r="27" spans="1:16" x14ac:dyDescent="0.2">
      <c r="A27" s="230">
        <v>24</v>
      </c>
      <c r="B27" s="231">
        <f t="shared" si="8"/>
        <v>-2.2199999999999998</v>
      </c>
      <c r="E27" s="230">
        <v>24</v>
      </c>
      <c r="F27" s="231">
        <f t="shared" si="9"/>
        <v>-1.98</v>
      </c>
      <c r="I27" s="230">
        <v>24</v>
      </c>
      <c r="J27" s="230">
        <v>46</v>
      </c>
      <c r="K27" s="233"/>
      <c r="L27" s="229">
        <v>31</v>
      </c>
      <c r="M27" s="218">
        <v>13</v>
      </c>
      <c r="N27" s="233"/>
      <c r="O27" s="226">
        <f t="shared" si="2"/>
        <v>7.2</v>
      </c>
      <c r="P27" s="257">
        <f t="shared" si="3"/>
        <v>7.67</v>
      </c>
    </row>
    <row r="28" spans="1:16" x14ac:dyDescent="0.2">
      <c r="A28" s="232">
        <v>25</v>
      </c>
      <c r="B28" s="233">
        <f t="shared" si="8"/>
        <v>-2.33</v>
      </c>
      <c r="C28" s="232"/>
      <c r="E28" s="230">
        <v>25</v>
      </c>
      <c r="F28" s="231">
        <f t="shared" si="9"/>
        <v>-2.08</v>
      </c>
      <c r="I28" s="230">
        <v>25</v>
      </c>
      <c r="J28" s="230">
        <v>51</v>
      </c>
      <c r="K28" s="233"/>
      <c r="L28" s="229">
        <v>26</v>
      </c>
      <c r="M28" s="218">
        <v>12</v>
      </c>
      <c r="N28" s="233"/>
      <c r="O28" s="226">
        <f t="shared" si="2"/>
        <v>8</v>
      </c>
      <c r="P28" s="257">
        <f t="shared" si="3"/>
        <v>8</v>
      </c>
    </row>
    <row r="29" spans="1:16" x14ac:dyDescent="0.2">
      <c r="A29" s="230">
        <v>26</v>
      </c>
      <c r="B29" s="231">
        <f t="shared" si="8"/>
        <v>-2.44</v>
      </c>
      <c r="E29" s="230">
        <v>26</v>
      </c>
      <c r="F29" s="231">
        <f t="shared" si="9"/>
        <v>-2.1799999999999997</v>
      </c>
      <c r="I29" s="230">
        <v>26</v>
      </c>
      <c r="J29" s="230">
        <v>52</v>
      </c>
      <c r="K29" s="233"/>
      <c r="L29" s="228">
        <v>25</v>
      </c>
      <c r="M29" s="217">
        <v>11</v>
      </c>
      <c r="N29" s="233"/>
      <c r="O29" s="226">
        <f t="shared" si="2"/>
        <v>8.1</v>
      </c>
      <c r="P29" s="257">
        <f t="shared" si="3"/>
        <v>8.33</v>
      </c>
    </row>
    <row r="30" spans="1:16" x14ac:dyDescent="0.2">
      <c r="A30" s="232">
        <v>27</v>
      </c>
      <c r="B30" s="233">
        <f t="shared" si="8"/>
        <v>-2.5499999999999998</v>
      </c>
      <c r="C30" s="232"/>
      <c r="E30" s="230">
        <v>27</v>
      </c>
      <c r="F30" s="231">
        <f t="shared" si="9"/>
        <v>-2.2800000000000002</v>
      </c>
      <c r="I30" s="230">
        <v>27</v>
      </c>
      <c r="J30" s="230">
        <v>53</v>
      </c>
      <c r="K30" s="233"/>
      <c r="L30" s="228">
        <v>24</v>
      </c>
      <c r="M30" s="217">
        <v>10</v>
      </c>
      <c r="N30" s="233"/>
      <c r="O30" s="226">
        <f t="shared" si="2"/>
        <v>8.1999999999999993</v>
      </c>
      <c r="P30" s="257">
        <f t="shared" si="3"/>
        <v>8.67</v>
      </c>
    </row>
    <row r="31" spans="1:16" x14ac:dyDescent="0.2">
      <c r="A31" s="230">
        <v>28</v>
      </c>
      <c r="B31" s="231">
        <f t="shared" si="8"/>
        <v>-2.66</v>
      </c>
      <c r="E31" s="230">
        <v>28</v>
      </c>
      <c r="F31" s="231">
        <f t="shared" si="9"/>
        <v>-2.38</v>
      </c>
      <c r="I31" s="230">
        <v>28</v>
      </c>
      <c r="J31" s="230">
        <v>54</v>
      </c>
      <c r="K31" s="233"/>
      <c r="L31" s="228">
        <v>23</v>
      </c>
      <c r="M31" s="217">
        <v>9</v>
      </c>
      <c r="N31" s="233"/>
      <c r="O31" s="226">
        <f t="shared" si="2"/>
        <v>9</v>
      </c>
      <c r="P31" s="257">
        <f t="shared" si="3"/>
        <v>9</v>
      </c>
    </row>
    <row r="32" spans="1:16" x14ac:dyDescent="0.2">
      <c r="A32" s="232">
        <v>29</v>
      </c>
      <c r="B32" s="233">
        <f t="shared" ref="B32:B39" si="10">((A32-28)*(-0.12))+(-2.66)</f>
        <v>-2.7800000000000002</v>
      </c>
      <c r="C32" s="232"/>
      <c r="E32" s="230">
        <v>29</v>
      </c>
      <c r="F32" s="231">
        <f t="shared" ref="F32:F39" si="11">((E32-28)*(-0.11))+(-2.38)</f>
        <v>-2.4899999999999998</v>
      </c>
      <c r="I32" s="230">
        <v>29</v>
      </c>
      <c r="J32" s="230">
        <v>55</v>
      </c>
      <c r="K32" s="233"/>
      <c r="L32" s="228">
        <v>22</v>
      </c>
      <c r="M32" s="217">
        <v>8</v>
      </c>
      <c r="N32" s="233"/>
      <c r="O32" s="226">
        <f t="shared" si="2"/>
        <v>9.1</v>
      </c>
      <c r="P32" s="257">
        <f t="shared" si="3"/>
        <v>9.33</v>
      </c>
    </row>
    <row r="33" spans="1:16" x14ac:dyDescent="0.2">
      <c r="A33" s="230">
        <v>30</v>
      </c>
      <c r="B33" s="231">
        <f t="shared" si="10"/>
        <v>-2.9000000000000004</v>
      </c>
      <c r="E33" s="230">
        <v>30</v>
      </c>
      <c r="F33" s="231">
        <f t="shared" si="11"/>
        <v>-2.6</v>
      </c>
      <c r="I33" s="230">
        <v>30</v>
      </c>
      <c r="J33" s="230">
        <v>56</v>
      </c>
      <c r="K33" s="233"/>
      <c r="L33" s="228">
        <v>21</v>
      </c>
      <c r="M33" s="217">
        <v>7</v>
      </c>
      <c r="N33" s="233"/>
      <c r="O33" s="226">
        <f t="shared" si="2"/>
        <v>9.1999999999999993</v>
      </c>
      <c r="P33" s="257">
        <f t="shared" si="3"/>
        <v>9.67</v>
      </c>
    </row>
    <row r="34" spans="1:16" x14ac:dyDescent="0.2">
      <c r="A34" s="232">
        <v>31</v>
      </c>
      <c r="B34" s="233">
        <f t="shared" si="10"/>
        <v>-3.02</v>
      </c>
      <c r="C34" s="232"/>
      <c r="E34" s="230">
        <v>31</v>
      </c>
      <c r="F34" s="231">
        <f t="shared" si="11"/>
        <v>-2.71</v>
      </c>
      <c r="I34" s="230">
        <v>31</v>
      </c>
      <c r="J34" s="230">
        <v>61</v>
      </c>
      <c r="K34" s="233"/>
      <c r="L34" s="228">
        <v>16</v>
      </c>
      <c r="M34" s="217">
        <v>6</v>
      </c>
      <c r="N34" s="233"/>
      <c r="O34" s="226">
        <f t="shared" si="2"/>
        <v>10</v>
      </c>
      <c r="P34" s="257">
        <f t="shared" si="3"/>
        <v>10</v>
      </c>
    </row>
    <row r="35" spans="1:16" x14ac:dyDescent="0.2">
      <c r="A35" s="230">
        <v>32</v>
      </c>
      <c r="B35" s="231">
        <f t="shared" si="10"/>
        <v>-3.14</v>
      </c>
      <c r="E35" s="230">
        <v>32</v>
      </c>
      <c r="F35" s="231">
        <f t="shared" si="11"/>
        <v>-2.82</v>
      </c>
      <c r="I35" s="230">
        <v>32</v>
      </c>
      <c r="J35" s="230">
        <v>62</v>
      </c>
      <c r="K35" s="233"/>
      <c r="L35" s="228">
        <v>15</v>
      </c>
      <c r="M35" s="217">
        <v>5</v>
      </c>
      <c r="N35" s="233"/>
      <c r="O35" s="226">
        <f t="shared" si="2"/>
        <v>10.1</v>
      </c>
      <c r="P35" s="257">
        <f t="shared" si="3"/>
        <v>10.33</v>
      </c>
    </row>
    <row r="36" spans="1:16" x14ac:dyDescent="0.2">
      <c r="A36" s="232">
        <v>33</v>
      </c>
      <c r="B36" s="233">
        <f t="shared" si="10"/>
        <v>-3.2600000000000002</v>
      </c>
      <c r="C36" s="232"/>
      <c r="E36" s="230">
        <v>33</v>
      </c>
      <c r="F36" s="231">
        <f t="shared" si="11"/>
        <v>-2.9299999999999997</v>
      </c>
      <c r="I36" s="230">
        <v>33</v>
      </c>
      <c r="J36" s="230">
        <v>63</v>
      </c>
      <c r="K36" s="233"/>
      <c r="L36" s="228">
        <v>14</v>
      </c>
      <c r="M36" s="217">
        <v>4</v>
      </c>
      <c r="N36" s="233"/>
      <c r="O36" s="226">
        <f t="shared" si="2"/>
        <v>10.199999999999999</v>
      </c>
      <c r="P36" s="257">
        <f t="shared" si="3"/>
        <v>10.67</v>
      </c>
    </row>
    <row r="37" spans="1:16" x14ac:dyDescent="0.2">
      <c r="A37" s="230">
        <v>34</v>
      </c>
      <c r="B37" s="231">
        <f t="shared" si="10"/>
        <v>-3.38</v>
      </c>
      <c r="E37" s="230">
        <v>34</v>
      </c>
      <c r="F37" s="231">
        <f t="shared" si="11"/>
        <v>-3.04</v>
      </c>
      <c r="I37" s="230">
        <v>34</v>
      </c>
      <c r="J37" s="230">
        <v>64</v>
      </c>
      <c r="K37" s="233"/>
      <c r="L37" s="228">
        <v>13</v>
      </c>
      <c r="M37" s="217">
        <v>3</v>
      </c>
      <c r="N37" s="233"/>
      <c r="O37" s="226">
        <f t="shared" si="2"/>
        <v>11</v>
      </c>
      <c r="P37" s="257">
        <f t="shared" si="3"/>
        <v>11</v>
      </c>
    </row>
    <row r="38" spans="1:16" x14ac:dyDescent="0.2">
      <c r="A38" s="232">
        <v>35</v>
      </c>
      <c r="B38" s="233">
        <f t="shared" si="10"/>
        <v>-3.5</v>
      </c>
      <c r="C38" s="232"/>
      <c r="E38" s="230">
        <v>35</v>
      </c>
      <c r="F38" s="231">
        <f t="shared" si="11"/>
        <v>-3.15</v>
      </c>
      <c r="I38" s="230">
        <v>35</v>
      </c>
      <c r="J38" s="230">
        <v>65</v>
      </c>
      <c r="K38" s="233"/>
      <c r="L38" s="228">
        <v>12</v>
      </c>
      <c r="M38" s="217">
        <v>2</v>
      </c>
      <c r="N38" s="233"/>
      <c r="O38" s="226">
        <f t="shared" si="2"/>
        <v>11.1</v>
      </c>
      <c r="P38" s="257">
        <f t="shared" si="3"/>
        <v>11.33</v>
      </c>
    </row>
    <row r="39" spans="1:16" x14ac:dyDescent="0.2">
      <c r="A39" s="230">
        <v>36</v>
      </c>
      <c r="B39" s="231">
        <f t="shared" si="10"/>
        <v>-3.62</v>
      </c>
      <c r="E39" s="230">
        <v>36</v>
      </c>
      <c r="F39" s="231">
        <f t="shared" si="11"/>
        <v>-3.26</v>
      </c>
      <c r="I39" s="230">
        <v>36</v>
      </c>
      <c r="J39" s="230">
        <v>66</v>
      </c>
      <c r="K39" s="233"/>
      <c r="L39" s="228">
        <v>11</v>
      </c>
      <c r="M39" s="217">
        <v>1</v>
      </c>
      <c r="N39" s="233"/>
      <c r="O39" s="226">
        <f t="shared" si="2"/>
        <v>11.2</v>
      </c>
      <c r="P39" s="257">
        <f t="shared" si="3"/>
        <v>11.67</v>
      </c>
    </row>
    <row r="40" spans="1:16" x14ac:dyDescent="0.2">
      <c r="A40" s="240">
        <v>-36</v>
      </c>
      <c r="B40" s="231">
        <f t="shared" ref="B40:B45" si="12">IF(C40&lt;0,(-C40)+4.18)</f>
        <v>5.4399999999999995</v>
      </c>
      <c r="C40" s="241">
        <f t="shared" ref="C40:C45" si="13">(A40+30)*0.21</f>
        <v>-1.26</v>
      </c>
      <c r="E40" s="230">
        <v>-36</v>
      </c>
      <c r="F40" s="231">
        <f>G40+4.29</f>
        <v>4.8600000000000003</v>
      </c>
      <c r="G40" s="230">
        <f>((-E40)-33)*0.19</f>
        <v>0.57000000000000006</v>
      </c>
      <c r="I40" s="230">
        <v>-36</v>
      </c>
      <c r="J40" s="230">
        <v>-66</v>
      </c>
      <c r="K40" s="242"/>
      <c r="L40" s="227"/>
      <c r="M40" s="227"/>
      <c r="N40" s="242"/>
      <c r="O40" s="226">
        <f t="shared" si="2"/>
        <v>12</v>
      </c>
      <c r="P40" s="257">
        <f t="shared" si="3"/>
        <v>12</v>
      </c>
    </row>
    <row r="41" spans="1:16" x14ac:dyDescent="0.2">
      <c r="A41" s="243">
        <v>-35</v>
      </c>
      <c r="B41" s="233">
        <f t="shared" si="12"/>
        <v>5.2299999999999995</v>
      </c>
      <c r="C41" s="244">
        <f t="shared" si="13"/>
        <v>-1.05</v>
      </c>
      <c r="E41" s="230">
        <v>-35</v>
      </c>
      <c r="F41" s="231">
        <f>G41+4.29</f>
        <v>4.67</v>
      </c>
      <c r="G41" s="230">
        <f>((-E41)-33)*0.19</f>
        <v>0.38</v>
      </c>
      <c r="I41" s="230">
        <v>-35</v>
      </c>
      <c r="J41" s="230">
        <v>-65</v>
      </c>
      <c r="K41" s="242"/>
      <c r="L41" s="227"/>
      <c r="M41" s="227"/>
      <c r="N41" s="242"/>
      <c r="O41" s="226">
        <f t="shared" si="2"/>
        <v>12.1</v>
      </c>
      <c r="P41" s="257">
        <f t="shared" si="3"/>
        <v>12.33</v>
      </c>
    </row>
    <row r="42" spans="1:16" x14ac:dyDescent="0.2">
      <c r="A42" s="240">
        <v>-34</v>
      </c>
      <c r="B42" s="231">
        <f t="shared" si="12"/>
        <v>5.0199999999999996</v>
      </c>
      <c r="C42" s="241">
        <f t="shared" si="13"/>
        <v>-0.84</v>
      </c>
      <c r="E42" s="230">
        <v>-34</v>
      </c>
      <c r="F42" s="231">
        <f>G42+4.29</f>
        <v>4.4800000000000004</v>
      </c>
      <c r="G42" s="230">
        <f>((-E42)-33)*0.19</f>
        <v>0.19</v>
      </c>
      <c r="I42" s="230">
        <v>-34</v>
      </c>
      <c r="J42" s="230">
        <v>-64</v>
      </c>
      <c r="K42" s="242"/>
      <c r="L42" s="227"/>
      <c r="M42" s="227"/>
      <c r="N42" s="242"/>
      <c r="O42" s="226">
        <f t="shared" si="2"/>
        <v>12.2</v>
      </c>
      <c r="P42" s="257">
        <f t="shared" si="3"/>
        <v>12.67</v>
      </c>
    </row>
    <row r="43" spans="1:16" x14ac:dyDescent="0.2">
      <c r="A43" s="243">
        <v>-33</v>
      </c>
      <c r="B43" s="233">
        <f t="shared" si="12"/>
        <v>4.8099999999999996</v>
      </c>
      <c r="C43" s="244">
        <f t="shared" si="13"/>
        <v>-0.63</v>
      </c>
      <c r="E43" s="230">
        <v>-33</v>
      </c>
      <c r="F43" s="231">
        <f>G43+3.75</f>
        <v>4.29</v>
      </c>
      <c r="G43" s="230">
        <f>((-E43)-30)*0.18</f>
        <v>0.54</v>
      </c>
      <c r="I43" s="230">
        <v>-33</v>
      </c>
      <c r="J43" s="230">
        <v>-63</v>
      </c>
      <c r="K43" s="242"/>
      <c r="L43" s="227"/>
      <c r="M43" s="227"/>
      <c r="N43" s="242"/>
      <c r="O43" s="226">
        <f t="shared" si="2"/>
        <v>13</v>
      </c>
      <c r="P43" s="257">
        <f t="shared" si="3"/>
        <v>13</v>
      </c>
    </row>
    <row r="44" spans="1:16" x14ac:dyDescent="0.2">
      <c r="A44" s="240">
        <v>-32</v>
      </c>
      <c r="B44" s="231">
        <f t="shared" si="12"/>
        <v>4.5999999999999996</v>
      </c>
      <c r="C44" s="241">
        <f t="shared" si="13"/>
        <v>-0.42</v>
      </c>
      <c r="E44" s="230">
        <v>-32</v>
      </c>
      <c r="F44" s="231">
        <f>G44+3.75</f>
        <v>4.1100000000000003</v>
      </c>
      <c r="G44" s="230">
        <f>((-E44)-30)*0.18</f>
        <v>0.36</v>
      </c>
      <c r="I44" s="230">
        <v>-32</v>
      </c>
      <c r="J44" s="230">
        <v>-62</v>
      </c>
      <c r="K44" s="242"/>
      <c r="L44" s="227"/>
      <c r="M44" s="227"/>
      <c r="N44" s="242"/>
      <c r="O44" s="226">
        <f t="shared" si="2"/>
        <v>13.1</v>
      </c>
      <c r="P44" s="257">
        <f t="shared" si="3"/>
        <v>13.33</v>
      </c>
    </row>
    <row r="45" spans="1:16" x14ac:dyDescent="0.2">
      <c r="A45" s="243">
        <v>-31</v>
      </c>
      <c r="B45" s="233">
        <f t="shared" si="12"/>
        <v>4.3899999999999997</v>
      </c>
      <c r="C45" s="244">
        <f t="shared" si="13"/>
        <v>-0.21</v>
      </c>
      <c r="E45" s="230">
        <v>-31</v>
      </c>
      <c r="F45" s="231">
        <f>G45+3.75</f>
        <v>3.93</v>
      </c>
      <c r="G45" s="230">
        <f>((-E45)-30)*0.18</f>
        <v>0.18</v>
      </c>
      <c r="I45" s="230">
        <v>-31</v>
      </c>
      <c r="J45" s="230">
        <v>-61</v>
      </c>
      <c r="K45" s="242"/>
      <c r="L45" s="227"/>
      <c r="M45" s="227"/>
      <c r="N45" s="242"/>
      <c r="O45" s="226">
        <f t="shared" si="2"/>
        <v>13.2</v>
      </c>
      <c r="P45" s="257">
        <f t="shared" si="3"/>
        <v>13.67</v>
      </c>
    </row>
    <row r="46" spans="1:16" x14ac:dyDescent="0.2">
      <c r="A46" s="240">
        <v>-30</v>
      </c>
      <c r="B46" s="231">
        <f>IF(C46&lt;0,(-C46)+3.23)</f>
        <v>4.18</v>
      </c>
      <c r="C46" s="241">
        <f>(A46+25)*0.19</f>
        <v>-0.95</v>
      </c>
      <c r="E46" s="230">
        <v>-30</v>
      </c>
      <c r="F46" s="231">
        <f>G46+3.24</f>
        <v>3.75</v>
      </c>
      <c r="G46" s="230">
        <f>((-E46)-27)*0.17</f>
        <v>0.51</v>
      </c>
      <c r="I46" s="230">
        <v>-30</v>
      </c>
      <c r="J46" s="230">
        <v>-56</v>
      </c>
      <c r="K46" s="242"/>
      <c r="L46" s="227"/>
      <c r="M46" s="227"/>
      <c r="N46" s="242"/>
      <c r="O46" s="226">
        <f t="shared" si="2"/>
        <v>14</v>
      </c>
      <c r="P46" s="257">
        <f t="shared" si="3"/>
        <v>14</v>
      </c>
    </row>
    <row r="47" spans="1:16" x14ac:dyDescent="0.2">
      <c r="A47" s="243">
        <v>-29</v>
      </c>
      <c r="B47" s="233">
        <f>IF(C47&lt;0,(-C47)+3.23)</f>
        <v>3.99</v>
      </c>
      <c r="C47" s="244">
        <f>(A47+25)*0.19</f>
        <v>-0.76</v>
      </c>
      <c r="E47" s="230">
        <v>-29</v>
      </c>
      <c r="F47" s="231">
        <f>G47+3.24</f>
        <v>3.58</v>
      </c>
      <c r="G47" s="230">
        <f>((-E47)-27)*0.17</f>
        <v>0.34</v>
      </c>
      <c r="I47" s="230">
        <v>-29</v>
      </c>
      <c r="J47" s="230">
        <v>-55</v>
      </c>
      <c r="K47" s="242"/>
      <c r="L47" s="227"/>
      <c r="M47" s="227"/>
      <c r="N47" s="242"/>
      <c r="O47" s="226">
        <f t="shared" si="2"/>
        <v>14.1</v>
      </c>
      <c r="P47" s="257">
        <f t="shared" si="3"/>
        <v>14.33</v>
      </c>
    </row>
    <row r="48" spans="1:16" x14ac:dyDescent="0.2">
      <c r="A48" s="240">
        <v>-28</v>
      </c>
      <c r="B48" s="231">
        <f>IF(C48&lt;0,(-C48)+3.23)</f>
        <v>3.8</v>
      </c>
      <c r="C48" s="241">
        <f>(A48+25)*0.19</f>
        <v>-0.57000000000000006</v>
      </c>
      <c r="E48" s="230">
        <v>-28</v>
      </c>
      <c r="F48" s="231">
        <f>G48+3.24</f>
        <v>3.41</v>
      </c>
      <c r="G48" s="230">
        <f>((-E48)-27)*0.17</f>
        <v>0.17</v>
      </c>
      <c r="I48" s="230">
        <v>-28</v>
      </c>
      <c r="J48" s="230">
        <v>-54</v>
      </c>
      <c r="K48" s="242"/>
      <c r="L48" s="227"/>
      <c r="M48" s="227"/>
      <c r="N48" s="242"/>
      <c r="O48" s="226">
        <f t="shared" si="2"/>
        <v>14.2</v>
      </c>
      <c r="P48" s="257">
        <f t="shared" si="3"/>
        <v>14.67</v>
      </c>
    </row>
    <row r="49" spans="1:16" x14ac:dyDescent="0.2">
      <c r="A49" s="243">
        <v>-27</v>
      </c>
      <c r="B49" s="233">
        <f>IF(C49&lt;0,(-C49)+3.23)</f>
        <v>3.61</v>
      </c>
      <c r="C49" s="244">
        <f>(A49+25)*0.19</f>
        <v>-0.38</v>
      </c>
      <c r="E49" s="230">
        <v>-27</v>
      </c>
      <c r="F49" s="231">
        <f>G49+2.76</f>
        <v>3.2399999999999998</v>
      </c>
      <c r="G49" s="230">
        <f>((-E49)-24)*0.16</f>
        <v>0.48</v>
      </c>
      <c r="I49" s="230">
        <v>-27</v>
      </c>
      <c r="J49" s="230">
        <v>-53</v>
      </c>
      <c r="K49" s="242"/>
      <c r="L49" s="227"/>
      <c r="M49" s="227"/>
      <c r="N49" s="242"/>
      <c r="O49" s="226">
        <f t="shared" si="2"/>
        <v>15</v>
      </c>
      <c r="P49" s="257">
        <f t="shared" si="3"/>
        <v>15</v>
      </c>
    </row>
    <row r="50" spans="1:16" x14ac:dyDescent="0.2">
      <c r="A50" s="240">
        <v>-26</v>
      </c>
      <c r="B50" s="231">
        <f>IF(C50&lt;0,(-C50)+3.23)</f>
        <v>3.42</v>
      </c>
      <c r="C50" s="241">
        <f>(A50+25)*0.19</f>
        <v>-0.19</v>
      </c>
      <c r="E50" s="230">
        <v>-26</v>
      </c>
      <c r="F50" s="231">
        <f>G50+2.76</f>
        <v>3.0799999999999996</v>
      </c>
      <c r="G50" s="230">
        <f>((-E50)-24)*0.16</f>
        <v>0.32</v>
      </c>
      <c r="I50" s="230">
        <v>-26</v>
      </c>
      <c r="J50" s="230">
        <v>-52</v>
      </c>
      <c r="K50" s="242"/>
      <c r="L50" s="227"/>
      <c r="M50" s="227"/>
      <c r="N50" s="242"/>
      <c r="O50" s="226">
        <f t="shared" si="2"/>
        <v>15.1</v>
      </c>
      <c r="P50" s="257">
        <f t="shared" si="3"/>
        <v>15.33</v>
      </c>
    </row>
    <row r="51" spans="1:16" x14ac:dyDescent="0.2">
      <c r="A51" s="243">
        <v>-25</v>
      </c>
      <c r="B51" s="233">
        <f>IF(C51&lt;0,(-C51)+2.38)</f>
        <v>3.23</v>
      </c>
      <c r="C51" s="244">
        <f>(A51+20)*0.17</f>
        <v>-0.85000000000000009</v>
      </c>
      <c r="E51" s="230">
        <v>-25</v>
      </c>
      <c r="F51" s="231">
        <f>G51+2.76</f>
        <v>2.92</v>
      </c>
      <c r="G51" s="230">
        <f>((-E51)-24)*0.16</f>
        <v>0.16</v>
      </c>
      <c r="I51" s="230">
        <v>-25</v>
      </c>
      <c r="J51" s="230">
        <v>-51</v>
      </c>
      <c r="K51" s="242"/>
      <c r="L51" s="227"/>
      <c r="M51" s="227"/>
      <c r="N51" s="242"/>
      <c r="O51" s="226">
        <f t="shared" si="2"/>
        <v>15.2</v>
      </c>
      <c r="P51" s="257">
        <f t="shared" si="3"/>
        <v>15.67</v>
      </c>
    </row>
    <row r="52" spans="1:16" x14ac:dyDescent="0.2">
      <c r="A52" s="240">
        <v>-24</v>
      </c>
      <c r="B52" s="231">
        <f>IF(C52&lt;0,(-C52)+2.38)</f>
        <v>3.06</v>
      </c>
      <c r="C52" s="241">
        <f>(A52+20)*0.17</f>
        <v>-0.68</v>
      </c>
      <c r="E52" s="230">
        <v>-24</v>
      </c>
      <c r="F52" s="231">
        <f>G52+2.31</f>
        <v>2.76</v>
      </c>
      <c r="G52" s="230">
        <f>((-E52)-21)*0.15</f>
        <v>0.44999999999999996</v>
      </c>
      <c r="I52" s="230">
        <v>-24</v>
      </c>
      <c r="J52" s="230">
        <v>-46</v>
      </c>
      <c r="K52" s="242"/>
      <c r="L52" s="227"/>
      <c r="M52" s="227"/>
      <c r="N52" s="242"/>
      <c r="O52" s="226">
        <f t="shared" si="2"/>
        <v>16</v>
      </c>
      <c r="P52" s="257">
        <f t="shared" si="3"/>
        <v>16</v>
      </c>
    </row>
    <row r="53" spans="1:16" x14ac:dyDescent="0.2">
      <c r="A53" s="243">
        <v>-23</v>
      </c>
      <c r="B53" s="233">
        <f>IF(C53&lt;0,(-C53)+2.38)</f>
        <v>2.8899999999999997</v>
      </c>
      <c r="C53" s="244">
        <f>(A53+20)*0.17</f>
        <v>-0.51</v>
      </c>
      <c r="E53" s="230">
        <v>-23</v>
      </c>
      <c r="F53" s="231">
        <f>G53+2.31</f>
        <v>2.61</v>
      </c>
      <c r="G53" s="230">
        <f>((-E53)-21)*0.15</f>
        <v>0.3</v>
      </c>
      <c r="I53" s="230">
        <v>-23</v>
      </c>
      <c r="J53" s="230">
        <v>-45</v>
      </c>
      <c r="K53" s="242"/>
      <c r="L53" s="227"/>
      <c r="M53" s="227"/>
      <c r="N53" s="242"/>
      <c r="O53" s="226">
        <f t="shared" si="2"/>
        <v>16.100000000000001</v>
      </c>
      <c r="P53" s="257">
        <f t="shared" si="3"/>
        <v>16.329999999999998</v>
      </c>
    </row>
    <row r="54" spans="1:16" x14ac:dyDescent="0.2">
      <c r="A54" s="240">
        <v>-22</v>
      </c>
      <c r="B54" s="231">
        <f>IF(C54&lt;0,(-C54)+2.38)</f>
        <v>2.7199999999999998</v>
      </c>
      <c r="C54" s="241">
        <f>(A54+20)*0.17</f>
        <v>-0.34</v>
      </c>
      <c r="E54" s="230">
        <v>-22</v>
      </c>
      <c r="F54" s="231">
        <f>G54+2.31</f>
        <v>2.46</v>
      </c>
      <c r="G54" s="230">
        <f>((-E54)-21)*0.15</f>
        <v>0.15</v>
      </c>
      <c r="I54" s="230">
        <v>-22</v>
      </c>
      <c r="J54" s="230">
        <v>-44</v>
      </c>
      <c r="K54" s="242"/>
      <c r="L54" s="227"/>
      <c r="M54" s="227"/>
      <c r="N54" s="242"/>
      <c r="O54" s="226">
        <f t="shared" si="2"/>
        <v>16.2</v>
      </c>
      <c r="P54" s="257">
        <f t="shared" si="3"/>
        <v>16.670000000000002</v>
      </c>
    </row>
    <row r="55" spans="1:16" x14ac:dyDescent="0.2">
      <c r="A55" s="243">
        <v>-21</v>
      </c>
      <c r="B55" s="233">
        <f>IF(C55&lt;0,(-C55)+2.38)</f>
        <v>2.5499999999999998</v>
      </c>
      <c r="C55" s="244">
        <f>(A55+20)*0.17</f>
        <v>-0.17</v>
      </c>
      <c r="E55" s="230">
        <v>-21</v>
      </c>
      <c r="F55" s="231">
        <f>G55+1.89</f>
        <v>2.31</v>
      </c>
      <c r="G55" s="230">
        <f>((-E55)-18)*0.14</f>
        <v>0.42000000000000004</v>
      </c>
      <c r="I55" s="230">
        <v>-21</v>
      </c>
      <c r="J55" s="230">
        <v>-43</v>
      </c>
      <c r="K55" s="242"/>
      <c r="L55" s="227"/>
      <c r="M55" s="227"/>
      <c r="N55" s="242"/>
      <c r="O55" s="226">
        <f t="shared" si="2"/>
        <v>17</v>
      </c>
      <c r="P55" s="257">
        <f t="shared" si="3"/>
        <v>17</v>
      </c>
    </row>
    <row r="56" spans="1:16" x14ac:dyDescent="0.2">
      <c r="A56" s="240">
        <v>-20</v>
      </c>
      <c r="B56" s="231">
        <f>IF(C56&lt;0,(-C56)+1.63)</f>
        <v>2.38</v>
      </c>
      <c r="C56" s="241">
        <f>(A56+15)*0.15</f>
        <v>-0.75</v>
      </c>
      <c r="E56" s="230">
        <v>-20</v>
      </c>
      <c r="F56" s="231">
        <f>G56+1.89</f>
        <v>2.17</v>
      </c>
      <c r="G56" s="230">
        <f>((-E56)-18)*0.14</f>
        <v>0.28000000000000003</v>
      </c>
      <c r="I56" s="230">
        <v>-20</v>
      </c>
      <c r="J56" s="230">
        <v>-42</v>
      </c>
      <c r="K56" s="242"/>
      <c r="L56" s="227"/>
      <c r="M56" s="227"/>
      <c r="N56" s="242"/>
      <c r="O56" s="226">
        <f t="shared" si="2"/>
        <v>17.100000000000001</v>
      </c>
      <c r="P56" s="257">
        <f t="shared" si="3"/>
        <v>17.329999999999998</v>
      </c>
    </row>
    <row r="57" spans="1:16" x14ac:dyDescent="0.2">
      <c r="A57" s="243">
        <v>-19</v>
      </c>
      <c r="B57" s="233">
        <f>IF(C57&lt;0,(-C57)+1.63)</f>
        <v>2.23</v>
      </c>
      <c r="C57" s="244">
        <f>(A57+15)*0.15</f>
        <v>-0.6</v>
      </c>
      <c r="E57" s="230">
        <v>-19</v>
      </c>
      <c r="F57" s="231">
        <f>G57+1.89</f>
        <v>2.0299999999999998</v>
      </c>
      <c r="G57" s="230">
        <f>((-E57)-18)*0.14</f>
        <v>0.14000000000000001</v>
      </c>
      <c r="I57" s="230">
        <v>-19</v>
      </c>
      <c r="J57" s="230">
        <v>-41</v>
      </c>
      <c r="K57" s="242"/>
      <c r="L57" s="227"/>
      <c r="M57" s="227"/>
      <c r="N57" s="242"/>
      <c r="O57" s="226">
        <f t="shared" si="2"/>
        <v>17.2</v>
      </c>
      <c r="P57" s="257">
        <f t="shared" si="3"/>
        <v>17.670000000000002</v>
      </c>
    </row>
    <row r="58" spans="1:16" x14ac:dyDescent="0.2">
      <c r="A58" s="240">
        <v>-18</v>
      </c>
      <c r="B58" s="231">
        <f>IF(C58&lt;0,(-C58)+1.63)</f>
        <v>2.08</v>
      </c>
      <c r="C58" s="241">
        <f>(A58+15)*0.15</f>
        <v>-0.44999999999999996</v>
      </c>
      <c r="E58" s="230">
        <v>-18</v>
      </c>
      <c r="F58" s="231">
        <f>G58+1.5</f>
        <v>1.8900000000000001</v>
      </c>
      <c r="G58" s="230">
        <f>((-E58)-15)*0.13</f>
        <v>0.39</v>
      </c>
      <c r="I58" s="230">
        <v>-18</v>
      </c>
      <c r="J58" s="230">
        <v>-36</v>
      </c>
      <c r="K58" s="242"/>
      <c r="L58" s="227"/>
      <c r="M58" s="227"/>
      <c r="N58" s="242"/>
      <c r="O58" s="226">
        <f t="shared" si="2"/>
        <v>18</v>
      </c>
      <c r="P58" s="257">
        <f t="shared" si="3"/>
        <v>18</v>
      </c>
    </row>
    <row r="59" spans="1:16" x14ac:dyDescent="0.2">
      <c r="A59" s="243">
        <v>-17</v>
      </c>
      <c r="B59" s="233">
        <f>IF(C59&lt;0,(-C59)+1.63)</f>
        <v>1.93</v>
      </c>
      <c r="C59" s="244">
        <f>(A59+15)*0.15</f>
        <v>-0.3</v>
      </c>
      <c r="E59" s="230">
        <v>-17</v>
      </c>
      <c r="F59" s="231">
        <f>G59+1.5</f>
        <v>1.76</v>
      </c>
      <c r="G59" s="230">
        <f>((-E59)-15)*0.13</f>
        <v>0.26</v>
      </c>
      <c r="I59" s="230">
        <v>-17</v>
      </c>
      <c r="J59" s="230">
        <v>-35</v>
      </c>
      <c r="K59" s="242"/>
      <c r="L59" s="227"/>
      <c r="M59" s="227"/>
      <c r="N59" s="242"/>
      <c r="O59" s="226">
        <f t="shared" si="2"/>
        <v>18.100000000000001</v>
      </c>
      <c r="P59" s="257">
        <f t="shared" si="3"/>
        <v>18.329999999999998</v>
      </c>
    </row>
    <row r="60" spans="1:16" x14ac:dyDescent="0.2">
      <c r="A60" s="240">
        <v>-16</v>
      </c>
      <c r="B60" s="231">
        <f>IF(C60&lt;0,(-C60)+1.63)</f>
        <v>1.7799999999999998</v>
      </c>
      <c r="C60" s="241">
        <f>(A60+15)*0.15</f>
        <v>-0.15</v>
      </c>
      <c r="E60" s="230">
        <v>-16</v>
      </c>
      <c r="F60" s="231">
        <f>G60+1.5</f>
        <v>1.63</v>
      </c>
      <c r="G60" s="230">
        <f>((-E60)-15)*0.13</f>
        <v>0.13</v>
      </c>
      <c r="I60" s="230">
        <v>-16</v>
      </c>
      <c r="J60" s="230">
        <v>-34</v>
      </c>
      <c r="K60" s="242"/>
      <c r="L60" s="227"/>
      <c r="M60" s="227"/>
      <c r="N60" s="242"/>
      <c r="O60" s="226">
        <f t="shared" si="2"/>
        <v>18.2</v>
      </c>
      <c r="P60" s="257">
        <f t="shared" si="3"/>
        <v>18.670000000000002</v>
      </c>
    </row>
    <row r="61" spans="1:16" x14ac:dyDescent="0.2">
      <c r="A61" s="243">
        <v>-15</v>
      </c>
      <c r="B61" s="233">
        <f>IF(C61&lt;0,(-C61)+0.98)</f>
        <v>1.63</v>
      </c>
      <c r="C61" s="244">
        <f>(A61+10)*0.13</f>
        <v>-0.65</v>
      </c>
      <c r="E61" s="230">
        <v>-15</v>
      </c>
      <c r="F61" s="231">
        <f>G61+1.14</f>
        <v>1.5</v>
      </c>
      <c r="G61" s="230">
        <f>((-E61)-12)*0.12</f>
        <v>0.36</v>
      </c>
      <c r="I61" s="230">
        <v>-15</v>
      </c>
      <c r="J61" s="230">
        <v>-33</v>
      </c>
      <c r="K61" s="242"/>
      <c r="L61" s="227"/>
      <c r="M61" s="227"/>
      <c r="N61" s="242"/>
      <c r="O61" s="226">
        <f t="shared" si="2"/>
        <v>19</v>
      </c>
      <c r="P61" s="257">
        <f t="shared" si="3"/>
        <v>19</v>
      </c>
    </row>
    <row r="62" spans="1:16" x14ac:dyDescent="0.2">
      <c r="A62" s="240">
        <v>-14</v>
      </c>
      <c r="B62" s="231">
        <f>IF(C62&lt;0,(-C62)+0.98)</f>
        <v>1.5</v>
      </c>
      <c r="C62" s="241">
        <f>(A62+10)*0.13</f>
        <v>-0.52</v>
      </c>
      <c r="E62" s="230">
        <v>-14</v>
      </c>
      <c r="F62" s="231">
        <f>G62+1.14</f>
        <v>1.38</v>
      </c>
      <c r="G62" s="230">
        <f>((-E62)-12)*0.12</f>
        <v>0.24</v>
      </c>
      <c r="I62" s="230">
        <v>-14</v>
      </c>
      <c r="J62" s="230">
        <v>-32</v>
      </c>
      <c r="K62" s="242"/>
      <c r="L62" s="227"/>
      <c r="M62" s="227"/>
      <c r="N62" s="242"/>
      <c r="O62" s="226">
        <f t="shared" si="2"/>
        <v>19.100000000000001</v>
      </c>
      <c r="P62" s="257">
        <f t="shared" si="3"/>
        <v>19.329999999999998</v>
      </c>
    </row>
    <row r="63" spans="1:16" x14ac:dyDescent="0.2">
      <c r="A63" s="243">
        <v>-13</v>
      </c>
      <c r="B63" s="233">
        <f>IF(C63&lt;0,(-C63)+0.98)</f>
        <v>1.37</v>
      </c>
      <c r="C63" s="244">
        <f>(A63+10)*0.13</f>
        <v>-0.39</v>
      </c>
      <c r="E63" s="230">
        <v>-13</v>
      </c>
      <c r="F63" s="231">
        <f>G63+1.14</f>
        <v>1.2599999999999998</v>
      </c>
      <c r="G63" s="230">
        <f>((-E63)-12)*0.12</f>
        <v>0.12</v>
      </c>
      <c r="I63" s="230">
        <v>-13</v>
      </c>
      <c r="J63" s="230">
        <v>-31</v>
      </c>
      <c r="K63" s="242"/>
      <c r="L63" s="227"/>
      <c r="M63" s="227"/>
      <c r="N63" s="242"/>
      <c r="O63" s="226">
        <f t="shared" si="2"/>
        <v>19.2</v>
      </c>
      <c r="P63" s="257">
        <f t="shared" si="3"/>
        <v>19.670000000000002</v>
      </c>
    </row>
    <row r="64" spans="1:16" x14ac:dyDescent="0.2">
      <c r="A64" s="240">
        <v>-12</v>
      </c>
      <c r="B64" s="231">
        <f>IF(C64&lt;0,(-C64)+0.98)</f>
        <v>1.24</v>
      </c>
      <c r="C64" s="241">
        <f>(A64+10)*0.13</f>
        <v>-0.26</v>
      </c>
      <c r="E64" s="230">
        <v>-12</v>
      </c>
      <c r="F64" s="231">
        <f>G64+0.81</f>
        <v>1.1400000000000001</v>
      </c>
      <c r="G64" s="230">
        <f>((-E64)-9)*0.11</f>
        <v>0.33</v>
      </c>
      <c r="I64" s="230">
        <v>-12</v>
      </c>
      <c r="J64" s="230">
        <v>-26</v>
      </c>
      <c r="K64" s="242"/>
      <c r="L64" s="227"/>
      <c r="M64" s="227"/>
      <c r="N64" s="242"/>
      <c r="O64" s="226">
        <f t="shared" si="2"/>
        <v>20</v>
      </c>
      <c r="P64" s="257">
        <f t="shared" si="3"/>
        <v>20</v>
      </c>
    </row>
    <row r="65" spans="1:16" x14ac:dyDescent="0.2">
      <c r="A65" s="243">
        <v>-11</v>
      </c>
      <c r="B65" s="233">
        <f>IF(C65&lt;0,(-C65)+0.98)</f>
        <v>1.1099999999999999</v>
      </c>
      <c r="C65" s="244">
        <f>(A65+10)*0.13</f>
        <v>-0.13</v>
      </c>
      <c r="E65" s="230">
        <v>-11</v>
      </c>
      <c r="F65" s="231">
        <f>G65+0.81</f>
        <v>1.03</v>
      </c>
      <c r="G65" s="230">
        <f>((-E65)-9)*0.11</f>
        <v>0.22</v>
      </c>
      <c r="I65" s="230">
        <v>-11</v>
      </c>
      <c r="J65" s="230">
        <v>-25</v>
      </c>
      <c r="K65" s="242"/>
      <c r="L65" s="227"/>
      <c r="M65" s="227"/>
      <c r="N65" s="242"/>
      <c r="O65" s="226">
        <f t="shared" si="2"/>
        <v>20.100000000000001</v>
      </c>
      <c r="P65" s="257">
        <f t="shared" si="3"/>
        <v>20.329999999999998</v>
      </c>
    </row>
    <row r="66" spans="1:16" x14ac:dyDescent="0.2">
      <c r="A66" s="240">
        <v>-10</v>
      </c>
      <c r="B66" s="231">
        <f>IF(C66&lt;0,(-C66)+0.54)</f>
        <v>0.98</v>
      </c>
      <c r="C66" s="241">
        <f>(A66+6)*0.11</f>
        <v>-0.44</v>
      </c>
      <c r="E66" s="230">
        <v>-10</v>
      </c>
      <c r="F66" s="231">
        <f>G66+0.81</f>
        <v>0.92</v>
      </c>
      <c r="G66" s="230">
        <f>((-E66)-9)*0.11</f>
        <v>0.11</v>
      </c>
      <c r="I66" s="230">
        <v>-10</v>
      </c>
      <c r="J66" s="230">
        <v>-24</v>
      </c>
      <c r="K66" s="242"/>
      <c r="L66" s="227"/>
      <c r="M66" s="227"/>
      <c r="N66" s="242"/>
      <c r="O66" s="226">
        <f t="shared" si="2"/>
        <v>20.2</v>
      </c>
      <c r="P66" s="257">
        <f t="shared" si="3"/>
        <v>20.67</v>
      </c>
    </row>
    <row r="67" spans="1:16" x14ac:dyDescent="0.2">
      <c r="A67" s="243">
        <v>-9</v>
      </c>
      <c r="B67" s="233">
        <f>IF(C67&lt;0,(-C67)+0.54)</f>
        <v>0.87000000000000011</v>
      </c>
      <c r="C67" s="244">
        <f>(A67+6)*0.11</f>
        <v>-0.33</v>
      </c>
      <c r="E67" s="230">
        <v>-9</v>
      </c>
      <c r="F67" s="231">
        <f>G67+0.51</f>
        <v>0.81</v>
      </c>
      <c r="G67" s="230">
        <f>((-E67)-6)*0.1</f>
        <v>0.30000000000000004</v>
      </c>
      <c r="I67" s="230">
        <v>-9</v>
      </c>
      <c r="J67" s="230">
        <v>-23</v>
      </c>
      <c r="K67" s="242"/>
      <c r="L67" s="227"/>
      <c r="M67" s="227"/>
      <c r="N67" s="242"/>
      <c r="O67" s="226">
        <f t="shared" si="2"/>
        <v>21</v>
      </c>
      <c r="P67" s="257">
        <f t="shared" si="3"/>
        <v>21</v>
      </c>
    </row>
    <row r="68" spans="1:16" x14ac:dyDescent="0.2">
      <c r="A68" s="240">
        <v>-8</v>
      </c>
      <c r="B68" s="231">
        <f>IF(C68&lt;0,(-C68)+0.54)</f>
        <v>0.76</v>
      </c>
      <c r="C68" s="241">
        <f>(A68+6)*0.11</f>
        <v>-0.22</v>
      </c>
      <c r="E68" s="230">
        <v>-8</v>
      </c>
      <c r="F68" s="231">
        <f>G68+0.51</f>
        <v>0.71</v>
      </c>
      <c r="G68" s="230">
        <f>((-E68)-6)*0.1</f>
        <v>0.2</v>
      </c>
      <c r="I68" s="230">
        <v>-8</v>
      </c>
      <c r="J68" s="230">
        <v>-22</v>
      </c>
      <c r="K68" s="242"/>
      <c r="L68" s="227"/>
      <c r="M68" s="227"/>
      <c r="N68" s="242"/>
      <c r="O68" s="226">
        <f t="shared" si="2"/>
        <v>21.1</v>
      </c>
      <c r="P68" s="257">
        <f t="shared" si="3"/>
        <v>21.33</v>
      </c>
    </row>
    <row r="69" spans="1:16" x14ac:dyDescent="0.2">
      <c r="A69" s="243">
        <v>-7</v>
      </c>
      <c r="B69" s="233">
        <f>IF(C69&lt;0,(-C69)+0.54)</f>
        <v>0.65</v>
      </c>
      <c r="C69" s="244">
        <f>(A69+6)*0.11</f>
        <v>-0.11</v>
      </c>
      <c r="E69" s="230">
        <v>-7</v>
      </c>
      <c r="F69" s="231">
        <f>G69+0.51</f>
        <v>0.61</v>
      </c>
      <c r="G69" s="230">
        <f>((-E69)-6)*0.1</f>
        <v>0.1</v>
      </c>
      <c r="I69" s="230">
        <v>-7</v>
      </c>
      <c r="J69" s="230">
        <v>-21</v>
      </c>
      <c r="K69" s="242"/>
      <c r="L69" s="227"/>
      <c r="M69" s="227"/>
      <c r="N69" s="242"/>
      <c r="O69" s="226">
        <f t="shared" si="2"/>
        <v>21.2</v>
      </c>
      <c r="P69" s="257">
        <f t="shared" si="3"/>
        <v>21.67</v>
      </c>
    </row>
    <row r="70" spans="1:16" x14ac:dyDescent="0.2">
      <c r="A70" s="240">
        <v>-6</v>
      </c>
      <c r="B70" s="231">
        <f t="shared" ref="B70:B75" si="14">IF(C70&lt;0,(-C70))</f>
        <v>0.54</v>
      </c>
      <c r="C70" s="241">
        <f t="shared" ref="C70:C75" si="15">A70*0.09</f>
        <v>-0.54</v>
      </c>
      <c r="E70" s="230">
        <v>-6</v>
      </c>
      <c r="F70" s="231">
        <f>G70+0.24</f>
        <v>0.51</v>
      </c>
      <c r="G70" s="230">
        <f>((-E70)-3)*0.09</f>
        <v>0.27</v>
      </c>
      <c r="I70" s="230">
        <v>-6</v>
      </c>
      <c r="J70" s="230">
        <v>-16</v>
      </c>
      <c r="K70" s="242"/>
      <c r="L70" s="227"/>
      <c r="M70" s="227"/>
      <c r="N70" s="242"/>
      <c r="O70" s="226">
        <f t="shared" si="2"/>
        <v>22</v>
      </c>
      <c r="P70" s="257">
        <f t="shared" si="3"/>
        <v>22</v>
      </c>
    </row>
    <row r="71" spans="1:16" x14ac:dyDescent="0.2">
      <c r="A71" s="243">
        <v>-5</v>
      </c>
      <c r="B71" s="233">
        <f t="shared" si="14"/>
        <v>0.44999999999999996</v>
      </c>
      <c r="C71" s="244">
        <f t="shared" si="15"/>
        <v>-0.44999999999999996</v>
      </c>
      <c r="E71" s="230">
        <v>-5</v>
      </c>
      <c r="F71" s="231">
        <f>G71+0.24</f>
        <v>0.42</v>
      </c>
      <c r="G71" s="230">
        <f>((-E71)-3)*0.09</f>
        <v>0.18</v>
      </c>
      <c r="I71" s="230">
        <v>-5</v>
      </c>
      <c r="J71" s="230">
        <v>-15</v>
      </c>
      <c r="K71" s="242"/>
      <c r="L71" s="227"/>
      <c r="M71" s="227"/>
      <c r="N71" s="242"/>
      <c r="O71" s="226">
        <f t="shared" si="2"/>
        <v>22.1</v>
      </c>
      <c r="P71" s="257">
        <f t="shared" si="3"/>
        <v>22.33</v>
      </c>
    </row>
    <row r="72" spans="1:16" x14ac:dyDescent="0.2">
      <c r="A72" s="240">
        <v>-4</v>
      </c>
      <c r="B72" s="231">
        <f t="shared" si="14"/>
        <v>0.36</v>
      </c>
      <c r="C72" s="241">
        <f t="shared" si="15"/>
        <v>-0.36</v>
      </c>
      <c r="E72" s="230">
        <v>-4</v>
      </c>
      <c r="F72" s="231">
        <f>G72+0.24</f>
        <v>0.32999999999999996</v>
      </c>
      <c r="G72" s="230">
        <f>((-E72)-3)*0.09</f>
        <v>0.09</v>
      </c>
      <c r="I72" s="230">
        <v>-4</v>
      </c>
      <c r="J72" s="230">
        <v>-14</v>
      </c>
      <c r="K72" s="242"/>
      <c r="L72" s="227"/>
      <c r="M72" s="227"/>
      <c r="N72" s="242"/>
      <c r="O72" s="226">
        <f t="shared" ref="O72:O135" si="16">$O69+1</f>
        <v>22.2</v>
      </c>
      <c r="P72" s="257">
        <f t="shared" ref="P72:P135" si="17">$P69+1</f>
        <v>22.67</v>
      </c>
    </row>
    <row r="73" spans="1:16" x14ac:dyDescent="0.2">
      <c r="A73" s="243">
        <v>-3</v>
      </c>
      <c r="B73" s="233">
        <f t="shared" si="14"/>
        <v>0.27</v>
      </c>
      <c r="C73" s="244">
        <f t="shared" si="15"/>
        <v>-0.27</v>
      </c>
      <c r="E73" s="230">
        <v>-3</v>
      </c>
      <c r="F73" s="231">
        <f>IF(G73&lt;0,(-G73))</f>
        <v>0.24</v>
      </c>
      <c r="G73" s="230">
        <f>E73*0.08</f>
        <v>-0.24</v>
      </c>
      <c r="I73" s="230">
        <v>-3</v>
      </c>
      <c r="J73" s="230">
        <v>-13</v>
      </c>
      <c r="K73" s="242"/>
      <c r="L73" s="227"/>
      <c r="M73" s="227"/>
      <c r="N73" s="242"/>
      <c r="O73" s="226">
        <f t="shared" si="16"/>
        <v>23</v>
      </c>
      <c r="P73" s="257">
        <f t="shared" si="17"/>
        <v>23</v>
      </c>
    </row>
    <row r="74" spans="1:16" x14ac:dyDescent="0.2">
      <c r="A74" s="240">
        <v>-2</v>
      </c>
      <c r="B74" s="231">
        <f t="shared" si="14"/>
        <v>0.18</v>
      </c>
      <c r="C74" s="241">
        <f t="shared" si="15"/>
        <v>-0.18</v>
      </c>
      <c r="E74" s="230">
        <v>-2</v>
      </c>
      <c r="F74" s="231">
        <f>IF(G74&lt;0,(-G74))</f>
        <v>0.16</v>
      </c>
      <c r="G74" s="230">
        <f>E74*0.08</f>
        <v>-0.16</v>
      </c>
      <c r="I74" s="230">
        <v>-2</v>
      </c>
      <c r="J74" s="230">
        <v>-12</v>
      </c>
      <c r="K74" s="242"/>
      <c r="L74" s="227"/>
      <c r="M74" s="227"/>
      <c r="N74" s="242"/>
      <c r="O74" s="226">
        <f t="shared" si="16"/>
        <v>23.1</v>
      </c>
      <c r="P74" s="257">
        <f t="shared" si="17"/>
        <v>23.33</v>
      </c>
    </row>
    <row r="75" spans="1:16" x14ac:dyDescent="0.2">
      <c r="A75" s="243">
        <v>-1</v>
      </c>
      <c r="B75" s="233">
        <f t="shared" si="14"/>
        <v>0.09</v>
      </c>
      <c r="C75" s="244">
        <f t="shared" si="15"/>
        <v>-0.09</v>
      </c>
      <c r="E75" s="230">
        <v>-1</v>
      </c>
      <c r="F75" s="231">
        <f>IF(G75&lt;0,(-G75))</f>
        <v>0.08</v>
      </c>
      <c r="G75" s="230">
        <f>E75*0.08</f>
        <v>-0.08</v>
      </c>
      <c r="I75" s="230">
        <v>-1</v>
      </c>
      <c r="J75" s="230">
        <v>-11</v>
      </c>
      <c r="K75" s="242"/>
      <c r="L75" s="227"/>
      <c r="M75" s="227"/>
      <c r="N75" s="242"/>
      <c r="O75" s="226">
        <f t="shared" si="16"/>
        <v>23.2</v>
      </c>
      <c r="P75" s="257">
        <f t="shared" si="17"/>
        <v>23.67</v>
      </c>
    </row>
    <row r="76" spans="1:16" x14ac:dyDescent="0.2">
      <c r="A76" s="232">
        <v>0</v>
      </c>
      <c r="B76" s="233">
        <f>A76*(-0.08)</f>
        <v>0</v>
      </c>
      <c r="C76" s="232">
        <v>0</v>
      </c>
      <c r="E76" s="230">
        <v>0</v>
      </c>
      <c r="F76" s="231">
        <f>E76*(-0.07)</f>
        <v>0</v>
      </c>
      <c r="G76" s="230">
        <v>0</v>
      </c>
      <c r="I76" s="230">
        <v>0</v>
      </c>
      <c r="J76" s="230">
        <v>0</v>
      </c>
      <c r="K76" s="242"/>
      <c r="L76" s="8"/>
      <c r="M76" s="8"/>
      <c r="N76" s="242"/>
      <c r="O76" s="226">
        <f t="shared" si="16"/>
        <v>24</v>
      </c>
      <c r="P76" s="257">
        <f t="shared" si="17"/>
        <v>24</v>
      </c>
    </row>
    <row r="77" spans="1:16" x14ac:dyDescent="0.2">
      <c r="A77" s="231"/>
      <c r="O77" s="226">
        <f t="shared" si="16"/>
        <v>24.1</v>
      </c>
      <c r="P77" s="257">
        <f t="shared" si="17"/>
        <v>24.33</v>
      </c>
    </row>
    <row r="78" spans="1:16" x14ac:dyDescent="0.2">
      <c r="A78" s="231"/>
      <c r="O78" s="226">
        <f t="shared" si="16"/>
        <v>24.2</v>
      </c>
      <c r="P78" s="257">
        <f t="shared" si="17"/>
        <v>24.67</v>
      </c>
    </row>
    <row r="79" spans="1:16" x14ac:dyDescent="0.2">
      <c r="A79" s="231"/>
      <c r="O79" s="226">
        <f t="shared" si="16"/>
        <v>25</v>
      </c>
      <c r="P79" s="257">
        <f t="shared" si="17"/>
        <v>25</v>
      </c>
    </row>
    <row r="80" spans="1:16" x14ac:dyDescent="0.2">
      <c r="A80" s="231"/>
      <c r="O80" s="226">
        <f t="shared" si="16"/>
        <v>25.1</v>
      </c>
      <c r="P80" s="257">
        <f t="shared" si="17"/>
        <v>25.33</v>
      </c>
    </row>
    <row r="81" spans="1:16" x14ac:dyDescent="0.2">
      <c r="A81" s="231"/>
      <c r="O81" s="226">
        <f t="shared" si="16"/>
        <v>25.2</v>
      </c>
      <c r="P81" s="257">
        <f t="shared" si="17"/>
        <v>25.67</v>
      </c>
    </row>
    <row r="82" spans="1:16" x14ac:dyDescent="0.2">
      <c r="A82" s="231"/>
      <c r="O82" s="226">
        <f t="shared" si="16"/>
        <v>26</v>
      </c>
      <c r="P82" s="257">
        <f t="shared" si="17"/>
        <v>26</v>
      </c>
    </row>
    <row r="83" spans="1:16" x14ac:dyDescent="0.2">
      <c r="A83" s="231"/>
      <c r="O83" s="226">
        <f t="shared" si="16"/>
        <v>26.1</v>
      </c>
      <c r="P83" s="257">
        <f t="shared" si="17"/>
        <v>26.33</v>
      </c>
    </row>
    <row r="84" spans="1:16" x14ac:dyDescent="0.2">
      <c r="A84" s="231"/>
      <c r="O84" s="226">
        <f t="shared" si="16"/>
        <v>26.2</v>
      </c>
      <c r="P84" s="257">
        <f t="shared" si="17"/>
        <v>26.67</v>
      </c>
    </row>
    <row r="85" spans="1:16" x14ac:dyDescent="0.2">
      <c r="A85" s="231"/>
      <c r="O85" s="226">
        <f t="shared" si="16"/>
        <v>27</v>
      </c>
      <c r="P85" s="257">
        <f t="shared" si="17"/>
        <v>27</v>
      </c>
    </row>
    <row r="86" spans="1:16" x14ac:dyDescent="0.2">
      <c r="A86" s="231"/>
      <c r="O86" s="226">
        <f t="shared" si="16"/>
        <v>27.1</v>
      </c>
      <c r="P86" s="257">
        <f t="shared" si="17"/>
        <v>27.33</v>
      </c>
    </row>
    <row r="87" spans="1:16" x14ac:dyDescent="0.2">
      <c r="A87" s="231"/>
      <c r="O87" s="226">
        <f t="shared" si="16"/>
        <v>27.2</v>
      </c>
      <c r="P87" s="257">
        <f t="shared" si="17"/>
        <v>27.67</v>
      </c>
    </row>
    <row r="88" spans="1:16" x14ac:dyDescent="0.2">
      <c r="A88" s="231"/>
      <c r="O88" s="226">
        <f t="shared" si="16"/>
        <v>28</v>
      </c>
      <c r="P88" s="257">
        <f t="shared" si="17"/>
        <v>28</v>
      </c>
    </row>
    <row r="89" spans="1:16" x14ac:dyDescent="0.2">
      <c r="A89" s="231"/>
      <c r="O89" s="226">
        <f t="shared" si="16"/>
        <v>28.1</v>
      </c>
      <c r="P89" s="257">
        <f t="shared" si="17"/>
        <v>28.33</v>
      </c>
    </row>
    <row r="90" spans="1:16" x14ac:dyDescent="0.2">
      <c r="A90" s="231"/>
      <c r="O90" s="226">
        <f t="shared" si="16"/>
        <v>28.2</v>
      </c>
      <c r="P90" s="257">
        <f t="shared" si="17"/>
        <v>28.67</v>
      </c>
    </row>
    <row r="91" spans="1:16" x14ac:dyDescent="0.2">
      <c r="A91" s="231"/>
      <c r="O91" s="226">
        <f t="shared" si="16"/>
        <v>29</v>
      </c>
      <c r="P91" s="257">
        <f t="shared" si="17"/>
        <v>29</v>
      </c>
    </row>
    <row r="92" spans="1:16" x14ac:dyDescent="0.2">
      <c r="A92" s="231"/>
      <c r="O92" s="226">
        <f t="shared" si="16"/>
        <v>29.1</v>
      </c>
      <c r="P92" s="257">
        <f t="shared" si="17"/>
        <v>29.33</v>
      </c>
    </row>
    <row r="93" spans="1:16" x14ac:dyDescent="0.2">
      <c r="A93" s="231"/>
      <c r="O93" s="226">
        <f t="shared" si="16"/>
        <v>29.2</v>
      </c>
      <c r="P93" s="257">
        <f t="shared" si="17"/>
        <v>29.67</v>
      </c>
    </row>
    <row r="94" spans="1:16" x14ac:dyDescent="0.2">
      <c r="A94" s="231"/>
      <c r="O94" s="226">
        <f t="shared" si="16"/>
        <v>30</v>
      </c>
      <c r="P94" s="257">
        <f t="shared" si="17"/>
        <v>30</v>
      </c>
    </row>
    <row r="95" spans="1:16" x14ac:dyDescent="0.2">
      <c r="A95" s="231"/>
      <c r="O95" s="226">
        <f t="shared" si="16"/>
        <v>30.1</v>
      </c>
      <c r="P95" s="257">
        <f t="shared" si="17"/>
        <v>30.33</v>
      </c>
    </row>
    <row r="96" spans="1:16" x14ac:dyDescent="0.2">
      <c r="A96" s="231"/>
      <c r="O96" s="226">
        <f t="shared" si="16"/>
        <v>30.2</v>
      </c>
      <c r="P96" s="257">
        <f t="shared" si="17"/>
        <v>30.67</v>
      </c>
    </row>
    <row r="97" spans="1:16" x14ac:dyDescent="0.2">
      <c r="A97" s="231"/>
      <c r="O97" s="226">
        <f t="shared" si="16"/>
        <v>31</v>
      </c>
      <c r="P97" s="257">
        <f t="shared" si="17"/>
        <v>31</v>
      </c>
    </row>
    <row r="98" spans="1:16" x14ac:dyDescent="0.2">
      <c r="A98" s="231"/>
      <c r="O98" s="226">
        <f t="shared" si="16"/>
        <v>31.1</v>
      </c>
      <c r="P98" s="257">
        <f t="shared" si="17"/>
        <v>31.33</v>
      </c>
    </row>
    <row r="99" spans="1:16" x14ac:dyDescent="0.2">
      <c r="A99" s="231"/>
      <c r="O99" s="226">
        <f t="shared" si="16"/>
        <v>31.2</v>
      </c>
      <c r="P99" s="257">
        <f t="shared" si="17"/>
        <v>31.67</v>
      </c>
    </row>
    <row r="100" spans="1:16" x14ac:dyDescent="0.2">
      <c r="A100" s="231"/>
      <c r="O100" s="226">
        <f t="shared" si="16"/>
        <v>32</v>
      </c>
      <c r="P100" s="257">
        <f t="shared" si="17"/>
        <v>32</v>
      </c>
    </row>
    <row r="101" spans="1:16" x14ac:dyDescent="0.2">
      <c r="A101" s="231"/>
      <c r="O101" s="226">
        <f t="shared" si="16"/>
        <v>32.1</v>
      </c>
      <c r="P101" s="257">
        <f t="shared" si="17"/>
        <v>32.33</v>
      </c>
    </row>
    <row r="102" spans="1:16" x14ac:dyDescent="0.2">
      <c r="A102" s="231"/>
      <c r="O102" s="226">
        <f t="shared" si="16"/>
        <v>32.200000000000003</v>
      </c>
      <c r="P102" s="257">
        <f t="shared" si="17"/>
        <v>32.67</v>
      </c>
    </row>
    <row r="103" spans="1:16" x14ac:dyDescent="0.2">
      <c r="A103" s="231"/>
      <c r="O103" s="226">
        <f t="shared" si="16"/>
        <v>33</v>
      </c>
      <c r="P103" s="257">
        <f t="shared" si="17"/>
        <v>33</v>
      </c>
    </row>
    <row r="104" spans="1:16" x14ac:dyDescent="0.2">
      <c r="A104" s="231"/>
      <c r="O104" s="226">
        <f t="shared" si="16"/>
        <v>33.1</v>
      </c>
      <c r="P104" s="257">
        <f t="shared" si="17"/>
        <v>33.33</v>
      </c>
    </row>
    <row r="105" spans="1:16" x14ac:dyDescent="0.2">
      <c r="A105" s="231"/>
      <c r="O105" s="226">
        <f t="shared" si="16"/>
        <v>33.200000000000003</v>
      </c>
      <c r="P105" s="257">
        <f t="shared" si="17"/>
        <v>33.67</v>
      </c>
    </row>
    <row r="106" spans="1:16" x14ac:dyDescent="0.2">
      <c r="A106" s="231"/>
      <c r="O106" s="226">
        <f t="shared" si="16"/>
        <v>34</v>
      </c>
      <c r="P106" s="257">
        <f t="shared" si="17"/>
        <v>34</v>
      </c>
    </row>
    <row r="107" spans="1:16" x14ac:dyDescent="0.2">
      <c r="A107" s="231"/>
      <c r="O107" s="226">
        <f t="shared" si="16"/>
        <v>34.1</v>
      </c>
      <c r="P107" s="257">
        <f t="shared" si="17"/>
        <v>34.33</v>
      </c>
    </row>
    <row r="108" spans="1:16" x14ac:dyDescent="0.2">
      <c r="A108" s="231"/>
      <c r="O108" s="226">
        <f t="shared" si="16"/>
        <v>34.200000000000003</v>
      </c>
      <c r="P108" s="257">
        <f t="shared" si="17"/>
        <v>34.67</v>
      </c>
    </row>
    <row r="109" spans="1:16" x14ac:dyDescent="0.2">
      <c r="A109" s="231"/>
      <c r="O109" s="226">
        <f t="shared" si="16"/>
        <v>35</v>
      </c>
      <c r="P109" s="257">
        <f t="shared" si="17"/>
        <v>35</v>
      </c>
    </row>
    <row r="110" spans="1:16" x14ac:dyDescent="0.2">
      <c r="A110" s="231"/>
      <c r="O110" s="226">
        <f t="shared" si="16"/>
        <v>35.1</v>
      </c>
      <c r="P110" s="257">
        <f t="shared" si="17"/>
        <v>35.33</v>
      </c>
    </row>
    <row r="111" spans="1:16" x14ac:dyDescent="0.2">
      <c r="A111" s="231"/>
      <c r="O111" s="226">
        <f t="shared" si="16"/>
        <v>35.200000000000003</v>
      </c>
      <c r="P111" s="257">
        <f t="shared" si="17"/>
        <v>35.67</v>
      </c>
    </row>
    <row r="112" spans="1:16" x14ac:dyDescent="0.2">
      <c r="A112" s="231"/>
      <c r="O112" s="226">
        <f t="shared" si="16"/>
        <v>36</v>
      </c>
      <c r="P112" s="257">
        <f t="shared" si="17"/>
        <v>36</v>
      </c>
    </row>
    <row r="113" spans="1:16" x14ac:dyDescent="0.2">
      <c r="A113" s="231"/>
      <c r="O113" s="226">
        <f t="shared" si="16"/>
        <v>36.1</v>
      </c>
      <c r="P113" s="257">
        <f t="shared" si="17"/>
        <v>36.33</v>
      </c>
    </row>
    <row r="114" spans="1:16" x14ac:dyDescent="0.2">
      <c r="A114" s="231"/>
      <c r="O114" s="226">
        <f t="shared" si="16"/>
        <v>36.200000000000003</v>
      </c>
      <c r="P114" s="257">
        <f t="shared" si="17"/>
        <v>36.67</v>
      </c>
    </row>
    <row r="115" spans="1:16" x14ac:dyDescent="0.2">
      <c r="A115" s="231"/>
      <c r="O115" s="226">
        <f t="shared" si="16"/>
        <v>37</v>
      </c>
      <c r="P115" s="257">
        <f t="shared" si="17"/>
        <v>37</v>
      </c>
    </row>
    <row r="116" spans="1:16" x14ac:dyDescent="0.2">
      <c r="A116" s="231"/>
      <c r="O116" s="226">
        <f t="shared" si="16"/>
        <v>37.1</v>
      </c>
      <c r="P116" s="257">
        <f t="shared" si="17"/>
        <v>37.33</v>
      </c>
    </row>
    <row r="117" spans="1:16" x14ac:dyDescent="0.2">
      <c r="A117" s="231"/>
      <c r="O117" s="226">
        <f t="shared" si="16"/>
        <v>37.200000000000003</v>
      </c>
      <c r="P117" s="257">
        <f t="shared" si="17"/>
        <v>37.67</v>
      </c>
    </row>
    <row r="118" spans="1:16" x14ac:dyDescent="0.2">
      <c r="A118" s="231"/>
      <c r="O118" s="226">
        <f t="shared" si="16"/>
        <v>38</v>
      </c>
      <c r="P118" s="257">
        <f t="shared" si="17"/>
        <v>38</v>
      </c>
    </row>
    <row r="119" spans="1:16" x14ac:dyDescent="0.2">
      <c r="A119" s="231"/>
      <c r="O119" s="226">
        <f t="shared" si="16"/>
        <v>38.1</v>
      </c>
      <c r="P119" s="257">
        <f t="shared" si="17"/>
        <v>38.33</v>
      </c>
    </row>
    <row r="120" spans="1:16" x14ac:dyDescent="0.2">
      <c r="A120" s="231"/>
      <c r="O120" s="226">
        <f t="shared" si="16"/>
        <v>38.200000000000003</v>
      </c>
      <c r="P120" s="257">
        <f t="shared" si="17"/>
        <v>38.67</v>
      </c>
    </row>
    <row r="121" spans="1:16" x14ac:dyDescent="0.2">
      <c r="A121" s="231"/>
      <c r="O121" s="226">
        <f t="shared" si="16"/>
        <v>39</v>
      </c>
      <c r="P121" s="257">
        <f t="shared" si="17"/>
        <v>39</v>
      </c>
    </row>
    <row r="122" spans="1:16" x14ac:dyDescent="0.2">
      <c r="A122" s="231"/>
      <c r="O122" s="226">
        <f t="shared" si="16"/>
        <v>39.1</v>
      </c>
      <c r="P122" s="257">
        <f t="shared" si="17"/>
        <v>39.33</v>
      </c>
    </row>
    <row r="123" spans="1:16" x14ac:dyDescent="0.2">
      <c r="A123" s="231"/>
      <c r="O123" s="226">
        <f t="shared" si="16"/>
        <v>39.200000000000003</v>
      </c>
      <c r="P123" s="257">
        <f t="shared" si="17"/>
        <v>39.67</v>
      </c>
    </row>
    <row r="124" spans="1:16" x14ac:dyDescent="0.2">
      <c r="A124" s="231"/>
      <c r="O124" s="226">
        <f t="shared" si="16"/>
        <v>40</v>
      </c>
      <c r="P124" s="257">
        <f t="shared" si="17"/>
        <v>40</v>
      </c>
    </row>
    <row r="125" spans="1:16" x14ac:dyDescent="0.2">
      <c r="A125" s="231"/>
      <c r="O125" s="226">
        <f t="shared" si="16"/>
        <v>40.1</v>
      </c>
      <c r="P125" s="257">
        <f t="shared" si="17"/>
        <v>40.33</v>
      </c>
    </row>
    <row r="126" spans="1:16" x14ac:dyDescent="0.2">
      <c r="A126" s="231"/>
      <c r="O126" s="226">
        <f t="shared" si="16"/>
        <v>40.200000000000003</v>
      </c>
      <c r="P126" s="257">
        <f t="shared" si="17"/>
        <v>40.67</v>
      </c>
    </row>
    <row r="127" spans="1:16" x14ac:dyDescent="0.2">
      <c r="O127" s="226">
        <f t="shared" si="16"/>
        <v>41</v>
      </c>
      <c r="P127" s="257">
        <f t="shared" si="17"/>
        <v>41</v>
      </c>
    </row>
    <row r="128" spans="1:16" x14ac:dyDescent="0.2">
      <c r="O128" s="226">
        <f t="shared" si="16"/>
        <v>41.1</v>
      </c>
      <c r="P128" s="257">
        <f t="shared" si="17"/>
        <v>41.33</v>
      </c>
    </row>
    <row r="129" spans="15:16" x14ac:dyDescent="0.2">
      <c r="O129" s="226">
        <f t="shared" si="16"/>
        <v>41.2</v>
      </c>
      <c r="P129" s="257">
        <f t="shared" si="17"/>
        <v>41.67</v>
      </c>
    </row>
    <row r="130" spans="15:16" x14ac:dyDescent="0.2">
      <c r="O130" s="226">
        <f t="shared" si="16"/>
        <v>42</v>
      </c>
      <c r="P130" s="257">
        <f t="shared" si="17"/>
        <v>42</v>
      </c>
    </row>
    <row r="131" spans="15:16" x14ac:dyDescent="0.2">
      <c r="O131" s="226">
        <f t="shared" si="16"/>
        <v>42.1</v>
      </c>
      <c r="P131" s="257">
        <f t="shared" si="17"/>
        <v>42.33</v>
      </c>
    </row>
    <row r="132" spans="15:16" x14ac:dyDescent="0.2">
      <c r="O132" s="226">
        <f t="shared" si="16"/>
        <v>42.2</v>
      </c>
      <c r="P132" s="257">
        <f t="shared" si="17"/>
        <v>42.67</v>
      </c>
    </row>
    <row r="133" spans="15:16" x14ac:dyDescent="0.2">
      <c r="O133" s="226">
        <f t="shared" si="16"/>
        <v>43</v>
      </c>
      <c r="P133" s="257">
        <f t="shared" si="17"/>
        <v>43</v>
      </c>
    </row>
    <row r="134" spans="15:16" x14ac:dyDescent="0.2">
      <c r="O134" s="226">
        <f t="shared" si="16"/>
        <v>43.1</v>
      </c>
      <c r="P134" s="257">
        <f t="shared" si="17"/>
        <v>43.33</v>
      </c>
    </row>
    <row r="135" spans="15:16" x14ac:dyDescent="0.2">
      <c r="O135" s="226">
        <f t="shared" si="16"/>
        <v>43.2</v>
      </c>
      <c r="P135" s="257">
        <f t="shared" si="17"/>
        <v>43.67</v>
      </c>
    </row>
    <row r="136" spans="15:16" x14ac:dyDescent="0.2">
      <c r="O136" s="226">
        <f t="shared" ref="O136:O199" si="18">$O133+1</f>
        <v>44</v>
      </c>
      <c r="P136" s="257">
        <f t="shared" ref="P136:P199" si="19">$P133+1</f>
        <v>44</v>
      </c>
    </row>
    <row r="137" spans="15:16" x14ac:dyDescent="0.2">
      <c r="O137" s="226">
        <f t="shared" si="18"/>
        <v>44.1</v>
      </c>
      <c r="P137" s="257">
        <f t="shared" si="19"/>
        <v>44.33</v>
      </c>
    </row>
    <row r="138" spans="15:16" x14ac:dyDescent="0.2">
      <c r="O138" s="226">
        <f t="shared" si="18"/>
        <v>44.2</v>
      </c>
      <c r="P138" s="257">
        <f t="shared" si="19"/>
        <v>44.67</v>
      </c>
    </row>
    <row r="139" spans="15:16" x14ac:dyDescent="0.2">
      <c r="O139" s="226">
        <f t="shared" si="18"/>
        <v>45</v>
      </c>
      <c r="P139" s="257">
        <f t="shared" si="19"/>
        <v>45</v>
      </c>
    </row>
    <row r="140" spans="15:16" x14ac:dyDescent="0.2">
      <c r="O140" s="226">
        <f t="shared" si="18"/>
        <v>45.1</v>
      </c>
      <c r="P140" s="257">
        <f t="shared" si="19"/>
        <v>45.33</v>
      </c>
    </row>
    <row r="141" spans="15:16" x14ac:dyDescent="0.2">
      <c r="O141" s="226">
        <f t="shared" si="18"/>
        <v>45.2</v>
      </c>
      <c r="P141" s="257">
        <f t="shared" si="19"/>
        <v>45.67</v>
      </c>
    </row>
    <row r="142" spans="15:16" x14ac:dyDescent="0.2">
      <c r="O142" s="226">
        <f t="shared" si="18"/>
        <v>46</v>
      </c>
      <c r="P142" s="257">
        <f t="shared" si="19"/>
        <v>46</v>
      </c>
    </row>
    <row r="143" spans="15:16" x14ac:dyDescent="0.2">
      <c r="O143" s="226">
        <f t="shared" si="18"/>
        <v>46.1</v>
      </c>
      <c r="P143" s="257">
        <f t="shared" si="19"/>
        <v>46.33</v>
      </c>
    </row>
    <row r="144" spans="15:16" x14ac:dyDescent="0.2">
      <c r="O144" s="226">
        <f t="shared" si="18"/>
        <v>46.2</v>
      </c>
      <c r="P144" s="257">
        <f t="shared" si="19"/>
        <v>46.67</v>
      </c>
    </row>
    <row r="145" spans="15:16" x14ac:dyDescent="0.2">
      <c r="O145" s="226">
        <f t="shared" si="18"/>
        <v>47</v>
      </c>
      <c r="P145" s="257">
        <f t="shared" si="19"/>
        <v>47</v>
      </c>
    </row>
    <row r="146" spans="15:16" x14ac:dyDescent="0.2">
      <c r="O146" s="226">
        <f t="shared" si="18"/>
        <v>47.1</v>
      </c>
      <c r="P146" s="257">
        <f t="shared" si="19"/>
        <v>47.33</v>
      </c>
    </row>
    <row r="147" spans="15:16" x14ac:dyDescent="0.2">
      <c r="O147" s="226">
        <f t="shared" si="18"/>
        <v>47.2</v>
      </c>
      <c r="P147" s="257">
        <f t="shared" si="19"/>
        <v>47.67</v>
      </c>
    </row>
    <row r="148" spans="15:16" x14ac:dyDescent="0.2">
      <c r="O148" s="226">
        <f t="shared" si="18"/>
        <v>48</v>
      </c>
      <c r="P148" s="257">
        <f t="shared" si="19"/>
        <v>48</v>
      </c>
    </row>
    <row r="149" spans="15:16" x14ac:dyDescent="0.2">
      <c r="O149" s="226">
        <f t="shared" si="18"/>
        <v>48.1</v>
      </c>
      <c r="P149" s="257">
        <f t="shared" si="19"/>
        <v>48.33</v>
      </c>
    </row>
    <row r="150" spans="15:16" x14ac:dyDescent="0.2">
      <c r="O150" s="226">
        <f t="shared" si="18"/>
        <v>48.2</v>
      </c>
      <c r="P150" s="257">
        <f t="shared" si="19"/>
        <v>48.67</v>
      </c>
    </row>
    <row r="151" spans="15:16" x14ac:dyDescent="0.2">
      <c r="O151" s="226">
        <f t="shared" si="18"/>
        <v>49</v>
      </c>
      <c r="P151" s="257">
        <f t="shared" si="19"/>
        <v>49</v>
      </c>
    </row>
    <row r="152" spans="15:16" x14ac:dyDescent="0.2">
      <c r="O152" s="226">
        <f t="shared" si="18"/>
        <v>49.1</v>
      </c>
      <c r="P152" s="257">
        <f t="shared" si="19"/>
        <v>49.33</v>
      </c>
    </row>
    <row r="153" spans="15:16" x14ac:dyDescent="0.2">
      <c r="O153" s="226">
        <f t="shared" si="18"/>
        <v>49.2</v>
      </c>
      <c r="P153" s="257">
        <f t="shared" si="19"/>
        <v>49.67</v>
      </c>
    </row>
    <row r="154" spans="15:16" x14ac:dyDescent="0.2">
      <c r="O154" s="226">
        <f t="shared" si="18"/>
        <v>50</v>
      </c>
      <c r="P154" s="257">
        <f t="shared" si="19"/>
        <v>50</v>
      </c>
    </row>
    <row r="155" spans="15:16" x14ac:dyDescent="0.2">
      <c r="O155" s="226">
        <f t="shared" si="18"/>
        <v>50.1</v>
      </c>
      <c r="P155" s="257">
        <f t="shared" si="19"/>
        <v>50.33</v>
      </c>
    </row>
    <row r="156" spans="15:16" x14ac:dyDescent="0.2">
      <c r="O156" s="226">
        <f t="shared" si="18"/>
        <v>50.2</v>
      </c>
      <c r="P156" s="257">
        <f t="shared" si="19"/>
        <v>50.67</v>
      </c>
    </row>
    <row r="157" spans="15:16" x14ac:dyDescent="0.2">
      <c r="O157" s="226">
        <f t="shared" si="18"/>
        <v>51</v>
      </c>
      <c r="P157" s="257">
        <f t="shared" si="19"/>
        <v>51</v>
      </c>
    </row>
    <row r="158" spans="15:16" x14ac:dyDescent="0.2">
      <c r="O158" s="226">
        <f t="shared" si="18"/>
        <v>51.1</v>
      </c>
      <c r="P158" s="257">
        <f t="shared" si="19"/>
        <v>51.33</v>
      </c>
    </row>
    <row r="159" spans="15:16" x14ac:dyDescent="0.2">
      <c r="O159" s="226">
        <f t="shared" si="18"/>
        <v>51.2</v>
      </c>
      <c r="P159" s="257">
        <f t="shared" si="19"/>
        <v>51.67</v>
      </c>
    </row>
    <row r="160" spans="15:16" x14ac:dyDescent="0.2">
      <c r="O160" s="226">
        <f t="shared" si="18"/>
        <v>52</v>
      </c>
      <c r="P160" s="257">
        <f t="shared" si="19"/>
        <v>52</v>
      </c>
    </row>
    <row r="161" spans="15:16" x14ac:dyDescent="0.2">
      <c r="O161" s="226">
        <f t="shared" si="18"/>
        <v>52.1</v>
      </c>
      <c r="P161" s="257">
        <f t="shared" si="19"/>
        <v>52.33</v>
      </c>
    </row>
    <row r="162" spans="15:16" x14ac:dyDescent="0.2">
      <c r="O162" s="226">
        <f t="shared" si="18"/>
        <v>52.2</v>
      </c>
      <c r="P162" s="257">
        <f t="shared" si="19"/>
        <v>52.67</v>
      </c>
    </row>
    <row r="163" spans="15:16" x14ac:dyDescent="0.2">
      <c r="O163" s="226">
        <f t="shared" si="18"/>
        <v>53</v>
      </c>
      <c r="P163" s="257">
        <f t="shared" si="19"/>
        <v>53</v>
      </c>
    </row>
    <row r="164" spans="15:16" x14ac:dyDescent="0.2">
      <c r="O164" s="226">
        <f t="shared" si="18"/>
        <v>53.1</v>
      </c>
      <c r="P164" s="257">
        <f t="shared" si="19"/>
        <v>53.33</v>
      </c>
    </row>
    <row r="165" spans="15:16" x14ac:dyDescent="0.2">
      <c r="O165" s="226">
        <f t="shared" si="18"/>
        <v>53.2</v>
      </c>
      <c r="P165" s="257">
        <f t="shared" si="19"/>
        <v>53.67</v>
      </c>
    </row>
    <row r="166" spans="15:16" x14ac:dyDescent="0.2">
      <c r="O166" s="226">
        <f t="shared" si="18"/>
        <v>54</v>
      </c>
      <c r="P166" s="257">
        <f t="shared" si="19"/>
        <v>54</v>
      </c>
    </row>
    <row r="167" spans="15:16" x14ac:dyDescent="0.2">
      <c r="O167" s="226">
        <f t="shared" si="18"/>
        <v>54.1</v>
      </c>
      <c r="P167" s="257">
        <f t="shared" si="19"/>
        <v>54.33</v>
      </c>
    </row>
    <row r="168" spans="15:16" x14ac:dyDescent="0.2">
      <c r="O168" s="226">
        <f t="shared" si="18"/>
        <v>54.2</v>
      </c>
      <c r="P168" s="257">
        <f t="shared" si="19"/>
        <v>54.67</v>
      </c>
    </row>
    <row r="169" spans="15:16" x14ac:dyDescent="0.2">
      <c r="O169" s="226">
        <f t="shared" si="18"/>
        <v>55</v>
      </c>
      <c r="P169" s="257">
        <f t="shared" si="19"/>
        <v>55</v>
      </c>
    </row>
    <row r="170" spans="15:16" x14ac:dyDescent="0.2">
      <c r="O170" s="226">
        <f t="shared" si="18"/>
        <v>55.1</v>
      </c>
      <c r="P170" s="257">
        <f t="shared" si="19"/>
        <v>55.33</v>
      </c>
    </row>
    <row r="171" spans="15:16" x14ac:dyDescent="0.2">
      <c r="O171" s="226">
        <f t="shared" si="18"/>
        <v>55.2</v>
      </c>
      <c r="P171" s="257">
        <f t="shared" si="19"/>
        <v>55.67</v>
      </c>
    </row>
    <row r="172" spans="15:16" x14ac:dyDescent="0.2">
      <c r="O172" s="226">
        <f t="shared" si="18"/>
        <v>56</v>
      </c>
      <c r="P172" s="257">
        <f t="shared" si="19"/>
        <v>56</v>
      </c>
    </row>
    <row r="173" spans="15:16" x14ac:dyDescent="0.2">
      <c r="O173" s="226">
        <f t="shared" si="18"/>
        <v>56.1</v>
      </c>
      <c r="P173" s="257">
        <f t="shared" si="19"/>
        <v>56.33</v>
      </c>
    </row>
    <row r="174" spans="15:16" x14ac:dyDescent="0.2">
      <c r="O174" s="226">
        <f t="shared" si="18"/>
        <v>56.2</v>
      </c>
      <c r="P174" s="257">
        <f t="shared" si="19"/>
        <v>56.67</v>
      </c>
    </row>
    <row r="175" spans="15:16" x14ac:dyDescent="0.2">
      <c r="O175" s="226">
        <f t="shared" si="18"/>
        <v>57</v>
      </c>
      <c r="P175" s="257">
        <f t="shared" si="19"/>
        <v>57</v>
      </c>
    </row>
    <row r="176" spans="15:16" x14ac:dyDescent="0.2">
      <c r="O176" s="226">
        <f t="shared" si="18"/>
        <v>57.1</v>
      </c>
      <c r="P176" s="257">
        <f t="shared" si="19"/>
        <v>57.33</v>
      </c>
    </row>
    <row r="177" spans="15:16" x14ac:dyDescent="0.2">
      <c r="O177" s="226">
        <f t="shared" si="18"/>
        <v>57.2</v>
      </c>
      <c r="P177" s="257">
        <f t="shared" si="19"/>
        <v>57.67</v>
      </c>
    </row>
    <row r="178" spans="15:16" x14ac:dyDescent="0.2">
      <c r="O178" s="226">
        <f t="shared" si="18"/>
        <v>58</v>
      </c>
      <c r="P178" s="257">
        <f t="shared" si="19"/>
        <v>58</v>
      </c>
    </row>
    <row r="179" spans="15:16" x14ac:dyDescent="0.2">
      <c r="O179" s="226">
        <f t="shared" si="18"/>
        <v>58.1</v>
      </c>
      <c r="P179" s="257">
        <f t="shared" si="19"/>
        <v>58.33</v>
      </c>
    </row>
    <row r="180" spans="15:16" x14ac:dyDescent="0.2">
      <c r="O180" s="226">
        <f t="shared" si="18"/>
        <v>58.2</v>
      </c>
      <c r="P180" s="257">
        <f t="shared" si="19"/>
        <v>58.67</v>
      </c>
    </row>
    <row r="181" spans="15:16" x14ac:dyDescent="0.2">
      <c r="O181" s="226">
        <f t="shared" si="18"/>
        <v>59</v>
      </c>
      <c r="P181" s="257">
        <f t="shared" si="19"/>
        <v>59</v>
      </c>
    </row>
    <row r="182" spans="15:16" x14ac:dyDescent="0.2">
      <c r="O182" s="226">
        <f t="shared" si="18"/>
        <v>59.1</v>
      </c>
      <c r="P182" s="257">
        <f t="shared" si="19"/>
        <v>59.33</v>
      </c>
    </row>
    <row r="183" spans="15:16" x14ac:dyDescent="0.2">
      <c r="O183" s="226">
        <f t="shared" si="18"/>
        <v>59.2</v>
      </c>
      <c r="P183" s="257">
        <f t="shared" si="19"/>
        <v>59.67</v>
      </c>
    </row>
    <row r="184" spans="15:16" x14ac:dyDescent="0.2">
      <c r="O184" s="226">
        <f t="shared" si="18"/>
        <v>60</v>
      </c>
      <c r="P184" s="257">
        <f t="shared" si="19"/>
        <v>60</v>
      </c>
    </row>
    <row r="185" spans="15:16" x14ac:dyDescent="0.2">
      <c r="O185" s="226">
        <f t="shared" si="18"/>
        <v>60.1</v>
      </c>
      <c r="P185" s="257">
        <f t="shared" si="19"/>
        <v>60.33</v>
      </c>
    </row>
    <row r="186" spans="15:16" x14ac:dyDescent="0.2">
      <c r="O186" s="226">
        <f t="shared" si="18"/>
        <v>60.2</v>
      </c>
      <c r="P186" s="257">
        <f t="shared" si="19"/>
        <v>60.67</v>
      </c>
    </row>
    <row r="187" spans="15:16" x14ac:dyDescent="0.2">
      <c r="O187" s="226">
        <f t="shared" si="18"/>
        <v>61</v>
      </c>
      <c r="P187" s="257">
        <f t="shared" si="19"/>
        <v>61</v>
      </c>
    </row>
    <row r="188" spans="15:16" x14ac:dyDescent="0.2">
      <c r="O188" s="226">
        <f t="shared" si="18"/>
        <v>61.1</v>
      </c>
      <c r="P188" s="257">
        <f t="shared" si="19"/>
        <v>61.33</v>
      </c>
    </row>
    <row r="189" spans="15:16" x14ac:dyDescent="0.2">
      <c r="O189" s="226">
        <f t="shared" si="18"/>
        <v>61.2</v>
      </c>
      <c r="P189" s="257">
        <f t="shared" si="19"/>
        <v>61.67</v>
      </c>
    </row>
    <row r="190" spans="15:16" x14ac:dyDescent="0.2">
      <c r="O190" s="226">
        <f t="shared" si="18"/>
        <v>62</v>
      </c>
      <c r="P190" s="257">
        <f t="shared" si="19"/>
        <v>62</v>
      </c>
    </row>
    <row r="191" spans="15:16" x14ac:dyDescent="0.2">
      <c r="O191" s="226">
        <f t="shared" si="18"/>
        <v>62.1</v>
      </c>
      <c r="P191" s="257">
        <f t="shared" si="19"/>
        <v>62.33</v>
      </c>
    </row>
    <row r="192" spans="15:16" x14ac:dyDescent="0.2">
      <c r="O192" s="226">
        <f t="shared" si="18"/>
        <v>62.2</v>
      </c>
      <c r="P192" s="257">
        <f t="shared" si="19"/>
        <v>62.67</v>
      </c>
    </row>
    <row r="193" spans="15:16" x14ac:dyDescent="0.2">
      <c r="O193" s="226">
        <f t="shared" si="18"/>
        <v>63</v>
      </c>
      <c r="P193" s="257">
        <f t="shared" si="19"/>
        <v>63</v>
      </c>
    </row>
    <row r="194" spans="15:16" x14ac:dyDescent="0.2">
      <c r="O194" s="226">
        <f t="shared" si="18"/>
        <v>63.1</v>
      </c>
      <c r="P194" s="257">
        <f t="shared" si="19"/>
        <v>63.33</v>
      </c>
    </row>
    <row r="195" spans="15:16" x14ac:dyDescent="0.2">
      <c r="O195" s="226">
        <f t="shared" si="18"/>
        <v>63.2</v>
      </c>
      <c r="P195" s="257">
        <f t="shared" si="19"/>
        <v>63.67</v>
      </c>
    </row>
    <row r="196" spans="15:16" x14ac:dyDescent="0.2">
      <c r="O196" s="226">
        <f t="shared" si="18"/>
        <v>64</v>
      </c>
      <c r="P196" s="257">
        <f t="shared" si="19"/>
        <v>64</v>
      </c>
    </row>
    <row r="197" spans="15:16" x14ac:dyDescent="0.2">
      <c r="O197" s="226">
        <f t="shared" si="18"/>
        <v>64.099999999999994</v>
      </c>
      <c r="P197" s="257">
        <f t="shared" si="19"/>
        <v>64.33</v>
      </c>
    </row>
    <row r="198" spans="15:16" x14ac:dyDescent="0.2">
      <c r="O198" s="226">
        <f t="shared" si="18"/>
        <v>64.2</v>
      </c>
      <c r="P198" s="257">
        <f t="shared" si="19"/>
        <v>64.67</v>
      </c>
    </row>
    <row r="199" spans="15:16" x14ac:dyDescent="0.2">
      <c r="O199" s="226">
        <f t="shared" si="18"/>
        <v>65</v>
      </c>
      <c r="P199" s="257">
        <f t="shared" si="19"/>
        <v>65</v>
      </c>
    </row>
    <row r="200" spans="15:16" x14ac:dyDescent="0.2">
      <c r="O200" s="226">
        <f t="shared" ref="O200:O263" si="20">$O197+1</f>
        <v>65.099999999999994</v>
      </c>
      <c r="P200" s="257">
        <f t="shared" ref="P200:P263" si="21">$P197+1</f>
        <v>65.33</v>
      </c>
    </row>
    <row r="201" spans="15:16" x14ac:dyDescent="0.2">
      <c r="O201" s="226">
        <f t="shared" si="20"/>
        <v>65.2</v>
      </c>
      <c r="P201" s="257">
        <f t="shared" si="21"/>
        <v>65.67</v>
      </c>
    </row>
    <row r="202" spans="15:16" x14ac:dyDescent="0.2">
      <c r="O202" s="226">
        <f t="shared" si="20"/>
        <v>66</v>
      </c>
      <c r="P202" s="257">
        <f t="shared" si="21"/>
        <v>66</v>
      </c>
    </row>
    <row r="203" spans="15:16" x14ac:dyDescent="0.2">
      <c r="O203" s="226">
        <f t="shared" si="20"/>
        <v>66.099999999999994</v>
      </c>
      <c r="P203" s="257">
        <f t="shared" si="21"/>
        <v>66.33</v>
      </c>
    </row>
    <row r="204" spans="15:16" x14ac:dyDescent="0.2">
      <c r="O204" s="226">
        <f t="shared" si="20"/>
        <v>66.2</v>
      </c>
      <c r="P204" s="257">
        <f t="shared" si="21"/>
        <v>66.67</v>
      </c>
    </row>
    <row r="205" spans="15:16" x14ac:dyDescent="0.2">
      <c r="O205" s="226">
        <f t="shared" si="20"/>
        <v>67</v>
      </c>
      <c r="P205" s="257">
        <f t="shared" si="21"/>
        <v>67</v>
      </c>
    </row>
    <row r="206" spans="15:16" x14ac:dyDescent="0.2">
      <c r="O206" s="226">
        <f t="shared" si="20"/>
        <v>67.099999999999994</v>
      </c>
      <c r="P206" s="257">
        <f t="shared" si="21"/>
        <v>67.33</v>
      </c>
    </row>
    <row r="207" spans="15:16" x14ac:dyDescent="0.2">
      <c r="O207" s="226">
        <f t="shared" si="20"/>
        <v>67.2</v>
      </c>
      <c r="P207" s="257">
        <f t="shared" si="21"/>
        <v>67.67</v>
      </c>
    </row>
    <row r="208" spans="15:16" x14ac:dyDescent="0.2">
      <c r="O208" s="226">
        <f t="shared" si="20"/>
        <v>68</v>
      </c>
      <c r="P208" s="257">
        <f t="shared" si="21"/>
        <v>68</v>
      </c>
    </row>
    <row r="209" spans="15:16" x14ac:dyDescent="0.2">
      <c r="O209" s="226">
        <f t="shared" si="20"/>
        <v>68.099999999999994</v>
      </c>
      <c r="P209" s="257">
        <f t="shared" si="21"/>
        <v>68.33</v>
      </c>
    </row>
    <row r="210" spans="15:16" x14ac:dyDescent="0.2">
      <c r="O210" s="226">
        <f t="shared" si="20"/>
        <v>68.2</v>
      </c>
      <c r="P210" s="257">
        <f t="shared" si="21"/>
        <v>68.67</v>
      </c>
    </row>
    <row r="211" spans="15:16" x14ac:dyDescent="0.2">
      <c r="O211" s="226">
        <f t="shared" si="20"/>
        <v>69</v>
      </c>
      <c r="P211" s="257">
        <f t="shared" si="21"/>
        <v>69</v>
      </c>
    </row>
    <row r="212" spans="15:16" x14ac:dyDescent="0.2">
      <c r="O212" s="226">
        <f t="shared" si="20"/>
        <v>69.099999999999994</v>
      </c>
      <c r="P212" s="257">
        <f t="shared" si="21"/>
        <v>69.33</v>
      </c>
    </row>
    <row r="213" spans="15:16" x14ac:dyDescent="0.2">
      <c r="O213" s="226">
        <f t="shared" si="20"/>
        <v>69.2</v>
      </c>
      <c r="P213" s="257">
        <f t="shared" si="21"/>
        <v>69.67</v>
      </c>
    </row>
    <row r="214" spans="15:16" x14ac:dyDescent="0.2">
      <c r="O214" s="226">
        <f t="shared" si="20"/>
        <v>70</v>
      </c>
      <c r="P214" s="257">
        <f t="shared" si="21"/>
        <v>70</v>
      </c>
    </row>
    <row r="215" spans="15:16" x14ac:dyDescent="0.2">
      <c r="O215" s="226">
        <f t="shared" si="20"/>
        <v>70.099999999999994</v>
      </c>
      <c r="P215" s="257">
        <f t="shared" si="21"/>
        <v>70.33</v>
      </c>
    </row>
    <row r="216" spans="15:16" x14ac:dyDescent="0.2">
      <c r="O216" s="226">
        <f t="shared" si="20"/>
        <v>70.2</v>
      </c>
      <c r="P216" s="257">
        <f t="shared" si="21"/>
        <v>70.67</v>
      </c>
    </row>
    <row r="217" spans="15:16" x14ac:dyDescent="0.2">
      <c r="O217" s="226">
        <f t="shared" si="20"/>
        <v>71</v>
      </c>
      <c r="P217" s="257">
        <f t="shared" si="21"/>
        <v>71</v>
      </c>
    </row>
    <row r="218" spans="15:16" x14ac:dyDescent="0.2">
      <c r="O218" s="226">
        <f t="shared" si="20"/>
        <v>71.099999999999994</v>
      </c>
      <c r="P218" s="257">
        <f t="shared" si="21"/>
        <v>71.33</v>
      </c>
    </row>
    <row r="219" spans="15:16" x14ac:dyDescent="0.2">
      <c r="O219" s="226">
        <f t="shared" si="20"/>
        <v>71.2</v>
      </c>
      <c r="P219" s="257">
        <f t="shared" si="21"/>
        <v>71.67</v>
      </c>
    </row>
    <row r="220" spans="15:16" x14ac:dyDescent="0.2">
      <c r="O220" s="226">
        <f t="shared" si="20"/>
        <v>72</v>
      </c>
      <c r="P220" s="257">
        <f t="shared" si="21"/>
        <v>72</v>
      </c>
    </row>
    <row r="221" spans="15:16" x14ac:dyDescent="0.2">
      <c r="O221" s="226">
        <f t="shared" si="20"/>
        <v>72.099999999999994</v>
      </c>
      <c r="P221" s="257">
        <f t="shared" si="21"/>
        <v>72.33</v>
      </c>
    </row>
    <row r="222" spans="15:16" x14ac:dyDescent="0.2">
      <c r="O222" s="226">
        <f t="shared" si="20"/>
        <v>72.2</v>
      </c>
      <c r="P222" s="257">
        <f t="shared" si="21"/>
        <v>72.67</v>
      </c>
    </row>
    <row r="223" spans="15:16" x14ac:dyDescent="0.2">
      <c r="O223" s="226">
        <f t="shared" si="20"/>
        <v>73</v>
      </c>
      <c r="P223" s="257">
        <f t="shared" si="21"/>
        <v>73</v>
      </c>
    </row>
    <row r="224" spans="15:16" x14ac:dyDescent="0.2">
      <c r="O224" s="226">
        <f t="shared" si="20"/>
        <v>73.099999999999994</v>
      </c>
      <c r="P224" s="257">
        <f t="shared" si="21"/>
        <v>73.33</v>
      </c>
    </row>
    <row r="225" spans="15:16" x14ac:dyDescent="0.2">
      <c r="O225" s="226">
        <f t="shared" si="20"/>
        <v>73.2</v>
      </c>
      <c r="P225" s="257">
        <f t="shared" si="21"/>
        <v>73.67</v>
      </c>
    </row>
    <row r="226" spans="15:16" x14ac:dyDescent="0.2">
      <c r="O226" s="226">
        <f t="shared" si="20"/>
        <v>74</v>
      </c>
      <c r="P226" s="257">
        <f t="shared" si="21"/>
        <v>74</v>
      </c>
    </row>
    <row r="227" spans="15:16" x14ac:dyDescent="0.2">
      <c r="O227" s="226">
        <f t="shared" si="20"/>
        <v>74.099999999999994</v>
      </c>
      <c r="P227" s="257">
        <f t="shared" si="21"/>
        <v>74.33</v>
      </c>
    </row>
    <row r="228" spans="15:16" x14ac:dyDescent="0.2">
      <c r="O228" s="226">
        <f t="shared" si="20"/>
        <v>74.2</v>
      </c>
      <c r="P228" s="257">
        <f t="shared" si="21"/>
        <v>74.67</v>
      </c>
    </row>
    <row r="229" spans="15:16" x14ac:dyDescent="0.2">
      <c r="O229" s="226">
        <f t="shared" si="20"/>
        <v>75</v>
      </c>
      <c r="P229" s="257">
        <f t="shared" si="21"/>
        <v>75</v>
      </c>
    </row>
    <row r="230" spans="15:16" x14ac:dyDescent="0.2">
      <c r="O230" s="226">
        <f t="shared" si="20"/>
        <v>75.099999999999994</v>
      </c>
      <c r="P230" s="257">
        <f t="shared" si="21"/>
        <v>75.33</v>
      </c>
    </row>
    <row r="231" spans="15:16" x14ac:dyDescent="0.2">
      <c r="O231" s="226">
        <f t="shared" si="20"/>
        <v>75.2</v>
      </c>
      <c r="P231" s="257">
        <f t="shared" si="21"/>
        <v>75.67</v>
      </c>
    </row>
    <row r="232" spans="15:16" x14ac:dyDescent="0.2">
      <c r="O232" s="226">
        <f t="shared" si="20"/>
        <v>76</v>
      </c>
      <c r="P232" s="257">
        <f t="shared" si="21"/>
        <v>76</v>
      </c>
    </row>
    <row r="233" spans="15:16" x14ac:dyDescent="0.2">
      <c r="O233" s="226">
        <f t="shared" si="20"/>
        <v>76.099999999999994</v>
      </c>
      <c r="P233" s="257">
        <f t="shared" si="21"/>
        <v>76.33</v>
      </c>
    </row>
    <row r="234" spans="15:16" x14ac:dyDescent="0.2">
      <c r="O234" s="226">
        <f t="shared" si="20"/>
        <v>76.2</v>
      </c>
      <c r="P234" s="257">
        <f t="shared" si="21"/>
        <v>76.67</v>
      </c>
    </row>
    <row r="235" spans="15:16" x14ac:dyDescent="0.2">
      <c r="O235" s="226">
        <f t="shared" si="20"/>
        <v>77</v>
      </c>
      <c r="P235" s="257">
        <f t="shared" si="21"/>
        <v>77</v>
      </c>
    </row>
    <row r="236" spans="15:16" x14ac:dyDescent="0.2">
      <c r="O236" s="226">
        <f t="shared" si="20"/>
        <v>77.099999999999994</v>
      </c>
      <c r="P236" s="257">
        <f t="shared" si="21"/>
        <v>77.33</v>
      </c>
    </row>
    <row r="237" spans="15:16" x14ac:dyDescent="0.2">
      <c r="O237" s="226">
        <f t="shared" si="20"/>
        <v>77.2</v>
      </c>
      <c r="P237" s="257">
        <f t="shared" si="21"/>
        <v>77.67</v>
      </c>
    </row>
    <row r="238" spans="15:16" x14ac:dyDescent="0.2">
      <c r="O238" s="226">
        <f t="shared" si="20"/>
        <v>78</v>
      </c>
      <c r="P238" s="257">
        <f t="shared" si="21"/>
        <v>78</v>
      </c>
    </row>
    <row r="239" spans="15:16" x14ac:dyDescent="0.2">
      <c r="O239" s="226">
        <f t="shared" si="20"/>
        <v>78.099999999999994</v>
      </c>
      <c r="P239" s="257">
        <f t="shared" si="21"/>
        <v>78.33</v>
      </c>
    </row>
    <row r="240" spans="15:16" x14ac:dyDescent="0.2">
      <c r="O240" s="226">
        <f t="shared" si="20"/>
        <v>78.2</v>
      </c>
      <c r="P240" s="257">
        <f t="shared" si="21"/>
        <v>78.67</v>
      </c>
    </row>
    <row r="241" spans="15:16" x14ac:dyDescent="0.2">
      <c r="O241" s="226">
        <f t="shared" si="20"/>
        <v>79</v>
      </c>
      <c r="P241" s="257">
        <f t="shared" si="21"/>
        <v>79</v>
      </c>
    </row>
    <row r="242" spans="15:16" x14ac:dyDescent="0.2">
      <c r="O242" s="226">
        <f t="shared" si="20"/>
        <v>79.099999999999994</v>
      </c>
      <c r="P242" s="257">
        <f t="shared" si="21"/>
        <v>79.33</v>
      </c>
    </row>
    <row r="243" spans="15:16" x14ac:dyDescent="0.2">
      <c r="O243" s="226">
        <f t="shared" si="20"/>
        <v>79.2</v>
      </c>
      <c r="P243" s="257">
        <f t="shared" si="21"/>
        <v>79.67</v>
      </c>
    </row>
    <row r="244" spans="15:16" x14ac:dyDescent="0.2">
      <c r="O244" s="226">
        <f t="shared" si="20"/>
        <v>80</v>
      </c>
      <c r="P244" s="257">
        <f t="shared" si="21"/>
        <v>80</v>
      </c>
    </row>
    <row r="245" spans="15:16" x14ac:dyDescent="0.2">
      <c r="O245" s="226">
        <f t="shared" si="20"/>
        <v>80.099999999999994</v>
      </c>
      <c r="P245" s="257">
        <f t="shared" si="21"/>
        <v>80.33</v>
      </c>
    </row>
    <row r="246" spans="15:16" x14ac:dyDescent="0.2">
      <c r="O246" s="226">
        <f t="shared" si="20"/>
        <v>80.2</v>
      </c>
      <c r="P246" s="257">
        <f t="shared" si="21"/>
        <v>80.67</v>
      </c>
    </row>
    <row r="247" spans="15:16" x14ac:dyDescent="0.2">
      <c r="O247" s="226">
        <f t="shared" si="20"/>
        <v>81</v>
      </c>
      <c r="P247" s="257">
        <f t="shared" si="21"/>
        <v>81</v>
      </c>
    </row>
    <row r="248" spans="15:16" x14ac:dyDescent="0.2">
      <c r="O248" s="226">
        <f t="shared" si="20"/>
        <v>81.099999999999994</v>
      </c>
      <c r="P248" s="257">
        <f t="shared" si="21"/>
        <v>81.33</v>
      </c>
    </row>
    <row r="249" spans="15:16" x14ac:dyDescent="0.2">
      <c r="O249" s="226">
        <f t="shared" si="20"/>
        <v>81.2</v>
      </c>
      <c r="P249" s="257">
        <f t="shared" si="21"/>
        <v>81.67</v>
      </c>
    </row>
    <row r="250" spans="15:16" x14ac:dyDescent="0.2">
      <c r="O250" s="226">
        <f t="shared" si="20"/>
        <v>82</v>
      </c>
      <c r="P250" s="257">
        <f t="shared" si="21"/>
        <v>82</v>
      </c>
    </row>
    <row r="251" spans="15:16" x14ac:dyDescent="0.2">
      <c r="O251" s="226">
        <f t="shared" si="20"/>
        <v>82.1</v>
      </c>
      <c r="P251" s="257">
        <f t="shared" si="21"/>
        <v>82.33</v>
      </c>
    </row>
    <row r="252" spans="15:16" x14ac:dyDescent="0.2">
      <c r="O252" s="226">
        <f t="shared" si="20"/>
        <v>82.2</v>
      </c>
      <c r="P252" s="257">
        <f t="shared" si="21"/>
        <v>82.67</v>
      </c>
    </row>
    <row r="253" spans="15:16" x14ac:dyDescent="0.2">
      <c r="O253" s="226">
        <f t="shared" si="20"/>
        <v>83</v>
      </c>
      <c r="P253" s="257">
        <f t="shared" si="21"/>
        <v>83</v>
      </c>
    </row>
    <row r="254" spans="15:16" x14ac:dyDescent="0.2">
      <c r="O254" s="226">
        <f t="shared" si="20"/>
        <v>83.1</v>
      </c>
      <c r="P254" s="257">
        <f t="shared" si="21"/>
        <v>83.33</v>
      </c>
    </row>
    <row r="255" spans="15:16" x14ac:dyDescent="0.2">
      <c r="O255" s="226">
        <f t="shared" si="20"/>
        <v>83.2</v>
      </c>
      <c r="P255" s="257">
        <f t="shared" si="21"/>
        <v>83.67</v>
      </c>
    </row>
    <row r="256" spans="15:16" x14ac:dyDescent="0.2">
      <c r="O256" s="226">
        <f t="shared" si="20"/>
        <v>84</v>
      </c>
      <c r="P256" s="257">
        <f t="shared" si="21"/>
        <v>84</v>
      </c>
    </row>
    <row r="257" spans="15:16" x14ac:dyDescent="0.2">
      <c r="O257" s="226">
        <f t="shared" si="20"/>
        <v>84.1</v>
      </c>
      <c r="P257" s="257">
        <f t="shared" si="21"/>
        <v>84.33</v>
      </c>
    </row>
    <row r="258" spans="15:16" x14ac:dyDescent="0.2">
      <c r="O258" s="226">
        <f t="shared" si="20"/>
        <v>84.2</v>
      </c>
      <c r="P258" s="257">
        <f t="shared" si="21"/>
        <v>84.67</v>
      </c>
    </row>
    <row r="259" spans="15:16" x14ac:dyDescent="0.2">
      <c r="O259" s="226">
        <f t="shared" si="20"/>
        <v>85</v>
      </c>
      <c r="P259" s="257">
        <f t="shared" si="21"/>
        <v>85</v>
      </c>
    </row>
    <row r="260" spans="15:16" x14ac:dyDescent="0.2">
      <c r="O260" s="226">
        <f t="shared" si="20"/>
        <v>85.1</v>
      </c>
      <c r="P260" s="257">
        <f t="shared" si="21"/>
        <v>85.33</v>
      </c>
    </row>
    <row r="261" spans="15:16" x14ac:dyDescent="0.2">
      <c r="O261" s="226">
        <f t="shared" si="20"/>
        <v>85.2</v>
      </c>
      <c r="P261" s="257">
        <f t="shared" si="21"/>
        <v>85.67</v>
      </c>
    </row>
    <row r="262" spans="15:16" x14ac:dyDescent="0.2">
      <c r="O262" s="226">
        <f t="shared" si="20"/>
        <v>86</v>
      </c>
      <c r="P262" s="257">
        <f t="shared" si="21"/>
        <v>86</v>
      </c>
    </row>
    <row r="263" spans="15:16" x14ac:dyDescent="0.2">
      <c r="O263" s="226">
        <f t="shared" si="20"/>
        <v>86.1</v>
      </c>
      <c r="P263" s="257">
        <f t="shared" si="21"/>
        <v>86.33</v>
      </c>
    </row>
    <row r="264" spans="15:16" x14ac:dyDescent="0.2">
      <c r="O264" s="226">
        <f t="shared" ref="O264:O327" si="22">$O261+1</f>
        <v>86.2</v>
      </c>
      <c r="P264" s="257">
        <f t="shared" ref="P264:P327" si="23">$P261+1</f>
        <v>86.67</v>
      </c>
    </row>
    <row r="265" spans="15:16" x14ac:dyDescent="0.2">
      <c r="O265" s="226">
        <f t="shared" si="22"/>
        <v>87</v>
      </c>
      <c r="P265" s="257">
        <f t="shared" si="23"/>
        <v>87</v>
      </c>
    </row>
    <row r="266" spans="15:16" x14ac:dyDescent="0.2">
      <c r="O266" s="226">
        <f t="shared" si="22"/>
        <v>87.1</v>
      </c>
      <c r="P266" s="257">
        <f t="shared" si="23"/>
        <v>87.33</v>
      </c>
    </row>
    <row r="267" spans="15:16" x14ac:dyDescent="0.2">
      <c r="O267" s="226">
        <f t="shared" si="22"/>
        <v>87.2</v>
      </c>
      <c r="P267" s="257">
        <f t="shared" si="23"/>
        <v>87.67</v>
      </c>
    </row>
    <row r="268" spans="15:16" x14ac:dyDescent="0.2">
      <c r="O268" s="226">
        <f t="shared" si="22"/>
        <v>88</v>
      </c>
      <c r="P268" s="257">
        <f t="shared" si="23"/>
        <v>88</v>
      </c>
    </row>
    <row r="269" spans="15:16" x14ac:dyDescent="0.2">
      <c r="O269" s="226">
        <f t="shared" si="22"/>
        <v>88.1</v>
      </c>
      <c r="P269" s="257">
        <f t="shared" si="23"/>
        <v>88.33</v>
      </c>
    </row>
    <row r="270" spans="15:16" x14ac:dyDescent="0.2">
      <c r="O270" s="226">
        <f t="shared" si="22"/>
        <v>88.2</v>
      </c>
      <c r="P270" s="257">
        <f t="shared" si="23"/>
        <v>88.67</v>
      </c>
    </row>
    <row r="271" spans="15:16" x14ac:dyDescent="0.2">
      <c r="O271" s="226">
        <f t="shared" si="22"/>
        <v>89</v>
      </c>
      <c r="P271" s="257">
        <f t="shared" si="23"/>
        <v>89</v>
      </c>
    </row>
    <row r="272" spans="15:16" x14ac:dyDescent="0.2">
      <c r="O272" s="226">
        <f t="shared" si="22"/>
        <v>89.1</v>
      </c>
      <c r="P272" s="257">
        <f t="shared" si="23"/>
        <v>89.33</v>
      </c>
    </row>
    <row r="273" spans="15:16" x14ac:dyDescent="0.2">
      <c r="O273" s="226">
        <f t="shared" si="22"/>
        <v>89.2</v>
      </c>
      <c r="P273" s="257">
        <f t="shared" si="23"/>
        <v>89.67</v>
      </c>
    </row>
    <row r="274" spans="15:16" x14ac:dyDescent="0.2">
      <c r="O274" s="226">
        <f t="shared" si="22"/>
        <v>90</v>
      </c>
      <c r="P274" s="257">
        <f t="shared" si="23"/>
        <v>90</v>
      </c>
    </row>
    <row r="275" spans="15:16" x14ac:dyDescent="0.2">
      <c r="O275" s="226">
        <f t="shared" si="22"/>
        <v>90.1</v>
      </c>
      <c r="P275" s="257">
        <f t="shared" si="23"/>
        <v>90.33</v>
      </c>
    </row>
    <row r="276" spans="15:16" x14ac:dyDescent="0.2">
      <c r="O276" s="226">
        <f t="shared" si="22"/>
        <v>90.2</v>
      </c>
      <c r="P276" s="257">
        <f t="shared" si="23"/>
        <v>90.67</v>
      </c>
    </row>
    <row r="277" spans="15:16" x14ac:dyDescent="0.2">
      <c r="O277" s="226">
        <f t="shared" si="22"/>
        <v>91</v>
      </c>
      <c r="P277" s="257">
        <f t="shared" si="23"/>
        <v>91</v>
      </c>
    </row>
    <row r="278" spans="15:16" x14ac:dyDescent="0.2">
      <c r="O278" s="226">
        <f t="shared" si="22"/>
        <v>91.1</v>
      </c>
      <c r="P278" s="257">
        <f t="shared" si="23"/>
        <v>91.33</v>
      </c>
    </row>
    <row r="279" spans="15:16" x14ac:dyDescent="0.2">
      <c r="O279" s="226">
        <f t="shared" si="22"/>
        <v>91.2</v>
      </c>
      <c r="P279" s="257">
        <f t="shared" si="23"/>
        <v>91.67</v>
      </c>
    </row>
    <row r="280" spans="15:16" x14ac:dyDescent="0.2">
      <c r="O280" s="226">
        <f t="shared" si="22"/>
        <v>92</v>
      </c>
      <c r="P280" s="257">
        <f t="shared" si="23"/>
        <v>92</v>
      </c>
    </row>
    <row r="281" spans="15:16" x14ac:dyDescent="0.2">
      <c r="O281" s="226">
        <f t="shared" si="22"/>
        <v>92.1</v>
      </c>
      <c r="P281" s="257">
        <f t="shared" si="23"/>
        <v>92.33</v>
      </c>
    </row>
    <row r="282" spans="15:16" x14ac:dyDescent="0.2">
      <c r="O282" s="226">
        <f t="shared" si="22"/>
        <v>92.2</v>
      </c>
      <c r="P282" s="257">
        <f t="shared" si="23"/>
        <v>92.67</v>
      </c>
    </row>
    <row r="283" spans="15:16" x14ac:dyDescent="0.2">
      <c r="O283" s="226">
        <f t="shared" si="22"/>
        <v>93</v>
      </c>
      <c r="P283" s="257">
        <f t="shared" si="23"/>
        <v>93</v>
      </c>
    </row>
    <row r="284" spans="15:16" x14ac:dyDescent="0.2">
      <c r="O284" s="226">
        <f t="shared" si="22"/>
        <v>93.1</v>
      </c>
      <c r="P284" s="257">
        <f t="shared" si="23"/>
        <v>93.33</v>
      </c>
    </row>
    <row r="285" spans="15:16" x14ac:dyDescent="0.2">
      <c r="O285" s="226">
        <f t="shared" si="22"/>
        <v>93.2</v>
      </c>
      <c r="P285" s="257">
        <f t="shared" si="23"/>
        <v>93.67</v>
      </c>
    </row>
    <row r="286" spans="15:16" x14ac:dyDescent="0.2">
      <c r="O286" s="226">
        <f t="shared" si="22"/>
        <v>94</v>
      </c>
      <c r="P286" s="257">
        <f t="shared" si="23"/>
        <v>94</v>
      </c>
    </row>
    <row r="287" spans="15:16" x14ac:dyDescent="0.2">
      <c r="O287" s="226">
        <f t="shared" si="22"/>
        <v>94.1</v>
      </c>
      <c r="P287" s="257">
        <f t="shared" si="23"/>
        <v>94.33</v>
      </c>
    </row>
    <row r="288" spans="15:16" x14ac:dyDescent="0.2">
      <c r="O288" s="226">
        <f t="shared" si="22"/>
        <v>94.2</v>
      </c>
      <c r="P288" s="257">
        <f t="shared" si="23"/>
        <v>94.67</v>
      </c>
    </row>
    <row r="289" spans="15:16" x14ac:dyDescent="0.2">
      <c r="O289" s="226">
        <f t="shared" si="22"/>
        <v>95</v>
      </c>
      <c r="P289" s="257">
        <f t="shared" si="23"/>
        <v>95</v>
      </c>
    </row>
    <row r="290" spans="15:16" x14ac:dyDescent="0.2">
      <c r="O290" s="226">
        <f t="shared" si="22"/>
        <v>95.1</v>
      </c>
      <c r="P290" s="257">
        <f t="shared" si="23"/>
        <v>95.33</v>
      </c>
    </row>
    <row r="291" spans="15:16" x14ac:dyDescent="0.2">
      <c r="O291" s="226">
        <f t="shared" si="22"/>
        <v>95.2</v>
      </c>
      <c r="P291" s="257">
        <f t="shared" si="23"/>
        <v>95.67</v>
      </c>
    </row>
    <row r="292" spans="15:16" x14ac:dyDescent="0.2">
      <c r="O292" s="226">
        <f t="shared" si="22"/>
        <v>96</v>
      </c>
      <c r="P292" s="257">
        <f t="shared" si="23"/>
        <v>96</v>
      </c>
    </row>
    <row r="293" spans="15:16" x14ac:dyDescent="0.2">
      <c r="O293" s="226">
        <f t="shared" si="22"/>
        <v>96.1</v>
      </c>
      <c r="P293" s="257">
        <f t="shared" si="23"/>
        <v>96.33</v>
      </c>
    </row>
    <row r="294" spans="15:16" x14ac:dyDescent="0.2">
      <c r="O294" s="226">
        <f t="shared" si="22"/>
        <v>96.2</v>
      </c>
      <c r="P294" s="257">
        <f t="shared" si="23"/>
        <v>96.67</v>
      </c>
    </row>
    <row r="295" spans="15:16" x14ac:dyDescent="0.2">
      <c r="O295" s="226">
        <f t="shared" si="22"/>
        <v>97</v>
      </c>
      <c r="P295" s="257">
        <f t="shared" si="23"/>
        <v>97</v>
      </c>
    </row>
    <row r="296" spans="15:16" x14ac:dyDescent="0.2">
      <c r="O296" s="226">
        <f t="shared" si="22"/>
        <v>97.1</v>
      </c>
      <c r="P296" s="257">
        <f t="shared" si="23"/>
        <v>97.33</v>
      </c>
    </row>
    <row r="297" spans="15:16" x14ac:dyDescent="0.2">
      <c r="O297" s="226">
        <f t="shared" si="22"/>
        <v>97.2</v>
      </c>
      <c r="P297" s="257">
        <f t="shared" si="23"/>
        <v>97.67</v>
      </c>
    </row>
    <row r="298" spans="15:16" x14ac:dyDescent="0.2">
      <c r="O298" s="226">
        <f t="shared" si="22"/>
        <v>98</v>
      </c>
      <c r="P298" s="257">
        <f t="shared" si="23"/>
        <v>98</v>
      </c>
    </row>
    <row r="299" spans="15:16" x14ac:dyDescent="0.2">
      <c r="O299" s="226">
        <f t="shared" si="22"/>
        <v>98.1</v>
      </c>
      <c r="P299" s="257">
        <f t="shared" si="23"/>
        <v>98.33</v>
      </c>
    </row>
    <row r="300" spans="15:16" x14ac:dyDescent="0.2">
      <c r="O300" s="226">
        <f t="shared" si="22"/>
        <v>98.2</v>
      </c>
      <c r="P300" s="257">
        <f t="shared" si="23"/>
        <v>98.67</v>
      </c>
    </row>
    <row r="301" spans="15:16" x14ac:dyDescent="0.2">
      <c r="O301" s="226">
        <f t="shared" si="22"/>
        <v>99</v>
      </c>
      <c r="P301" s="257">
        <f t="shared" si="23"/>
        <v>99</v>
      </c>
    </row>
    <row r="302" spans="15:16" x14ac:dyDescent="0.2">
      <c r="O302" s="226">
        <f t="shared" si="22"/>
        <v>99.1</v>
      </c>
      <c r="P302" s="257">
        <f t="shared" si="23"/>
        <v>99.33</v>
      </c>
    </row>
    <row r="303" spans="15:16" x14ac:dyDescent="0.2">
      <c r="O303" s="226">
        <f t="shared" si="22"/>
        <v>99.2</v>
      </c>
      <c r="P303" s="257">
        <f t="shared" si="23"/>
        <v>99.67</v>
      </c>
    </row>
    <row r="304" spans="15:16" x14ac:dyDescent="0.2">
      <c r="O304" s="226">
        <f t="shared" si="22"/>
        <v>100</v>
      </c>
      <c r="P304" s="257">
        <f t="shared" si="23"/>
        <v>100</v>
      </c>
    </row>
    <row r="305" spans="15:16" x14ac:dyDescent="0.2">
      <c r="O305" s="226">
        <f t="shared" si="22"/>
        <v>100.1</v>
      </c>
      <c r="P305" s="257">
        <f t="shared" si="23"/>
        <v>100.33</v>
      </c>
    </row>
    <row r="306" spans="15:16" x14ac:dyDescent="0.2">
      <c r="O306" s="226">
        <f t="shared" si="22"/>
        <v>100.2</v>
      </c>
      <c r="P306" s="257">
        <f t="shared" si="23"/>
        <v>100.67</v>
      </c>
    </row>
    <row r="307" spans="15:16" x14ac:dyDescent="0.2">
      <c r="O307" s="226">
        <f t="shared" si="22"/>
        <v>101</v>
      </c>
      <c r="P307" s="257">
        <f t="shared" si="23"/>
        <v>101</v>
      </c>
    </row>
    <row r="308" spans="15:16" x14ac:dyDescent="0.2">
      <c r="O308" s="226">
        <f t="shared" si="22"/>
        <v>101.1</v>
      </c>
      <c r="P308" s="257">
        <f t="shared" si="23"/>
        <v>101.33</v>
      </c>
    </row>
    <row r="309" spans="15:16" x14ac:dyDescent="0.2">
      <c r="O309" s="226">
        <f t="shared" si="22"/>
        <v>101.2</v>
      </c>
      <c r="P309" s="257">
        <f t="shared" si="23"/>
        <v>101.67</v>
      </c>
    </row>
    <row r="310" spans="15:16" x14ac:dyDescent="0.2">
      <c r="O310" s="226">
        <f t="shared" si="22"/>
        <v>102</v>
      </c>
      <c r="P310" s="257">
        <f t="shared" si="23"/>
        <v>102</v>
      </c>
    </row>
    <row r="311" spans="15:16" x14ac:dyDescent="0.2">
      <c r="O311" s="226">
        <f t="shared" si="22"/>
        <v>102.1</v>
      </c>
      <c r="P311" s="257">
        <f t="shared" si="23"/>
        <v>102.33</v>
      </c>
    </row>
    <row r="312" spans="15:16" x14ac:dyDescent="0.2">
      <c r="O312" s="226">
        <f t="shared" si="22"/>
        <v>102.2</v>
      </c>
      <c r="P312" s="257">
        <f t="shared" si="23"/>
        <v>102.67</v>
      </c>
    </row>
    <row r="313" spans="15:16" x14ac:dyDescent="0.2">
      <c r="O313" s="226">
        <f t="shared" si="22"/>
        <v>103</v>
      </c>
      <c r="P313" s="257">
        <f t="shared" si="23"/>
        <v>103</v>
      </c>
    </row>
    <row r="314" spans="15:16" x14ac:dyDescent="0.2">
      <c r="O314" s="226">
        <f t="shared" si="22"/>
        <v>103.1</v>
      </c>
      <c r="P314" s="257">
        <f t="shared" si="23"/>
        <v>103.33</v>
      </c>
    </row>
    <row r="315" spans="15:16" x14ac:dyDescent="0.2">
      <c r="O315" s="226">
        <f t="shared" si="22"/>
        <v>103.2</v>
      </c>
      <c r="P315" s="257">
        <f t="shared" si="23"/>
        <v>103.67</v>
      </c>
    </row>
    <row r="316" spans="15:16" x14ac:dyDescent="0.2">
      <c r="O316" s="226">
        <f t="shared" si="22"/>
        <v>104</v>
      </c>
      <c r="P316" s="257">
        <f t="shared" si="23"/>
        <v>104</v>
      </c>
    </row>
    <row r="317" spans="15:16" x14ac:dyDescent="0.2">
      <c r="O317" s="226">
        <f t="shared" si="22"/>
        <v>104.1</v>
      </c>
      <c r="P317" s="257">
        <f t="shared" si="23"/>
        <v>104.33</v>
      </c>
    </row>
    <row r="318" spans="15:16" x14ac:dyDescent="0.2">
      <c r="O318" s="226">
        <f t="shared" si="22"/>
        <v>104.2</v>
      </c>
      <c r="P318" s="257">
        <f t="shared" si="23"/>
        <v>104.67</v>
      </c>
    </row>
    <row r="319" spans="15:16" x14ac:dyDescent="0.2">
      <c r="O319" s="226">
        <f t="shared" si="22"/>
        <v>105</v>
      </c>
      <c r="P319" s="257">
        <f t="shared" si="23"/>
        <v>105</v>
      </c>
    </row>
    <row r="320" spans="15:16" x14ac:dyDescent="0.2">
      <c r="O320" s="226">
        <f t="shared" si="22"/>
        <v>105.1</v>
      </c>
      <c r="P320" s="257">
        <f t="shared" si="23"/>
        <v>105.33</v>
      </c>
    </row>
    <row r="321" spans="15:16" x14ac:dyDescent="0.2">
      <c r="O321" s="226">
        <f t="shared" si="22"/>
        <v>105.2</v>
      </c>
      <c r="P321" s="257">
        <f t="shared" si="23"/>
        <v>105.67</v>
      </c>
    </row>
    <row r="322" spans="15:16" x14ac:dyDescent="0.2">
      <c r="O322" s="226">
        <f t="shared" si="22"/>
        <v>106</v>
      </c>
      <c r="P322" s="257">
        <f t="shared" si="23"/>
        <v>106</v>
      </c>
    </row>
    <row r="323" spans="15:16" x14ac:dyDescent="0.2">
      <c r="O323" s="226">
        <f t="shared" si="22"/>
        <v>106.1</v>
      </c>
      <c r="P323" s="257">
        <f t="shared" si="23"/>
        <v>106.33</v>
      </c>
    </row>
    <row r="324" spans="15:16" x14ac:dyDescent="0.2">
      <c r="O324" s="226">
        <f t="shared" si="22"/>
        <v>106.2</v>
      </c>
      <c r="P324" s="257">
        <f t="shared" si="23"/>
        <v>106.67</v>
      </c>
    </row>
    <row r="325" spans="15:16" x14ac:dyDescent="0.2">
      <c r="O325" s="226">
        <f t="shared" si="22"/>
        <v>107</v>
      </c>
      <c r="P325" s="257">
        <f t="shared" si="23"/>
        <v>107</v>
      </c>
    </row>
    <row r="326" spans="15:16" x14ac:dyDescent="0.2">
      <c r="O326" s="226">
        <f t="shared" si="22"/>
        <v>107.1</v>
      </c>
      <c r="P326" s="257">
        <f t="shared" si="23"/>
        <v>107.33</v>
      </c>
    </row>
    <row r="327" spans="15:16" x14ac:dyDescent="0.2">
      <c r="O327" s="226">
        <f t="shared" si="22"/>
        <v>107.2</v>
      </c>
      <c r="P327" s="257">
        <f t="shared" si="23"/>
        <v>107.67</v>
      </c>
    </row>
    <row r="328" spans="15:16" x14ac:dyDescent="0.2">
      <c r="O328" s="226">
        <f t="shared" ref="O328:O391" si="24">$O325+1</f>
        <v>108</v>
      </c>
      <c r="P328" s="257">
        <f t="shared" ref="P328:P391" si="25">$P325+1</f>
        <v>108</v>
      </c>
    </row>
    <row r="329" spans="15:16" x14ac:dyDescent="0.2">
      <c r="O329" s="226">
        <f t="shared" si="24"/>
        <v>108.1</v>
      </c>
      <c r="P329" s="257">
        <f t="shared" si="25"/>
        <v>108.33</v>
      </c>
    </row>
    <row r="330" spans="15:16" x14ac:dyDescent="0.2">
      <c r="O330" s="226">
        <f t="shared" si="24"/>
        <v>108.2</v>
      </c>
      <c r="P330" s="257">
        <f t="shared" si="25"/>
        <v>108.67</v>
      </c>
    </row>
    <row r="331" spans="15:16" x14ac:dyDescent="0.2">
      <c r="O331" s="226">
        <f t="shared" si="24"/>
        <v>109</v>
      </c>
      <c r="P331" s="257">
        <f t="shared" si="25"/>
        <v>109</v>
      </c>
    </row>
    <row r="332" spans="15:16" x14ac:dyDescent="0.2">
      <c r="O332" s="226">
        <f t="shared" si="24"/>
        <v>109.1</v>
      </c>
      <c r="P332" s="257">
        <f t="shared" si="25"/>
        <v>109.33</v>
      </c>
    </row>
    <row r="333" spans="15:16" x14ac:dyDescent="0.2">
      <c r="O333" s="226">
        <f t="shared" si="24"/>
        <v>109.2</v>
      </c>
      <c r="P333" s="257">
        <f t="shared" si="25"/>
        <v>109.67</v>
      </c>
    </row>
    <row r="334" spans="15:16" x14ac:dyDescent="0.2">
      <c r="O334" s="226">
        <f t="shared" si="24"/>
        <v>110</v>
      </c>
      <c r="P334" s="257">
        <f t="shared" si="25"/>
        <v>110</v>
      </c>
    </row>
    <row r="335" spans="15:16" x14ac:dyDescent="0.2">
      <c r="O335" s="226">
        <f t="shared" si="24"/>
        <v>110.1</v>
      </c>
      <c r="P335" s="257">
        <f t="shared" si="25"/>
        <v>110.33</v>
      </c>
    </row>
    <row r="336" spans="15:16" x14ac:dyDescent="0.2">
      <c r="O336" s="226">
        <f t="shared" si="24"/>
        <v>110.2</v>
      </c>
      <c r="P336" s="257">
        <f t="shared" si="25"/>
        <v>110.67</v>
      </c>
    </row>
    <row r="337" spans="15:16" x14ac:dyDescent="0.2">
      <c r="O337" s="226">
        <f t="shared" si="24"/>
        <v>111</v>
      </c>
      <c r="P337" s="257">
        <f t="shared" si="25"/>
        <v>111</v>
      </c>
    </row>
    <row r="338" spans="15:16" x14ac:dyDescent="0.2">
      <c r="O338" s="226">
        <f t="shared" si="24"/>
        <v>111.1</v>
      </c>
      <c r="P338" s="257">
        <f t="shared" si="25"/>
        <v>111.33</v>
      </c>
    </row>
    <row r="339" spans="15:16" x14ac:dyDescent="0.2">
      <c r="O339" s="226">
        <f t="shared" si="24"/>
        <v>111.2</v>
      </c>
      <c r="P339" s="257">
        <f t="shared" si="25"/>
        <v>111.67</v>
      </c>
    </row>
    <row r="340" spans="15:16" x14ac:dyDescent="0.2">
      <c r="O340" s="226">
        <f t="shared" si="24"/>
        <v>112</v>
      </c>
      <c r="P340" s="257">
        <f t="shared" si="25"/>
        <v>112</v>
      </c>
    </row>
    <row r="341" spans="15:16" x14ac:dyDescent="0.2">
      <c r="O341" s="226">
        <f t="shared" si="24"/>
        <v>112.1</v>
      </c>
      <c r="P341" s="257">
        <f t="shared" si="25"/>
        <v>112.33</v>
      </c>
    </row>
    <row r="342" spans="15:16" x14ac:dyDescent="0.2">
      <c r="O342" s="226">
        <f t="shared" si="24"/>
        <v>112.2</v>
      </c>
      <c r="P342" s="257">
        <f t="shared" si="25"/>
        <v>112.67</v>
      </c>
    </row>
    <row r="343" spans="15:16" x14ac:dyDescent="0.2">
      <c r="O343" s="226">
        <f t="shared" si="24"/>
        <v>113</v>
      </c>
      <c r="P343" s="257">
        <f t="shared" si="25"/>
        <v>113</v>
      </c>
    </row>
    <row r="344" spans="15:16" x14ac:dyDescent="0.2">
      <c r="O344" s="226">
        <f t="shared" si="24"/>
        <v>113.1</v>
      </c>
      <c r="P344" s="257">
        <f t="shared" si="25"/>
        <v>113.33</v>
      </c>
    </row>
    <row r="345" spans="15:16" x14ac:dyDescent="0.2">
      <c r="O345" s="226">
        <f t="shared" si="24"/>
        <v>113.2</v>
      </c>
      <c r="P345" s="257">
        <f t="shared" si="25"/>
        <v>113.67</v>
      </c>
    </row>
    <row r="346" spans="15:16" x14ac:dyDescent="0.2">
      <c r="O346" s="226">
        <f t="shared" si="24"/>
        <v>114</v>
      </c>
      <c r="P346" s="257">
        <f t="shared" si="25"/>
        <v>114</v>
      </c>
    </row>
    <row r="347" spans="15:16" x14ac:dyDescent="0.2">
      <c r="O347" s="226">
        <f t="shared" si="24"/>
        <v>114.1</v>
      </c>
      <c r="P347" s="257">
        <f t="shared" si="25"/>
        <v>114.33</v>
      </c>
    </row>
    <row r="348" spans="15:16" x14ac:dyDescent="0.2">
      <c r="O348" s="226">
        <f t="shared" si="24"/>
        <v>114.2</v>
      </c>
      <c r="P348" s="257">
        <f t="shared" si="25"/>
        <v>114.67</v>
      </c>
    </row>
    <row r="349" spans="15:16" x14ac:dyDescent="0.2">
      <c r="O349" s="226">
        <f t="shared" si="24"/>
        <v>115</v>
      </c>
      <c r="P349" s="257">
        <f t="shared" si="25"/>
        <v>115</v>
      </c>
    </row>
    <row r="350" spans="15:16" x14ac:dyDescent="0.2">
      <c r="O350" s="226">
        <f t="shared" si="24"/>
        <v>115.1</v>
      </c>
      <c r="P350" s="257">
        <f t="shared" si="25"/>
        <v>115.33</v>
      </c>
    </row>
    <row r="351" spans="15:16" x14ac:dyDescent="0.2">
      <c r="O351" s="226">
        <f t="shared" si="24"/>
        <v>115.2</v>
      </c>
      <c r="P351" s="257">
        <f t="shared" si="25"/>
        <v>115.67</v>
      </c>
    </row>
    <row r="352" spans="15:16" x14ac:dyDescent="0.2">
      <c r="O352" s="226">
        <f t="shared" si="24"/>
        <v>116</v>
      </c>
      <c r="P352" s="257">
        <f t="shared" si="25"/>
        <v>116</v>
      </c>
    </row>
    <row r="353" spans="15:16" x14ac:dyDescent="0.2">
      <c r="O353" s="226">
        <f t="shared" si="24"/>
        <v>116.1</v>
      </c>
      <c r="P353" s="257">
        <f t="shared" si="25"/>
        <v>116.33</v>
      </c>
    </row>
    <row r="354" spans="15:16" x14ac:dyDescent="0.2">
      <c r="O354" s="226">
        <f t="shared" si="24"/>
        <v>116.2</v>
      </c>
      <c r="P354" s="257">
        <f t="shared" si="25"/>
        <v>116.67</v>
      </c>
    </row>
    <row r="355" spans="15:16" x14ac:dyDescent="0.2">
      <c r="O355" s="226">
        <f t="shared" si="24"/>
        <v>117</v>
      </c>
      <c r="P355" s="257">
        <f t="shared" si="25"/>
        <v>117</v>
      </c>
    </row>
    <row r="356" spans="15:16" x14ac:dyDescent="0.2">
      <c r="O356" s="226">
        <f t="shared" si="24"/>
        <v>117.1</v>
      </c>
      <c r="P356" s="257">
        <f t="shared" si="25"/>
        <v>117.33</v>
      </c>
    </row>
    <row r="357" spans="15:16" x14ac:dyDescent="0.2">
      <c r="O357" s="226">
        <f t="shared" si="24"/>
        <v>117.2</v>
      </c>
      <c r="P357" s="257">
        <f t="shared" si="25"/>
        <v>117.67</v>
      </c>
    </row>
    <row r="358" spans="15:16" x14ac:dyDescent="0.2">
      <c r="O358" s="226">
        <f t="shared" si="24"/>
        <v>118</v>
      </c>
      <c r="P358" s="257">
        <f t="shared" si="25"/>
        <v>118</v>
      </c>
    </row>
    <row r="359" spans="15:16" x14ac:dyDescent="0.2">
      <c r="O359" s="226">
        <f t="shared" si="24"/>
        <v>118.1</v>
      </c>
      <c r="P359" s="257">
        <f t="shared" si="25"/>
        <v>118.33</v>
      </c>
    </row>
    <row r="360" spans="15:16" x14ac:dyDescent="0.2">
      <c r="O360" s="226">
        <f t="shared" si="24"/>
        <v>118.2</v>
      </c>
      <c r="P360" s="257">
        <f t="shared" si="25"/>
        <v>118.67</v>
      </c>
    </row>
    <row r="361" spans="15:16" x14ac:dyDescent="0.2">
      <c r="O361" s="226">
        <f t="shared" si="24"/>
        <v>119</v>
      </c>
      <c r="P361" s="257">
        <f t="shared" si="25"/>
        <v>119</v>
      </c>
    </row>
    <row r="362" spans="15:16" x14ac:dyDescent="0.2">
      <c r="O362" s="226">
        <f t="shared" si="24"/>
        <v>119.1</v>
      </c>
      <c r="P362" s="257">
        <f t="shared" si="25"/>
        <v>119.33</v>
      </c>
    </row>
    <row r="363" spans="15:16" x14ac:dyDescent="0.2">
      <c r="O363" s="226">
        <f t="shared" si="24"/>
        <v>119.2</v>
      </c>
      <c r="P363" s="257">
        <f t="shared" si="25"/>
        <v>119.67</v>
      </c>
    </row>
    <row r="364" spans="15:16" x14ac:dyDescent="0.2">
      <c r="O364" s="226">
        <f t="shared" si="24"/>
        <v>120</v>
      </c>
      <c r="P364" s="257">
        <f t="shared" si="25"/>
        <v>120</v>
      </c>
    </row>
    <row r="365" spans="15:16" x14ac:dyDescent="0.2">
      <c r="O365" s="226">
        <f t="shared" si="24"/>
        <v>120.1</v>
      </c>
      <c r="P365" s="257">
        <f t="shared" si="25"/>
        <v>120.33</v>
      </c>
    </row>
    <row r="366" spans="15:16" x14ac:dyDescent="0.2">
      <c r="O366" s="226">
        <f t="shared" si="24"/>
        <v>120.2</v>
      </c>
      <c r="P366" s="257">
        <f t="shared" si="25"/>
        <v>120.67</v>
      </c>
    </row>
    <row r="367" spans="15:16" x14ac:dyDescent="0.2">
      <c r="O367" s="226">
        <f t="shared" si="24"/>
        <v>121</v>
      </c>
      <c r="P367" s="257">
        <f t="shared" si="25"/>
        <v>121</v>
      </c>
    </row>
    <row r="368" spans="15:16" x14ac:dyDescent="0.2">
      <c r="O368" s="226">
        <f t="shared" si="24"/>
        <v>121.1</v>
      </c>
      <c r="P368" s="257">
        <f t="shared" si="25"/>
        <v>121.33</v>
      </c>
    </row>
    <row r="369" spans="15:16" x14ac:dyDescent="0.2">
      <c r="O369" s="226">
        <f t="shared" si="24"/>
        <v>121.2</v>
      </c>
      <c r="P369" s="257">
        <f t="shared" si="25"/>
        <v>121.67</v>
      </c>
    </row>
    <row r="370" spans="15:16" x14ac:dyDescent="0.2">
      <c r="O370" s="226">
        <f t="shared" si="24"/>
        <v>122</v>
      </c>
      <c r="P370" s="257">
        <f t="shared" si="25"/>
        <v>122</v>
      </c>
    </row>
    <row r="371" spans="15:16" x14ac:dyDescent="0.2">
      <c r="O371" s="226">
        <f t="shared" si="24"/>
        <v>122.1</v>
      </c>
      <c r="P371" s="257">
        <f t="shared" si="25"/>
        <v>122.33</v>
      </c>
    </row>
    <row r="372" spans="15:16" x14ac:dyDescent="0.2">
      <c r="O372" s="226">
        <f t="shared" si="24"/>
        <v>122.2</v>
      </c>
      <c r="P372" s="257">
        <f t="shared" si="25"/>
        <v>122.67</v>
      </c>
    </row>
    <row r="373" spans="15:16" x14ac:dyDescent="0.2">
      <c r="O373" s="226">
        <f t="shared" si="24"/>
        <v>123</v>
      </c>
      <c r="P373" s="257">
        <f t="shared" si="25"/>
        <v>123</v>
      </c>
    </row>
    <row r="374" spans="15:16" x14ac:dyDescent="0.2">
      <c r="O374" s="226">
        <f t="shared" si="24"/>
        <v>123.1</v>
      </c>
      <c r="P374" s="257">
        <f t="shared" si="25"/>
        <v>123.33</v>
      </c>
    </row>
    <row r="375" spans="15:16" x14ac:dyDescent="0.2">
      <c r="O375" s="226">
        <f t="shared" si="24"/>
        <v>123.2</v>
      </c>
      <c r="P375" s="257">
        <f t="shared" si="25"/>
        <v>123.67</v>
      </c>
    </row>
    <row r="376" spans="15:16" x14ac:dyDescent="0.2">
      <c r="O376" s="226">
        <f t="shared" si="24"/>
        <v>124</v>
      </c>
      <c r="P376" s="257">
        <f t="shared" si="25"/>
        <v>124</v>
      </c>
    </row>
    <row r="377" spans="15:16" x14ac:dyDescent="0.2">
      <c r="O377" s="226">
        <f t="shared" si="24"/>
        <v>124.1</v>
      </c>
      <c r="P377" s="257">
        <f t="shared" si="25"/>
        <v>124.33</v>
      </c>
    </row>
    <row r="378" spans="15:16" x14ac:dyDescent="0.2">
      <c r="O378" s="226">
        <f t="shared" si="24"/>
        <v>124.2</v>
      </c>
      <c r="P378" s="257">
        <f t="shared" si="25"/>
        <v>124.67</v>
      </c>
    </row>
    <row r="379" spans="15:16" x14ac:dyDescent="0.2">
      <c r="O379" s="226">
        <f t="shared" si="24"/>
        <v>125</v>
      </c>
      <c r="P379" s="257">
        <f t="shared" si="25"/>
        <v>125</v>
      </c>
    </row>
    <row r="380" spans="15:16" x14ac:dyDescent="0.2">
      <c r="O380" s="226">
        <f t="shared" si="24"/>
        <v>125.1</v>
      </c>
      <c r="P380" s="257">
        <f t="shared" si="25"/>
        <v>125.33</v>
      </c>
    </row>
    <row r="381" spans="15:16" x14ac:dyDescent="0.2">
      <c r="O381" s="226">
        <f t="shared" si="24"/>
        <v>125.2</v>
      </c>
      <c r="P381" s="257">
        <f t="shared" si="25"/>
        <v>125.67</v>
      </c>
    </row>
    <row r="382" spans="15:16" x14ac:dyDescent="0.2">
      <c r="O382" s="226">
        <f t="shared" si="24"/>
        <v>126</v>
      </c>
      <c r="P382" s="257">
        <f t="shared" si="25"/>
        <v>126</v>
      </c>
    </row>
    <row r="383" spans="15:16" x14ac:dyDescent="0.2">
      <c r="O383" s="226">
        <f t="shared" si="24"/>
        <v>126.1</v>
      </c>
      <c r="P383" s="257">
        <f t="shared" si="25"/>
        <v>126.33</v>
      </c>
    </row>
    <row r="384" spans="15:16" x14ac:dyDescent="0.2">
      <c r="O384" s="226">
        <f t="shared" si="24"/>
        <v>126.2</v>
      </c>
      <c r="P384" s="257">
        <f t="shared" si="25"/>
        <v>126.67</v>
      </c>
    </row>
    <row r="385" spans="15:16" x14ac:dyDescent="0.2">
      <c r="O385" s="226">
        <f t="shared" si="24"/>
        <v>127</v>
      </c>
      <c r="P385" s="257">
        <f t="shared" si="25"/>
        <v>127</v>
      </c>
    </row>
    <row r="386" spans="15:16" x14ac:dyDescent="0.2">
      <c r="O386" s="226">
        <f t="shared" si="24"/>
        <v>127.1</v>
      </c>
      <c r="P386" s="257">
        <f t="shared" si="25"/>
        <v>127.33</v>
      </c>
    </row>
    <row r="387" spans="15:16" x14ac:dyDescent="0.2">
      <c r="O387" s="226">
        <f t="shared" si="24"/>
        <v>127.2</v>
      </c>
      <c r="P387" s="257">
        <f t="shared" si="25"/>
        <v>127.67</v>
      </c>
    </row>
    <row r="388" spans="15:16" x14ac:dyDescent="0.2">
      <c r="O388" s="226">
        <f t="shared" si="24"/>
        <v>128</v>
      </c>
      <c r="P388" s="257">
        <f t="shared" si="25"/>
        <v>128</v>
      </c>
    </row>
    <row r="389" spans="15:16" x14ac:dyDescent="0.2">
      <c r="O389" s="226">
        <f t="shared" si="24"/>
        <v>128.1</v>
      </c>
      <c r="P389" s="257">
        <f t="shared" si="25"/>
        <v>128.32999999999998</v>
      </c>
    </row>
    <row r="390" spans="15:16" x14ac:dyDescent="0.2">
      <c r="O390" s="226">
        <f t="shared" si="24"/>
        <v>128.19999999999999</v>
      </c>
      <c r="P390" s="257">
        <f t="shared" si="25"/>
        <v>128.67000000000002</v>
      </c>
    </row>
    <row r="391" spans="15:16" x14ac:dyDescent="0.2">
      <c r="O391" s="226">
        <f t="shared" si="24"/>
        <v>129</v>
      </c>
      <c r="P391" s="257">
        <f t="shared" si="25"/>
        <v>129</v>
      </c>
    </row>
    <row r="392" spans="15:16" x14ac:dyDescent="0.2">
      <c r="O392" s="226">
        <f t="shared" ref="O392:O455" si="26">$O389+1</f>
        <v>129.1</v>
      </c>
      <c r="P392" s="257">
        <f t="shared" ref="P392:P455" si="27">$P389+1</f>
        <v>129.32999999999998</v>
      </c>
    </row>
    <row r="393" spans="15:16" x14ac:dyDescent="0.2">
      <c r="O393" s="226">
        <f t="shared" si="26"/>
        <v>129.19999999999999</v>
      </c>
      <c r="P393" s="257">
        <f t="shared" si="27"/>
        <v>129.67000000000002</v>
      </c>
    </row>
    <row r="394" spans="15:16" x14ac:dyDescent="0.2">
      <c r="O394" s="226">
        <f t="shared" si="26"/>
        <v>130</v>
      </c>
      <c r="P394" s="257">
        <f t="shared" si="27"/>
        <v>130</v>
      </c>
    </row>
    <row r="395" spans="15:16" x14ac:dyDescent="0.2">
      <c r="O395" s="226">
        <f t="shared" si="26"/>
        <v>130.1</v>
      </c>
      <c r="P395" s="257">
        <f t="shared" si="27"/>
        <v>130.32999999999998</v>
      </c>
    </row>
    <row r="396" spans="15:16" x14ac:dyDescent="0.2">
      <c r="O396" s="226">
        <f t="shared" si="26"/>
        <v>130.19999999999999</v>
      </c>
      <c r="P396" s="257">
        <f t="shared" si="27"/>
        <v>130.67000000000002</v>
      </c>
    </row>
    <row r="397" spans="15:16" x14ac:dyDescent="0.2">
      <c r="O397" s="226">
        <f t="shared" si="26"/>
        <v>131</v>
      </c>
      <c r="P397" s="257">
        <f t="shared" si="27"/>
        <v>131</v>
      </c>
    </row>
    <row r="398" spans="15:16" x14ac:dyDescent="0.2">
      <c r="O398" s="226">
        <f t="shared" si="26"/>
        <v>131.1</v>
      </c>
      <c r="P398" s="257">
        <f t="shared" si="27"/>
        <v>131.32999999999998</v>
      </c>
    </row>
    <row r="399" spans="15:16" x14ac:dyDescent="0.2">
      <c r="O399" s="226">
        <f t="shared" si="26"/>
        <v>131.19999999999999</v>
      </c>
      <c r="P399" s="257">
        <f t="shared" si="27"/>
        <v>131.67000000000002</v>
      </c>
    </row>
    <row r="400" spans="15:16" x14ac:dyDescent="0.2">
      <c r="O400" s="226">
        <f t="shared" si="26"/>
        <v>132</v>
      </c>
      <c r="P400" s="257">
        <f t="shared" si="27"/>
        <v>132</v>
      </c>
    </row>
    <row r="401" spans="15:16" x14ac:dyDescent="0.2">
      <c r="O401" s="226">
        <f t="shared" si="26"/>
        <v>132.1</v>
      </c>
      <c r="P401" s="257">
        <f t="shared" si="27"/>
        <v>132.32999999999998</v>
      </c>
    </row>
    <row r="402" spans="15:16" x14ac:dyDescent="0.2">
      <c r="O402" s="226">
        <f t="shared" si="26"/>
        <v>132.19999999999999</v>
      </c>
      <c r="P402" s="257">
        <f t="shared" si="27"/>
        <v>132.67000000000002</v>
      </c>
    </row>
    <row r="403" spans="15:16" x14ac:dyDescent="0.2">
      <c r="O403" s="226">
        <f t="shared" si="26"/>
        <v>133</v>
      </c>
      <c r="P403" s="257">
        <f t="shared" si="27"/>
        <v>133</v>
      </c>
    </row>
    <row r="404" spans="15:16" x14ac:dyDescent="0.2">
      <c r="O404" s="226">
        <f t="shared" si="26"/>
        <v>133.1</v>
      </c>
      <c r="P404" s="257">
        <f t="shared" si="27"/>
        <v>133.32999999999998</v>
      </c>
    </row>
    <row r="405" spans="15:16" x14ac:dyDescent="0.2">
      <c r="O405" s="226">
        <f t="shared" si="26"/>
        <v>133.19999999999999</v>
      </c>
      <c r="P405" s="257">
        <f t="shared" si="27"/>
        <v>133.67000000000002</v>
      </c>
    </row>
    <row r="406" spans="15:16" x14ac:dyDescent="0.2">
      <c r="O406" s="226">
        <f t="shared" si="26"/>
        <v>134</v>
      </c>
      <c r="P406" s="257">
        <f t="shared" si="27"/>
        <v>134</v>
      </c>
    </row>
    <row r="407" spans="15:16" x14ac:dyDescent="0.2">
      <c r="O407" s="226">
        <f t="shared" si="26"/>
        <v>134.1</v>
      </c>
      <c r="P407" s="257">
        <f t="shared" si="27"/>
        <v>134.32999999999998</v>
      </c>
    </row>
    <row r="408" spans="15:16" x14ac:dyDescent="0.2">
      <c r="O408" s="226">
        <f t="shared" si="26"/>
        <v>134.19999999999999</v>
      </c>
      <c r="P408" s="257">
        <f t="shared" si="27"/>
        <v>134.67000000000002</v>
      </c>
    </row>
    <row r="409" spans="15:16" x14ac:dyDescent="0.2">
      <c r="O409" s="226">
        <f t="shared" si="26"/>
        <v>135</v>
      </c>
      <c r="P409" s="257">
        <f t="shared" si="27"/>
        <v>135</v>
      </c>
    </row>
    <row r="410" spans="15:16" x14ac:dyDescent="0.2">
      <c r="O410" s="226">
        <f t="shared" si="26"/>
        <v>135.1</v>
      </c>
      <c r="P410" s="257">
        <f t="shared" si="27"/>
        <v>135.32999999999998</v>
      </c>
    </row>
    <row r="411" spans="15:16" x14ac:dyDescent="0.2">
      <c r="O411" s="226">
        <f t="shared" si="26"/>
        <v>135.19999999999999</v>
      </c>
      <c r="P411" s="257">
        <f t="shared" si="27"/>
        <v>135.67000000000002</v>
      </c>
    </row>
    <row r="412" spans="15:16" x14ac:dyDescent="0.2">
      <c r="O412" s="226">
        <f t="shared" si="26"/>
        <v>136</v>
      </c>
      <c r="P412" s="257">
        <f t="shared" si="27"/>
        <v>136</v>
      </c>
    </row>
    <row r="413" spans="15:16" x14ac:dyDescent="0.2">
      <c r="O413" s="226">
        <f t="shared" si="26"/>
        <v>136.1</v>
      </c>
      <c r="P413" s="257">
        <f t="shared" si="27"/>
        <v>136.32999999999998</v>
      </c>
    </row>
    <row r="414" spans="15:16" x14ac:dyDescent="0.2">
      <c r="O414" s="226">
        <f t="shared" si="26"/>
        <v>136.19999999999999</v>
      </c>
      <c r="P414" s="257">
        <f t="shared" si="27"/>
        <v>136.67000000000002</v>
      </c>
    </row>
    <row r="415" spans="15:16" x14ac:dyDescent="0.2">
      <c r="O415" s="226">
        <f t="shared" si="26"/>
        <v>137</v>
      </c>
      <c r="P415" s="257">
        <f t="shared" si="27"/>
        <v>137</v>
      </c>
    </row>
    <row r="416" spans="15:16" x14ac:dyDescent="0.2">
      <c r="O416" s="226">
        <f t="shared" si="26"/>
        <v>137.1</v>
      </c>
      <c r="P416" s="257">
        <f t="shared" si="27"/>
        <v>137.32999999999998</v>
      </c>
    </row>
    <row r="417" spans="15:16" x14ac:dyDescent="0.2">
      <c r="O417" s="226">
        <f t="shared" si="26"/>
        <v>137.19999999999999</v>
      </c>
      <c r="P417" s="257">
        <f t="shared" si="27"/>
        <v>137.67000000000002</v>
      </c>
    </row>
    <row r="418" spans="15:16" x14ac:dyDescent="0.2">
      <c r="O418" s="226">
        <f t="shared" si="26"/>
        <v>138</v>
      </c>
      <c r="P418" s="257">
        <f t="shared" si="27"/>
        <v>138</v>
      </c>
    </row>
    <row r="419" spans="15:16" x14ac:dyDescent="0.2">
      <c r="O419" s="226">
        <f t="shared" si="26"/>
        <v>138.1</v>
      </c>
      <c r="P419" s="257">
        <f t="shared" si="27"/>
        <v>138.32999999999998</v>
      </c>
    </row>
    <row r="420" spans="15:16" x14ac:dyDescent="0.2">
      <c r="O420" s="226">
        <f t="shared" si="26"/>
        <v>138.19999999999999</v>
      </c>
      <c r="P420" s="257">
        <f t="shared" si="27"/>
        <v>138.67000000000002</v>
      </c>
    </row>
    <row r="421" spans="15:16" x14ac:dyDescent="0.2">
      <c r="O421" s="226">
        <f t="shared" si="26"/>
        <v>139</v>
      </c>
      <c r="P421" s="257">
        <f t="shared" si="27"/>
        <v>139</v>
      </c>
    </row>
    <row r="422" spans="15:16" x14ac:dyDescent="0.2">
      <c r="O422" s="226">
        <f t="shared" si="26"/>
        <v>139.1</v>
      </c>
      <c r="P422" s="257">
        <f t="shared" si="27"/>
        <v>139.32999999999998</v>
      </c>
    </row>
    <row r="423" spans="15:16" x14ac:dyDescent="0.2">
      <c r="O423" s="226">
        <f t="shared" si="26"/>
        <v>139.19999999999999</v>
      </c>
      <c r="P423" s="257">
        <f t="shared" si="27"/>
        <v>139.67000000000002</v>
      </c>
    </row>
    <row r="424" spans="15:16" x14ac:dyDescent="0.2">
      <c r="O424" s="226">
        <f t="shared" si="26"/>
        <v>140</v>
      </c>
      <c r="P424" s="257">
        <f t="shared" si="27"/>
        <v>140</v>
      </c>
    </row>
    <row r="425" spans="15:16" x14ac:dyDescent="0.2">
      <c r="O425" s="226">
        <f t="shared" si="26"/>
        <v>140.1</v>
      </c>
      <c r="P425" s="257">
        <f t="shared" si="27"/>
        <v>140.32999999999998</v>
      </c>
    </row>
    <row r="426" spans="15:16" x14ac:dyDescent="0.2">
      <c r="O426" s="226">
        <f t="shared" si="26"/>
        <v>140.19999999999999</v>
      </c>
      <c r="P426" s="257">
        <f t="shared" si="27"/>
        <v>140.67000000000002</v>
      </c>
    </row>
    <row r="427" spans="15:16" x14ac:dyDescent="0.2">
      <c r="O427" s="226">
        <f t="shared" si="26"/>
        <v>141</v>
      </c>
      <c r="P427" s="257">
        <f t="shared" si="27"/>
        <v>141</v>
      </c>
    </row>
    <row r="428" spans="15:16" x14ac:dyDescent="0.2">
      <c r="O428" s="226">
        <f t="shared" si="26"/>
        <v>141.1</v>
      </c>
      <c r="P428" s="257">
        <f t="shared" si="27"/>
        <v>141.32999999999998</v>
      </c>
    </row>
    <row r="429" spans="15:16" x14ac:dyDescent="0.2">
      <c r="O429" s="226">
        <f t="shared" si="26"/>
        <v>141.19999999999999</v>
      </c>
      <c r="P429" s="257">
        <f t="shared" si="27"/>
        <v>141.67000000000002</v>
      </c>
    </row>
    <row r="430" spans="15:16" x14ac:dyDescent="0.2">
      <c r="O430" s="226">
        <f t="shared" si="26"/>
        <v>142</v>
      </c>
      <c r="P430" s="257">
        <f t="shared" si="27"/>
        <v>142</v>
      </c>
    </row>
    <row r="431" spans="15:16" x14ac:dyDescent="0.2">
      <c r="O431" s="226">
        <f t="shared" si="26"/>
        <v>142.1</v>
      </c>
      <c r="P431" s="257">
        <f t="shared" si="27"/>
        <v>142.32999999999998</v>
      </c>
    </row>
    <row r="432" spans="15:16" x14ac:dyDescent="0.2">
      <c r="O432" s="226">
        <f t="shared" si="26"/>
        <v>142.19999999999999</v>
      </c>
      <c r="P432" s="257">
        <f t="shared" si="27"/>
        <v>142.67000000000002</v>
      </c>
    </row>
    <row r="433" spans="15:16" x14ac:dyDescent="0.2">
      <c r="O433" s="226">
        <f t="shared" si="26"/>
        <v>143</v>
      </c>
      <c r="P433" s="257">
        <f t="shared" si="27"/>
        <v>143</v>
      </c>
    </row>
    <row r="434" spans="15:16" x14ac:dyDescent="0.2">
      <c r="O434" s="226">
        <f t="shared" si="26"/>
        <v>143.1</v>
      </c>
      <c r="P434" s="257">
        <f t="shared" si="27"/>
        <v>143.32999999999998</v>
      </c>
    </row>
    <row r="435" spans="15:16" x14ac:dyDescent="0.2">
      <c r="O435" s="226">
        <f t="shared" si="26"/>
        <v>143.19999999999999</v>
      </c>
      <c r="P435" s="257">
        <f t="shared" si="27"/>
        <v>143.67000000000002</v>
      </c>
    </row>
    <row r="436" spans="15:16" x14ac:dyDescent="0.2">
      <c r="O436" s="226">
        <f t="shared" si="26"/>
        <v>144</v>
      </c>
      <c r="P436" s="257">
        <f t="shared" si="27"/>
        <v>144</v>
      </c>
    </row>
    <row r="437" spans="15:16" x14ac:dyDescent="0.2">
      <c r="O437" s="226">
        <f t="shared" si="26"/>
        <v>144.1</v>
      </c>
      <c r="P437" s="257">
        <f t="shared" si="27"/>
        <v>144.32999999999998</v>
      </c>
    </row>
    <row r="438" spans="15:16" x14ac:dyDescent="0.2">
      <c r="O438" s="226">
        <f t="shared" si="26"/>
        <v>144.19999999999999</v>
      </c>
      <c r="P438" s="257">
        <f t="shared" si="27"/>
        <v>144.67000000000002</v>
      </c>
    </row>
    <row r="439" spans="15:16" x14ac:dyDescent="0.2">
      <c r="O439" s="226">
        <f t="shared" si="26"/>
        <v>145</v>
      </c>
      <c r="P439" s="257">
        <f t="shared" si="27"/>
        <v>145</v>
      </c>
    </row>
    <row r="440" spans="15:16" x14ac:dyDescent="0.2">
      <c r="O440" s="226">
        <f t="shared" si="26"/>
        <v>145.1</v>
      </c>
      <c r="P440" s="257">
        <f t="shared" si="27"/>
        <v>145.32999999999998</v>
      </c>
    </row>
    <row r="441" spans="15:16" x14ac:dyDescent="0.2">
      <c r="O441" s="226">
        <f t="shared" si="26"/>
        <v>145.19999999999999</v>
      </c>
      <c r="P441" s="257">
        <f t="shared" si="27"/>
        <v>145.67000000000002</v>
      </c>
    </row>
    <row r="442" spans="15:16" x14ac:dyDescent="0.2">
      <c r="O442" s="226">
        <f t="shared" si="26"/>
        <v>146</v>
      </c>
      <c r="P442" s="257">
        <f t="shared" si="27"/>
        <v>146</v>
      </c>
    </row>
    <row r="443" spans="15:16" x14ac:dyDescent="0.2">
      <c r="O443" s="226">
        <f t="shared" si="26"/>
        <v>146.1</v>
      </c>
      <c r="P443" s="257">
        <f t="shared" si="27"/>
        <v>146.32999999999998</v>
      </c>
    </row>
    <row r="444" spans="15:16" x14ac:dyDescent="0.2">
      <c r="O444" s="226">
        <f t="shared" si="26"/>
        <v>146.19999999999999</v>
      </c>
      <c r="P444" s="257">
        <f t="shared" si="27"/>
        <v>146.67000000000002</v>
      </c>
    </row>
    <row r="445" spans="15:16" x14ac:dyDescent="0.2">
      <c r="O445" s="226">
        <f t="shared" si="26"/>
        <v>147</v>
      </c>
      <c r="P445" s="257">
        <f t="shared" si="27"/>
        <v>147</v>
      </c>
    </row>
    <row r="446" spans="15:16" x14ac:dyDescent="0.2">
      <c r="O446" s="226">
        <f t="shared" si="26"/>
        <v>147.1</v>
      </c>
      <c r="P446" s="257">
        <f t="shared" si="27"/>
        <v>147.32999999999998</v>
      </c>
    </row>
    <row r="447" spans="15:16" x14ac:dyDescent="0.2">
      <c r="O447" s="226">
        <f t="shared" si="26"/>
        <v>147.19999999999999</v>
      </c>
      <c r="P447" s="257">
        <f t="shared" si="27"/>
        <v>147.67000000000002</v>
      </c>
    </row>
    <row r="448" spans="15:16" x14ac:dyDescent="0.2">
      <c r="O448" s="226">
        <f t="shared" si="26"/>
        <v>148</v>
      </c>
      <c r="P448" s="257">
        <f t="shared" si="27"/>
        <v>148</v>
      </c>
    </row>
    <row r="449" spans="15:16" x14ac:dyDescent="0.2">
      <c r="O449" s="226">
        <f t="shared" si="26"/>
        <v>148.1</v>
      </c>
      <c r="P449" s="257">
        <f t="shared" si="27"/>
        <v>148.32999999999998</v>
      </c>
    </row>
    <row r="450" spans="15:16" x14ac:dyDescent="0.2">
      <c r="O450" s="226">
        <f t="shared" si="26"/>
        <v>148.19999999999999</v>
      </c>
      <c r="P450" s="257">
        <f t="shared" si="27"/>
        <v>148.67000000000002</v>
      </c>
    </row>
    <row r="451" spans="15:16" x14ac:dyDescent="0.2">
      <c r="O451" s="226">
        <f t="shared" si="26"/>
        <v>149</v>
      </c>
      <c r="P451" s="257">
        <f t="shared" si="27"/>
        <v>149</v>
      </c>
    </row>
    <row r="452" spans="15:16" x14ac:dyDescent="0.2">
      <c r="O452" s="226">
        <f t="shared" si="26"/>
        <v>149.1</v>
      </c>
      <c r="P452" s="257">
        <f t="shared" si="27"/>
        <v>149.32999999999998</v>
      </c>
    </row>
    <row r="453" spans="15:16" x14ac:dyDescent="0.2">
      <c r="O453" s="226">
        <f t="shared" si="26"/>
        <v>149.19999999999999</v>
      </c>
      <c r="P453" s="257">
        <f t="shared" si="27"/>
        <v>149.67000000000002</v>
      </c>
    </row>
    <row r="454" spans="15:16" x14ac:dyDescent="0.2">
      <c r="O454" s="226">
        <f t="shared" si="26"/>
        <v>150</v>
      </c>
      <c r="P454" s="257">
        <f t="shared" si="27"/>
        <v>150</v>
      </c>
    </row>
    <row r="455" spans="15:16" x14ac:dyDescent="0.2">
      <c r="O455" s="226">
        <f t="shared" si="26"/>
        <v>150.1</v>
      </c>
      <c r="P455" s="257">
        <f t="shared" si="27"/>
        <v>150.32999999999998</v>
      </c>
    </row>
    <row r="456" spans="15:16" x14ac:dyDescent="0.2">
      <c r="O456" s="226">
        <f t="shared" ref="O456:O519" si="28">$O453+1</f>
        <v>150.19999999999999</v>
      </c>
      <c r="P456" s="257">
        <f t="shared" ref="P456:P519" si="29">$P453+1</f>
        <v>150.67000000000002</v>
      </c>
    </row>
    <row r="457" spans="15:16" x14ac:dyDescent="0.2">
      <c r="O457" s="226">
        <f t="shared" si="28"/>
        <v>151</v>
      </c>
      <c r="P457" s="257">
        <f t="shared" si="29"/>
        <v>151</v>
      </c>
    </row>
    <row r="458" spans="15:16" x14ac:dyDescent="0.2">
      <c r="O458" s="226">
        <f t="shared" si="28"/>
        <v>151.1</v>
      </c>
      <c r="P458" s="257">
        <f t="shared" si="29"/>
        <v>151.32999999999998</v>
      </c>
    </row>
    <row r="459" spans="15:16" x14ac:dyDescent="0.2">
      <c r="O459" s="226">
        <f t="shared" si="28"/>
        <v>151.19999999999999</v>
      </c>
      <c r="P459" s="257">
        <f t="shared" si="29"/>
        <v>151.67000000000002</v>
      </c>
    </row>
    <row r="460" spans="15:16" x14ac:dyDescent="0.2">
      <c r="O460" s="226">
        <f t="shared" si="28"/>
        <v>152</v>
      </c>
      <c r="P460" s="257">
        <f t="shared" si="29"/>
        <v>152</v>
      </c>
    </row>
    <row r="461" spans="15:16" x14ac:dyDescent="0.2">
      <c r="O461" s="226">
        <f t="shared" si="28"/>
        <v>152.1</v>
      </c>
      <c r="P461" s="257">
        <f t="shared" si="29"/>
        <v>152.32999999999998</v>
      </c>
    </row>
    <row r="462" spans="15:16" x14ac:dyDescent="0.2">
      <c r="O462" s="226">
        <f t="shared" si="28"/>
        <v>152.19999999999999</v>
      </c>
      <c r="P462" s="257">
        <f t="shared" si="29"/>
        <v>152.67000000000002</v>
      </c>
    </row>
    <row r="463" spans="15:16" x14ac:dyDescent="0.2">
      <c r="O463" s="226">
        <f t="shared" si="28"/>
        <v>153</v>
      </c>
      <c r="P463" s="257">
        <f t="shared" si="29"/>
        <v>153</v>
      </c>
    </row>
    <row r="464" spans="15:16" x14ac:dyDescent="0.2">
      <c r="O464" s="226">
        <f t="shared" si="28"/>
        <v>153.1</v>
      </c>
      <c r="P464" s="257">
        <f t="shared" si="29"/>
        <v>153.32999999999998</v>
      </c>
    </row>
    <row r="465" spans="15:16" x14ac:dyDescent="0.2">
      <c r="O465" s="226">
        <f t="shared" si="28"/>
        <v>153.19999999999999</v>
      </c>
      <c r="P465" s="257">
        <f t="shared" si="29"/>
        <v>153.67000000000002</v>
      </c>
    </row>
    <row r="466" spans="15:16" x14ac:dyDescent="0.2">
      <c r="O466" s="226">
        <f t="shared" si="28"/>
        <v>154</v>
      </c>
      <c r="P466" s="257">
        <f t="shared" si="29"/>
        <v>154</v>
      </c>
    </row>
    <row r="467" spans="15:16" x14ac:dyDescent="0.2">
      <c r="O467" s="226">
        <f t="shared" si="28"/>
        <v>154.1</v>
      </c>
      <c r="P467" s="257">
        <f t="shared" si="29"/>
        <v>154.32999999999998</v>
      </c>
    </row>
    <row r="468" spans="15:16" x14ac:dyDescent="0.2">
      <c r="O468" s="226">
        <f t="shared" si="28"/>
        <v>154.19999999999999</v>
      </c>
      <c r="P468" s="257">
        <f t="shared" si="29"/>
        <v>154.67000000000002</v>
      </c>
    </row>
    <row r="469" spans="15:16" x14ac:dyDescent="0.2">
      <c r="O469" s="226">
        <f t="shared" si="28"/>
        <v>155</v>
      </c>
      <c r="P469" s="257">
        <f t="shared" si="29"/>
        <v>155</v>
      </c>
    </row>
    <row r="470" spans="15:16" x14ac:dyDescent="0.2">
      <c r="O470" s="226">
        <f t="shared" si="28"/>
        <v>155.1</v>
      </c>
      <c r="P470" s="257">
        <f t="shared" si="29"/>
        <v>155.32999999999998</v>
      </c>
    </row>
    <row r="471" spans="15:16" x14ac:dyDescent="0.2">
      <c r="O471" s="226">
        <f t="shared" si="28"/>
        <v>155.19999999999999</v>
      </c>
      <c r="P471" s="257">
        <f t="shared" si="29"/>
        <v>155.67000000000002</v>
      </c>
    </row>
    <row r="472" spans="15:16" x14ac:dyDescent="0.2">
      <c r="O472" s="226">
        <f t="shared" si="28"/>
        <v>156</v>
      </c>
      <c r="P472" s="257">
        <f t="shared" si="29"/>
        <v>156</v>
      </c>
    </row>
    <row r="473" spans="15:16" x14ac:dyDescent="0.2">
      <c r="O473" s="226">
        <f t="shared" si="28"/>
        <v>156.1</v>
      </c>
      <c r="P473" s="257">
        <f t="shared" si="29"/>
        <v>156.32999999999998</v>
      </c>
    </row>
    <row r="474" spans="15:16" x14ac:dyDescent="0.2">
      <c r="O474" s="226">
        <f t="shared" si="28"/>
        <v>156.19999999999999</v>
      </c>
      <c r="P474" s="257">
        <f t="shared" si="29"/>
        <v>156.67000000000002</v>
      </c>
    </row>
    <row r="475" spans="15:16" x14ac:dyDescent="0.2">
      <c r="O475" s="226">
        <f t="shared" si="28"/>
        <v>157</v>
      </c>
      <c r="P475" s="257">
        <f t="shared" si="29"/>
        <v>157</v>
      </c>
    </row>
    <row r="476" spans="15:16" x14ac:dyDescent="0.2">
      <c r="O476" s="226">
        <f t="shared" si="28"/>
        <v>157.1</v>
      </c>
      <c r="P476" s="257">
        <f t="shared" si="29"/>
        <v>157.32999999999998</v>
      </c>
    </row>
    <row r="477" spans="15:16" x14ac:dyDescent="0.2">
      <c r="O477" s="226">
        <f t="shared" si="28"/>
        <v>157.19999999999999</v>
      </c>
      <c r="P477" s="257">
        <f t="shared" si="29"/>
        <v>157.67000000000002</v>
      </c>
    </row>
    <row r="478" spans="15:16" x14ac:dyDescent="0.2">
      <c r="O478" s="226">
        <f t="shared" si="28"/>
        <v>158</v>
      </c>
      <c r="P478" s="257">
        <f t="shared" si="29"/>
        <v>158</v>
      </c>
    </row>
    <row r="479" spans="15:16" x14ac:dyDescent="0.2">
      <c r="O479" s="226">
        <f t="shared" si="28"/>
        <v>158.1</v>
      </c>
      <c r="P479" s="257">
        <f t="shared" si="29"/>
        <v>158.32999999999998</v>
      </c>
    </row>
    <row r="480" spans="15:16" x14ac:dyDescent="0.2">
      <c r="O480" s="226">
        <f t="shared" si="28"/>
        <v>158.19999999999999</v>
      </c>
      <c r="P480" s="257">
        <f t="shared" si="29"/>
        <v>158.67000000000002</v>
      </c>
    </row>
    <row r="481" spans="15:16" x14ac:dyDescent="0.2">
      <c r="O481" s="226">
        <f t="shared" si="28"/>
        <v>159</v>
      </c>
      <c r="P481" s="257">
        <f t="shared" si="29"/>
        <v>159</v>
      </c>
    </row>
    <row r="482" spans="15:16" x14ac:dyDescent="0.2">
      <c r="O482" s="226">
        <f t="shared" si="28"/>
        <v>159.1</v>
      </c>
      <c r="P482" s="257">
        <f t="shared" si="29"/>
        <v>159.32999999999998</v>
      </c>
    </row>
    <row r="483" spans="15:16" x14ac:dyDescent="0.2">
      <c r="O483" s="226">
        <f t="shared" si="28"/>
        <v>159.19999999999999</v>
      </c>
      <c r="P483" s="257">
        <f t="shared" si="29"/>
        <v>159.67000000000002</v>
      </c>
    </row>
    <row r="484" spans="15:16" x14ac:dyDescent="0.2">
      <c r="O484" s="226">
        <f t="shared" si="28"/>
        <v>160</v>
      </c>
      <c r="P484" s="257">
        <f t="shared" si="29"/>
        <v>160</v>
      </c>
    </row>
    <row r="485" spans="15:16" x14ac:dyDescent="0.2">
      <c r="O485" s="226">
        <f t="shared" si="28"/>
        <v>160.1</v>
      </c>
      <c r="P485" s="257">
        <f t="shared" si="29"/>
        <v>160.32999999999998</v>
      </c>
    </row>
    <row r="486" spans="15:16" x14ac:dyDescent="0.2">
      <c r="O486" s="226">
        <f t="shared" si="28"/>
        <v>160.19999999999999</v>
      </c>
      <c r="P486" s="257">
        <f t="shared" si="29"/>
        <v>160.67000000000002</v>
      </c>
    </row>
    <row r="487" spans="15:16" x14ac:dyDescent="0.2">
      <c r="O487" s="226">
        <f t="shared" si="28"/>
        <v>161</v>
      </c>
      <c r="P487" s="257">
        <f t="shared" si="29"/>
        <v>161</v>
      </c>
    </row>
    <row r="488" spans="15:16" x14ac:dyDescent="0.2">
      <c r="O488" s="226">
        <f t="shared" si="28"/>
        <v>161.1</v>
      </c>
      <c r="P488" s="257">
        <f t="shared" si="29"/>
        <v>161.32999999999998</v>
      </c>
    </row>
    <row r="489" spans="15:16" x14ac:dyDescent="0.2">
      <c r="O489" s="226">
        <f t="shared" si="28"/>
        <v>161.19999999999999</v>
      </c>
      <c r="P489" s="257">
        <f t="shared" si="29"/>
        <v>161.67000000000002</v>
      </c>
    </row>
    <row r="490" spans="15:16" x14ac:dyDescent="0.2">
      <c r="O490" s="226">
        <f t="shared" si="28"/>
        <v>162</v>
      </c>
      <c r="P490" s="257">
        <f t="shared" si="29"/>
        <v>162</v>
      </c>
    </row>
    <row r="491" spans="15:16" x14ac:dyDescent="0.2">
      <c r="O491" s="226">
        <f t="shared" si="28"/>
        <v>162.1</v>
      </c>
      <c r="P491" s="257">
        <f t="shared" si="29"/>
        <v>162.32999999999998</v>
      </c>
    </row>
    <row r="492" spans="15:16" x14ac:dyDescent="0.2">
      <c r="O492" s="226">
        <f t="shared" si="28"/>
        <v>162.19999999999999</v>
      </c>
      <c r="P492" s="257">
        <f t="shared" si="29"/>
        <v>162.67000000000002</v>
      </c>
    </row>
    <row r="493" spans="15:16" x14ac:dyDescent="0.2">
      <c r="O493" s="226">
        <f t="shared" si="28"/>
        <v>163</v>
      </c>
      <c r="P493" s="257">
        <f t="shared" si="29"/>
        <v>163</v>
      </c>
    </row>
    <row r="494" spans="15:16" x14ac:dyDescent="0.2">
      <c r="O494" s="226">
        <f t="shared" si="28"/>
        <v>163.1</v>
      </c>
      <c r="P494" s="257">
        <f t="shared" si="29"/>
        <v>163.32999999999998</v>
      </c>
    </row>
    <row r="495" spans="15:16" x14ac:dyDescent="0.2">
      <c r="O495" s="226">
        <f t="shared" si="28"/>
        <v>163.19999999999999</v>
      </c>
      <c r="P495" s="257">
        <f t="shared" si="29"/>
        <v>163.67000000000002</v>
      </c>
    </row>
    <row r="496" spans="15:16" x14ac:dyDescent="0.2">
      <c r="O496" s="226">
        <f t="shared" si="28"/>
        <v>164</v>
      </c>
      <c r="P496" s="257">
        <f t="shared" si="29"/>
        <v>164</v>
      </c>
    </row>
    <row r="497" spans="15:16" x14ac:dyDescent="0.2">
      <c r="O497" s="226">
        <f t="shared" si="28"/>
        <v>164.1</v>
      </c>
      <c r="P497" s="257">
        <f t="shared" si="29"/>
        <v>164.32999999999998</v>
      </c>
    </row>
    <row r="498" spans="15:16" x14ac:dyDescent="0.2">
      <c r="O498" s="226">
        <f t="shared" si="28"/>
        <v>164.2</v>
      </c>
      <c r="P498" s="257">
        <f t="shared" si="29"/>
        <v>164.67000000000002</v>
      </c>
    </row>
    <row r="499" spans="15:16" x14ac:dyDescent="0.2">
      <c r="O499" s="226">
        <f t="shared" si="28"/>
        <v>165</v>
      </c>
      <c r="P499" s="257">
        <f t="shared" si="29"/>
        <v>165</v>
      </c>
    </row>
    <row r="500" spans="15:16" x14ac:dyDescent="0.2">
      <c r="O500" s="226">
        <f t="shared" si="28"/>
        <v>165.1</v>
      </c>
      <c r="P500" s="257">
        <f t="shared" si="29"/>
        <v>165.32999999999998</v>
      </c>
    </row>
    <row r="501" spans="15:16" x14ac:dyDescent="0.2">
      <c r="O501" s="226">
        <f t="shared" si="28"/>
        <v>165.2</v>
      </c>
      <c r="P501" s="257">
        <f t="shared" si="29"/>
        <v>165.67000000000002</v>
      </c>
    </row>
    <row r="502" spans="15:16" x14ac:dyDescent="0.2">
      <c r="O502" s="226">
        <f t="shared" si="28"/>
        <v>166</v>
      </c>
      <c r="P502" s="257">
        <f t="shared" si="29"/>
        <v>166</v>
      </c>
    </row>
    <row r="503" spans="15:16" x14ac:dyDescent="0.2">
      <c r="O503" s="226">
        <f t="shared" si="28"/>
        <v>166.1</v>
      </c>
      <c r="P503" s="257">
        <f t="shared" si="29"/>
        <v>166.32999999999998</v>
      </c>
    </row>
    <row r="504" spans="15:16" x14ac:dyDescent="0.2">
      <c r="O504" s="226">
        <f t="shared" si="28"/>
        <v>166.2</v>
      </c>
      <c r="P504" s="257">
        <f t="shared" si="29"/>
        <v>166.67000000000002</v>
      </c>
    </row>
    <row r="505" spans="15:16" x14ac:dyDescent="0.2">
      <c r="O505" s="226">
        <f t="shared" si="28"/>
        <v>167</v>
      </c>
      <c r="P505" s="257">
        <f t="shared" si="29"/>
        <v>167</v>
      </c>
    </row>
    <row r="506" spans="15:16" x14ac:dyDescent="0.2">
      <c r="O506" s="226">
        <f t="shared" si="28"/>
        <v>167.1</v>
      </c>
      <c r="P506" s="257">
        <f t="shared" si="29"/>
        <v>167.32999999999998</v>
      </c>
    </row>
    <row r="507" spans="15:16" x14ac:dyDescent="0.2">
      <c r="O507" s="226">
        <f t="shared" si="28"/>
        <v>167.2</v>
      </c>
      <c r="P507" s="257">
        <f t="shared" si="29"/>
        <v>167.67000000000002</v>
      </c>
    </row>
    <row r="508" spans="15:16" x14ac:dyDescent="0.2">
      <c r="O508" s="226">
        <f t="shared" si="28"/>
        <v>168</v>
      </c>
      <c r="P508" s="257">
        <f t="shared" si="29"/>
        <v>168</v>
      </c>
    </row>
    <row r="509" spans="15:16" x14ac:dyDescent="0.2">
      <c r="O509" s="226">
        <f t="shared" si="28"/>
        <v>168.1</v>
      </c>
      <c r="P509" s="257">
        <f t="shared" si="29"/>
        <v>168.32999999999998</v>
      </c>
    </row>
    <row r="510" spans="15:16" x14ac:dyDescent="0.2">
      <c r="O510" s="226">
        <f t="shared" si="28"/>
        <v>168.2</v>
      </c>
      <c r="P510" s="257">
        <f t="shared" si="29"/>
        <v>168.67000000000002</v>
      </c>
    </row>
    <row r="511" spans="15:16" x14ac:dyDescent="0.2">
      <c r="O511" s="226">
        <f t="shared" si="28"/>
        <v>169</v>
      </c>
      <c r="P511" s="257">
        <f t="shared" si="29"/>
        <v>169</v>
      </c>
    </row>
    <row r="512" spans="15:16" x14ac:dyDescent="0.2">
      <c r="O512" s="226">
        <f t="shared" si="28"/>
        <v>169.1</v>
      </c>
      <c r="P512" s="257">
        <f t="shared" si="29"/>
        <v>169.32999999999998</v>
      </c>
    </row>
    <row r="513" spans="15:16" x14ac:dyDescent="0.2">
      <c r="O513" s="226">
        <f t="shared" si="28"/>
        <v>169.2</v>
      </c>
      <c r="P513" s="257">
        <f t="shared" si="29"/>
        <v>169.67000000000002</v>
      </c>
    </row>
    <row r="514" spans="15:16" x14ac:dyDescent="0.2">
      <c r="O514" s="226">
        <f t="shared" si="28"/>
        <v>170</v>
      </c>
      <c r="P514" s="257">
        <f t="shared" si="29"/>
        <v>170</v>
      </c>
    </row>
    <row r="515" spans="15:16" x14ac:dyDescent="0.2">
      <c r="O515" s="226">
        <f t="shared" si="28"/>
        <v>170.1</v>
      </c>
      <c r="P515" s="257">
        <f t="shared" si="29"/>
        <v>170.32999999999998</v>
      </c>
    </row>
    <row r="516" spans="15:16" x14ac:dyDescent="0.2">
      <c r="O516" s="226">
        <f t="shared" si="28"/>
        <v>170.2</v>
      </c>
      <c r="P516" s="257">
        <f t="shared" si="29"/>
        <v>170.67000000000002</v>
      </c>
    </row>
    <row r="517" spans="15:16" x14ac:dyDescent="0.2">
      <c r="O517" s="226">
        <f t="shared" si="28"/>
        <v>171</v>
      </c>
      <c r="P517" s="257">
        <f t="shared" si="29"/>
        <v>171</v>
      </c>
    </row>
    <row r="518" spans="15:16" x14ac:dyDescent="0.2">
      <c r="O518" s="226">
        <f t="shared" si="28"/>
        <v>171.1</v>
      </c>
      <c r="P518" s="257">
        <f t="shared" si="29"/>
        <v>171.32999999999998</v>
      </c>
    </row>
    <row r="519" spans="15:16" x14ac:dyDescent="0.2">
      <c r="O519" s="226">
        <f t="shared" si="28"/>
        <v>171.2</v>
      </c>
      <c r="P519" s="257">
        <f t="shared" si="29"/>
        <v>171.67000000000002</v>
      </c>
    </row>
    <row r="520" spans="15:16" x14ac:dyDescent="0.2">
      <c r="O520" s="226">
        <f t="shared" ref="O520:O583" si="30">$O517+1</f>
        <v>172</v>
      </c>
      <c r="P520" s="257">
        <f t="shared" ref="P520:P583" si="31">$P517+1</f>
        <v>172</v>
      </c>
    </row>
    <row r="521" spans="15:16" x14ac:dyDescent="0.2">
      <c r="O521" s="226">
        <f t="shared" si="30"/>
        <v>172.1</v>
      </c>
      <c r="P521" s="257">
        <f t="shared" si="31"/>
        <v>172.32999999999998</v>
      </c>
    </row>
    <row r="522" spans="15:16" x14ac:dyDescent="0.2">
      <c r="O522" s="226">
        <f t="shared" si="30"/>
        <v>172.2</v>
      </c>
      <c r="P522" s="257">
        <f t="shared" si="31"/>
        <v>172.67000000000002</v>
      </c>
    </row>
    <row r="523" spans="15:16" x14ac:dyDescent="0.2">
      <c r="O523" s="226">
        <f t="shared" si="30"/>
        <v>173</v>
      </c>
      <c r="P523" s="257">
        <f t="shared" si="31"/>
        <v>173</v>
      </c>
    </row>
    <row r="524" spans="15:16" x14ac:dyDescent="0.2">
      <c r="O524" s="226">
        <f t="shared" si="30"/>
        <v>173.1</v>
      </c>
      <c r="P524" s="257">
        <f t="shared" si="31"/>
        <v>173.32999999999998</v>
      </c>
    </row>
    <row r="525" spans="15:16" x14ac:dyDescent="0.2">
      <c r="O525" s="226">
        <f t="shared" si="30"/>
        <v>173.2</v>
      </c>
      <c r="P525" s="257">
        <f t="shared" si="31"/>
        <v>173.67000000000002</v>
      </c>
    </row>
    <row r="526" spans="15:16" x14ac:dyDescent="0.2">
      <c r="O526" s="226">
        <f t="shared" si="30"/>
        <v>174</v>
      </c>
      <c r="P526" s="257">
        <f t="shared" si="31"/>
        <v>174</v>
      </c>
    </row>
    <row r="527" spans="15:16" x14ac:dyDescent="0.2">
      <c r="O527" s="226">
        <f t="shared" si="30"/>
        <v>174.1</v>
      </c>
      <c r="P527" s="257">
        <f t="shared" si="31"/>
        <v>174.32999999999998</v>
      </c>
    </row>
    <row r="528" spans="15:16" x14ac:dyDescent="0.2">
      <c r="O528" s="226">
        <f t="shared" si="30"/>
        <v>174.2</v>
      </c>
      <c r="P528" s="257">
        <f t="shared" si="31"/>
        <v>174.67000000000002</v>
      </c>
    </row>
    <row r="529" spans="15:16" x14ac:dyDescent="0.2">
      <c r="O529" s="226">
        <f t="shared" si="30"/>
        <v>175</v>
      </c>
      <c r="P529" s="257">
        <f t="shared" si="31"/>
        <v>175</v>
      </c>
    </row>
    <row r="530" spans="15:16" x14ac:dyDescent="0.2">
      <c r="O530" s="226">
        <f t="shared" si="30"/>
        <v>175.1</v>
      </c>
      <c r="P530" s="257">
        <f t="shared" si="31"/>
        <v>175.32999999999998</v>
      </c>
    </row>
    <row r="531" spans="15:16" x14ac:dyDescent="0.2">
      <c r="O531" s="226">
        <f t="shared" si="30"/>
        <v>175.2</v>
      </c>
      <c r="P531" s="257">
        <f t="shared" si="31"/>
        <v>175.67000000000002</v>
      </c>
    </row>
    <row r="532" spans="15:16" x14ac:dyDescent="0.2">
      <c r="O532" s="226">
        <f t="shared" si="30"/>
        <v>176</v>
      </c>
      <c r="P532" s="257">
        <f t="shared" si="31"/>
        <v>176</v>
      </c>
    </row>
    <row r="533" spans="15:16" x14ac:dyDescent="0.2">
      <c r="O533" s="226">
        <f t="shared" si="30"/>
        <v>176.1</v>
      </c>
      <c r="P533" s="257">
        <f t="shared" si="31"/>
        <v>176.32999999999998</v>
      </c>
    </row>
    <row r="534" spans="15:16" x14ac:dyDescent="0.2">
      <c r="O534" s="226">
        <f t="shared" si="30"/>
        <v>176.2</v>
      </c>
      <c r="P534" s="257">
        <f t="shared" si="31"/>
        <v>176.67000000000002</v>
      </c>
    </row>
    <row r="535" spans="15:16" x14ac:dyDescent="0.2">
      <c r="O535" s="226">
        <f t="shared" si="30"/>
        <v>177</v>
      </c>
      <c r="P535" s="257">
        <f t="shared" si="31"/>
        <v>177</v>
      </c>
    </row>
    <row r="536" spans="15:16" x14ac:dyDescent="0.2">
      <c r="O536" s="226">
        <f t="shared" si="30"/>
        <v>177.1</v>
      </c>
      <c r="P536" s="257">
        <f t="shared" si="31"/>
        <v>177.32999999999998</v>
      </c>
    </row>
    <row r="537" spans="15:16" x14ac:dyDescent="0.2">
      <c r="O537" s="226">
        <f t="shared" si="30"/>
        <v>177.2</v>
      </c>
      <c r="P537" s="257">
        <f t="shared" si="31"/>
        <v>177.67000000000002</v>
      </c>
    </row>
    <row r="538" spans="15:16" x14ac:dyDescent="0.2">
      <c r="O538" s="226">
        <f t="shared" si="30"/>
        <v>178</v>
      </c>
      <c r="P538" s="257">
        <f t="shared" si="31"/>
        <v>178</v>
      </c>
    </row>
    <row r="539" spans="15:16" x14ac:dyDescent="0.2">
      <c r="O539" s="226">
        <f t="shared" si="30"/>
        <v>178.1</v>
      </c>
      <c r="P539" s="257">
        <f t="shared" si="31"/>
        <v>178.32999999999998</v>
      </c>
    </row>
    <row r="540" spans="15:16" x14ac:dyDescent="0.2">
      <c r="O540" s="226">
        <f t="shared" si="30"/>
        <v>178.2</v>
      </c>
      <c r="P540" s="257">
        <f t="shared" si="31"/>
        <v>178.67000000000002</v>
      </c>
    </row>
    <row r="541" spans="15:16" x14ac:dyDescent="0.2">
      <c r="O541" s="226">
        <f t="shared" si="30"/>
        <v>179</v>
      </c>
      <c r="P541" s="257">
        <f t="shared" si="31"/>
        <v>179</v>
      </c>
    </row>
    <row r="542" spans="15:16" x14ac:dyDescent="0.2">
      <c r="O542" s="226">
        <f t="shared" si="30"/>
        <v>179.1</v>
      </c>
      <c r="P542" s="257">
        <f t="shared" si="31"/>
        <v>179.32999999999998</v>
      </c>
    </row>
    <row r="543" spans="15:16" x14ac:dyDescent="0.2">
      <c r="O543" s="226">
        <f t="shared" si="30"/>
        <v>179.2</v>
      </c>
      <c r="P543" s="257">
        <f t="shared" si="31"/>
        <v>179.67000000000002</v>
      </c>
    </row>
    <row r="544" spans="15:16" x14ac:dyDescent="0.2">
      <c r="O544" s="226">
        <f t="shared" si="30"/>
        <v>180</v>
      </c>
      <c r="P544" s="257">
        <f t="shared" si="31"/>
        <v>180</v>
      </c>
    </row>
    <row r="545" spans="15:16" x14ac:dyDescent="0.2">
      <c r="O545" s="226">
        <f t="shared" si="30"/>
        <v>180.1</v>
      </c>
      <c r="P545" s="257">
        <f t="shared" si="31"/>
        <v>180.32999999999998</v>
      </c>
    </row>
    <row r="546" spans="15:16" x14ac:dyDescent="0.2">
      <c r="O546" s="226">
        <f t="shared" si="30"/>
        <v>180.2</v>
      </c>
      <c r="P546" s="257">
        <f t="shared" si="31"/>
        <v>180.67000000000002</v>
      </c>
    </row>
    <row r="547" spans="15:16" x14ac:dyDescent="0.2">
      <c r="O547" s="226">
        <f t="shared" si="30"/>
        <v>181</v>
      </c>
      <c r="P547" s="257">
        <f t="shared" si="31"/>
        <v>181</v>
      </c>
    </row>
    <row r="548" spans="15:16" x14ac:dyDescent="0.2">
      <c r="O548" s="226">
        <f t="shared" si="30"/>
        <v>181.1</v>
      </c>
      <c r="P548" s="257">
        <f t="shared" si="31"/>
        <v>181.32999999999998</v>
      </c>
    </row>
    <row r="549" spans="15:16" x14ac:dyDescent="0.2">
      <c r="O549" s="226">
        <f t="shared" si="30"/>
        <v>181.2</v>
      </c>
      <c r="P549" s="257">
        <f t="shared" si="31"/>
        <v>181.67000000000002</v>
      </c>
    </row>
    <row r="550" spans="15:16" x14ac:dyDescent="0.2">
      <c r="O550" s="226">
        <f t="shared" si="30"/>
        <v>182</v>
      </c>
      <c r="P550" s="257">
        <f t="shared" si="31"/>
        <v>182</v>
      </c>
    </row>
    <row r="551" spans="15:16" x14ac:dyDescent="0.2">
      <c r="O551" s="226">
        <f t="shared" si="30"/>
        <v>182.1</v>
      </c>
      <c r="P551" s="257">
        <f t="shared" si="31"/>
        <v>182.32999999999998</v>
      </c>
    </row>
    <row r="552" spans="15:16" x14ac:dyDescent="0.2">
      <c r="O552" s="226">
        <f t="shared" si="30"/>
        <v>182.2</v>
      </c>
      <c r="P552" s="257">
        <f t="shared" si="31"/>
        <v>182.67000000000002</v>
      </c>
    </row>
    <row r="553" spans="15:16" x14ac:dyDescent="0.2">
      <c r="O553" s="226">
        <f t="shared" si="30"/>
        <v>183</v>
      </c>
      <c r="P553" s="257">
        <f t="shared" si="31"/>
        <v>183</v>
      </c>
    </row>
    <row r="554" spans="15:16" x14ac:dyDescent="0.2">
      <c r="O554" s="226">
        <f t="shared" si="30"/>
        <v>183.1</v>
      </c>
      <c r="P554" s="257">
        <f t="shared" si="31"/>
        <v>183.32999999999998</v>
      </c>
    </row>
    <row r="555" spans="15:16" x14ac:dyDescent="0.2">
      <c r="O555" s="226">
        <f t="shared" si="30"/>
        <v>183.2</v>
      </c>
      <c r="P555" s="257">
        <f t="shared" si="31"/>
        <v>183.67000000000002</v>
      </c>
    </row>
    <row r="556" spans="15:16" x14ac:dyDescent="0.2">
      <c r="O556" s="226">
        <f t="shared" si="30"/>
        <v>184</v>
      </c>
      <c r="P556" s="257">
        <f t="shared" si="31"/>
        <v>184</v>
      </c>
    </row>
    <row r="557" spans="15:16" x14ac:dyDescent="0.2">
      <c r="O557" s="226">
        <f t="shared" si="30"/>
        <v>184.1</v>
      </c>
      <c r="P557" s="257">
        <f t="shared" si="31"/>
        <v>184.32999999999998</v>
      </c>
    </row>
    <row r="558" spans="15:16" x14ac:dyDescent="0.2">
      <c r="O558" s="226">
        <f t="shared" si="30"/>
        <v>184.2</v>
      </c>
      <c r="P558" s="257">
        <f t="shared" si="31"/>
        <v>184.67000000000002</v>
      </c>
    </row>
    <row r="559" spans="15:16" x14ac:dyDescent="0.2">
      <c r="O559" s="226">
        <f t="shared" si="30"/>
        <v>185</v>
      </c>
      <c r="P559" s="257">
        <f t="shared" si="31"/>
        <v>185</v>
      </c>
    </row>
    <row r="560" spans="15:16" x14ac:dyDescent="0.2">
      <c r="O560" s="226">
        <f t="shared" si="30"/>
        <v>185.1</v>
      </c>
      <c r="P560" s="257">
        <f t="shared" si="31"/>
        <v>185.32999999999998</v>
      </c>
    </row>
    <row r="561" spans="15:16" x14ac:dyDescent="0.2">
      <c r="O561" s="226">
        <f t="shared" si="30"/>
        <v>185.2</v>
      </c>
      <c r="P561" s="257">
        <f t="shared" si="31"/>
        <v>185.67000000000002</v>
      </c>
    </row>
    <row r="562" spans="15:16" x14ac:dyDescent="0.2">
      <c r="O562" s="226">
        <f t="shared" si="30"/>
        <v>186</v>
      </c>
      <c r="P562" s="257">
        <f t="shared" si="31"/>
        <v>186</v>
      </c>
    </row>
    <row r="563" spans="15:16" x14ac:dyDescent="0.2">
      <c r="O563" s="226">
        <f t="shared" si="30"/>
        <v>186.1</v>
      </c>
      <c r="P563" s="257">
        <f t="shared" si="31"/>
        <v>186.32999999999998</v>
      </c>
    </row>
    <row r="564" spans="15:16" x14ac:dyDescent="0.2">
      <c r="O564" s="226">
        <f t="shared" si="30"/>
        <v>186.2</v>
      </c>
      <c r="P564" s="257">
        <f t="shared" si="31"/>
        <v>186.67000000000002</v>
      </c>
    </row>
    <row r="565" spans="15:16" x14ac:dyDescent="0.2">
      <c r="O565" s="226">
        <f t="shared" si="30"/>
        <v>187</v>
      </c>
      <c r="P565" s="257">
        <f t="shared" si="31"/>
        <v>187</v>
      </c>
    </row>
    <row r="566" spans="15:16" x14ac:dyDescent="0.2">
      <c r="O566" s="226">
        <f t="shared" si="30"/>
        <v>187.1</v>
      </c>
      <c r="P566" s="257">
        <f t="shared" si="31"/>
        <v>187.32999999999998</v>
      </c>
    </row>
    <row r="567" spans="15:16" x14ac:dyDescent="0.2">
      <c r="O567" s="226">
        <f t="shared" si="30"/>
        <v>187.2</v>
      </c>
      <c r="P567" s="257">
        <f t="shared" si="31"/>
        <v>187.67000000000002</v>
      </c>
    </row>
    <row r="568" spans="15:16" x14ac:dyDescent="0.2">
      <c r="O568" s="226">
        <f t="shared" si="30"/>
        <v>188</v>
      </c>
      <c r="P568" s="257">
        <f t="shared" si="31"/>
        <v>188</v>
      </c>
    </row>
    <row r="569" spans="15:16" x14ac:dyDescent="0.2">
      <c r="O569" s="226">
        <f t="shared" si="30"/>
        <v>188.1</v>
      </c>
      <c r="P569" s="257">
        <f t="shared" si="31"/>
        <v>188.32999999999998</v>
      </c>
    </row>
    <row r="570" spans="15:16" x14ac:dyDescent="0.2">
      <c r="O570" s="226">
        <f t="shared" si="30"/>
        <v>188.2</v>
      </c>
      <c r="P570" s="257">
        <f t="shared" si="31"/>
        <v>188.67000000000002</v>
      </c>
    </row>
    <row r="571" spans="15:16" x14ac:dyDescent="0.2">
      <c r="O571" s="226">
        <f t="shared" si="30"/>
        <v>189</v>
      </c>
      <c r="P571" s="257">
        <f t="shared" si="31"/>
        <v>189</v>
      </c>
    </row>
    <row r="572" spans="15:16" x14ac:dyDescent="0.2">
      <c r="O572" s="226">
        <f t="shared" si="30"/>
        <v>189.1</v>
      </c>
      <c r="P572" s="257">
        <f t="shared" si="31"/>
        <v>189.32999999999998</v>
      </c>
    </row>
    <row r="573" spans="15:16" x14ac:dyDescent="0.2">
      <c r="O573" s="226">
        <f t="shared" si="30"/>
        <v>189.2</v>
      </c>
      <c r="P573" s="257">
        <f t="shared" si="31"/>
        <v>189.67000000000002</v>
      </c>
    </row>
    <row r="574" spans="15:16" x14ac:dyDescent="0.2">
      <c r="O574" s="226">
        <f t="shared" si="30"/>
        <v>190</v>
      </c>
      <c r="P574" s="257">
        <f t="shared" si="31"/>
        <v>190</v>
      </c>
    </row>
    <row r="575" spans="15:16" x14ac:dyDescent="0.2">
      <c r="O575" s="226">
        <f t="shared" si="30"/>
        <v>190.1</v>
      </c>
      <c r="P575" s="257">
        <f t="shared" si="31"/>
        <v>190.32999999999998</v>
      </c>
    </row>
    <row r="576" spans="15:16" x14ac:dyDescent="0.2">
      <c r="O576" s="226">
        <f t="shared" si="30"/>
        <v>190.2</v>
      </c>
      <c r="P576" s="257">
        <f t="shared" si="31"/>
        <v>190.67000000000002</v>
      </c>
    </row>
    <row r="577" spans="15:16" x14ac:dyDescent="0.2">
      <c r="O577" s="226">
        <f t="shared" si="30"/>
        <v>191</v>
      </c>
      <c r="P577" s="257">
        <f t="shared" si="31"/>
        <v>191</v>
      </c>
    </row>
    <row r="578" spans="15:16" x14ac:dyDescent="0.2">
      <c r="O578" s="226">
        <f t="shared" si="30"/>
        <v>191.1</v>
      </c>
      <c r="P578" s="257">
        <f t="shared" si="31"/>
        <v>191.32999999999998</v>
      </c>
    </row>
    <row r="579" spans="15:16" x14ac:dyDescent="0.2">
      <c r="O579" s="226">
        <f t="shared" si="30"/>
        <v>191.2</v>
      </c>
      <c r="P579" s="257">
        <f t="shared" si="31"/>
        <v>191.67000000000002</v>
      </c>
    </row>
    <row r="580" spans="15:16" x14ac:dyDescent="0.2">
      <c r="O580" s="226">
        <f t="shared" si="30"/>
        <v>192</v>
      </c>
      <c r="P580" s="257">
        <f t="shared" si="31"/>
        <v>192</v>
      </c>
    </row>
    <row r="581" spans="15:16" x14ac:dyDescent="0.2">
      <c r="O581" s="226">
        <f t="shared" si="30"/>
        <v>192.1</v>
      </c>
      <c r="P581" s="257">
        <f t="shared" si="31"/>
        <v>192.32999999999998</v>
      </c>
    </row>
    <row r="582" spans="15:16" x14ac:dyDescent="0.2">
      <c r="O582" s="226">
        <f t="shared" si="30"/>
        <v>192.2</v>
      </c>
      <c r="P582" s="257">
        <f t="shared" si="31"/>
        <v>192.67000000000002</v>
      </c>
    </row>
    <row r="583" spans="15:16" x14ac:dyDescent="0.2">
      <c r="O583" s="226">
        <f t="shared" si="30"/>
        <v>193</v>
      </c>
      <c r="P583" s="257">
        <f t="shared" si="31"/>
        <v>193</v>
      </c>
    </row>
    <row r="584" spans="15:16" x14ac:dyDescent="0.2">
      <c r="O584" s="226">
        <f t="shared" ref="O584:O647" si="32">$O581+1</f>
        <v>193.1</v>
      </c>
      <c r="P584" s="257">
        <f t="shared" ref="P584:P647" si="33">$P581+1</f>
        <v>193.32999999999998</v>
      </c>
    </row>
    <row r="585" spans="15:16" x14ac:dyDescent="0.2">
      <c r="O585" s="226">
        <f t="shared" si="32"/>
        <v>193.2</v>
      </c>
      <c r="P585" s="257">
        <f t="shared" si="33"/>
        <v>193.67000000000002</v>
      </c>
    </row>
    <row r="586" spans="15:16" x14ac:dyDescent="0.2">
      <c r="O586" s="226">
        <f t="shared" si="32"/>
        <v>194</v>
      </c>
      <c r="P586" s="257">
        <f t="shared" si="33"/>
        <v>194</v>
      </c>
    </row>
    <row r="587" spans="15:16" x14ac:dyDescent="0.2">
      <c r="O587" s="226">
        <f t="shared" si="32"/>
        <v>194.1</v>
      </c>
      <c r="P587" s="257">
        <f t="shared" si="33"/>
        <v>194.32999999999998</v>
      </c>
    </row>
    <row r="588" spans="15:16" x14ac:dyDescent="0.2">
      <c r="O588" s="226">
        <f t="shared" si="32"/>
        <v>194.2</v>
      </c>
      <c r="P588" s="257">
        <f t="shared" si="33"/>
        <v>194.67000000000002</v>
      </c>
    </row>
    <row r="589" spans="15:16" x14ac:dyDescent="0.2">
      <c r="O589" s="226">
        <f t="shared" si="32"/>
        <v>195</v>
      </c>
      <c r="P589" s="257">
        <f t="shared" si="33"/>
        <v>195</v>
      </c>
    </row>
    <row r="590" spans="15:16" x14ac:dyDescent="0.2">
      <c r="O590" s="226">
        <f t="shared" si="32"/>
        <v>195.1</v>
      </c>
      <c r="P590" s="257">
        <f t="shared" si="33"/>
        <v>195.32999999999998</v>
      </c>
    </row>
    <row r="591" spans="15:16" x14ac:dyDescent="0.2">
      <c r="O591" s="226">
        <f t="shared" si="32"/>
        <v>195.2</v>
      </c>
      <c r="P591" s="257">
        <f t="shared" si="33"/>
        <v>195.67000000000002</v>
      </c>
    </row>
    <row r="592" spans="15:16" x14ac:dyDescent="0.2">
      <c r="O592" s="226">
        <f t="shared" si="32"/>
        <v>196</v>
      </c>
      <c r="P592" s="257">
        <f t="shared" si="33"/>
        <v>196</v>
      </c>
    </row>
    <row r="593" spans="15:16" x14ac:dyDescent="0.2">
      <c r="O593" s="226">
        <f t="shared" si="32"/>
        <v>196.1</v>
      </c>
      <c r="P593" s="257">
        <f t="shared" si="33"/>
        <v>196.32999999999998</v>
      </c>
    </row>
    <row r="594" spans="15:16" x14ac:dyDescent="0.2">
      <c r="O594" s="226">
        <f t="shared" si="32"/>
        <v>196.2</v>
      </c>
      <c r="P594" s="257">
        <f t="shared" si="33"/>
        <v>196.67000000000002</v>
      </c>
    </row>
    <row r="595" spans="15:16" x14ac:dyDescent="0.2">
      <c r="O595" s="226">
        <f t="shared" si="32"/>
        <v>197</v>
      </c>
      <c r="P595" s="257">
        <f t="shared" si="33"/>
        <v>197</v>
      </c>
    </row>
    <row r="596" spans="15:16" x14ac:dyDescent="0.2">
      <c r="O596" s="226">
        <f t="shared" si="32"/>
        <v>197.1</v>
      </c>
      <c r="P596" s="257">
        <f t="shared" si="33"/>
        <v>197.32999999999998</v>
      </c>
    </row>
    <row r="597" spans="15:16" x14ac:dyDescent="0.2">
      <c r="O597" s="226">
        <f t="shared" si="32"/>
        <v>197.2</v>
      </c>
      <c r="P597" s="257">
        <f t="shared" si="33"/>
        <v>197.67000000000002</v>
      </c>
    </row>
    <row r="598" spans="15:16" x14ac:dyDescent="0.2">
      <c r="O598" s="226">
        <f t="shared" si="32"/>
        <v>198</v>
      </c>
      <c r="P598" s="257">
        <f t="shared" si="33"/>
        <v>198</v>
      </c>
    </row>
    <row r="599" spans="15:16" x14ac:dyDescent="0.2">
      <c r="O599" s="226">
        <f t="shared" si="32"/>
        <v>198.1</v>
      </c>
      <c r="P599" s="257">
        <f t="shared" si="33"/>
        <v>198.32999999999998</v>
      </c>
    </row>
    <row r="600" spans="15:16" x14ac:dyDescent="0.2">
      <c r="O600" s="226">
        <f t="shared" si="32"/>
        <v>198.2</v>
      </c>
      <c r="P600" s="257">
        <f t="shared" si="33"/>
        <v>198.67000000000002</v>
      </c>
    </row>
    <row r="601" spans="15:16" x14ac:dyDescent="0.2">
      <c r="O601" s="226">
        <f t="shared" si="32"/>
        <v>199</v>
      </c>
      <c r="P601" s="257">
        <f t="shared" si="33"/>
        <v>199</v>
      </c>
    </row>
    <row r="602" spans="15:16" x14ac:dyDescent="0.2">
      <c r="O602" s="226">
        <f t="shared" si="32"/>
        <v>199.1</v>
      </c>
      <c r="P602" s="257">
        <f t="shared" si="33"/>
        <v>199.32999999999998</v>
      </c>
    </row>
    <row r="603" spans="15:16" x14ac:dyDescent="0.2">
      <c r="O603" s="226">
        <f t="shared" si="32"/>
        <v>199.2</v>
      </c>
      <c r="P603" s="257">
        <f t="shared" si="33"/>
        <v>199.67000000000002</v>
      </c>
    </row>
    <row r="604" spans="15:16" x14ac:dyDescent="0.2">
      <c r="O604" s="226">
        <f t="shared" si="32"/>
        <v>200</v>
      </c>
      <c r="P604" s="257">
        <f t="shared" si="33"/>
        <v>200</v>
      </c>
    </row>
    <row r="605" spans="15:16" x14ac:dyDescent="0.2">
      <c r="O605" s="226">
        <f t="shared" si="32"/>
        <v>200.1</v>
      </c>
      <c r="P605" s="257">
        <f t="shared" si="33"/>
        <v>200.32999999999998</v>
      </c>
    </row>
    <row r="606" spans="15:16" x14ac:dyDescent="0.2">
      <c r="O606" s="226">
        <f t="shared" si="32"/>
        <v>200.2</v>
      </c>
      <c r="P606" s="257">
        <f t="shared" si="33"/>
        <v>200.67000000000002</v>
      </c>
    </row>
    <row r="607" spans="15:16" x14ac:dyDescent="0.2">
      <c r="O607" s="226">
        <f t="shared" si="32"/>
        <v>201</v>
      </c>
      <c r="P607" s="257">
        <f t="shared" si="33"/>
        <v>201</v>
      </c>
    </row>
    <row r="608" spans="15:16" x14ac:dyDescent="0.2">
      <c r="O608" s="226">
        <f t="shared" si="32"/>
        <v>201.1</v>
      </c>
      <c r="P608" s="257">
        <f t="shared" si="33"/>
        <v>201.32999999999998</v>
      </c>
    </row>
    <row r="609" spans="15:16" x14ac:dyDescent="0.2">
      <c r="O609" s="226">
        <f t="shared" si="32"/>
        <v>201.2</v>
      </c>
      <c r="P609" s="257">
        <f t="shared" si="33"/>
        <v>201.67000000000002</v>
      </c>
    </row>
    <row r="610" spans="15:16" x14ac:dyDescent="0.2">
      <c r="O610" s="226">
        <f t="shared" si="32"/>
        <v>202</v>
      </c>
      <c r="P610" s="257">
        <f t="shared" si="33"/>
        <v>202</v>
      </c>
    </row>
    <row r="611" spans="15:16" x14ac:dyDescent="0.2">
      <c r="O611" s="226">
        <f t="shared" si="32"/>
        <v>202.1</v>
      </c>
      <c r="P611" s="257">
        <f t="shared" si="33"/>
        <v>202.32999999999998</v>
      </c>
    </row>
    <row r="612" spans="15:16" x14ac:dyDescent="0.2">
      <c r="O612" s="226">
        <f t="shared" si="32"/>
        <v>202.2</v>
      </c>
      <c r="P612" s="257">
        <f t="shared" si="33"/>
        <v>202.67000000000002</v>
      </c>
    </row>
    <row r="613" spans="15:16" x14ac:dyDescent="0.2">
      <c r="O613" s="226">
        <f t="shared" si="32"/>
        <v>203</v>
      </c>
      <c r="P613" s="257">
        <f t="shared" si="33"/>
        <v>203</v>
      </c>
    </row>
    <row r="614" spans="15:16" x14ac:dyDescent="0.2">
      <c r="O614" s="226">
        <f t="shared" si="32"/>
        <v>203.1</v>
      </c>
      <c r="P614" s="257">
        <f t="shared" si="33"/>
        <v>203.32999999999998</v>
      </c>
    </row>
    <row r="615" spans="15:16" x14ac:dyDescent="0.2">
      <c r="O615" s="226">
        <f t="shared" si="32"/>
        <v>203.2</v>
      </c>
      <c r="P615" s="257">
        <f t="shared" si="33"/>
        <v>203.67000000000002</v>
      </c>
    </row>
    <row r="616" spans="15:16" x14ac:dyDescent="0.2">
      <c r="O616" s="226">
        <f t="shared" si="32"/>
        <v>204</v>
      </c>
      <c r="P616" s="257">
        <f t="shared" si="33"/>
        <v>204</v>
      </c>
    </row>
    <row r="617" spans="15:16" x14ac:dyDescent="0.2">
      <c r="O617" s="226">
        <f t="shared" si="32"/>
        <v>204.1</v>
      </c>
      <c r="P617" s="257">
        <f t="shared" si="33"/>
        <v>204.32999999999998</v>
      </c>
    </row>
    <row r="618" spans="15:16" x14ac:dyDescent="0.2">
      <c r="O618" s="226">
        <f t="shared" si="32"/>
        <v>204.2</v>
      </c>
      <c r="P618" s="257">
        <f t="shared" si="33"/>
        <v>204.67000000000002</v>
      </c>
    </row>
    <row r="619" spans="15:16" x14ac:dyDescent="0.2">
      <c r="O619" s="226">
        <f t="shared" si="32"/>
        <v>205</v>
      </c>
      <c r="P619" s="257">
        <f t="shared" si="33"/>
        <v>205</v>
      </c>
    </row>
    <row r="620" spans="15:16" x14ac:dyDescent="0.2">
      <c r="O620" s="226">
        <f t="shared" si="32"/>
        <v>205.1</v>
      </c>
      <c r="P620" s="257">
        <f t="shared" si="33"/>
        <v>205.32999999999998</v>
      </c>
    </row>
    <row r="621" spans="15:16" x14ac:dyDescent="0.2">
      <c r="O621" s="226">
        <f t="shared" si="32"/>
        <v>205.2</v>
      </c>
      <c r="P621" s="257">
        <f t="shared" si="33"/>
        <v>205.67000000000002</v>
      </c>
    </row>
    <row r="622" spans="15:16" x14ac:dyDescent="0.2">
      <c r="O622" s="226">
        <f t="shared" si="32"/>
        <v>206</v>
      </c>
      <c r="P622" s="257">
        <f t="shared" si="33"/>
        <v>206</v>
      </c>
    </row>
    <row r="623" spans="15:16" x14ac:dyDescent="0.2">
      <c r="O623" s="226">
        <f t="shared" si="32"/>
        <v>206.1</v>
      </c>
      <c r="P623" s="257">
        <f t="shared" si="33"/>
        <v>206.32999999999998</v>
      </c>
    </row>
    <row r="624" spans="15:16" x14ac:dyDescent="0.2">
      <c r="O624" s="226">
        <f t="shared" si="32"/>
        <v>206.2</v>
      </c>
      <c r="P624" s="257">
        <f t="shared" si="33"/>
        <v>206.67000000000002</v>
      </c>
    </row>
    <row r="625" spans="15:16" x14ac:dyDescent="0.2">
      <c r="O625" s="226">
        <f t="shared" si="32"/>
        <v>207</v>
      </c>
      <c r="P625" s="257">
        <f t="shared" si="33"/>
        <v>207</v>
      </c>
    </row>
    <row r="626" spans="15:16" x14ac:dyDescent="0.2">
      <c r="O626" s="226">
        <f t="shared" si="32"/>
        <v>207.1</v>
      </c>
      <c r="P626" s="257">
        <f t="shared" si="33"/>
        <v>207.32999999999998</v>
      </c>
    </row>
    <row r="627" spans="15:16" x14ac:dyDescent="0.2">
      <c r="O627" s="226">
        <f t="shared" si="32"/>
        <v>207.2</v>
      </c>
      <c r="P627" s="257">
        <f t="shared" si="33"/>
        <v>207.67000000000002</v>
      </c>
    </row>
    <row r="628" spans="15:16" x14ac:dyDescent="0.2">
      <c r="O628" s="226">
        <f t="shared" si="32"/>
        <v>208</v>
      </c>
      <c r="P628" s="257">
        <f t="shared" si="33"/>
        <v>208</v>
      </c>
    </row>
    <row r="629" spans="15:16" x14ac:dyDescent="0.2">
      <c r="O629" s="226">
        <f t="shared" si="32"/>
        <v>208.1</v>
      </c>
      <c r="P629" s="257">
        <f t="shared" si="33"/>
        <v>208.32999999999998</v>
      </c>
    </row>
    <row r="630" spans="15:16" x14ac:dyDescent="0.2">
      <c r="O630" s="226">
        <f t="shared" si="32"/>
        <v>208.2</v>
      </c>
      <c r="P630" s="257">
        <f t="shared" si="33"/>
        <v>208.67000000000002</v>
      </c>
    </row>
    <row r="631" spans="15:16" x14ac:dyDescent="0.2">
      <c r="O631" s="226">
        <f t="shared" si="32"/>
        <v>209</v>
      </c>
      <c r="P631" s="257">
        <f t="shared" si="33"/>
        <v>209</v>
      </c>
    </row>
    <row r="632" spans="15:16" x14ac:dyDescent="0.2">
      <c r="O632" s="226">
        <f t="shared" si="32"/>
        <v>209.1</v>
      </c>
      <c r="P632" s="257">
        <f t="shared" si="33"/>
        <v>209.32999999999998</v>
      </c>
    </row>
    <row r="633" spans="15:16" x14ac:dyDescent="0.2">
      <c r="O633" s="226">
        <f t="shared" si="32"/>
        <v>209.2</v>
      </c>
      <c r="P633" s="257">
        <f t="shared" si="33"/>
        <v>209.67000000000002</v>
      </c>
    </row>
    <row r="634" spans="15:16" x14ac:dyDescent="0.2">
      <c r="O634" s="226">
        <f t="shared" si="32"/>
        <v>210</v>
      </c>
      <c r="P634" s="257">
        <f t="shared" si="33"/>
        <v>210</v>
      </c>
    </row>
    <row r="635" spans="15:16" x14ac:dyDescent="0.2">
      <c r="O635" s="226">
        <f t="shared" si="32"/>
        <v>210.1</v>
      </c>
      <c r="P635" s="257">
        <f t="shared" si="33"/>
        <v>210.32999999999998</v>
      </c>
    </row>
    <row r="636" spans="15:16" x14ac:dyDescent="0.2">
      <c r="O636" s="226">
        <f t="shared" si="32"/>
        <v>210.2</v>
      </c>
      <c r="P636" s="257">
        <f t="shared" si="33"/>
        <v>210.67000000000002</v>
      </c>
    </row>
    <row r="637" spans="15:16" x14ac:dyDescent="0.2">
      <c r="O637" s="226">
        <f t="shared" si="32"/>
        <v>211</v>
      </c>
      <c r="P637" s="257">
        <f t="shared" si="33"/>
        <v>211</v>
      </c>
    </row>
    <row r="638" spans="15:16" x14ac:dyDescent="0.2">
      <c r="O638" s="226">
        <f t="shared" si="32"/>
        <v>211.1</v>
      </c>
      <c r="P638" s="257">
        <f t="shared" si="33"/>
        <v>211.32999999999998</v>
      </c>
    </row>
    <row r="639" spans="15:16" x14ac:dyDescent="0.2">
      <c r="O639" s="226">
        <f t="shared" si="32"/>
        <v>211.2</v>
      </c>
      <c r="P639" s="257">
        <f t="shared" si="33"/>
        <v>211.67000000000002</v>
      </c>
    </row>
    <row r="640" spans="15:16" x14ac:dyDescent="0.2">
      <c r="O640" s="226">
        <f t="shared" si="32"/>
        <v>212</v>
      </c>
      <c r="P640" s="257">
        <f t="shared" si="33"/>
        <v>212</v>
      </c>
    </row>
    <row r="641" spans="15:16" x14ac:dyDescent="0.2">
      <c r="O641" s="226">
        <f t="shared" si="32"/>
        <v>212.1</v>
      </c>
      <c r="P641" s="257">
        <f t="shared" si="33"/>
        <v>212.32999999999998</v>
      </c>
    </row>
    <row r="642" spans="15:16" x14ac:dyDescent="0.2">
      <c r="O642" s="226">
        <f t="shared" si="32"/>
        <v>212.2</v>
      </c>
      <c r="P642" s="257">
        <f t="shared" si="33"/>
        <v>212.67000000000002</v>
      </c>
    </row>
    <row r="643" spans="15:16" x14ac:dyDescent="0.2">
      <c r="O643" s="226">
        <f t="shared" si="32"/>
        <v>213</v>
      </c>
      <c r="P643" s="257">
        <f t="shared" si="33"/>
        <v>213</v>
      </c>
    </row>
    <row r="644" spans="15:16" x14ac:dyDescent="0.2">
      <c r="O644" s="226">
        <f t="shared" si="32"/>
        <v>213.1</v>
      </c>
      <c r="P644" s="257">
        <f t="shared" si="33"/>
        <v>213.32999999999998</v>
      </c>
    </row>
    <row r="645" spans="15:16" x14ac:dyDescent="0.2">
      <c r="O645" s="226">
        <f t="shared" si="32"/>
        <v>213.2</v>
      </c>
      <c r="P645" s="257">
        <f t="shared" si="33"/>
        <v>213.67000000000002</v>
      </c>
    </row>
    <row r="646" spans="15:16" x14ac:dyDescent="0.2">
      <c r="O646" s="226">
        <f t="shared" si="32"/>
        <v>214</v>
      </c>
      <c r="P646" s="257">
        <f t="shared" si="33"/>
        <v>214</v>
      </c>
    </row>
    <row r="647" spans="15:16" x14ac:dyDescent="0.2">
      <c r="O647" s="226">
        <f t="shared" si="32"/>
        <v>214.1</v>
      </c>
      <c r="P647" s="257">
        <f t="shared" si="33"/>
        <v>214.32999999999998</v>
      </c>
    </row>
    <row r="648" spans="15:16" x14ac:dyDescent="0.2">
      <c r="O648" s="226">
        <f t="shared" ref="O648:O711" si="34">$O645+1</f>
        <v>214.2</v>
      </c>
      <c r="P648" s="257">
        <f t="shared" ref="P648:P711" si="35">$P645+1</f>
        <v>214.67000000000002</v>
      </c>
    </row>
    <row r="649" spans="15:16" x14ac:dyDescent="0.2">
      <c r="O649" s="226">
        <f t="shared" si="34"/>
        <v>215</v>
      </c>
      <c r="P649" s="257">
        <f t="shared" si="35"/>
        <v>215</v>
      </c>
    </row>
    <row r="650" spans="15:16" x14ac:dyDescent="0.2">
      <c r="O650" s="226">
        <f t="shared" si="34"/>
        <v>215.1</v>
      </c>
      <c r="P650" s="257">
        <f t="shared" si="35"/>
        <v>215.32999999999998</v>
      </c>
    </row>
    <row r="651" spans="15:16" x14ac:dyDescent="0.2">
      <c r="O651" s="226">
        <f t="shared" si="34"/>
        <v>215.2</v>
      </c>
      <c r="P651" s="257">
        <f t="shared" si="35"/>
        <v>215.67000000000002</v>
      </c>
    </row>
    <row r="652" spans="15:16" x14ac:dyDescent="0.2">
      <c r="O652" s="226">
        <f t="shared" si="34"/>
        <v>216</v>
      </c>
      <c r="P652" s="257">
        <f t="shared" si="35"/>
        <v>216</v>
      </c>
    </row>
    <row r="653" spans="15:16" x14ac:dyDescent="0.2">
      <c r="O653" s="226">
        <f t="shared" si="34"/>
        <v>216.1</v>
      </c>
      <c r="P653" s="257">
        <f t="shared" si="35"/>
        <v>216.32999999999998</v>
      </c>
    </row>
    <row r="654" spans="15:16" x14ac:dyDescent="0.2">
      <c r="O654" s="226">
        <f t="shared" si="34"/>
        <v>216.2</v>
      </c>
      <c r="P654" s="257">
        <f t="shared" si="35"/>
        <v>216.67000000000002</v>
      </c>
    </row>
    <row r="655" spans="15:16" x14ac:dyDescent="0.2">
      <c r="O655" s="226">
        <f t="shared" si="34"/>
        <v>217</v>
      </c>
      <c r="P655" s="257">
        <f t="shared" si="35"/>
        <v>217</v>
      </c>
    </row>
    <row r="656" spans="15:16" x14ac:dyDescent="0.2">
      <c r="O656" s="226">
        <f t="shared" si="34"/>
        <v>217.1</v>
      </c>
      <c r="P656" s="257">
        <f t="shared" si="35"/>
        <v>217.32999999999998</v>
      </c>
    </row>
    <row r="657" spans="15:16" x14ac:dyDescent="0.2">
      <c r="O657" s="226">
        <f t="shared" si="34"/>
        <v>217.2</v>
      </c>
      <c r="P657" s="257">
        <f t="shared" si="35"/>
        <v>217.67000000000002</v>
      </c>
    </row>
    <row r="658" spans="15:16" x14ac:dyDescent="0.2">
      <c r="O658" s="226">
        <f t="shared" si="34"/>
        <v>218</v>
      </c>
      <c r="P658" s="257">
        <f t="shared" si="35"/>
        <v>218</v>
      </c>
    </row>
    <row r="659" spans="15:16" x14ac:dyDescent="0.2">
      <c r="O659" s="226">
        <f t="shared" si="34"/>
        <v>218.1</v>
      </c>
      <c r="P659" s="257">
        <f t="shared" si="35"/>
        <v>218.32999999999998</v>
      </c>
    </row>
    <row r="660" spans="15:16" x14ac:dyDescent="0.2">
      <c r="O660" s="226">
        <f t="shared" si="34"/>
        <v>218.2</v>
      </c>
      <c r="P660" s="257">
        <f t="shared" si="35"/>
        <v>218.67000000000002</v>
      </c>
    </row>
    <row r="661" spans="15:16" x14ac:dyDescent="0.2">
      <c r="O661" s="226">
        <f t="shared" si="34"/>
        <v>219</v>
      </c>
      <c r="P661" s="257">
        <f t="shared" si="35"/>
        <v>219</v>
      </c>
    </row>
    <row r="662" spans="15:16" x14ac:dyDescent="0.2">
      <c r="O662" s="226">
        <f t="shared" si="34"/>
        <v>219.1</v>
      </c>
      <c r="P662" s="257">
        <f t="shared" si="35"/>
        <v>219.32999999999998</v>
      </c>
    </row>
    <row r="663" spans="15:16" x14ac:dyDescent="0.2">
      <c r="O663" s="226">
        <f t="shared" si="34"/>
        <v>219.2</v>
      </c>
      <c r="P663" s="257">
        <f t="shared" si="35"/>
        <v>219.67000000000002</v>
      </c>
    </row>
    <row r="664" spans="15:16" x14ac:dyDescent="0.2">
      <c r="O664" s="226">
        <f t="shared" si="34"/>
        <v>220</v>
      </c>
      <c r="P664" s="257">
        <f t="shared" si="35"/>
        <v>220</v>
      </c>
    </row>
    <row r="665" spans="15:16" x14ac:dyDescent="0.2">
      <c r="O665" s="226">
        <f t="shared" si="34"/>
        <v>220.1</v>
      </c>
      <c r="P665" s="257">
        <f t="shared" si="35"/>
        <v>220.32999999999998</v>
      </c>
    </row>
    <row r="666" spans="15:16" x14ac:dyDescent="0.2">
      <c r="O666" s="226">
        <f t="shared" si="34"/>
        <v>220.2</v>
      </c>
      <c r="P666" s="257">
        <f t="shared" si="35"/>
        <v>220.67000000000002</v>
      </c>
    </row>
    <row r="667" spans="15:16" x14ac:dyDescent="0.2">
      <c r="O667" s="226">
        <f t="shared" si="34"/>
        <v>221</v>
      </c>
      <c r="P667" s="257">
        <f t="shared" si="35"/>
        <v>221</v>
      </c>
    </row>
    <row r="668" spans="15:16" x14ac:dyDescent="0.2">
      <c r="O668" s="226">
        <f t="shared" si="34"/>
        <v>221.1</v>
      </c>
      <c r="P668" s="257">
        <f t="shared" si="35"/>
        <v>221.32999999999998</v>
      </c>
    </row>
    <row r="669" spans="15:16" x14ac:dyDescent="0.2">
      <c r="O669" s="226">
        <f t="shared" si="34"/>
        <v>221.2</v>
      </c>
      <c r="P669" s="257">
        <f t="shared" si="35"/>
        <v>221.67000000000002</v>
      </c>
    </row>
    <row r="670" spans="15:16" x14ac:dyDescent="0.2">
      <c r="O670" s="226">
        <f t="shared" si="34"/>
        <v>222</v>
      </c>
      <c r="P670" s="257">
        <f t="shared" si="35"/>
        <v>222</v>
      </c>
    </row>
    <row r="671" spans="15:16" x14ac:dyDescent="0.2">
      <c r="O671" s="226">
        <f t="shared" si="34"/>
        <v>222.1</v>
      </c>
      <c r="P671" s="257">
        <f t="shared" si="35"/>
        <v>222.32999999999998</v>
      </c>
    </row>
    <row r="672" spans="15:16" x14ac:dyDescent="0.2">
      <c r="O672" s="226">
        <f t="shared" si="34"/>
        <v>222.2</v>
      </c>
      <c r="P672" s="257">
        <f t="shared" si="35"/>
        <v>222.67000000000002</v>
      </c>
    </row>
    <row r="673" spans="15:16" x14ac:dyDescent="0.2">
      <c r="O673" s="226">
        <f t="shared" si="34"/>
        <v>223</v>
      </c>
      <c r="P673" s="257">
        <f t="shared" si="35"/>
        <v>223</v>
      </c>
    </row>
    <row r="674" spans="15:16" x14ac:dyDescent="0.2">
      <c r="O674" s="226">
        <f t="shared" si="34"/>
        <v>223.1</v>
      </c>
      <c r="P674" s="257">
        <f t="shared" si="35"/>
        <v>223.32999999999998</v>
      </c>
    </row>
    <row r="675" spans="15:16" x14ac:dyDescent="0.2">
      <c r="O675" s="226">
        <f t="shared" si="34"/>
        <v>223.2</v>
      </c>
      <c r="P675" s="257">
        <f t="shared" si="35"/>
        <v>223.67000000000002</v>
      </c>
    </row>
    <row r="676" spans="15:16" x14ac:dyDescent="0.2">
      <c r="O676" s="226">
        <f t="shared" si="34"/>
        <v>224</v>
      </c>
      <c r="P676" s="257">
        <f t="shared" si="35"/>
        <v>224</v>
      </c>
    </row>
    <row r="677" spans="15:16" x14ac:dyDescent="0.2">
      <c r="O677" s="226">
        <f t="shared" si="34"/>
        <v>224.1</v>
      </c>
      <c r="P677" s="257">
        <f t="shared" si="35"/>
        <v>224.32999999999998</v>
      </c>
    </row>
    <row r="678" spans="15:16" x14ac:dyDescent="0.2">
      <c r="O678" s="226">
        <f t="shared" si="34"/>
        <v>224.2</v>
      </c>
      <c r="P678" s="257">
        <f t="shared" si="35"/>
        <v>224.67000000000002</v>
      </c>
    </row>
    <row r="679" spans="15:16" x14ac:dyDescent="0.2">
      <c r="O679" s="226">
        <f t="shared" si="34"/>
        <v>225</v>
      </c>
      <c r="P679" s="257">
        <f t="shared" si="35"/>
        <v>225</v>
      </c>
    </row>
    <row r="680" spans="15:16" x14ac:dyDescent="0.2">
      <c r="O680" s="226">
        <f t="shared" si="34"/>
        <v>225.1</v>
      </c>
      <c r="P680" s="257">
        <f t="shared" si="35"/>
        <v>225.32999999999998</v>
      </c>
    </row>
    <row r="681" spans="15:16" x14ac:dyDescent="0.2">
      <c r="O681" s="226">
        <f t="shared" si="34"/>
        <v>225.2</v>
      </c>
      <c r="P681" s="257">
        <f t="shared" si="35"/>
        <v>225.67000000000002</v>
      </c>
    </row>
    <row r="682" spans="15:16" x14ac:dyDescent="0.2">
      <c r="O682" s="226">
        <f t="shared" si="34"/>
        <v>226</v>
      </c>
      <c r="P682" s="257">
        <f t="shared" si="35"/>
        <v>226</v>
      </c>
    </row>
    <row r="683" spans="15:16" x14ac:dyDescent="0.2">
      <c r="O683" s="226">
        <f t="shared" si="34"/>
        <v>226.1</v>
      </c>
      <c r="P683" s="257">
        <f t="shared" si="35"/>
        <v>226.32999999999998</v>
      </c>
    </row>
    <row r="684" spans="15:16" x14ac:dyDescent="0.2">
      <c r="O684" s="226">
        <f t="shared" si="34"/>
        <v>226.2</v>
      </c>
      <c r="P684" s="257">
        <f t="shared" si="35"/>
        <v>226.67000000000002</v>
      </c>
    </row>
    <row r="685" spans="15:16" x14ac:dyDescent="0.2">
      <c r="O685" s="226">
        <f t="shared" si="34"/>
        <v>227</v>
      </c>
      <c r="P685" s="257">
        <f t="shared" si="35"/>
        <v>227</v>
      </c>
    </row>
    <row r="686" spans="15:16" x14ac:dyDescent="0.2">
      <c r="O686" s="226">
        <f t="shared" si="34"/>
        <v>227.1</v>
      </c>
      <c r="P686" s="257">
        <f t="shared" si="35"/>
        <v>227.32999999999998</v>
      </c>
    </row>
    <row r="687" spans="15:16" x14ac:dyDescent="0.2">
      <c r="O687" s="226">
        <f t="shared" si="34"/>
        <v>227.2</v>
      </c>
      <c r="P687" s="257">
        <f t="shared" si="35"/>
        <v>227.67000000000002</v>
      </c>
    </row>
    <row r="688" spans="15:16" x14ac:dyDescent="0.2">
      <c r="O688" s="226">
        <f t="shared" si="34"/>
        <v>228</v>
      </c>
      <c r="P688" s="257">
        <f t="shared" si="35"/>
        <v>228</v>
      </c>
    </row>
    <row r="689" spans="15:16" x14ac:dyDescent="0.2">
      <c r="O689" s="226">
        <f t="shared" si="34"/>
        <v>228.1</v>
      </c>
      <c r="P689" s="257">
        <f t="shared" si="35"/>
        <v>228.32999999999998</v>
      </c>
    </row>
    <row r="690" spans="15:16" x14ac:dyDescent="0.2">
      <c r="O690" s="226">
        <f t="shared" si="34"/>
        <v>228.2</v>
      </c>
      <c r="P690" s="257">
        <f t="shared" si="35"/>
        <v>228.67000000000002</v>
      </c>
    </row>
    <row r="691" spans="15:16" x14ac:dyDescent="0.2">
      <c r="O691" s="226">
        <f t="shared" si="34"/>
        <v>229</v>
      </c>
      <c r="P691" s="257">
        <f t="shared" si="35"/>
        <v>229</v>
      </c>
    </row>
    <row r="692" spans="15:16" x14ac:dyDescent="0.2">
      <c r="O692" s="226">
        <f t="shared" si="34"/>
        <v>229.1</v>
      </c>
      <c r="P692" s="257">
        <f t="shared" si="35"/>
        <v>229.32999999999998</v>
      </c>
    </row>
    <row r="693" spans="15:16" x14ac:dyDescent="0.2">
      <c r="O693" s="226">
        <f t="shared" si="34"/>
        <v>229.2</v>
      </c>
      <c r="P693" s="257">
        <f t="shared" si="35"/>
        <v>229.67000000000002</v>
      </c>
    </row>
    <row r="694" spans="15:16" x14ac:dyDescent="0.2">
      <c r="O694" s="226">
        <f t="shared" si="34"/>
        <v>230</v>
      </c>
      <c r="P694" s="257">
        <f t="shared" si="35"/>
        <v>230</v>
      </c>
    </row>
    <row r="695" spans="15:16" x14ac:dyDescent="0.2">
      <c r="O695" s="226">
        <f t="shared" si="34"/>
        <v>230.1</v>
      </c>
      <c r="P695" s="257">
        <f t="shared" si="35"/>
        <v>230.32999999999998</v>
      </c>
    </row>
    <row r="696" spans="15:16" x14ac:dyDescent="0.2">
      <c r="O696" s="226">
        <f t="shared" si="34"/>
        <v>230.2</v>
      </c>
      <c r="P696" s="257">
        <f t="shared" si="35"/>
        <v>230.67000000000002</v>
      </c>
    </row>
    <row r="697" spans="15:16" x14ac:dyDescent="0.2">
      <c r="O697" s="226">
        <f t="shared" si="34"/>
        <v>231</v>
      </c>
      <c r="P697" s="257">
        <f t="shared" si="35"/>
        <v>231</v>
      </c>
    </row>
    <row r="698" spans="15:16" x14ac:dyDescent="0.2">
      <c r="O698" s="226">
        <f t="shared" si="34"/>
        <v>231.1</v>
      </c>
      <c r="P698" s="257">
        <f t="shared" si="35"/>
        <v>231.32999999999998</v>
      </c>
    </row>
    <row r="699" spans="15:16" x14ac:dyDescent="0.2">
      <c r="O699" s="226">
        <f t="shared" si="34"/>
        <v>231.2</v>
      </c>
      <c r="P699" s="257">
        <f t="shared" si="35"/>
        <v>231.67000000000002</v>
      </c>
    </row>
    <row r="700" spans="15:16" x14ac:dyDescent="0.2">
      <c r="O700" s="226">
        <f t="shared" si="34"/>
        <v>232</v>
      </c>
      <c r="P700" s="257">
        <f t="shared" si="35"/>
        <v>232</v>
      </c>
    </row>
    <row r="701" spans="15:16" x14ac:dyDescent="0.2">
      <c r="O701" s="226">
        <f t="shared" si="34"/>
        <v>232.1</v>
      </c>
      <c r="P701" s="257">
        <f t="shared" si="35"/>
        <v>232.32999999999998</v>
      </c>
    </row>
    <row r="702" spans="15:16" x14ac:dyDescent="0.2">
      <c r="O702" s="226">
        <f t="shared" si="34"/>
        <v>232.2</v>
      </c>
      <c r="P702" s="257">
        <f t="shared" si="35"/>
        <v>232.67000000000002</v>
      </c>
    </row>
    <row r="703" spans="15:16" x14ac:dyDescent="0.2">
      <c r="O703" s="226">
        <f t="shared" si="34"/>
        <v>233</v>
      </c>
      <c r="P703" s="257">
        <f t="shared" si="35"/>
        <v>233</v>
      </c>
    </row>
    <row r="704" spans="15:16" x14ac:dyDescent="0.2">
      <c r="O704" s="226">
        <f t="shared" si="34"/>
        <v>233.1</v>
      </c>
      <c r="P704" s="257">
        <f t="shared" si="35"/>
        <v>233.32999999999998</v>
      </c>
    </row>
    <row r="705" spans="15:16" x14ac:dyDescent="0.2">
      <c r="O705" s="226">
        <f t="shared" si="34"/>
        <v>233.2</v>
      </c>
      <c r="P705" s="257">
        <f t="shared" si="35"/>
        <v>233.67000000000002</v>
      </c>
    </row>
    <row r="706" spans="15:16" x14ac:dyDescent="0.2">
      <c r="O706" s="226">
        <f t="shared" si="34"/>
        <v>234</v>
      </c>
      <c r="P706" s="257">
        <f t="shared" si="35"/>
        <v>234</v>
      </c>
    </row>
    <row r="707" spans="15:16" x14ac:dyDescent="0.2">
      <c r="O707" s="226">
        <f t="shared" si="34"/>
        <v>234.1</v>
      </c>
      <c r="P707" s="257">
        <f t="shared" si="35"/>
        <v>234.32999999999998</v>
      </c>
    </row>
    <row r="708" spans="15:16" x14ac:dyDescent="0.2">
      <c r="O708" s="226">
        <f t="shared" si="34"/>
        <v>234.2</v>
      </c>
      <c r="P708" s="257">
        <f t="shared" si="35"/>
        <v>234.67000000000002</v>
      </c>
    </row>
    <row r="709" spans="15:16" x14ac:dyDescent="0.2">
      <c r="O709" s="226">
        <f t="shared" si="34"/>
        <v>235</v>
      </c>
      <c r="P709" s="257">
        <f t="shared" si="35"/>
        <v>235</v>
      </c>
    </row>
    <row r="710" spans="15:16" x14ac:dyDescent="0.2">
      <c r="O710" s="226">
        <f t="shared" si="34"/>
        <v>235.1</v>
      </c>
      <c r="P710" s="257">
        <f t="shared" si="35"/>
        <v>235.32999999999998</v>
      </c>
    </row>
    <row r="711" spans="15:16" x14ac:dyDescent="0.2">
      <c r="O711" s="226">
        <f t="shared" si="34"/>
        <v>235.2</v>
      </c>
      <c r="P711" s="257">
        <f t="shared" si="35"/>
        <v>235.67000000000002</v>
      </c>
    </row>
    <row r="712" spans="15:16" x14ac:dyDescent="0.2">
      <c r="O712" s="226">
        <f t="shared" ref="O712:O775" si="36">$O709+1</f>
        <v>236</v>
      </c>
      <c r="P712" s="257">
        <f t="shared" ref="P712:P775" si="37">$P709+1</f>
        <v>236</v>
      </c>
    </row>
    <row r="713" spans="15:16" x14ac:dyDescent="0.2">
      <c r="O713" s="226">
        <f t="shared" si="36"/>
        <v>236.1</v>
      </c>
      <c r="P713" s="257">
        <f t="shared" si="37"/>
        <v>236.32999999999998</v>
      </c>
    </row>
    <row r="714" spans="15:16" x14ac:dyDescent="0.2">
      <c r="O714" s="226">
        <f t="shared" si="36"/>
        <v>236.2</v>
      </c>
      <c r="P714" s="257">
        <f t="shared" si="37"/>
        <v>236.67000000000002</v>
      </c>
    </row>
    <row r="715" spans="15:16" x14ac:dyDescent="0.2">
      <c r="O715" s="226">
        <f t="shared" si="36"/>
        <v>237</v>
      </c>
      <c r="P715" s="257">
        <f t="shared" si="37"/>
        <v>237</v>
      </c>
    </row>
    <row r="716" spans="15:16" x14ac:dyDescent="0.2">
      <c r="O716" s="226">
        <f t="shared" si="36"/>
        <v>237.1</v>
      </c>
      <c r="P716" s="257">
        <f t="shared" si="37"/>
        <v>237.32999999999998</v>
      </c>
    </row>
    <row r="717" spans="15:16" x14ac:dyDescent="0.2">
      <c r="O717" s="226">
        <f t="shared" si="36"/>
        <v>237.2</v>
      </c>
      <c r="P717" s="257">
        <f t="shared" si="37"/>
        <v>237.67000000000002</v>
      </c>
    </row>
    <row r="718" spans="15:16" x14ac:dyDescent="0.2">
      <c r="O718" s="226">
        <f t="shared" si="36"/>
        <v>238</v>
      </c>
      <c r="P718" s="257">
        <f t="shared" si="37"/>
        <v>238</v>
      </c>
    </row>
    <row r="719" spans="15:16" x14ac:dyDescent="0.2">
      <c r="O719" s="226">
        <f t="shared" si="36"/>
        <v>238.1</v>
      </c>
      <c r="P719" s="257">
        <f t="shared" si="37"/>
        <v>238.32999999999998</v>
      </c>
    </row>
    <row r="720" spans="15:16" x14ac:dyDescent="0.2">
      <c r="O720" s="226">
        <f t="shared" si="36"/>
        <v>238.2</v>
      </c>
      <c r="P720" s="257">
        <f t="shared" si="37"/>
        <v>238.67000000000002</v>
      </c>
    </row>
    <row r="721" spans="15:16" x14ac:dyDescent="0.2">
      <c r="O721" s="226">
        <f t="shared" si="36"/>
        <v>239</v>
      </c>
      <c r="P721" s="257">
        <f t="shared" si="37"/>
        <v>239</v>
      </c>
    </row>
    <row r="722" spans="15:16" x14ac:dyDescent="0.2">
      <c r="O722" s="226">
        <f t="shared" si="36"/>
        <v>239.1</v>
      </c>
      <c r="P722" s="257">
        <f t="shared" si="37"/>
        <v>239.32999999999998</v>
      </c>
    </row>
    <row r="723" spans="15:16" x14ac:dyDescent="0.2">
      <c r="O723" s="226">
        <f t="shared" si="36"/>
        <v>239.2</v>
      </c>
      <c r="P723" s="257">
        <f t="shared" si="37"/>
        <v>239.67000000000002</v>
      </c>
    </row>
    <row r="724" spans="15:16" x14ac:dyDescent="0.2">
      <c r="O724" s="226">
        <f t="shared" si="36"/>
        <v>240</v>
      </c>
      <c r="P724" s="257">
        <f t="shared" si="37"/>
        <v>240</v>
      </c>
    </row>
    <row r="725" spans="15:16" x14ac:dyDescent="0.2">
      <c r="O725" s="226">
        <f t="shared" si="36"/>
        <v>240.1</v>
      </c>
      <c r="P725" s="257">
        <f t="shared" si="37"/>
        <v>240.32999999999998</v>
      </c>
    </row>
    <row r="726" spans="15:16" x14ac:dyDescent="0.2">
      <c r="O726" s="226">
        <f t="shared" si="36"/>
        <v>240.2</v>
      </c>
      <c r="P726" s="257">
        <f t="shared" si="37"/>
        <v>240.67000000000002</v>
      </c>
    </row>
    <row r="727" spans="15:16" x14ac:dyDescent="0.2">
      <c r="O727" s="226">
        <f t="shared" si="36"/>
        <v>241</v>
      </c>
      <c r="P727" s="257">
        <f t="shared" si="37"/>
        <v>241</v>
      </c>
    </row>
    <row r="728" spans="15:16" x14ac:dyDescent="0.2">
      <c r="O728" s="226">
        <f t="shared" si="36"/>
        <v>241.1</v>
      </c>
      <c r="P728" s="257">
        <f t="shared" si="37"/>
        <v>241.32999999999998</v>
      </c>
    </row>
    <row r="729" spans="15:16" x14ac:dyDescent="0.2">
      <c r="O729" s="226">
        <f t="shared" si="36"/>
        <v>241.2</v>
      </c>
      <c r="P729" s="257">
        <f t="shared" si="37"/>
        <v>241.67000000000002</v>
      </c>
    </row>
    <row r="730" spans="15:16" x14ac:dyDescent="0.2">
      <c r="O730" s="226">
        <f t="shared" si="36"/>
        <v>242</v>
      </c>
      <c r="P730" s="257">
        <f t="shared" si="37"/>
        <v>242</v>
      </c>
    </row>
    <row r="731" spans="15:16" x14ac:dyDescent="0.2">
      <c r="O731" s="226">
        <f t="shared" si="36"/>
        <v>242.1</v>
      </c>
      <c r="P731" s="257">
        <f t="shared" si="37"/>
        <v>242.32999999999998</v>
      </c>
    </row>
    <row r="732" spans="15:16" x14ac:dyDescent="0.2">
      <c r="O732" s="226">
        <f t="shared" si="36"/>
        <v>242.2</v>
      </c>
      <c r="P732" s="257">
        <f t="shared" si="37"/>
        <v>242.67000000000002</v>
      </c>
    </row>
    <row r="733" spans="15:16" x14ac:dyDescent="0.2">
      <c r="O733" s="226">
        <f t="shared" si="36"/>
        <v>243</v>
      </c>
      <c r="P733" s="257">
        <f t="shared" si="37"/>
        <v>243</v>
      </c>
    </row>
    <row r="734" spans="15:16" x14ac:dyDescent="0.2">
      <c r="O734" s="226">
        <f t="shared" si="36"/>
        <v>243.1</v>
      </c>
      <c r="P734" s="257">
        <f t="shared" si="37"/>
        <v>243.32999999999998</v>
      </c>
    </row>
    <row r="735" spans="15:16" x14ac:dyDescent="0.2">
      <c r="O735" s="226">
        <f t="shared" si="36"/>
        <v>243.2</v>
      </c>
      <c r="P735" s="257">
        <f t="shared" si="37"/>
        <v>243.67000000000002</v>
      </c>
    </row>
    <row r="736" spans="15:16" x14ac:dyDescent="0.2">
      <c r="O736" s="226">
        <f t="shared" si="36"/>
        <v>244</v>
      </c>
      <c r="P736" s="257">
        <f t="shared" si="37"/>
        <v>244</v>
      </c>
    </row>
    <row r="737" spans="15:16" x14ac:dyDescent="0.2">
      <c r="O737" s="226">
        <f t="shared" si="36"/>
        <v>244.1</v>
      </c>
      <c r="P737" s="257">
        <f t="shared" si="37"/>
        <v>244.32999999999998</v>
      </c>
    </row>
    <row r="738" spans="15:16" x14ac:dyDescent="0.2">
      <c r="O738" s="226">
        <f t="shared" si="36"/>
        <v>244.2</v>
      </c>
      <c r="P738" s="257">
        <f t="shared" si="37"/>
        <v>244.67000000000002</v>
      </c>
    </row>
    <row r="739" spans="15:16" x14ac:dyDescent="0.2">
      <c r="O739" s="226">
        <f t="shared" si="36"/>
        <v>245</v>
      </c>
      <c r="P739" s="257">
        <f t="shared" si="37"/>
        <v>245</v>
      </c>
    </row>
    <row r="740" spans="15:16" x14ac:dyDescent="0.2">
      <c r="O740" s="226">
        <f t="shared" si="36"/>
        <v>245.1</v>
      </c>
      <c r="P740" s="257">
        <f t="shared" si="37"/>
        <v>245.32999999999998</v>
      </c>
    </row>
    <row r="741" spans="15:16" x14ac:dyDescent="0.2">
      <c r="O741" s="226">
        <f t="shared" si="36"/>
        <v>245.2</v>
      </c>
      <c r="P741" s="257">
        <f t="shared" si="37"/>
        <v>245.67000000000002</v>
      </c>
    </row>
    <row r="742" spans="15:16" x14ac:dyDescent="0.2">
      <c r="O742" s="226">
        <f t="shared" si="36"/>
        <v>246</v>
      </c>
      <c r="P742" s="257">
        <f t="shared" si="37"/>
        <v>246</v>
      </c>
    </row>
    <row r="743" spans="15:16" x14ac:dyDescent="0.2">
      <c r="O743" s="226">
        <f t="shared" si="36"/>
        <v>246.1</v>
      </c>
      <c r="P743" s="257">
        <f t="shared" si="37"/>
        <v>246.32999999999998</v>
      </c>
    </row>
    <row r="744" spans="15:16" x14ac:dyDescent="0.2">
      <c r="O744" s="226">
        <f t="shared" si="36"/>
        <v>246.2</v>
      </c>
      <c r="P744" s="257">
        <f t="shared" si="37"/>
        <v>246.67000000000002</v>
      </c>
    </row>
    <row r="745" spans="15:16" x14ac:dyDescent="0.2">
      <c r="O745" s="226">
        <f t="shared" si="36"/>
        <v>247</v>
      </c>
      <c r="P745" s="257">
        <f t="shared" si="37"/>
        <v>247</v>
      </c>
    </row>
    <row r="746" spans="15:16" x14ac:dyDescent="0.2">
      <c r="O746" s="226">
        <f t="shared" si="36"/>
        <v>247.1</v>
      </c>
      <c r="P746" s="257">
        <f t="shared" si="37"/>
        <v>247.32999999999998</v>
      </c>
    </row>
    <row r="747" spans="15:16" x14ac:dyDescent="0.2">
      <c r="O747" s="226">
        <f t="shared" si="36"/>
        <v>247.2</v>
      </c>
      <c r="P747" s="257">
        <f t="shared" si="37"/>
        <v>247.67000000000002</v>
      </c>
    </row>
    <row r="748" spans="15:16" x14ac:dyDescent="0.2">
      <c r="O748" s="226">
        <f t="shared" si="36"/>
        <v>248</v>
      </c>
      <c r="P748" s="257">
        <f t="shared" si="37"/>
        <v>248</v>
      </c>
    </row>
    <row r="749" spans="15:16" x14ac:dyDescent="0.2">
      <c r="O749" s="226">
        <f t="shared" si="36"/>
        <v>248.1</v>
      </c>
      <c r="P749" s="257">
        <f t="shared" si="37"/>
        <v>248.32999999999998</v>
      </c>
    </row>
    <row r="750" spans="15:16" x14ac:dyDescent="0.2">
      <c r="O750" s="226">
        <f t="shared" si="36"/>
        <v>248.2</v>
      </c>
      <c r="P750" s="257">
        <f t="shared" si="37"/>
        <v>248.67000000000002</v>
      </c>
    </row>
    <row r="751" spans="15:16" x14ac:dyDescent="0.2">
      <c r="O751" s="226">
        <f t="shared" si="36"/>
        <v>249</v>
      </c>
      <c r="P751" s="257">
        <f t="shared" si="37"/>
        <v>249</v>
      </c>
    </row>
    <row r="752" spans="15:16" x14ac:dyDescent="0.2">
      <c r="O752" s="226">
        <f t="shared" si="36"/>
        <v>249.1</v>
      </c>
      <c r="P752" s="257">
        <f t="shared" si="37"/>
        <v>249.32999999999998</v>
      </c>
    </row>
    <row r="753" spans="15:16" x14ac:dyDescent="0.2">
      <c r="O753" s="226">
        <f t="shared" si="36"/>
        <v>249.2</v>
      </c>
      <c r="P753" s="257">
        <f t="shared" si="37"/>
        <v>249.67000000000002</v>
      </c>
    </row>
    <row r="754" spans="15:16" x14ac:dyDescent="0.2">
      <c r="O754" s="226">
        <f t="shared" si="36"/>
        <v>250</v>
      </c>
      <c r="P754" s="257">
        <f t="shared" si="37"/>
        <v>250</v>
      </c>
    </row>
    <row r="755" spans="15:16" x14ac:dyDescent="0.2">
      <c r="O755" s="226">
        <f t="shared" si="36"/>
        <v>250.1</v>
      </c>
      <c r="P755" s="257">
        <f t="shared" si="37"/>
        <v>250.32999999999998</v>
      </c>
    </row>
    <row r="756" spans="15:16" x14ac:dyDescent="0.2">
      <c r="O756" s="226">
        <f t="shared" si="36"/>
        <v>250.2</v>
      </c>
      <c r="P756" s="257">
        <f t="shared" si="37"/>
        <v>250.67000000000002</v>
      </c>
    </row>
    <row r="757" spans="15:16" x14ac:dyDescent="0.2">
      <c r="O757" s="226">
        <f t="shared" si="36"/>
        <v>251</v>
      </c>
      <c r="P757" s="257">
        <f t="shared" si="37"/>
        <v>251</v>
      </c>
    </row>
    <row r="758" spans="15:16" x14ac:dyDescent="0.2">
      <c r="O758" s="226">
        <f t="shared" si="36"/>
        <v>251.1</v>
      </c>
      <c r="P758" s="257">
        <f t="shared" si="37"/>
        <v>251.32999999999998</v>
      </c>
    </row>
    <row r="759" spans="15:16" x14ac:dyDescent="0.2">
      <c r="O759" s="226">
        <f t="shared" si="36"/>
        <v>251.2</v>
      </c>
      <c r="P759" s="257">
        <f t="shared" si="37"/>
        <v>251.67000000000002</v>
      </c>
    </row>
    <row r="760" spans="15:16" x14ac:dyDescent="0.2">
      <c r="O760" s="226">
        <f t="shared" si="36"/>
        <v>252</v>
      </c>
      <c r="P760" s="257">
        <f t="shared" si="37"/>
        <v>252</v>
      </c>
    </row>
    <row r="761" spans="15:16" x14ac:dyDescent="0.2">
      <c r="O761" s="226">
        <f t="shared" si="36"/>
        <v>252.1</v>
      </c>
      <c r="P761" s="257">
        <f t="shared" si="37"/>
        <v>252.32999999999998</v>
      </c>
    </row>
    <row r="762" spans="15:16" x14ac:dyDescent="0.2">
      <c r="O762" s="226">
        <f t="shared" si="36"/>
        <v>252.2</v>
      </c>
      <c r="P762" s="257">
        <f t="shared" si="37"/>
        <v>252.67000000000002</v>
      </c>
    </row>
    <row r="763" spans="15:16" x14ac:dyDescent="0.2">
      <c r="O763" s="226">
        <f t="shared" si="36"/>
        <v>253</v>
      </c>
      <c r="P763" s="257">
        <f t="shared" si="37"/>
        <v>253</v>
      </c>
    </row>
    <row r="764" spans="15:16" x14ac:dyDescent="0.2">
      <c r="O764" s="226">
        <f t="shared" si="36"/>
        <v>253.1</v>
      </c>
      <c r="P764" s="257">
        <f t="shared" si="37"/>
        <v>253.32999999999998</v>
      </c>
    </row>
    <row r="765" spans="15:16" x14ac:dyDescent="0.2">
      <c r="O765" s="226">
        <f t="shared" si="36"/>
        <v>253.2</v>
      </c>
      <c r="P765" s="257">
        <f t="shared" si="37"/>
        <v>253.67000000000002</v>
      </c>
    </row>
    <row r="766" spans="15:16" x14ac:dyDescent="0.2">
      <c r="O766" s="226">
        <f t="shared" si="36"/>
        <v>254</v>
      </c>
      <c r="P766" s="257">
        <f t="shared" si="37"/>
        <v>254</v>
      </c>
    </row>
    <row r="767" spans="15:16" x14ac:dyDescent="0.2">
      <c r="O767" s="226">
        <f t="shared" si="36"/>
        <v>254.1</v>
      </c>
      <c r="P767" s="257">
        <f t="shared" si="37"/>
        <v>254.32999999999998</v>
      </c>
    </row>
    <row r="768" spans="15:16" x14ac:dyDescent="0.2">
      <c r="O768" s="226">
        <f t="shared" si="36"/>
        <v>254.2</v>
      </c>
      <c r="P768" s="257">
        <f t="shared" si="37"/>
        <v>254.67000000000002</v>
      </c>
    </row>
    <row r="769" spans="15:16" x14ac:dyDescent="0.2">
      <c r="O769" s="226">
        <f t="shared" si="36"/>
        <v>255</v>
      </c>
      <c r="P769" s="257">
        <f t="shared" si="37"/>
        <v>255</v>
      </c>
    </row>
    <row r="770" spans="15:16" x14ac:dyDescent="0.2">
      <c r="O770" s="226">
        <f t="shared" si="36"/>
        <v>255.1</v>
      </c>
      <c r="P770" s="257">
        <f t="shared" si="37"/>
        <v>255.32999999999998</v>
      </c>
    </row>
    <row r="771" spans="15:16" x14ac:dyDescent="0.2">
      <c r="O771" s="226">
        <f t="shared" si="36"/>
        <v>255.2</v>
      </c>
      <c r="P771" s="257">
        <f t="shared" si="37"/>
        <v>255.67000000000002</v>
      </c>
    </row>
    <row r="772" spans="15:16" x14ac:dyDescent="0.2">
      <c r="O772" s="226">
        <f t="shared" si="36"/>
        <v>256</v>
      </c>
      <c r="P772" s="257">
        <f t="shared" si="37"/>
        <v>256</v>
      </c>
    </row>
    <row r="773" spans="15:16" x14ac:dyDescent="0.2">
      <c r="O773" s="226">
        <f t="shared" si="36"/>
        <v>256.10000000000002</v>
      </c>
      <c r="P773" s="257">
        <f t="shared" si="37"/>
        <v>256.33</v>
      </c>
    </row>
    <row r="774" spans="15:16" x14ac:dyDescent="0.2">
      <c r="O774" s="226">
        <f t="shared" si="36"/>
        <v>256.2</v>
      </c>
      <c r="P774" s="257">
        <f t="shared" si="37"/>
        <v>256.67</v>
      </c>
    </row>
    <row r="775" spans="15:16" x14ac:dyDescent="0.2">
      <c r="O775" s="226">
        <f t="shared" si="36"/>
        <v>257</v>
      </c>
      <c r="P775" s="257">
        <f t="shared" si="37"/>
        <v>257</v>
      </c>
    </row>
    <row r="776" spans="15:16" x14ac:dyDescent="0.2">
      <c r="O776" s="226">
        <f t="shared" ref="O776:O839" si="38">$O773+1</f>
        <v>257.10000000000002</v>
      </c>
      <c r="P776" s="257">
        <f t="shared" ref="P776:P839" si="39">$P773+1</f>
        <v>257.33</v>
      </c>
    </row>
    <row r="777" spans="15:16" x14ac:dyDescent="0.2">
      <c r="O777" s="226">
        <f t="shared" si="38"/>
        <v>257.2</v>
      </c>
      <c r="P777" s="257">
        <f t="shared" si="39"/>
        <v>257.67</v>
      </c>
    </row>
    <row r="778" spans="15:16" x14ac:dyDescent="0.2">
      <c r="O778" s="226">
        <f t="shared" si="38"/>
        <v>258</v>
      </c>
      <c r="P778" s="257">
        <f t="shared" si="39"/>
        <v>258</v>
      </c>
    </row>
    <row r="779" spans="15:16" x14ac:dyDescent="0.2">
      <c r="O779" s="226">
        <f t="shared" si="38"/>
        <v>258.10000000000002</v>
      </c>
      <c r="P779" s="257">
        <f t="shared" si="39"/>
        <v>258.33</v>
      </c>
    </row>
    <row r="780" spans="15:16" x14ac:dyDescent="0.2">
      <c r="O780" s="226">
        <f t="shared" si="38"/>
        <v>258.2</v>
      </c>
      <c r="P780" s="257">
        <f t="shared" si="39"/>
        <v>258.67</v>
      </c>
    </row>
    <row r="781" spans="15:16" x14ac:dyDescent="0.2">
      <c r="O781" s="226">
        <f t="shared" si="38"/>
        <v>259</v>
      </c>
      <c r="P781" s="257">
        <f t="shared" si="39"/>
        <v>259</v>
      </c>
    </row>
    <row r="782" spans="15:16" x14ac:dyDescent="0.2">
      <c r="O782" s="226">
        <f t="shared" si="38"/>
        <v>259.10000000000002</v>
      </c>
      <c r="P782" s="257">
        <f t="shared" si="39"/>
        <v>259.33</v>
      </c>
    </row>
    <row r="783" spans="15:16" x14ac:dyDescent="0.2">
      <c r="O783" s="226">
        <f t="shared" si="38"/>
        <v>259.2</v>
      </c>
      <c r="P783" s="257">
        <f t="shared" si="39"/>
        <v>259.67</v>
      </c>
    </row>
    <row r="784" spans="15:16" x14ac:dyDescent="0.2">
      <c r="O784" s="226">
        <f t="shared" si="38"/>
        <v>260</v>
      </c>
      <c r="P784" s="257">
        <f t="shared" si="39"/>
        <v>260</v>
      </c>
    </row>
    <row r="785" spans="15:16" x14ac:dyDescent="0.2">
      <c r="O785" s="226">
        <f t="shared" si="38"/>
        <v>260.10000000000002</v>
      </c>
      <c r="P785" s="257">
        <f t="shared" si="39"/>
        <v>260.33</v>
      </c>
    </row>
    <row r="786" spans="15:16" x14ac:dyDescent="0.2">
      <c r="O786" s="226">
        <f t="shared" si="38"/>
        <v>260.2</v>
      </c>
      <c r="P786" s="257">
        <f t="shared" si="39"/>
        <v>260.67</v>
      </c>
    </row>
    <row r="787" spans="15:16" x14ac:dyDescent="0.2">
      <c r="O787" s="226">
        <f t="shared" si="38"/>
        <v>261</v>
      </c>
      <c r="P787" s="257">
        <f t="shared" si="39"/>
        <v>261</v>
      </c>
    </row>
    <row r="788" spans="15:16" x14ac:dyDescent="0.2">
      <c r="O788" s="226">
        <f t="shared" si="38"/>
        <v>261.10000000000002</v>
      </c>
      <c r="P788" s="257">
        <f t="shared" si="39"/>
        <v>261.33</v>
      </c>
    </row>
    <row r="789" spans="15:16" x14ac:dyDescent="0.2">
      <c r="O789" s="226">
        <f t="shared" si="38"/>
        <v>261.2</v>
      </c>
      <c r="P789" s="257">
        <f t="shared" si="39"/>
        <v>261.67</v>
      </c>
    </row>
    <row r="790" spans="15:16" x14ac:dyDescent="0.2">
      <c r="O790" s="226">
        <f t="shared" si="38"/>
        <v>262</v>
      </c>
      <c r="P790" s="257">
        <f t="shared" si="39"/>
        <v>262</v>
      </c>
    </row>
    <row r="791" spans="15:16" x14ac:dyDescent="0.2">
      <c r="O791" s="226">
        <f t="shared" si="38"/>
        <v>262.10000000000002</v>
      </c>
      <c r="P791" s="257">
        <f t="shared" si="39"/>
        <v>262.33</v>
      </c>
    </row>
    <row r="792" spans="15:16" x14ac:dyDescent="0.2">
      <c r="O792" s="226">
        <f t="shared" si="38"/>
        <v>262.2</v>
      </c>
      <c r="P792" s="257">
        <f t="shared" si="39"/>
        <v>262.67</v>
      </c>
    </row>
    <row r="793" spans="15:16" x14ac:dyDescent="0.2">
      <c r="O793" s="226">
        <f t="shared" si="38"/>
        <v>263</v>
      </c>
      <c r="P793" s="257">
        <f t="shared" si="39"/>
        <v>263</v>
      </c>
    </row>
    <row r="794" spans="15:16" x14ac:dyDescent="0.2">
      <c r="O794" s="226">
        <f t="shared" si="38"/>
        <v>263.10000000000002</v>
      </c>
      <c r="P794" s="257">
        <f t="shared" si="39"/>
        <v>263.33</v>
      </c>
    </row>
    <row r="795" spans="15:16" x14ac:dyDescent="0.2">
      <c r="O795" s="226">
        <f t="shared" si="38"/>
        <v>263.2</v>
      </c>
      <c r="P795" s="257">
        <f t="shared" si="39"/>
        <v>263.67</v>
      </c>
    </row>
    <row r="796" spans="15:16" x14ac:dyDescent="0.2">
      <c r="O796" s="226">
        <f t="shared" si="38"/>
        <v>264</v>
      </c>
      <c r="P796" s="257">
        <f t="shared" si="39"/>
        <v>264</v>
      </c>
    </row>
    <row r="797" spans="15:16" x14ac:dyDescent="0.2">
      <c r="O797" s="226">
        <f t="shared" si="38"/>
        <v>264.10000000000002</v>
      </c>
      <c r="P797" s="257">
        <f t="shared" si="39"/>
        <v>264.33</v>
      </c>
    </row>
    <row r="798" spans="15:16" x14ac:dyDescent="0.2">
      <c r="O798" s="226">
        <f t="shared" si="38"/>
        <v>264.2</v>
      </c>
      <c r="P798" s="257">
        <f t="shared" si="39"/>
        <v>264.67</v>
      </c>
    </row>
    <row r="799" spans="15:16" x14ac:dyDescent="0.2">
      <c r="O799" s="226">
        <f t="shared" si="38"/>
        <v>265</v>
      </c>
      <c r="P799" s="257">
        <f t="shared" si="39"/>
        <v>265</v>
      </c>
    </row>
    <row r="800" spans="15:16" x14ac:dyDescent="0.2">
      <c r="O800" s="226">
        <f t="shared" si="38"/>
        <v>265.10000000000002</v>
      </c>
      <c r="P800" s="257">
        <f t="shared" si="39"/>
        <v>265.33</v>
      </c>
    </row>
    <row r="801" spans="15:16" x14ac:dyDescent="0.2">
      <c r="O801" s="226">
        <f t="shared" si="38"/>
        <v>265.2</v>
      </c>
      <c r="P801" s="257">
        <f t="shared" si="39"/>
        <v>265.67</v>
      </c>
    </row>
    <row r="802" spans="15:16" x14ac:dyDescent="0.2">
      <c r="O802" s="226">
        <f t="shared" si="38"/>
        <v>266</v>
      </c>
      <c r="P802" s="257">
        <f t="shared" si="39"/>
        <v>266</v>
      </c>
    </row>
    <row r="803" spans="15:16" x14ac:dyDescent="0.2">
      <c r="O803" s="226">
        <f t="shared" si="38"/>
        <v>266.10000000000002</v>
      </c>
      <c r="P803" s="257">
        <f t="shared" si="39"/>
        <v>266.33</v>
      </c>
    </row>
    <row r="804" spans="15:16" x14ac:dyDescent="0.2">
      <c r="O804" s="226">
        <f t="shared" si="38"/>
        <v>266.2</v>
      </c>
      <c r="P804" s="257">
        <f t="shared" si="39"/>
        <v>266.67</v>
      </c>
    </row>
    <row r="805" spans="15:16" x14ac:dyDescent="0.2">
      <c r="O805" s="226">
        <f t="shared" si="38"/>
        <v>267</v>
      </c>
      <c r="P805" s="257">
        <f t="shared" si="39"/>
        <v>267</v>
      </c>
    </row>
    <row r="806" spans="15:16" x14ac:dyDescent="0.2">
      <c r="O806" s="226">
        <f t="shared" si="38"/>
        <v>267.10000000000002</v>
      </c>
      <c r="P806" s="257">
        <f t="shared" si="39"/>
        <v>267.33</v>
      </c>
    </row>
    <row r="807" spans="15:16" x14ac:dyDescent="0.2">
      <c r="O807" s="226">
        <f t="shared" si="38"/>
        <v>267.2</v>
      </c>
      <c r="P807" s="257">
        <f t="shared" si="39"/>
        <v>267.67</v>
      </c>
    </row>
    <row r="808" spans="15:16" x14ac:dyDescent="0.2">
      <c r="O808" s="226">
        <f t="shared" si="38"/>
        <v>268</v>
      </c>
      <c r="P808" s="257">
        <f t="shared" si="39"/>
        <v>268</v>
      </c>
    </row>
    <row r="809" spans="15:16" x14ac:dyDescent="0.2">
      <c r="O809" s="226">
        <f t="shared" si="38"/>
        <v>268.10000000000002</v>
      </c>
      <c r="P809" s="257">
        <f t="shared" si="39"/>
        <v>268.33</v>
      </c>
    </row>
    <row r="810" spans="15:16" x14ac:dyDescent="0.2">
      <c r="O810" s="226">
        <f t="shared" si="38"/>
        <v>268.2</v>
      </c>
      <c r="P810" s="257">
        <f t="shared" si="39"/>
        <v>268.67</v>
      </c>
    </row>
    <row r="811" spans="15:16" x14ac:dyDescent="0.2">
      <c r="O811" s="226">
        <f t="shared" si="38"/>
        <v>269</v>
      </c>
      <c r="P811" s="257">
        <f t="shared" si="39"/>
        <v>269</v>
      </c>
    </row>
    <row r="812" spans="15:16" x14ac:dyDescent="0.2">
      <c r="O812" s="226">
        <f t="shared" si="38"/>
        <v>269.10000000000002</v>
      </c>
      <c r="P812" s="257">
        <f t="shared" si="39"/>
        <v>269.33</v>
      </c>
    </row>
    <row r="813" spans="15:16" x14ac:dyDescent="0.2">
      <c r="O813" s="226">
        <f t="shared" si="38"/>
        <v>269.2</v>
      </c>
      <c r="P813" s="257">
        <f t="shared" si="39"/>
        <v>269.67</v>
      </c>
    </row>
    <row r="814" spans="15:16" x14ac:dyDescent="0.2">
      <c r="O814" s="226">
        <f t="shared" si="38"/>
        <v>270</v>
      </c>
      <c r="P814" s="257">
        <f t="shared" si="39"/>
        <v>270</v>
      </c>
    </row>
    <row r="815" spans="15:16" x14ac:dyDescent="0.2">
      <c r="O815" s="226">
        <f t="shared" si="38"/>
        <v>270.10000000000002</v>
      </c>
      <c r="P815" s="257">
        <f t="shared" si="39"/>
        <v>270.33</v>
      </c>
    </row>
    <row r="816" spans="15:16" x14ac:dyDescent="0.2">
      <c r="O816" s="226">
        <f t="shared" si="38"/>
        <v>270.2</v>
      </c>
      <c r="P816" s="257">
        <f t="shared" si="39"/>
        <v>270.67</v>
      </c>
    </row>
    <row r="817" spans="15:16" x14ac:dyDescent="0.2">
      <c r="O817" s="226">
        <f t="shared" si="38"/>
        <v>271</v>
      </c>
      <c r="P817" s="257">
        <f t="shared" si="39"/>
        <v>271</v>
      </c>
    </row>
    <row r="818" spans="15:16" x14ac:dyDescent="0.2">
      <c r="O818" s="226">
        <f t="shared" si="38"/>
        <v>271.10000000000002</v>
      </c>
      <c r="P818" s="257">
        <f t="shared" si="39"/>
        <v>271.33</v>
      </c>
    </row>
    <row r="819" spans="15:16" x14ac:dyDescent="0.2">
      <c r="O819" s="226">
        <f t="shared" si="38"/>
        <v>271.2</v>
      </c>
      <c r="P819" s="257">
        <f t="shared" si="39"/>
        <v>271.67</v>
      </c>
    </row>
    <row r="820" spans="15:16" x14ac:dyDescent="0.2">
      <c r="O820" s="226">
        <f t="shared" si="38"/>
        <v>272</v>
      </c>
      <c r="P820" s="257">
        <f t="shared" si="39"/>
        <v>272</v>
      </c>
    </row>
    <row r="821" spans="15:16" x14ac:dyDescent="0.2">
      <c r="O821" s="226">
        <f t="shared" si="38"/>
        <v>272.10000000000002</v>
      </c>
      <c r="P821" s="257">
        <f t="shared" si="39"/>
        <v>272.33</v>
      </c>
    </row>
    <row r="822" spans="15:16" x14ac:dyDescent="0.2">
      <c r="O822" s="226">
        <f t="shared" si="38"/>
        <v>272.2</v>
      </c>
      <c r="P822" s="257">
        <f t="shared" si="39"/>
        <v>272.67</v>
      </c>
    </row>
    <row r="823" spans="15:16" x14ac:dyDescent="0.2">
      <c r="O823" s="226">
        <f t="shared" si="38"/>
        <v>273</v>
      </c>
      <c r="P823" s="257">
        <f t="shared" si="39"/>
        <v>273</v>
      </c>
    </row>
    <row r="824" spans="15:16" x14ac:dyDescent="0.2">
      <c r="O824" s="226">
        <f t="shared" si="38"/>
        <v>273.10000000000002</v>
      </c>
      <c r="P824" s="257">
        <f t="shared" si="39"/>
        <v>273.33</v>
      </c>
    </row>
    <row r="825" spans="15:16" x14ac:dyDescent="0.2">
      <c r="O825" s="226">
        <f t="shared" si="38"/>
        <v>273.2</v>
      </c>
      <c r="P825" s="257">
        <f t="shared" si="39"/>
        <v>273.67</v>
      </c>
    </row>
    <row r="826" spans="15:16" x14ac:dyDescent="0.2">
      <c r="O826" s="226">
        <f t="shared" si="38"/>
        <v>274</v>
      </c>
      <c r="P826" s="257">
        <f t="shared" si="39"/>
        <v>274</v>
      </c>
    </row>
    <row r="827" spans="15:16" x14ac:dyDescent="0.2">
      <c r="O827" s="226">
        <f t="shared" si="38"/>
        <v>274.10000000000002</v>
      </c>
      <c r="P827" s="257">
        <f t="shared" si="39"/>
        <v>274.33</v>
      </c>
    </row>
    <row r="828" spans="15:16" x14ac:dyDescent="0.2">
      <c r="O828" s="226">
        <f t="shared" si="38"/>
        <v>274.2</v>
      </c>
      <c r="P828" s="257">
        <f t="shared" si="39"/>
        <v>274.67</v>
      </c>
    </row>
    <row r="829" spans="15:16" x14ac:dyDescent="0.2">
      <c r="O829" s="226">
        <f t="shared" si="38"/>
        <v>275</v>
      </c>
      <c r="P829" s="257">
        <f t="shared" si="39"/>
        <v>275</v>
      </c>
    </row>
    <row r="830" spans="15:16" x14ac:dyDescent="0.2">
      <c r="O830" s="226">
        <f t="shared" si="38"/>
        <v>275.10000000000002</v>
      </c>
      <c r="P830" s="257">
        <f t="shared" si="39"/>
        <v>275.33</v>
      </c>
    </row>
    <row r="831" spans="15:16" x14ac:dyDescent="0.2">
      <c r="O831" s="226">
        <f t="shared" si="38"/>
        <v>275.2</v>
      </c>
      <c r="P831" s="257">
        <f t="shared" si="39"/>
        <v>275.67</v>
      </c>
    </row>
    <row r="832" spans="15:16" x14ac:dyDescent="0.2">
      <c r="O832" s="226">
        <f t="shared" si="38"/>
        <v>276</v>
      </c>
      <c r="P832" s="257">
        <f t="shared" si="39"/>
        <v>276</v>
      </c>
    </row>
    <row r="833" spans="15:16" x14ac:dyDescent="0.2">
      <c r="O833" s="226">
        <f t="shared" si="38"/>
        <v>276.10000000000002</v>
      </c>
      <c r="P833" s="257">
        <f t="shared" si="39"/>
        <v>276.33</v>
      </c>
    </row>
    <row r="834" spans="15:16" x14ac:dyDescent="0.2">
      <c r="O834" s="226">
        <f t="shared" si="38"/>
        <v>276.2</v>
      </c>
      <c r="P834" s="257">
        <f t="shared" si="39"/>
        <v>276.67</v>
      </c>
    </row>
    <row r="835" spans="15:16" x14ac:dyDescent="0.2">
      <c r="O835" s="226">
        <f t="shared" si="38"/>
        <v>277</v>
      </c>
      <c r="P835" s="257">
        <f t="shared" si="39"/>
        <v>277</v>
      </c>
    </row>
    <row r="836" spans="15:16" x14ac:dyDescent="0.2">
      <c r="O836" s="226">
        <f t="shared" si="38"/>
        <v>277.10000000000002</v>
      </c>
      <c r="P836" s="257">
        <f t="shared" si="39"/>
        <v>277.33</v>
      </c>
    </row>
    <row r="837" spans="15:16" x14ac:dyDescent="0.2">
      <c r="O837" s="226">
        <f t="shared" si="38"/>
        <v>277.2</v>
      </c>
      <c r="P837" s="257">
        <f t="shared" si="39"/>
        <v>277.67</v>
      </c>
    </row>
    <row r="838" spans="15:16" x14ac:dyDescent="0.2">
      <c r="O838" s="226">
        <f t="shared" si="38"/>
        <v>278</v>
      </c>
      <c r="P838" s="257">
        <f t="shared" si="39"/>
        <v>278</v>
      </c>
    </row>
    <row r="839" spans="15:16" x14ac:dyDescent="0.2">
      <c r="O839" s="226">
        <f t="shared" si="38"/>
        <v>278.10000000000002</v>
      </c>
      <c r="P839" s="257">
        <f t="shared" si="39"/>
        <v>278.33</v>
      </c>
    </row>
    <row r="840" spans="15:16" x14ac:dyDescent="0.2">
      <c r="O840" s="226">
        <f t="shared" ref="O840:O900" si="40">$O837+1</f>
        <v>278.2</v>
      </c>
      <c r="P840" s="257">
        <f t="shared" ref="P840:P900" si="41">$P837+1</f>
        <v>278.67</v>
      </c>
    </row>
    <row r="841" spans="15:16" x14ac:dyDescent="0.2">
      <c r="O841" s="226">
        <f t="shared" si="40"/>
        <v>279</v>
      </c>
      <c r="P841" s="257">
        <f t="shared" si="41"/>
        <v>279</v>
      </c>
    </row>
    <row r="842" spans="15:16" x14ac:dyDescent="0.2">
      <c r="O842" s="226">
        <f t="shared" si="40"/>
        <v>279.10000000000002</v>
      </c>
      <c r="P842" s="257">
        <f t="shared" si="41"/>
        <v>279.33</v>
      </c>
    </row>
    <row r="843" spans="15:16" x14ac:dyDescent="0.2">
      <c r="O843" s="226">
        <f t="shared" si="40"/>
        <v>279.2</v>
      </c>
      <c r="P843" s="257">
        <f t="shared" si="41"/>
        <v>279.67</v>
      </c>
    </row>
    <row r="844" spans="15:16" x14ac:dyDescent="0.2">
      <c r="O844" s="226">
        <f t="shared" si="40"/>
        <v>280</v>
      </c>
      <c r="P844" s="257">
        <f t="shared" si="41"/>
        <v>280</v>
      </c>
    </row>
    <row r="845" spans="15:16" x14ac:dyDescent="0.2">
      <c r="O845" s="226">
        <f t="shared" si="40"/>
        <v>280.10000000000002</v>
      </c>
      <c r="P845" s="257">
        <f t="shared" si="41"/>
        <v>280.33</v>
      </c>
    </row>
    <row r="846" spans="15:16" x14ac:dyDescent="0.2">
      <c r="O846" s="226">
        <f t="shared" si="40"/>
        <v>280.2</v>
      </c>
      <c r="P846" s="257">
        <f t="shared" si="41"/>
        <v>280.67</v>
      </c>
    </row>
    <row r="847" spans="15:16" x14ac:dyDescent="0.2">
      <c r="O847" s="226">
        <f t="shared" si="40"/>
        <v>281</v>
      </c>
      <c r="P847" s="257">
        <f t="shared" si="41"/>
        <v>281</v>
      </c>
    </row>
    <row r="848" spans="15:16" x14ac:dyDescent="0.2">
      <c r="O848" s="226">
        <f t="shared" si="40"/>
        <v>281.10000000000002</v>
      </c>
      <c r="P848" s="257">
        <f t="shared" si="41"/>
        <v>281.33</v>
      </c>
    </row>
    <row r="849" spans="15:16" x14ac:dyDescent="0.2">
      <c r="O849" s="226">
        <f t="shared" si="40"/>
        <v>281.2</v>
      </c>
      <c r="P849" s="257">
        <f t="shared" si="41"/>
        <v>281.67</v>
      </c>
    </row>
    <row r="850" spans="15:16" x14ac:dyDescent="0.2">
      <c r="O850" s="226">
        <f t="shared" si="40"/>
        <v>282</v>
      </c>
      <c r="P850" s="257">
        <f t="shared" si="41"/>
        <v>282</v>
      </c>
    </row>
    <row r="851" spans="15:16" x14ac:dyDescent="0.2">
      <c r="O851" s="226">
        <f t="shared" si="40"/>
        <v>282.10000000000002</v>
      </c>
      <c r="P851" s="257">
        <f t="shared" si="41"/>
        <v>282.33</v>
      </c>
    </row>
    <row r="852" spans="15:16" x14ac:dyDescent="0.2">
      <c r="O852" s="226">
        <f t="shared" si="40"/>
        <v>282.2</v>
      </c>
      <c r="P852" s="257">
        <f t="shared" si="41"/>
        <v>282.67</v>
      </c>
    </row>
    <row r="853" spans="15:16" x14ac:dyDescent="0.2">
      <c r="O853" s="226">
        <f t="shared" si="40"/>
        <v>283</v>
      </c>
      <c r="P853" s="257">
        <f t="shared" si="41"/>
        <v>283</v>
      </c>
    </row>
    <row r="854" spans="15:16" x14ac:dyDescent="0.2">
      <c r="O854" s="226">
        <f t="shared" si="40"/>
        <v>283.10000000000002</v>
      </c>
      <c r="P854" s="257">
        <f t="shared" si="41"/>
        <v>283.33</v>
      </c>
    </row>
    <row r="855" spans="15:16" x14ac:dyDescent="0.2">
      <c r="O855" s="226">
        <f t="shared" si="40"/>
        <v>283.2</v>
      </c>
      <c r="P855" s="257">
        <f t="shared" si="41"/>
        <v>283.67</v>
      </c>
    </row>
    <row r="856" spans="15:16" x14ac:dyDescent="0.2">
      <c r="O856" s="226">
        <f t="shared" si="40"/>
        <v>284</v>
      </c>
      <c r="P856" s="257">
        <f t="shared" si="41"/>
        <v>284</v>
      </c>
    </row>
    <row r="857" spans="15:16" x14ac:dyDescent="0.2">
      <c r="O857" s="226">
        <f t="shared" si="40"/>
        <v>284.10000000000002</v>
      </c>
      <c r="P857" s="257">
        <f t="shared" si="41"/>
        <v>284.33</v>
      </c>
    </row>
    <row r="858" spans="15:16" x14ac:dyDescent="0.2">
      <c r="O858" s="226">
        <f t="shared" si="40"/>
        <v>284.2</v>
      </c>
      <c r="P858" s="257">
        <f t="shared" si="41"/>
        <v>284.67</v>
      </c>
    </row>
    <row r="859" spans="15:16" x14ac:dyDescent="0.2">
      <c r="O859" s="226">
        <f t="shared" si="40"/>
        <v>285</v>
      </c>
      <c r="P859" s="257">
        <f t="shared" si="41"/>
        <v>285</v>
      </c>
    </row>
    <row r="860" spans="15:16" x14ac:dyDescent="0.2">
      <c r="O860" s="226">
        <f t="shared" si="40"/>
        <v>285.10000000000002</v>
      </c>
      <c r="P860" s="257">
        <f t="shared" si="41"/>
        <v>285.33</v>
      </c>
    </row>
    <row r="861" spans="15:16" x14ac:dyDescent="0.2">
      <c r="O861" s="226">
        <f t="shared" si="40"/>
        <v>285.2</v>
      </c>
      <c r="P861" s="257">
        <f t="shared" si="41"/>
        <v>285.67</v>
      </c>
    </row>
    <row r="862" spans="15:16" x14ac:dyDescent="0.2">
      <c r="O862" s="226">
        <f t="shared" si="40"/>
        <v>286</v>
      </c>
      <c r="P862" s="257">
        <f t="shared" si="41"/>
        <v>286</v>
      </c>
    </row>
    <row r="863" spans="15:16" x14ac:dyDescent="0.2">
      <c r="O863" s="226">
        <f t="shared" si="40"/>
        <v>286.10000000000002</v>
      </c>
      <c r="P863" s="257">
        <f t="shared" si="41"/>
        <v>286.33</v>
      </c>
    </row>
    <row r="864" spans="15:16" x14ac:dyDescent="0.2">
      <c r="O864" s="226">
        <f t="shared" si="40"/>
        <v>286.2</v>
      </c>
      <c r="P864" s="257">
        <f t="shared" si="41"/>
        <v>286.67</v>
      </c>
    </row>
    <row r="865" spans="15:16" x14ac:dyDescent="0.2">
      <c r="O865" s="226">
        <f t="shared" si="40"/>
        <v>287</v>
      </c>
      <c r="P865" s="257">
        <f t="shared" si="41"/>
        <v>287</v>
      </c>
    </row>
    <row r="866" spans="15:16" x14ac:dyDescent="0.2">
      <c r="O866" s="226">
        <f t="shared" si="40"/>
        <v>287.10000000000002</v>
      </c>
      <c r="P866" s="257">
        <f t="shared" si="41"/>
        <v>287.33</v>
      </c>
    </row>
    <row r="867" spans="15:16" x14ac:dyDescent="0.2">
      <c r="O867" s="226">
        <f t="shared" si="40"/>
        <v>287.2</v>
      </c>
      <c r="P867" s="257">
        <f t="shared" si="41"/>
        <v>287.67</v>
      </c>
    </row>
    <row r="868" spans="15:16" x14ac:dyDescent="0.2">
      <c r="O868" s="226">
        <f t="shared" si="40"/>
        <v>288</v>
      </c>
      <c r="P868" s="257">
        <f t="shared" si="41"/>
        <v>288</v>
      </c>
    </row>
    <row r="869" spans="15:16" x14ac:dyDescent="0.2">
      <c r="O869" s="226">
        <f t="shared" si="40"/>
        <v>288.10000000000002</v>
      </c>
      <c r="P869" s="257">
        <f t="shared" si="41"/>
        <v>288.33</v>
      </c>
    </row>
    <row r="870" spans="15:16" x14ac:dyDescent="0.2">
      <c r="O870" s="226">
        <f t="shared" si="40"/>
        <v>288.2</v>
      </c>
      <c r="P870" s="257">
        <f t="shared" si="41"/>
        <v>288.67</v>
      </c>
    </row>
    <row r="871" spans="15:16" x14ac:dyDescent="0.2">
      <c r="O871" s="226">
        <f t="shared" si="40"/>
        <v>289</v>
      </c>
      <c r="P871" s="257">
        <f t="shared" si="41"/>
        <v>289</v>
      </c>
    </row>
    <row r="872" spans="15:16" x14ac:dyDescent="0.2">
      <c r="O872" s="226">
        <f t="shared" si="40"/>
        <v>289.10000000000002</v>
      </c>
      <c r="P872" s="257">
        <f t="shared" si="41"/>
        <v>289.33</v>
      </c>
    </row>
    <row r="873" spans="15:16" x14ac:dyDescent="0.2">
      <c r="O873" s="226">
        <f t="shared" si="40"/>
        <v>289.2</v>
      </c>
      <c r="P873" s="257">
        <f t="shared" si="41"/>
        <v>289.67</v>
      </c>
    </row>
    <row r="874" spans="15:16" x14ac:dyDescent="0.2">
      <c r="O874" s="226">
        <f t="shared" si="40"/>
        <v>290</v>
      </c>
      <c r="P874" s="257">
        <f t="shared" si="41"/>
        <v>290</v>
      </c>
    </row>
    <row r="875" spans="15:16" x14ac:dyDescent="0.2">
      <c r="O875" s="226">
        <f t="shared" si="40"/>
        <v>290.10000000000002</v>
      </c>
      <c r="P875" s="257">
        <f t="shared" si="41"/>
        <v>290.33</v>
      </c>
    </row>
    <row r="876" spans="15:16" x14ac:dyDescent="0.2">
      <c r="O876" s="226">
        <f t="shared" si="40"/>
        <v>290.2</v>
      </c>
      <c r="P876" s="257">
        <f t="shared" si="41"/>
        <v>290.67</v>
      </c>
    </row>
    <row r="877" spans="15:16" x14ac:dyDescent="0.2">
      <c r="O877" s="226">
        <f t="shared" si="40"/>
        <v>291</v>
      </c>
      <c r="P877" s="257">
        <f t="shared" si="41"/>
        <v>291</v>
      </c>
    </row>
    <row r="878" spans="15:16" x14ac:dyDescent="0.2">
      <c r="O878" s="226">
        <f t="shared" si="40"/>
        <v>291.10000000000002</v>
      </c>
      <c r="P878" s="257">
        <f t="shared" si="41"/>
        <v>291.33</v>
      </c>
    </row>
    <row r="879" spans="15:16" x14ac:dyDescent="0.2">
      <c r="O879" s="226">
        <f t="shared" si="40"/>
        <v>291.2</v>
      </c>
      <c r="P879" s="257">
        <f t="shared" si="41"/>
        <v>291.67</v>
      </c>
    </row>
    <row r="880" spans="15:16" x14ac:dyDescent="0.2">
      <c r="O880" s="226">
        <f t="shared" si="40"/>
        <v>292</v>
      </c>
      <c r="P880" s="257">
        <f t="shared" si="41"/>
        <v>292</v>
      </c>
    </row>
    <row r="881" spans="15:16" x14ac:dyDescent="0.2">
      <c r="O881" s="226">
        <f t="shared" si="40"/>
        <v>292.10000000000002</v>
      </c>
      <c r="P881" s="257">
        <f t="shared" si="41"/>
        <v>292.33</v>
      </c>
    </row>
    <row r="882" spans="15:16" x14ac:dyDescent="0.2">
      <c r="O882" s="226">
        <f t="shared" si="40"/>
        <v>292.2</v>
      </c>
      <c r="P882" s="257">
        <f t="shared" si="41"/>
        <v>292.67</v>
      </c>
    </row>
    <row r="883" spans="15:16" x14ac:dyDescent="0.2">
      <c r="O883" s="226">
        <f t="shared" si="40"/>
        <v>293</v>
      </c>
      <c r="P883" s="257">
        <f t="shared" si="41"/>
        <v>293</v>
      </c>
    </row>
    <row r="884" spans="15:16" x14ac:dyDescent="0.2">
      <c r="O884" s="226">
        <f t="shared" si="40"/>
        <v>293.10000000000002</v>
      </c>
      <c r="P884" s="257">
        <f t="shared" si="41"/>
        <v>293.33</v>
      </c>
    </row>
    <row r="885" spans="15:16" x14ac:dyDescent="0.2">
      <c r="O885" s="226">
        <f t="shared" si="40"/>
        <v>293.2</v>
      </c>
      <c r="P885" s="257">
        <f t="shared" si="41"/>
        <v>293.67</v>
      </c>
    </row>
    <row r="886" spans="15:16" x14ac:dyDescent="0.2">
      <c r="O886" s="226">
        <f t="shared" si="40"/>
        <v>294</v>
      </c>
      <c r="P886" s="257">
        <f t="shared" si="41"/>
        <v>294</v>
      </c>
    </row>
    <row r="887" spans="15:16" x14ac:dyDescent="0.2">
      <c r="O887" s="226">
        <f t="shared" si="40"/>
        <v>294.10000000000002</v>
      </c>
      <c r="P887" s="257">
        <f t="shared" si="41"/>
        <v>294.33</v>
      </c>
    </row>
    <row r="888" spans="15:16" x14ac:dyDescent="0.2">
      <c r="O888" s="226">
        <f t="shared" si="40"/>
        <v>294.2</v>
      </c>
      <c r="P888" s="257">
        <f t="shared" si="41"/>
        <v>294.67</v>
      </c>
    </row>
    <row r="889" spans="15:16" x14ac:dyDescent="0.2">
      <c r="O889" s="226">
        <f t="shared" si="40"/>
        <v>295</v>
      </c>
      <c r="P889" s="257">
        <f t="shared" si="41"/>
        <v>295</v>
      </c>
    </row>
    <row r="890" spans="15:16" x14ac:dyDescent="0.2">
      <c r="O890" s="226">
        <f t="shared" si="40"/>
        <v>295.10000000000002</v>
      </c>
      <c r="P890" s="257">
        <f t="shared" si="41"/>
        <v>295.33</v>
      </c>
    </row>
    <row r="891" spans="15:16" x14ac:dyDescent="0.2">
      <c r="O891" s="226">
        <f t="shared" si="40"/>
        <v>295.2</v>
      </c>
      <c r="P891" s="257">
        <f t="shared" si="41"/>
        <v>295.67</v>
      </c>
    </row>
    <row r="892" spans="15:16" x14ac:dyDescent="0.2">
      <c r="O892" s="226">
        <f t="shared" si="40"/>
        <v>296</v>
      </c>
      <c r="P892" s="257">
        <f t="shared" si="41"/>
        <v>296</v>
      </c>
    </row>
    <row r="893" spans="15:16" x14ac:dyDescent="0.2">
      <c r="O893" s="226">
        <f t="shared" si="40"/>
        <v>296.10000000000002</v>
      </c>
      <c r="P893" s="257">
        <f t="shared" si="41"/>
        <v>296.33</v>
      </c>
    </row>
    <row r="894" spans="15:16" x14ac:dyDescent="0.2">
      <c r="O894" s="226">
        <f t="shared" si="40"/>
        <v>296.2</v>
      </c>
      <c r="P894" s="257">
        <f t="shared" si="41"/>
        <v>296.67</v>
      </c>
    </row>
    <row r="895" spans="15:16" x14ac:dyDescent="0.2">
      <c r="O895" s="226">
        <f t="shared" si="40"/>
        <v>297</v>
      </c>
      <c r="P895" s="257">
        <f t="shared" si="41"/>
        <v>297</v>
      </c>
    </row>
    <row r="896" spans="15:16" x14ac:dyDescent="0.2">
      <c r="O896" s="226">
        <f t="shared" si="40"/>
        <v>297.10000000000002</v>
      </c>
      <c r="P896" s="257">
        <f t="shared" si="41"/>
        <v>297.33</v>
      </c>
    </row>
    <row r="897" spans="15:16" x14ac:dyDescent="0.2">
      <c r="O897" s="226">
        <f t="shared" si="40"/>
        <v>297.2</v>
      </c>
      <c r="P897" s="257">
        <f t="shared" si="41"/>
        <v>297.67</v>
      </c>
    </row>
    <row r="898" spans="15:16" x14ac:dyDescent="0.2">
      <c r="O898" s="226">
        <f t="shared" si="40"/>
        <v>298</v>
      </c>
      <c r="P898" s="257">
        <f t="shared" si="41"/>
        <v>298</v>
      </c>
    </row>
    <row r="899" spans="15:16" x14ac:dyDescent="0.2">
      <c r="O899" s="226">
        <f t="shared" si="40"/>
        <v>298.10000000000002</v>
      </c>
      <c r="P899" s="257">
        <f t="shared" si="41"/>
        <v>298.33</v>
      </c>
    </row>
    <row r="900" spans="15:16" x14ac:dyDescent="0.2">
      <c r="O900" s="226">
        <f t="shared" si="40"/>
        <v>298.2</v>
      </c>
      <c r="P900" s="257">
        <f t="shared" si="41"/>
        <v>298.67</v>
      </c>
    </row>
  </sheetData>
  <phoneticPr fontId="0" type="noConversion"/>
  <pageMargins left="0.75" right="0.75" top="1" bottom="1" header="0.5" footer="0.5"/>
  <pageSetup orientation="portrait" horizontalDpi="4294967292" verticalDpi="1200" r:id="rId1"/>
  <headerFooter alignWithMargins="0"/>
  <ignoredErrors>
    <ignoredError sqref="B4:B31 B40:B76 F40:F76 F4:F31"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E123"/>
  <sheetViews>
    <sheetView workbookViewId="0">
      <selection activeCell="C117" sqref="C117"/>
    </sheetView>
  </sheetViews>
  <sheetFormatPr defaultRowHeight="12.75" x14ac:dyDescent="0.2"/>
  <cols>
    <col min="1" max="1" width="7.140625" style="145" customWidth="1"/>
    <col min="2" max="2" width="114.28515625" style="76" customWidth="1"/>
  </cols>
  <sheetData>
    <row r="1" spans="1:2" x14ac:dyDescent="0.2">
      <c r="B1" s="295" t="s">
        <v>669</v>
      </c>
    </row>
    <row r="3" spans="1:2" x14ac:dyDescent="0.2">
      <c r="A3" s="294" t="s">
        <v>679</v>
      </c>
    </row>
    <row r="5" spans="1:2" ht="25.5" x14ac:dyDescent="0.2">
      <c r="A5" s="145">
        <v>1</v>
      </c>
      <c r="B5" s="202" t="s">
        <v>1234</v>
      </c>
    </row>
    <row r="6" spans="1:2" x14ac:dyDescent="0.2">
      <c r="A6" s="145">
        <v>2</v>
      </c>
      <c r="B6" s="76" t="s">
        <v>671</v>
      </c>
    </row>
    <row r="7" spans="1:2" x14ac:dyDescent="0.2">
      <c r="A7" s="145">
        <v>3</v>
      </c>
      <c r="B7" s="202" t="s">
        <v>1222</v>
      </c>
    </row>
    <row r="8" spans="1:2" x14ac:dyDescent="0.2">
      <c r="A8" s="145">
        <v>4</v>
      </c>
      <c r="B8" s="202" t="s">
        <v>1271</v>
      </c>
    </row>
    <row r="9" spans="1:2" x14ac:dyDescent="0.2">
      <c r="A9" s="145">
        <v>5</v>
      </c>
      <c r="B9" s="202" t="s">
        <v>1272</v>
      </c>
    </row>
    <row r="10" spans="1:2" x14ac:dyDescent="0.2">
      <c r="A10" s="145">
        <v>6</v>
      </c>
      <c r="B10" s="202" t="s">
        <v>1269</v>
      </c>
    </row>
    <row r="11" spans="1:2" x14ac:dyDescent="0.2">
      <c r="A11" s="145">
        <v>7</v>
      </c>
      <c r="B11" s="202" t="s">
        <v>1270</v>
      </c>
    </row>
    <row r="12" spans="1:2" x14ac:dyDescent="0.2">
      <c r="A12" s="145">
        <v>8</v>
      </c>
      <c r="B12" s="202" t="s">
        <v>1273</v>
      </c>
    </row>
    <row r="13" spans="1:2" x14ac:dyDescent="0.2">
      <c r="A13" s="145">
        <v>9</v>
      </c>
      <c r="B13" s="202" t="s">
        <v>1274</v>
      </c>
    </row>
    <row r="14" spans="1:2" x14ac:dyDescent="0.2">
      <c r="A14" s="145">
        <v>10</v>
      </c>
      <c r="B14" s="202" t="s">
        <v>1223</v>
      </c>
    </row>
    <row r="16" spans="1:2" x14ac:dyDescent="0.2">
      <c r="A16" s="145">
        <v>2</v>
      </c>
      <c r="B16" s="76" t="s">
        <v>670</v>
      </c>
    </row>
    <row r="17" spans="1:2" x14ac:dyDescent="0.2">
      <c r="A17" s="145">
        <v>3</v>
      </c>
      <c r="B17" s="202" t="s">
        <v>1224</v>
      </c>
    </row>
    <row r="18" spans="1:2" x14ac:dyDescent="0.2">
      <c r="A18" s="145">
        <v>4</v>
      </c>
      <c r="B18" s="202" t="s">
        <v>1275</v>
      </c>
    </row>
    <row r="19" spans="1:2" x14ac:dyDescent="0.2">
      <c r="A19" s="145">
        <v>5</v>
      </c>
      <c r="B19" s="202" t="s">
        <v>1276</v>
      </c>
    </row>
    <row r="20" spans="1:2" x14ac:dyDescent="0.2">
      <c r="A20" s="145">
        <v>6</v>
      </c>
      <c r="B20" s="202" t="s">
        <v>1277</v>
      </c>
    </row>
    <row r="21" spans="1:2" x14ac:dyDescent="0.2">
      <c r="A21" s="145">
        <v>7</v>
      </c>
      <c r="B21" s="202" t="s">
        <v>1278</v>
      </c>
    </row>
    <row r="22" spans="1:2" x14ac:dyDescent="0.2">
      <c r="A22" s="145">
        <v>8</v>
      </c>
      <c r="B22" s="202" t="s">
        <v>1279</v>
      </c>
    </row>
    <row r="23" spans="1:2" x14ac:dyDescent="0.2">
      <c r="A23" s="145">
        <v>9</v>
      </c>
      <c r="B23" s="202" t="s">
        <v>1280</v>
      </c>
    </row>
    <row r="24" spans="1:2" x14ac:dyDescent="0.2">
      <c r="A24" s="145">
        <v>10</v>
      </c>
      <c r="B24" s="202" t="s">
        <v>1225</v>
      </c>
    </row>
    <row r="26" spans="1:2" x14ac:dyDescent="0.2">
      <c r="A26" s="145">
        <v>11</v>
      </c>
      <c r="B26" s="76" t="s">
        <v>673</v>
      </c>
    </row>
    <row r="27" spans="1:2" x14ac:dyDescent="0.2">
      <c r="A27" s="145">
        <v>12</v>
      </c>
      <c r="B27" s="202" t="s">
        <v>1226</v>
      </c>
    </row>
    <row r="28" spans="1:2" x14ac:dyDescent="0.2">
      <c r="A28" s="145">
        <v>13</v>
      </c>
      <c r="B28" s="76" t="s">
        <v>672</v>
      </c>
    </row>
    <row r="29" spans="1:2" x14ac:dyDescent="0.2">
      <c r="A29" s="145">
        <v>14</v>
      </c>
      <c r="B29" s="202" t="s">
        <v>1226</v>
      </c>
    </row>
    <row r="30" spans="1:2" x14ac:dyDescent="0.2">
      <c r="A30" s="145">
        <v>15</v>
      </c>
      <c r="B30" s="76" t="s">
        <v>674</v>
      </c>
    </row>
    <row r="31" spans="1:2" x14ac:dyDescent="0.2">
      <c r="A31" s="145">
        <v>16</v>
      </c>
      <c r="B31" s="202" t="s">
        <v>1227</v>
      </c>
    </row>
    <row r="32" spans="1:2" x14ac:dyDescent="0.2">
      <c r="A32" s="145">
        <v>17</v>
      </c>
      <c r="B32" s="202" t="s">
        <v>1228</v>
      </c>
    </row>
    <row r="33" spans="1:2" ht="25.5" x14ac:dyDescent="0.2">
      <c r="A33" s="145">
        <v>18</v>
      </c>
      <c r="B33" s="76" t="s">
        <v>675</v>
      </c>
    </row>
    <row r="34" spans="1:2" x14ac:dyDescent="0.2">
      <c r="A34" s="145">
        <v>19</v>
      </c>
      <c r="B34" s="202" t="s">
        <v>1228</v>
      </c>
    </row>
    <row r="35" spans="1:2" x14ac:dyDescent="0.2">
      <c r="A35" s="145">
        <v>20</v>
      </c>
      <c r="B35" s="202" t="s">
        <v>1229</v>
      </c>
    </row>
    <row r="36" spans="1:2" x14ac:dyDescent="0.2">
      <c r="A36" s="145">
        <v>21</v>
      </c>
      <c r="B36" s="202" t="s">
        <v>1230</v>
      </c>
    </row>
    <row r="38" spans="1:2" x14ac:dyDescent="0.2">
      <c r="A38" s="145">
        <v>11</v>
      </c>
      <c r="B38" s="76" t="s">
        <v>676</v>
      </c>
    </row>
    <row r="39" spans="1:2" x14ac:dyDescent="0.2">
      <c r="A39" s="145">
        <v>12</v>
      </c>
      <c r="B39" s="202" t="s">
        <v>1226</v>
      </c>
    </row>
    <row r="40" spans="1:2" x14ac:dyDescent="0.2">
      <c r="A40" s="145">
        <v>13</v>
      </c>
      <c r="B40" s="76" t="s">
        <v>677</v>
      </c>
    </row>
    <row r="41" spans="1:2" x14ac:dyDescent="0.2">
      <c r="A41" s="145">
        <v>14</v>
      </c>
      <c r="B41" s="202" t="s">
        <v>1226</v>
      </c>
    </row>
    <row r="42" spans="1:2" x14ac:dyDescent="0.2">
      <c r="A42" s="145">
        <v>15</v>
      </c>
      <c r="B42" s="76" t="s">
        <v>678</v>
      </c>
    </row>
    <row r="43" spans="1:2" x14ac:dyDescent="0.2">
      <c r="A43" s="145">
        <v>16</v>
      </c>
      <c r="B43" s="202" t="s">
        <v>1231</v>
      </c>
    </row>
    <row r="44" spans="1:2" x14ac:dyDescent="0.2">
      <c r="A44" s="145">
        <v>17</v>
      </c>
      <c r="B44" s="202" t="s">
        <v>1228</v>
      </c>
    </row>
    <row r="45" spans="1:2" ht="25.5" x14ac:dyDescent="0.2">
      <c r="A45" s="145">
        <v>18</v>
      </c>
      <c r="B45" s="76" t="s">
        <v>675</v>
      </c>
    </row>
    <row r="46" spans="1:2" x14ac:dyDescent="0.2">
      <c r="A46" s="145">
        <v>19</v>
      </c>
      <c r="B46" s="202" t="s">
        <v>1228</v>
      </c>
    </row>
    <row r="47" spans="1:2" x14ac:dyDescent="0.2">
      <c r="A47" s="145">
        <v>20</v>
      </c>
      <c r="B47" s="202" t="s">
        <v>1232</v>
      </c>
    </row>
    <row r="48" spans="1:2" x14ac:dyDescent="0.2">
      <c r="A48" s="145">
        <v>21</v>
      </c>
      <c r="B48" s="202" t="s">
        <v>1230</v>
      </c>
    </row>
    <row r="49" spans="1:2" x14ac:dyDescent="0.2">
      <c r="B49" s="202"/>
    </row>
    <row r="50" spans="1:2" x14ac:dyDescent="0.2">
      <c r="B50" s="202" t="s">
        <v>1233</v>
      </c>
    </row>
    <row r="52" spans="1:2" x14ac:dyDescent="0.2">
      <c r="A52" s="294" t="s">
        <v>680</v>
      </c>
    </row>
    <row r="54" spans="1:2" x14ac:dyDescent="0.2">
      <c r="A54" s="145">
        <v>1</v>
      </c>
      <c r="B54" s="202" t="s">
        <v>1235</v>
      </c>
    </row>
    <row r="55" spans="1:2" ht="25.5" x14ac:dyDescent="0.2">
      <c r="A55" s="145">
        <v>2</v>
      </c>
      <c r="B55" s="202" t="s">
        <v>1240</v>
      </c>
    </row>
    <row r="56" spans="1:2" x14ac:dyDescent="0.2">
      <c r="A56" s="145">
        <v>3</v>
      </c>
      <c r="B56" s="202" t="s">
        <v>1239</v>
      </c>
    </row>
    <row r="57" spans="1:2" ht="25.5" x14ac:dyDescent="0.2">
      <c r="A57" s="145">
        <v>4</v>
      </c>
      <c r="B57" s="202" t="s">
        <v>1236</v>
      </c>
    </row>
    <row r="58" spans="1:2" x14ac:dyDescent="0.2">
      <c r="A58" s="145">
        <v>5</v>
      </c>
      <c r="B58" s="202" t="s">
        <v>1237</v>
      </c>
    </row>
    <row r="59" spans="1:2" x14ac:dyDescent="0.2">
      <c r="A59" s="145">
        <v>6</v>
      </c>
      <c r="B59" s="202" t="s">
        <v>681</v>
      </c>
    </row>
    <row r="60" spans="1:2" x14ac:dyDescent="0.2">
      <c r="A60" s="145">
        <v>7</v>
      </c>
    </row>
    <row r="61" spans="1:2" x14ac:dyDescent="0.2">
      <c r="A61" s="145">
        <v>8</v>
      </c>
      <c r="B61" s="202" t="s">
        <v>1238</v>
      </c>
    </row>
    <row r="62" spans="1:2" ht="25.5" x14ac:dyDescent="0.2">
      <c r="A62" s="145">
        <v>9</v>
      </c>
      <c r="B62" s="202" t="s">
        <v>1511</v>
      </c>
    </row>
    <row r="63" spans="1:2" x14ac:dyDescent="0.2">
      <c r="A63" s="145">
        <v>10</v>
      </c>
      <c r="B63" s="202" t="s">
        <v>1241</v>
      </c>
    </row>
    <row r="64" spans="1:2" ht="25.5" x14ac:dyDescent="0.2">
      <c r="A64" s="145">
        <v>11</v>
      </c>
      <c r="B64" s="202" t="s">
        <v>1512</v>
      </c>
    </row>
    <row r="65" spans="1:5" ht="38.25" x14ac:dyDescent="0.2">
      <c r="A65" s="145">
        <v>12</v>
      </c>
      <c r="B65" s="290" t="s">
        <v>1514</v>
      </c>
    </row>
    <row r="66" spans="1:5" x14ac:dyDescent="0.2">
      <c r="B66" s="291" t="s">
        <v>1510</v>
      </c>
    </row>
    <row r="67" spans="1:5" x14ac:dyDescent="0.2">
      <c r="A67" s="145">
        <v>13</v>
      </c>
      <c r="B67" s="202" t="s">
        <v>1515</v>
      </c>
    </row>
    <row r="69" spans="1:5" x14ac:dyDescent="0.2">
      <c r="A69" s="294" t="s">
        <v>684</v>
      </c>
    </row>
    <row r="70" spans="1:5" x14ac:dyDescent="0.2">
      <c r="C70" s="41"/>
    </row>
    <row r="71" spans="1:5" x14ac:dyDescent="0.2">
      <c r="A71" s="145">
        <v>1</v>
      </c>
      <c r="B71" s="290" t="s">
        <v>1608</v>
      </c>
    </row>
    <row r="72" spans="1:5" ht="25.5" x14ac:dyDescent="0.2">
      <c r="A72" s="145">
        <v>2</v>
      </c>
      <c r="B72" s="290" t="s">
        <v>1607</v>
      </c>
    </row>
    <row r="73" spans="1:5" ht="25.5" x14ac:dyDescent="0.2">
      <c r="B73" s="291" t="s">
        <v>683</v>
      </c>
    </row>
    <row r="74" spans="1:5" ht="25.5" x14ac:dyDescent="0.2">
      <c r="B74" s="291" t="s">
        <v>682</v>
      </c>
    </row>
    <row r="75" spans="1:5" x14ac:dyDescent="0.2">
      <c r="B75" s="202"/>
    </row>
    <row r="76" spans="1:5" x14ac:dyDescent="0.2">
      <c r="A76" s="294" t="s">
        <v>685</v>
      </c>
    </row>
    <row r="78" spans="1:5" x14ac:dyDescent="0.2">
      <c r="A78" s="145">
        <v>1</v>
      </c>
      <c r="B78" s="202" t="s">
        <v>686</v>
      </c>
    </row>
    <row r="79" spans="1:5" x14ac:dyDescent="0.2">
      <c r="A79" s="145">
        <v>2</v>
      </c>
      <c r="B79" s="202" t="s">
        <v>687</v>
      </c>
    </row>
    <row r="80" spans="1:5" x14ac:dyDescent="0.2">
      <c r="A80" s="145">
        <v>3</v>
      </c>
      <c r="B80" s="292" t="s">
        <v>688</v>
      </c>
      <c r="C80" s="73"/>
      <c r="D80" s="73"/>
      <c r="E80" s="73"/>
    </row>
    <row r="81" spans="1:5" x14ac:dyDescent="0.2">
      <c r="A81" s="145">
        <v>4</v>
      </c>
      <c r="B81" s="292" t="s">
        <v>689</v>
      </c>
      <c r="C81" s="73"/>
      <c r="D81" s="73"/>
    </row>
    <row r="82" spans="1:5" x14ac:dyDescent="0.2">
      <c r="A82" s="145">
        <v>5</v>
      </c>
      <c r="B82" s="292" t="s">
        <v>690</v>
      </c>
      <c r="C82" s="73"/>
      <c r="D82" s="73"/>
    </row>
    <row r="83" spans="1:5" x14ac:dyDescent="0.2">
      <c r="A83" s="145">
        <v>6</v>
      </c>
      <c r="B83" s="292" t="s">
        <v>1513</v>
      </c>
      <c r="C83" s="73"/>
      <c r="D83" s="73"/>
      <c r="E83" s="73"/>
    </row>
    <row r="84" spans="1:5" x14ac:dyDescent="0.2">
      <c r="B84" s="202"/>
      <c r="C84" s="73"/>
      <c r="E84" s="73"/>
    </row>
    <row r="85" spans="1:5" x14ac:dyDescent="0.2">
      <c r="A85" s="294" t="s">
        <v>692</v>
      </c>
      <c r="B85" s="292"/>
      <c r="D85" s="73"/>
      <c r="E85" s="73"/>
    </row>
    <row r="86" spans="1:5" x14ac:dyDescent="0.2">
      <c r="B86" s="292"/>
      <c r="C86" s="41"/>
      <c r="D86" s="73"/>
      <c r="E86" s="73"/>
    </row>
    <row r="87" spans="1:5" ht="25.5" x14ac:dyDescent="0.2">
      <c r="A87" s="145">
        <v>1</v>
      </c>
      <c r="B87" s="290" t="s">
        <v>1296</v>
      </c>
      <c r="C87" s="73"/>
      <c r="D87" s="172"/>
      <c r="E87" s="73"/>
    </row>
    <row r="88" spans="1:5" ht="25.5" x14ac:dyDescent="0.2">
      <c r="A88" s="145">
        <v>2</v>
      </c>
      <c r="B88" s="290" t="s">
        <v>1635</v>
      </c>
    </row>
    <row r="89" spans="1:5" ht="25.5" x14ac:dyDescent="0.2">
      <c r="B89" s="293" t="s">
        <v>730</v>
      </c>
    </row>
    <row r="90" spans="1:5" ht="25.5" x14ac:dyDescent="0.2">
      <c r="B90" s="293" t="s">
        <v>731</v>
      </c>
    </row>
    <row r="91" spans="1:5" x14ac:dyDescent="0.2">
      <c r="B91" s="292"/>
    </row>
    <row r="92" spans="1:5" x14ac:dyDescent="0.2">
      <c r="A92" s="294" t="s">
        <v>732</v>
      </c>
    </row>
    <row r="94" spans="1:5" x14ac:dyDescent="0.2">
      <c r="A94" s="145">
        <v>1</v>
      </c>
      <c r="B94" s="202" t="s">
        <v>733</v>
      </c>
    </row>
    <row r="95" spans="1:5" x14ac:dyDescent="0.2">
      <c r="B95" s="202"/>
    </row>
    <row r="96" spans="1:5" x14ac:dyDescent="0.2">
      <c r="A96" s="294" t="s">
        <v>734</v>
      </c>
    </row>
    <row r="98" spans="1:5" x14ac:dyDescent="0.2">
      <c r="A98" s="145">
        <v>1</v>
      </c>
      <c r="B98" s="202" t="s">
        <v>735</v>
      </c>
    </row>
    <row r="99" spans="1:5" x14ac:dyDescent="0.2">
      <c r="A99" s="145">
        <v>2</v>
      </c>
      <c r="B99" s="202" t="s">
        <v>736</v>
      </c>
    </row>
    <row r="100" spans="1:5" ht="25.5" x14ac:dyDescent="0.2">
      <c r="A100" s="145">
        <v>3</v>
      </c>
      <c r="B100" s="202" t="s">
        <v>1516</v>
      </c>
    </row>
    <row r="101" spans="1:5" ht="25.5" x14ac:dyDescent="0.2">
      <c r="A101" s="145">
        <v>4</v>
      </c>
      <c r="B101" s="202" t="s">
        <v>737</v>
      </c>
    </row>
    <row r="102" spans="1:5" ht="25.5" x14ac:dyDescent="0.2">
      <c r="A102" s="145">
        <v>5</v>
      </c>
      <c r="B102" s="202" t="s">
        <v>1521</v>
      </c>
    </row>
    <row r="103" spans="1:5" ht="38.25" x14ac:dyDescent="0.2">
      <c r="A103" s="145">
        <v>6</v>
      </c>
      <c r="B103" s="202" t="s">
        <v>1522</v>
      </c>
    </row>
    <row r="104" spans="1:5" ht="27" customHeight="1" x14ac:dyDescent="0.2">
      <c r="A104" s="145">
        <v>7</v>
      </c>
      <c r="B104" s="202" t="s">
        <v>1520</v>
      </c>
    </row>
    <row r="105" spans="1:5" ht="25.5" x14ac:dyDescent="0.2">
      <c r="A105" s="145">
        <v>8</v>
      </c>
      <c r="B105" s="202" t="s">
        <v>1523</v>
      </c>
    </row>
    <row r="106" spans="1:5" ht="25.5" x14ac:dyDescent="0.2">
      <c r="A106" s="145">
        <v>9</v>
      </c>
      <c r="B106" s="202" t="s">
        <v>738</v>
      </c>
    </row>
    <row r="107" spans="1:5" x14ac:dyDescent="0.2">
      <c r="A107" s="145">
        <v>10</v>
      </c>
      <c r="B107" s="202" t="s">
        <v>739</v>
      </c>
      <c r="C107" s="73"/>
      <c r="D107" s="73"/>
      <c r="E107" s="73"/>
    </row>
    <row r="108" spans="1:5" x14ac:dyDescent="0.2">
      <c r="A108" s="145">
        <v>11</v>
      </c>
      <c r="B108" s="292" t="s">
        <v>688</v>
      </c>
      <c r="C108" s="73"/>
      <c r="D108" s="73"/>
    </row>
    <row r="109" spans="1:5" x14ac:dyDescent="0.2">
      <c r="A109" s="145">
        <v>12</v>
      </c>
      <c r="B109" s="292" t="s">
        <v>689</v>
      </c>
      <c r="C109" s="73"/>
      <c r="D109" s="73"/>
    </row>
    <row r="110" spans="1:5" x14ac:dyDescent="0.2">
      <c r="B110" s="292" t="s">
        <v>690</v>
      </c>
      <c r="C110" s="73"/>
      <c r="D110" s="73"/>
      <c r="E110" s="73"/>
    </row>
    <row r="111" spans="1:5" x14ac:dyDescent="0.2">
      <c r="A111" s="145">
        <v>13</v>
      </c>
      <c r="B111" s="292" t="s">
        <v>691</v>
      </c>
      <c r="C111" s="73"/>
      <c r="D111" s="73"/>
      <c r="E111" s="73"/>
    </row>
    <row r="112" spans="1:5" ht="28.5" customHeight="1" x14ac:dyDescent="0.2">
      <c r="A112" s="145">
        <v>14</v>
      </c>
      <c r="B112" s="290" t="s">
        <v>1634</v>
      </c>
    </row>
    <row r="113" spans="1:3" ht="25.5" x14ac:dyDescent="0.2">
      <c r="B113" s="293" t="s">
        <v>730</v>
      </c>
    </row>
    <row r="114" spans="1:3" ht="25.5" x14ac:dyDescent="0.2">
      <c r="B114" s="293" t="s">
        <v>731</v>
      </c>
    </row>
    <row r="115" spans="1:3" ht="25.5" x14ac:dyDescent="0.2">
      <c r="A115" s="145">
        <v>15</v>
      </c>
      <c r="B115" s="202" t="s">
        <v>1524</v>
      </c>
    </row>
    <row r="116" spans="1:3" x14ac:dyDescent="0.2">
      <c r="B116" s="292"/>
    </row>
    <row r="117" spans="1:3" x14ac:dyDescent="0.2">
      <c r="A117" s="294" t="s">
        <v>740</v>
      </c>
      <c r="C117" s="41"/>
    </row>
    <row r="119" spans="1:3" ht="25.5" x14ac:dyDescent="0.2">
      <c r="A119" s="145">
        <v>1</v>
      </c>
      <c r="B119" s="202" t="s">
        <v>741</v>
      </c>
    </row>
    <row r="121" spans="1:3" x14ac:dyDescent="0.2">
      <c r="A121" s="294" t="s">
        <v>742</v>
      </c>
    </row>
    <row r="123" spans="1:3" x14ac:dyDescent="0.2">
      <c r="A123" s="145">
        <v>1</v>
      </c>
      <c r="B123" s="202" t="s">
        <v>743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ALfinal</vt:lpstr>
      <vt:lpstr>AL2</vt:lpstr>
      <vt:lpstr>ALRaw</vt:lpstr>
      <vt:lpstr>NLfinal</vt:lpstr>
      <vt:lpstr>NL2</vt:lpstr>
      <vt:lpstr>NLRaw</vt:lpstr>
      <vt:lpstr>Multi-teamPitchers</vt:lpstr>
      <vt:lpstr>C-P-RollAdj</vt:lpstr>
      <vt:lpstr>Instructions</vt:lpstr>
      <vt:lpstr>LeagueRatings</vt:lpstr>
      <vt:lpstr>LeagueTotals</vt:lpstr>
      <vt:lpstr>2016Minors</vt:lpstr>
      <vt:lpstr>2015Minors</vt:lpstr>
      <vt:lpstr>2014Minors</vt:lpstr>
      <vt:lpstr>Multi-teamPitchers-Spare</vt:lpstr>
      <vt:lpstr>Compatibility Report</vt:lpstr>
    </vt:vector>
  </TitlesOfParts>
  <Company>The Williams Family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Williams</dc:creator>
  <cp:lastModifiedBy>Brian</cp:lastModifiedBy>
  <cp:lastPrinted>2016-12-23T21:54:07Z</cp:lastPrinted>
  <dcterms:created xsi:type="dcterms:W3CDTF">2002-12-29T21:32:58Z</dcterms:created>
  <dcterms:modified xsi:type="dcterms:W3CDTF">2017-01-11T11:27:42Z</dcterms:modified>
</cp:coreProperties>
</file>